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mc:AlternateContent xmlns:mc="http://schemas.openxmlformats.org/markup-compatibility/2006">
    <mc:Choice Requires="x15">
      <x15ac:absPath xmlns:x15ac="http://schemas.microsoft.com/office/spreadsheetml/2010/11/ac" url="/Users/timeofmei/Desktop/"/>
    </mc:Choice>
  </mc:AlternateContent>
  <xr:revisionPtr revIDLastSave="0" documentId="13_ncr:1_{C3EAA0D7-9CCA-6B4C-9FFA-F6072B2B3F3C}" xr6:coauthVersionLast="47" xr6:coauthVersionMax="47" xr10:uidLastSave="{00000000-0000-0000-0000-000000000000}"/>
  <bookViews>
    <workbookView xWindow="0" yWindow="500" windowWidth="33600" windowHeight="20500" xr2:uid="{00000000-000D-0000-FFFF-FFFF00000000}"/>
  </bookViews>
  <sheets>
    <sheet name="汇总" sheetId="1" r:id="rId1"/>
    <sheet name="鼓楼区" sheetId="2" r:id="rId2"/>
    <sheet name="仓山区" sheetId="3" r:id="rId3"/>
    <sheet name="台江区" sheetId="4" r:id="rId4"/>
    <sheet name="晋安区" sheetId="5" r:id="rId5"/>
    <sheet name="马尾区" sheetId="6" r:id="rId6"/>
    <sheet name="调整" sheetId="8" r:id="rId7"/>
    <sheet name="已有诉求件数量" sheetId="7" r:id="rId8"/>
    <sheet name="政府信息" sheetId="9" r:id="rId9"/>
    <sheet name="汇总+历史数据0415" sheetId="10" r:id="rId10"/>
    <sheet name="回归数据-刘佳慧" sheetId="13" r:id="rId11"/>
  </sheets>
  <externalReferences>
    <externalReference r:id="rId12"/>
  </externalReferences>
  <definedNames>
    <definedName name="_xlnm._FilterDatabase" localSheetId="2" hidden="1">仓山区!$A$1:$O$744</definedName>
    <definedName name="_xlnm._FilterDatabase" localSheetId="1" hidden="1">鼓楼区!$A$1:$O$57</definedName>
    <definedName name="_xlnm._FilterDatabase" localSheetId="0" hidden="1">汇总!$A$1:$BA$1849</definedName>
    <definedName name="_xlnm._FilterDatabase" localSheetId="9" hidden="1">'汇总+历史数据0415'!$A$1:$AN$1204</definedName>
    <definedName name="_xlnm._FilterDatabase" localSheetId="4" hidden="1">晋安区!$A$1:$O$223</definedName>
    <definedName name="_xlnm._FilterDatabase" localSheetId="5" hidden="1">马尾区!$A$1:$O$9</definedName>
    <definedName name="_xlnm._FilterDatabase" localSheetId="3" hidden="1">台江区!$A$1:$O$175</definedName>
  </definedNames>
  <calcPr calcId="191029"/>
</workbook>
</file>

<file path=xl/calcChain.xml><?xml version="1.0" encoding="utf-8"?>
<calcChain xmlns="http://schemas.openxmlformats.org/spreadsheetml/2006/main">
  <c r="P1465" i="1" l="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L1205" i="13"/>
  <c r="I1205" i="13"/>
  <c r="F1205" i="13"/>
  <c r="L1204" i="13"/>
  <c r="I1204" i="13"/>
  <c r="F1204" i="13"/>
  <c r="L1203" i="13"/>
  <c r="I1203" i="13"/>
  <c r="F1203" i="13"/>
  <c r="L1202" i="13"/>
  <c r="I1202" i="13"/>
  <c r="F1202" i="13"/>
  <c r="L1201" i="13"/>
  <c r="I1201" i="13"/>
  <c r="F1201" i="13"/>
  <c r="L1200" i="13"/>
  <c r="I1200" i="13"/>
  <c r="F1200" i="13"/>
  <c r="L1199" i="13"/>
  <c r="I1199" i="13"/>
  <c r="F1199" i="13"/>
  <c r="L1198" i="13"/>
  <c r="I1198" i="13"/>
  <c r="F1198" i="13"/>
  <c r="L1197" i="13"/>
  <c r="I1197" i="13"/>
  <c r="F1197" i="13"/>
  <c r="L1196" i="13"/>
  <c r="I1196" i="13"/>
  <c r="F1196" i="13"/>
  <c r="L1195" i="13"/>
  <c r="I1195" i="13"/>
  <c r="F1195" i="13"/>
  <c r="L1194" i="13"/>
  <c r="I1194" i="13"/>
  <c r="F1194" i="13"/>
  <c r="L1193" i="13"/>
  <c r="I1193" i="13"/>
  <c r="F1193" i="13"/>
  <c r="L1192" i="13"/>
  <c r="I1192" i="13"/>
  <c r="F1192" i="13"/>
  <c r="L1191" i="13"/>
  <c r="I1191" i="13"/>
  <c r="F1191" i="13"/>
  <c r="L1190" i="13"/>
  <c r="I1190" i="13"/>
  <c r="F1190" i="13"/>
  <c r="L1189" i="13"/>
  <c r="I1189" i="13"/>
  <c r="F1189" i="13"/>
  <c r="L1188" i="13"/>
  <c r="I1188" i="13"/>
  <c r="F1188" i="13"/>
  <c r="L1187" i="13"/>
  <c r="I1187" i="13"/>
  <c r="F1187" i="13"/>
  <c r="L1186" i="13"/>
  <c r="I1186" i="13"/>
  <c r="F1186" i="13"/>
  <c r="L1185" i="13"/>
  <c r="I1185" i="13"/>
  <c r="F1185" i="13"/>
  <c r="L1184" i="13"/>
  <c r="I1184" i="13"/>
  <c r="F1184" i="13"/>
  <c r="L1183" i="13"/>
  <c r="I1183" i="13"/>
  <c r="F1183" i="13"/>
  <c r="L1182" i="13"/>
  <c r="I1182" i="13"/>
  <c r="F1182" i="13"/>
  <c r="L1181" i="13"/>
  <c r="I1181" i="13"/>
  <c r="F1181" i="13"/>
  <c r="L1180" i="13"/>
  <c r="I1180" i="13"/>
  <c r="F1180" i="13"/>
  <c r="L1179" i="13"/>
  <c r="I1179" i="13"/>
  <c r="F1179" i="13"/>
  <c r="L1178" i="13"/>
  <c r="I1178" i="13"/>
  <c r="F1178" i="13"/>
  <c r="L1177" i="13"/>
  <c r="I1177" i="13"/>
  <c r="F1177" i="13"/>
  <c r="L1176" i="13"/>
  <c r="I1176" i="13"/>
  <c r="F1176" i="13"/>
  <c r="L1175" i="13"/>
  <c r="I1175" i="13"/>
  <c r="F1175" i="13"/>
  <c r="L1174" i="13"/>
  <c r="I1174" i="13"/>
  <c r="F1174" i="13"/>
  <c r="L1173" i="13"/>
  <c r="I1173" i="13"/>
  <c r="F1173" i="13"/>
  <c r="L1172" i="13"/>
  <c r="I1172" i="13"/>
  <c r="F1172" i="13"/>
  <c r="L1171" i="13"/>
  <c r="I1171" i="13"/>
  <c r="F1171" i="13"/>
  <c r="L1170" i="13"/>
  <c r="I1170" i="13"/>
  <c r="F1170" i="13"/>
  <c r="L1169" i="13"/>
  <c r="I1169" i="13"/>
  <c r="F1169" i="13"/>
  <c r="L1168" i="13"/>
  <c r="I1168" i="13"/>
  <c r="F1168" i="13"/>
  <c r="L1167" i="13"/>
  <c r="I1167" i="13"/>
  <c r="F1167" i="13"/>
  <c r="L1166" i="13"/>
  <c r="I1166" i="13"/>
  <c r="F1166" i="13"/>
  <c r="L1165" i="13"/>
  <c r="I1165" i="13"/>
  <c r="F1165" i="13"/>
  <c r="L1164" i="13"/>
  <c r="I1164" i="13"/>
  <c r="F1164" i="13"/>
  <c r="L1163" i="13"/>
  <c r="I1163" i="13"/>
  <c r="F1163" i="13"/>
  <c r="L1162" i="13"/>
  <c r="I1162" i="13"/>
  <c r="F1162" i="13"/>
  <c r="L1161" i="13"/>
  <c r="I1161" i="13"/>
  <c r="F1161" i="13"/>
  <c r="L1160" i="13"/>
  <c r="I1160" i="13"/>
  <c r="F1160" i="13"/>
  <c r="L1159" i="13"/>
  <c r="I1159" i="13"/>
  <c r="F1159" i="13"/>
  <c r="L1158" i="13"/>
  <c r="I1158" i="13"/>
  <c r="F1158" i="13"/>
  <c r="L1157" i="13"/>
  <c r="I1157" i="13"/>
  <c r="F1157" i="13"/>
  <c r="L1156" i="13"/>
  <c r="I1156" i="13"/>
  <c r="F1156" i="13"/>
  <c r="L1155" i="13"/>
  <c r="I1155" i="13"/>
  <c r="F1155" i="13"/>
  <c r="L1154" i="13"/>
  <c r="I1154" i="13"/>
  <c r="F1154" i="13"/>
  <c r="L1153" i="13"/>
  <c r="I1153" i="13"/>
  <c r="F1153" i="13"/>
  <c r="L1152" i="13"/>
  <c r="I1152" i="13"/>
  <c r="F1152" i="13"/>
  <c r="L1151" i="13"/>
  <c r="I1151" i="13"/>
  <c r="F1151" i="13"/>
  <c r="L1150" i="13"/>
  <c r="I1150" i="13"/>
  <c r="F1150" i="13"/>
  <c r="L1149" i="13"/>
  <c r="I1149" i="13"/>
  <c r="F1149" i="13"/>
  <c r="L1148" i="13"/>
  <c r="I1148" i="13"/>
  <c r="F1148" i="13"/>
  <c r="L1147" i="13"/>
  <c r="I1147" i="13"/>
  <c r="F1147" i="13"/>
  <c r="L1146" i="13"/>
  <c r="I1146" i="13"/>
  <c r="F1146" i="13"/>
  <c r="L1145" i="13"/>
  <c r="I1145" i="13"/>
  <c r="F1145" i="13"/>
  <c r="L1144" i="13"/>
  <c r="I1144" i="13"/>
  <c r="F1144" i="13"/>
  <c r="L1143" i="13"/>
  <c r="I1143" i="13"/>
  <c r="F1143" i="13"/>
  <c r="L1142" i="13"/>
  <c r="I1142" i="13"/>
  <c r="F1142" i="13"/>
  <c r="L1141" i="13"/>
  <c r="I1141" i="13"/>
  <c r="F1141" i="13"/>
  <c r="L1140" i="13"/>
  <c r="I1140" i="13"/>
  <c r="F1140" i="13"/>
  <c r="L1139" i="13"/>
  <c r="I1139" i="13"/>
  <c r="F1139" i="13"/>
  <c r="L1138" i="13"/>
  <c r="I1138" i="13"/>
  <c r="F1138" i="13"/>
  <c r="L1137" i="13"/>
  <c r="I1137" i="13"/>
  <c r="F1137" i="13"/>
  <c r="L1136" i="13"/>
  <c r="I1136" i="13"/>
  <c r="F1136" i="13"/>
  <c r="L1135" i="13"/>
  <c r="I1135" i="13"/>
  <c r="F1135" i="13"/>
  <c r="L1134" i="13"/>
  <c r="I1134" i="13"/>
  <c r="F1134" i="13"/>
  <c r="L1133" i="13"/>
  <c r="I1133" i="13"/>
  <c r="F1133" i="13"/>
  <c r="L1132" i="13"/>
  <c r="I1132" i="13"/>
  <c r="F1132" i="13"/>
  <c r="L1131" i="13"/>
  <c r="I1131" i="13"/>
  <c r="F1131" i="13"/>
  <c r="L1130" i="13"/>
  <c r="I1130" i="13"/>
  <c r="F1130" i="13"/>
  <c r="L1129" i="13"/>
  <c r="I1129" i="13"/>
  <c r="F1129" i="13"/>
  <c r="L1128" i="13"/>
  <c r="I1128" i="13"/>
  <c r="F1128" i="13"/>
  <c r="L1127" i="13"/>
  <c r="I1127" i="13"/>
  <c r="F1127" i="13"/>
  <c r="L1126" i="13"/>
  <c r="I1126" i="13"/>
  <c r="F1126" i="13"/>
  <c r="L1125" i="13"/>
  <c r="I1125" i="13"/>
  <c r="F1125" i="13"/>
  <c r="L1124" i="13"/>
  <c r="I1124" i="13"/>
  <c r="F1124" i="13"/>
  <c r="L1123" i="13"/>
  <c r="I1123" i="13"/>
  <c r="F1123" i="13"/>
  <c r="L1122" i="13"/>
  <c r="I1122" i="13"/>
  <c r="F1122" i="13"/>
  <c r="L1121" i="13"/>
  <c r="I1121" i="13"/>
  <c r="F1121" i="13"/>
  <c r="L1120" i="13"/>
  <c r="I1120" i="13"/>
  <c r="F1120" i="13"/>
  <c r="L1119" i="13"/>
  <c r="I1119" i="13"/>
  <c r="F1119" i="13"/>
  <c r="L1118" i="13"/>
  <c r="I1118" i="13"/>
  <c r="F1118" i="13"/>
  <c r="L1117" i="13"/>
  <c r="I1117" i="13"/>
  <c r="F1117" i="13"/>
  <c r="L1116" i="13"/>
  <c r="I1116" i="13"/>
  <c r="F1116" i="13"/>
  <c r="L1115" i="13"/>
  <c r="I1115" i="13"/>
  <c r="F1115" i="13"/>
  <c r="L1114" i="13"/>
  <c r="I1114" i="13"/>
  <c r="F1114" i="13"/>
  <c r="L1113" i="13"/>
  <c r="I1113" i="13"/>
  <c r="F1113" i="13"/>
  <c r="L1112" i="13"/>
  <c r="I1112" i="13"/>
  <c r="F1112" i="13"/>
  <c r="L1111" i="13"/>
  <c r="I1111" i="13"/>
  <c r="F1111" i="13"/>
  <c r="L1110" i="13"/>
  <c r="I1110" i="13"/>
  <c r="F1110" i="13"/>
  <c r="L1109" i="13"/>
  <c r="I1109" i="13"/>
  <c r="F1109" i="13"/>
  <c r="L1108" i="13"/>
  <c r="I1108" i="13"/>
  <c r="F1108" i="13"/>
  <c r="L1107" i="13"/>
  <c r="I1107" i="13"/>
  <c r="F1107" i="13"/>
  <c r="L1106" i="13"/>
  <c r="I1106" i="13"/>
  <c r="F1106" i="13"/>
  <c r="L1105" i="13"/>
  <c r="I1105" i="13"/>
  <c r="F1105" i="13"/>
  <c r="L1104" i="13"/>
  <c r="I1104" i="13"/>
  <c r="F1104" i="13"/>
  <c r="L1103" i="13"/>
  <c r="I1103" i="13"/>
  <c r="F1103" i="13"/>
  <c r="L1102" i="13"/>
  <c r="I1102" i="13"/>
  <c r="F1102" i="13"/>
  <c r="L1101" i="13"/>
  <c r="I1101" i="13"/>
  <c r="F1101" i="13"/>
  <c r="L1100" i="13"/>
  <c r="I1100" i="13"/>
  <c r="F1100" i="13"/>
  <c r="L1099" i="13"/>
  <c r="I1099" i="13"/>
  <c r="F1099" i="13"/>
  <c r="L1098" i="13"/>
  <c r="I1098" i="13"/>
  <c r="F1098" i="13"/>
  <c r="L1097" i="13"/>
  <c r="I1097" i="13"/>
  <c r="F1097" i="13"/>
  <c r="L1096" i="13"/>
  <c r="I1096" i="13"/>
  <c r="F1096" i="13"/>
  <c r="L1095" i="13"/>
  <c r="I1095" i="13"/>
  <c r="F1095" i="13"/>
  <c r="L1094" i="13"/>
  <c r="I1094" i="13"/>
  <c r="F1094" i="13"/>
  <c r="L1093" i="13"/>
  <c r="I1093" i="13"/>
  <c r="F1093" i="13"/>
  <c r="L1092" i="13"/>
  <c r="I1092" i="13"/>
  <c r="F1092" i="13"/>
  <c r="L1091" i="13"/>
  <c r="I1091" i="13"/>
  <c r="F1091" i="13"/>
  <c r="L1090" i="13"/>
  <c r="I1090" i="13"/>
  <c r="F1090" i="13"/>
  <c r="L1089" i="13"/>
  <c r="I1089" i="13"/>
  <c r="F1089" i="13"/>
  <c r="L1088" i="13"/>
  <c r="I1088" i="13"/>
  <c r="F1088" i="13"/>
  <c r="L1087" i="13"/>
  <c r="I1087" i="13"/>
  <c r="F1087" i="13"/>
  <c r="L1086" i="13"/>
  <c r="I1086" i="13"/>
  <c r="F1086" i="13"/>
  <c r="L1085" i="13"/>
  <c r="I1085" i="13"/>
  <c r="F1085" i="13"/>
  <c r="L1084" i="13"/>
  <c r="I1084" i="13"/>
  <c r="F1084" i="13"/>
  <c r="L1083" i="13"/>
  <c r="I1083" i="13"/>
  <c r="F1083" i="13"/>
  <c r="L1082" i="13"/>
  <c r="I1082" i="13"/>
  <c r="F1082" i="13"/>
  <c r="L1081" i="13"/>
  <c r="I1081" i="13"/>
  <c r="F1081" i="13"/>
  <c r="L1080" i="13"/>
  <c r="I1080" i="13"/>
  <c r="F1080" i="13"/>
  <c r="L1079" i="13"/>
  <c r="I1079" i="13"/>
  <c r="F1079" i="13"/>
  <c r="L1078" i="13"/>
  <c r="I1078" i="13"/>
  <c r="F1078" i="13"/>
  <c r="L1077" i="13"/>
  <c r="I1077" i="13"/>
  <c r="F1077" i="13"/>
  <c r="L1076" i="13"/>
  <c r="I1076" i="13"/>
  <c r="F1076" i="13"/>
  <c r="L1075" i="13"/>
  <c r="I1075" i="13"/>
  <c r="F1075" i="13"/>
  <c r="L1074" i="13"/>
  <c r="I1074" i="13"/>
  <c r="F1074" i="13"/>
  <c r="L1073" i="13"/>
  <c r="I1073" i="13"/>
  <c r="F1073" i="13"/>
  <c r="L1072" i="13"/>
  <c r="I1072" i="13"/>
  <c r="F1072" i="13"/>
  <c r="L1071" i="13"/>
  <c r="I1071" i="13"/>
  <c r="F1071" i="13"/>
  <c r="L1070" i="13"/>
  <c r="I1070" i="13"/>
  <c r="F1070" i="13"/>
  <c r="L1069" i="13"/>
  <c r="I1069" i="13"/>
  <c r="F1069" i="13"/>
  <c r="L1068" i="13"/>
  <c r="I1068" i="13"/>
  <c r="F1068" i="13"/>
  <c r="L1067" i="13"/>
  <c r="I1067" i="13"/>
  <c r="F1067" i="13"/>
  <c r="L1066" i="13"/>
  <c r="I1066" i="13"/>
  <c r="F1066" i="13"/>
  <c r="L1065" i="13"/>
  <c r="I1065" i="13"/>
  <c r="F1065" i="13"/>
  <c r="L1064" i="13"/>
  <c r="I1064" i="13"/>
  <c r="F1064" i="13"/>
  <c r="L1063" i="13"/>
  <c r="I1063" i="13"/>
  <c r="F1063" i="13"/>
  <c r="L1062" i="13"/>
  <c r="I1062" i="13"/>
  <c r="F1062" i="13"/>
  <c r="L1061" i="13"/>
  <c r="I1061" i="13"/>
  <c r="F1061" i="13"/>
  <c r="L1060" i="13"/>
  <c r="I1060" i="13"/>
  <c r="F1060" i="13"/>
  <c r="L1059" i="13"/>
  <c r="I1059" i="13"/>
  <c r="F1059" i="13"/>
  <c r="L1058" i="13"/>
  <c r="I1058" i="13"/>
  <c r="F1058" i="13"/>
  <c r="L1057" i="13"/>
  <c r="I1057" i="13"/>
  <c r="F1057" i="13"/>
  <c r="L1056" i="13"/>
  <c r="I1056" i="13"/>
  <c r="F1056" i="13"/>
  <c r="L1055" i="13"/>
  <c r="I1055" i="13"/>
  <c r="F1055" i="13"/>
  <c r="L1054" i="13"/>
  <c r="I1054" i="13"/>
  <c r="F1054" i="13"/>
  <c r="L1053" i="13"/>
  <c r="I1053" i="13"/>
  <c r="F1053" i="13"/>
  <c r="L1052" i="13"/>
  <c r="I1052" i="13"/>
  <c r="F1052" i="13"/>
  <c r="L1051" i="13"/>
  <c r="I1051" i="13"/>
  <c r="F1051" i="13"/>
  <c r="L1050" i="13"/>
  <c r="I1050" i="13"/>
  <c r="F1050" i="13"/>
  <c r="L1049" i="13"/>
  <c r="I1049" i="13"/>
  <c r="F1049" i="13"/>
  <c r="L1048" i="13"/>
  <c r="I1048" i="13"/>
  <c r="F1048" i="13"/>
  <c r="L1047" i="13"/>
  <c r="I1047" i="13"/>
  <c r="F1047" i="13"/>
  <c r="L1046" i="13"/>
  <c r="I1046" i="13"/>
  <c r="F1046" i="13"/>
  <c r="L1045" i="13"/>
  <c r="I1045" i="13"/>
  <c r="F1045" i="13"/>
  <c r="L1044" i="13"/>
  <c r="I1044" i="13"/>
  <c r="F1044" i="13"/>
  <c r="L1043" i="13"/>
  <c r="I1043" i="13"/>
  <c r="F1043" i="13"/>
  <c r="L1042" i="13"/>
  <c r="I1042" i="13"/>
  <c r="F1042" i="13"/>
  <c r="L1041" i="13"/>
  <c r="I1041" i="13"/>
  <c r="F1041" i="13"/>
  <c r="L1040" i="13"/>
  <c r="I1040" i="13"/>
  <c r="F1040" i="13"/>
  <c r="L1039" i="13"/>
  <c r="I1039" i="13"/>
  <c r="F1039" i="13"/>
  <c r="L1038" i="13"/>
  <c r="I1038" i="13"/>
  <c r="F1038" i="13"/>
  <c r="L1037" i="13"/>
  <c r="I1037" i="13"/>
  <c r="F1037" i="13"/>
  <c r="L1036" i="13"/>
  <c r="I1036" i="13"/>
  <c r="F1036" i="13"/>
  <c r="L1035" i="13"/>
  <c r="I1035" i="13"/>
  <c r="F1035" i="13"/>
  <c r="L1034" i="13"/>
  <c r="I1034" i="13"/>
  <c r="F1034" i="13"/>
  <c r="L1033" i="13"/>
  <c r="I1033" i="13"/>
  <c r="F1033" i="13"/>
  <c r="L1032" i="13"/>
  <c r="I1032" i="13"/>
  <c r="F1032" i="13"/>
  <c r="L1031" i="13"/>
  <c r="I1031" i="13"/>
  <c r="F1031" i="13"/>
  <c r="L1030" i="13"/>
  <c r="I1030" i="13"/>
  <c r="F1030" i="13"/>
  <c r="L1029" i="13"/>
  <c r="I1029" i="13"/>
  <c r="F1029" i="13"/>
  <c r="L1028" i="13"/>
  <c r="I1028" i="13"/>
  <c r="F1028" i="13"/>
  <c r="L1027" i="13"/>
  <c r="I1027" i="13"/>
  <c r="F1027" i="13"/>
  <c r="L1026" i="13"/>
  <c r="I1026" i="13"/>
  <c r="F1026" i="13"/>
  <c r="L1025" i="13"/>
  <c r="I1025" i="13"/>
  <c r="F1025" i="13"/>
  <c r="L1024" i="13"/>
  <c r="I1024" i="13"/>
  <c r="F1024" i="13"/>
  <c r="L1023" i="13"/>
  <c r="I1023" i="13"/>
  <c r="F1023" i="13"/>
  <c r="L1022" i="13"/>
  <c r="I1022" i="13"/>
  <c r="F1022" i="13"/>
  <c r="L1021" i="13"/>
  <c r="I1021" i="13"/>
  <c r="F1021" i="13"/>
  <c r="L1020" i="13"/>
  <c r="I1020" i="13"/>
  <c r="F1020" i="13"/>
  <c r="L1019" i="13"/>
  <c r="I1019" i="13"/>
  <c r="F1019" i="13"/>
  <c r="L1018" i="13"/>
  <c r="I1018" i="13"/>
  <c r="F1018" i="13"/>
  <c r="L1017" i="13"/>
  <c r="I1017" i="13"/>
  <c r="F1017" i="13"/>
  <c r="L1016" i="13"/>
  <c r="I1016" i="13"/>
  <c r="F1016" i="13"/>
  <c r="L1015" i="13"/>
  <c r="I1015" i="13"/>
  <c r="F1015" i="13"/>
  <c r="L1014" i="13"/>
  <c r="I1014" i="13"/>
  <c r="F1014" i="13"/>
  <c r="L1013" i="13"/>
  <c r="I1013" i="13"/>
  <c r="F1013" i="13"/>
  <c r="L1012" i="13"/>
  <c r="I1012" i="13"/>
  <c r="F1012" i="13"/>
  <c r="L1011" i="13"/>
  <c r="I1011" i="13"/>
  <c r="F1011" i="13"/>
  <c r="L1010" i="13"/>
  <c r="I1010" i="13"/>
  <c r="F1010" i="13"/>
  <c r="L1009" i="13"/>
  <c r="I1009" i="13"/>
  <c r="F1009" i="13"/>
  <c r="L1008" i="13"/>
  <c r="I1008" i="13"/>
  <c r="F1008" i="13"/>
  <c r="L1007" i="13"/>
  <c r="I1007" i="13"/>
  <c r="F1007" i="13"/>
  <c r="L1006" i="13"/>
  <c r="I1006" i="13"/>
  <c r="F1006" i="13"/>
  <c r="L1005" i="13"/>
  <c r="I1005" i="13"/>
  <c r="F1005" i="13"/>
  <c r="L1004" i="13"/>
  <c r="I1004" i="13"/>
  <c r="F1004" i="13"/>
  <c r="L1003" i="13"/>
  <c r="I1003" i="13"/>
  <c r="F1003" i="13"/>
  <c r="L1002" i="13"/>
  <c r="I1002" i="13"/>
  <c r="F1002" i="13"/>
  <c r="L1001" i="13"/>
  <c r="I1001" i="13"/>
  <c r="F1001" i="13"/>
  <c r="L1000" i="13"/>
  <c r="I1000" i="13"/>
  <c r="F1000" i="13"/>
  <c r="L999" i="13"/>
  <c r="I999" i="13"/>
  <c r="F999" i="13"/>
  <c r="L998" i="13"/>
  <c r="I998" i="13"/>
  <c r="F998" i="13"/>
  <c r="L997" i="13"/>
  <c r="I997" i="13"/>
  <c r="F997" i="13"/>
  <c r="L996" i="13"/>
  <c r="I996" i="13"/>
  <c r="F996" i="13"/>
  <c r="L995" i="13"/>
  <c r="I995" i="13"/>
  <c r="F995" i="13"/>
  <c r="L994" i="13"/>
  <c r="I994" i="13"/>
  <c r="F994" i="13"/>
  <c r="L993" i="13"/>
  <c r="I993" i="13"/>
  <c r="F993" i="13"/>
  <c r="L992" i="13"/>
  <c r="I992" i="13"/>
  <c r="F992" i="13"/>
  <c r="L991" i="13"/>
  <c r="I991" i="13"/>
  <c r="F991" i="13"/>
  <c r="L990" i="13"/>
  <c r="I990" i="13"/>
  <c r="F990" i="13"/>
  <c r="L989" i="13"/>
  <c r="I989" i="13"/>
  <c r="F989" i="13"/>
  <c r="L988" i="13"/>
  <c r="I988" i="13"/>
  <c r="F988" i="13"/>
  <c r="L987" i="13"/>
  <c r="I987" i="13"/>
  <c r="F987" i="13"/>
  <c r="L986" i="13"/>
  <c r="I986" i="13"/>
  <c r="F986" i="13"/>
  <c r="L985" i="13"/>
  <c r="I985" i="13"/>
  <c r="F985" i="13"/>
  <c r="L984" i="13"/>
  <c r="I984" i="13"/>
  <c r="F984" i="13"/>
  <c r="L983" i="13"/>
  <c r="I983" i="13"/>
  <c r="F983" i="13"/>
  <c r="L982" i="13"/>
  <c r="I982" i="13"/>
  <c r="F982" i="13"/>
  <c r="L981" i="13"/>
  <c r="I981" i="13"/>
  <c r="F981" i="13"/>
  <c r="L980" i="13"/>
  <c r="I980" i="13"/>
  <c r="F980" i="13"/>
  <c r="L979" i="13"/>
  <c r="I979" i="13"/>
  <c r="F979" i="13"/>
  <c r="L978" i="13"/>
  <c r="I978" i="13"/>
  <c r="F978" i="13"/>
  <c r="L977" i="13"/>
  <c r="I977" i="13"/>
  <c r="F977" i="13"/>
  <c r="L976" i="13"/>
  <c r="I976" i="13"/>
  <c r="F976" i="13"/>
  <c r="L975" i="13"/>
  <c r="I975" i="13"/>
  <c r="F975" i="13"/>
  <c r="L974" i="13"/>
  <c r="I974" i="13"/>
  <c r="F974" i="13"/>
  <c r="L973" i="13"/>
  <c r="I973" i="13"/>
  <c r="F973" i="13"/>
  <c r="L972" i="13"/>
  <c r="I972" i="13"/>
  <c r="F972" i="13"/>
  <c r="L971" i="13"/>
  <c r="I971" i="13"/>
  <c r="F971" i="13"/>
  <c r="L970" i="13"/>
  <c r="I970" i="13"/>
  <c r="F970" i="13"/>
  <c r="L969" i="13"/>
  <c r="I969" i="13"/>
  <c r="F969" i="13"/>
  <c r="L968" i="13"/>
  <c r="I968" i="13"/>
  <c r="F968" i="13"/>
  <c r="L967" i="13"/>
  <c r="I967" i="13"/>
  <c r="F967" i="13"/>
  <c r="L966" i="13"/>
  <c r="I966" i="13"/>
  <c r="F966" i="13"/>
  <c r="L965" i="13"/>
  <c r="I965" i="13"/>
  <c r="F965" i="13"/>
  <c r="L964" i="13"/>
  <c r="I964" i="13"/>
  <c r="F964" i="13"/>
  <c r="L963" i="13"/>
  <c r="I963" i="13"/>
  <c r="F963" i="13"/>
  <c r="L962" i="13"/>
  <c r="I962" i="13"/>
  <c r="F962" i="13"/>
  <c r="L961" i="13"/>
  <c r="I961" i="13"/>
  <c r="F961" i="13"/>
  <c r="L960" i="13"/>
  <c r="I960" i="13"/>
  <c r="F960" i="13"/>
  <c r="L959" i="13"/>
  <c r="I959" i="13"/>
  <c r="F959" i="13"/>
  <c r="L958" i="13"/>
  <c r="I958" i="13"/>
  <c r="F958" i="13"/>
  <c r="L957" i="13"/>
  <c r="I957" i="13"/>
  <c r="F957" i="13"/>
  <c r="L956" i="13"/>
  <c r="I956" i="13"/>
  <c r="F956" i="13"/>
  <c r="L955" i="13"/>
  <c r="I955" i="13"/>
  <c r="F955" i="13"/>
  <c r="L954" i="13"/>
  <c r="I954" i="13"/>
  <c r="F954" i="13"/>
  <c r="L953" i="13"/>
  <c r="I953" i="13"/>
  <c r="F953" i="13"/>
  <c r="L952" i="13"/>
  <c r="I952" i="13"/>
  <c r="F952" i="13"/>
  <c r="L951" i="13"/>
  <c r="I951" i="13"/>
  <c r="F951" i="13"/>
  <c r="L950" i="13"/>
  <c r="I950" i="13"/>
  <c r="F950" i="13"/>
  <c r="L949" i="13"/>
  <c r="I949" i="13"/>
  <c r="F949" i="13"/>
  <c r="L948" i="13"/>
  <c r="I948" i="13"/>
  <c r="F948" i="13"/>
  <c r="L947" i="13"/>
  <c r="I947" i="13"/>
  <c r="F947" i="13"/>
  <c r="L946" i="13"/>
  <c r="I946" i="13"/>
  <c r="F946" i="13"/>
  <c r="L945" i="13"/>
  <c r="I945" i="13"/>
  <c r="F945" i="13"/>
  <c r="L944" i="13"/>
  <c r="I944" i="13"/>
  <c r="F944" i="13"/>
  <c r="L943" i="13"/>
  <c r="I943" i="13"/>
  <c r="F943" i="13"/>
  <c r="L942" i="13"/>
  <c r="I942" i="13"/>
  <c r="F942" i="13"/>
  <c r="L941" i="13"/>
  <c r="I941" i="13"/>
  <c r="F941" i="13"/>
  <c r="L940" i="13"/>
  <c r="I940" i="13"/>
  <c r="F940" i="13"/>
  <c r="L939" i="13"/>
  <c r="I939" i="13"/>
  <c r="F939" i="13"/>
  <c r="L938" i="13"/>
  <c r="I938" i="13"/>
  <c r="F938" i="13"/>
  <c r="L937" i="13"/>
  <c r="I937" i="13"/>
  <c r="F937" i="13"/>
  <c r="L936" i="13"/>
  <c r="I936" i="13"/>
  <c r="F936" i="13"/>
  <c r="L935" i="13"/>
  <c r="I935" i="13"/>
  <c r="F935" i="13"/>
  <c r="L934" i="13"/>
  <c r="I934" i="13"/>
  <c r="F934" i="13"/>
  <c r="L933" i="13"/>
  <c r="I933" i="13"/>
  <c r="F933" i="13"/>
  <c r="L932" i="13"/>
  <c r="I932" i="13"/>
  <c r="F932" i="13"/>
  <c r="L931" i="13"/>
  <c r="I931" i="13"/>
  <c r="F931" i="13"/>
  <c r="L930" i="13"/>
  <c r="I930" i="13"/>
  <c r="F930" i="13"/>
  <c r="L929" i="13"/>
  <c r="I929" i="13"/>
  <c r="F929" i="13"/>
  <c r="L928" i="13"/>
  <c r="I928" i="13"/>
  <c r="F928" i="13"/>
  <c r="L927" i="13"/>
  <c r="I927" i="13"/>
  <c r="F927" i="13"/>
  <c r="L926" i="13"/>
  <c r="I926" i="13"/>
  <c r="F926" i="13"/>
  <c r="L925" i="13"/>
  <c r="I925" i="13"/>
  <c r="F925" i="13"/>
  <c r="L924" i="13"/>
  <c r="I924" i="13"/>
  <c r="F924" i="13"/>
  <c r="L923" i="13"/>
  <c r="I923" i="13"/>
  <c r="F923" i="13"/>
  <c r="L922" i="13"/>
  <c r="I922" i="13"/>
  <c r="F922" i="13"/>
  <c r="L921" i="13"/>
  <c r="I921" i="13"/>
  <c r="F921" i="13"/>
  <c r="L920" i="13"/>
  <c r="I920" i="13"/>
  <c r="F920" i="13"/>
  <c r="L919" i="13"/>
  <c r="I919" i="13"/>
  <c r="F919" i="13"/>
  <c r="L918" i="13"/>
  <c r="I918" i="13"/>
  <c r="F918" i="13"/>
  <c r="L917" i="13"/>
  <c r="I917" i="13"/>
  <c r="F917" i="13"/>
  <c r="L916" i="13"/>
  <c r="I916" i="13"/>
  <c r="F916" i="13"/>
  <c r="L915" i="13"/>
  <c r="I915" i="13"/>
  <c r="F915" i="13"/>
  <c r="L914" i="13"/>
  <c r="I914" i="13"/>
  <c r="F914" i="13"/>
  <c r="L913" i="13"/>
  <c r="I913" i="13"/>
  <c r="F913" i="13"/>
  <c r="L912" i="13"/>
  <c r="I912" i="13"/>
  <c r="F912" i="13"/>
  <c r="L911" i="13"/>
  <c r="I911" i="13"/>
  <c r="F911" i="13"/>
  <c r="L910" i="13"/>
  <c r="I910" i="13"/>
  <c r="F910" i="13"/>
  <c r="L909" i="13"/>
  <c r="I909" i="13"/>
  <c r="F909" i="13"/>
  <c r="L908" i="13"/>
  <c r="I908" i="13"/>
  <c r="F908" i="13"/>
  <c r="L907" i="13"/>
  <c r="I907" i="13"/>
  <c r="F907" i="13"/>
  <c r="L906" i="13"/>
  <c r="I906" i="13"/>
  <c r="F906" i="13"/>
  <c r="L905" i="13"/>
  <c r="I905" i="13"/>
  <c r="F905" i="13"/>
  <c r="L904" i="13"/>
  <c r="I904" i="13"/>
  <c r="F904" i="13"/>
  <c r="L903" i="13"/>
  <c r="I903" i="13"/>
  <c r="F903" i="13"/>
  <c r="L902" i="13"/>
  <c r="I902" i="13"/>
  <c r="F902" i="13"/>
  <c r="L901" i="13"/>
  <c r="I901" i="13"/>
  <c r="F901" i="13"/>
  <c r="L900" i="13"/>
  <c r="I900" i="13"/>
  <c r="F900" i="13"/>
  <c r="L899" i="13"/>
  <c r="I899" i="13"/>
  <c r="F899" i="13"/>
  <c r="L898" i="13"/>
  <c r="I898" i="13"/>
  <c r="F898" i="13"/>
  <c r="L897" i="13"/>
  <c r="I897" i="13"/>
  <c r="F897" i="13"/>
  <c r="L896" i="13"/>
  <c r="I896" i="13"/>
  <c r="F896" i="13"/>
  <c r="L895" i="13"/>
  <c r="I895" i="13"/>
  <c r="F895" i="13"/>
  <c r="L894" i="13"/>
  <c r="I894" i="13"/>
  <c r="F894" i="13"/>
  <c r="L893" i="13"/>
  <c r="I893" i="13"/>
  <c r="F893" i="13"/>
  <c r="L892" i="13"/>
  <c r="I892" i="13"/>
  <c r="F892" i="13"/>
  <c r="L891" i="13"/>
  <c r="I891" i="13"/>
  <c r="F891" i="13"/>
  <c r="L890" i="13"/>
  <c r="I890" i="13"/>
  <c r="F890" i="13"/>
  <c r="L889" i="13"/>
  <c r="I889" i="13"/>
  <c r="F889" i="13"/>
  <c r="L888" i="13"/>
  <c r="I888" i="13"/>
  <c r="F888" i="13"/>
  <c r="L887" i="13"/>
  <c r="I887" i="13"/>
  <c r="F887" i="13"/>
  <c r="L886" i="13"/>
  <c r="I886" i="13"/>
  <c r="F886" i="13"/>
  <c r="L885" i="13"/>
  <c r="I885" i="13"/>
  <c r="F885" i="13"/>
  <c r="L884" i="13"/>
  <c r="I884" i="13"/>
  <c r="F884" i="13"/>
  <c r="L883" i="13"/>
  <c r="I883" i="13"/>
  <c r="F883" i="13"/>
  <c r="L882" i="13"/>
  <c r="I882" i="13"/>
  <c r="F882" i="13"/>
  <c r="L881" i="13"/>
  <c r="I881" i="13"/>
  <c r="F881" i="13"/>
  <c r="L880" i="13"/>
  <c r="I880" i="13"/>
  <c r="F880" i="13"/>
  <c r="L879" i="13"/>
  <c r="I879" i="13"/>
  <c r="F879" i="13"/>
  <c r="L878" i="13"/>
  <c r="I878" i="13"/>
  <c r="F878" i="13"/>
  <c r="L877" i="13"/>
  <c r="I877" i="13"/>
  <c r="F877" i="13"/>
  <c r="L876" i="13"/>
  <c r="I876" i="13"/>
  <c r="F876" i="13"/>
  <c r="L875" i="13"/>
  <c r="I875" i="13"/>
  <c r="F875" i="13"/>
  <c r="L874" i="13"/>
  <c r="I874" i="13"/>
  <c r="F874" i="13"/>
  <c r="L873" i="13"/>
  <c r="I873" i="13"/>
  <c r="F873" i="13"/>
  <c r="L872" i="13"/>
  <c r="I872" i="13"/>
  <c r="F872" i="13"/>
  <c r="L871" i="13"/>
  <c r="I871" i="13"/>
  <c r="F871" i="13"/>
  <c r="L870" i="13"/>
  <c r="I870" i="13"/>
  <c r="F870" i="13"/>
  <c r="L869" i="13"/>
  <c r="I869" i="13"/>
  <c r="F869" i="13"/>
  <c r="L868" i="13"/>
  <c r="I868" i="13"/>
  <c r="F868" i="13"/>
  <c r="L867" i="13"/>
  <c r="I867" i="13"/>
  <c r="F867" i="13"/>
  <c r="L866" i="13"/>
  <c r="I866" i="13"/>
  <c r="F866" i="13"/>
  <c r="L865" i="13"/>
  <c r="I865" i="13"/>
  <c r="F865" i="13"/>
  <c r="L864" i="13"/>
  <c r="I864" i="13"/>
  <c r="F864" i="13"/>
  <c r="L863" i="13"/>
  <c r="I863" i="13"/>
  <c r="F863" i="13"/>
  <c r="L862" i="13"/>
  <c r="I862" i="13"/>
  <c r="F862" i="13"/>
  <c r="L861" i="13"/>
  <c r="I861" i="13"/>
  <c r="F861" i="13"/>
  <c r="L860" i="13"/>
  <c r="I860" i="13"/>
  <c r="F860" i="13"/>
  <c r="L859" i="13"/>
  <c r="I859" i="13"/>
  <c r="F859" i="13"/>
  <c r="L858" i="13"/>
  <c r="I858" i="13"/>
  <c r="F858" i="13"/>
  <c r="O857" i="13"/>
  <c r="L857" i="13"/>
  <c r="I857" i="13"/>
  <c r="F857" i="13"/>
  <c r="L856" i="13"/>
  <c r="I856" i="13"/>
  <c r="F856" i="13"/>
  <c r="L855" i="13"/>
  <c r="I855" i="13"/>
  <c r="F855" i="13"/>
  <c r="L854" i="13"/>
  <c r="I854" i="13"/>
  <c r="F854" i="13"/>
  <c r="L853" i="13"/>
  <c r="I853" i="13"/>
  <c r="F853" i="13"/>
  <c r="L852" i="13"/>
  <c r="I852" i="13"/>
  <c r="F852" i="13"/>
  <c r="L851" i="13"/>
  <c r="I851" i="13"/>
  <c r="F851" i="13"/>
  <c r="L850" i="13"/>
  <c r="I850" i="13"/>
  <c r="F850" i="13"/>
  <c r="L849" i="13"/>
  <c r="I849" i="13"/>
  <c r="F849" i="13"/>
  <c r="L848" i="13"/>
  <c r="I848" i="13"/>
  <c r="F848" i="13"/>
  <c r="L847" i="13"/>
  <c r="I847" i="13"/>
  <c r="F847" i="13"/>
  <c r="L846" i="13"/>
  <c r="I846" i="13"/>
  <c r="F846" i="13"/>
  <c r="L845" i="13"/>
  <c r="I845" i="13"/>
  <c r="F845" i="13"/>
  <c r="L844" i="13"/>
  <c r="I844" i="13"/>
  <c r="F844" i="13"/>
  <c r="L843" i="13"/>
  <c r="I843" i="13"/>
  <c r="F843" i="13"/>
  <c r="L842" i="13"/>
  <c r="I842" i="13"/>
  <c r="F842" i="13"/>
  <c r="L841" i="13"/>
  <c r="I841" i="13"/>
  <c r="F841" i="13"/>
  <c r="L840" i="13"/>
  <c r="I840" i="13"/>
  <c r="F840" i="13"/>
  <c r="L839" i="13"/>
  <c r="I839" i="13"/>
  <c r="F839" i="13"/>
  <c r="L838" i="13"/>
  <c r="I838" i="13"/>
  <c r="F838" i="13"/>
  <c r="L837" i="13"/>
  <c r="I837" i="13"/>
  <c r="F837" i="13"/>
  <c r="L836" i="13"/>
  <c r="I836" i="13"/>
  <c r="F836" i="13"/>
  <c r="L835" i="13"/>
  <c r="I835" i="13"/>
  <c r="F835" i="13"/>
  <c r="L834" i="13"/>
  <c r="I834" i="13"/>
  <c r="F834" i="13"/>
  <c r="L833" i="13"/>
  <c r="I833" i="13"/>
  <c r="F833" i="13"/>
  <c r="L832" i="13"/>
  <c r="I832" i="13"/>
  <c r="F832" i="13"/>
  <c r="L831" i="13"/>
  <c r="I831" i="13"/>
  <c r="F831" i="13"/>
  <c r="L830" i="13"/>
  <c r="I830" i="13"/>
  <c r="F830" i="13"/>
  <c r="L829" i="13"/>
  <c r="I829" i="13"/>
  <c r="F829" i="13"/>
  <c r="L828" i="13"/>
  <c r="I828" i="13"/>
  <c r="F828" i="13"/>
  <c r="L827" i="13"/>
  <c r="I827" i="13"/>
  <c r="F827" i="13"/>
  <c r="L826" i="13"/>
  <c r="I826" i="13"/>
  <c r="F826" i="13"/>
  <c r="L825" i="13"/>
  <c r="I825" i="13"/>
  <c r="F825" i="13"/>
  <c r="L824" i="13"/>
  <c r="I824" i="13"/>
  <c r="F824" i="13"/>
  <c r="L823" i="13"/>
  <c r="I823" i="13"/>
  <c r="F823" i="13"/>
  <c r="L822" i="13"/>
  <c r="I822" i="13"/>
  <c r="F822" i="13"/>
  <c r="L821" i="13"/>
  <c r="I821" i="13"/>
  <c r="F821" i="13"/>
  <c r="L820" i="13"/>
  <c r="I820" i="13"/>
  <c r="F820" i="13"/>
  <c r="L819" i="13"/>
  <c r="I819" i="13"/>
  <c r="F819" i="13"/>
  <c r="L818" i="13"/>
  <c r="I818" i="13"/>
  <c r="F818" i="13"/>
  <c r="L817" i="13"/>
  <c r="I817" i="13"/>
  <c r="F817" i="13"/>
  <c r="L816" i="13"/>
  <c r="I816" i="13"/>
  <c r="F816" i="13"/>
  <c r="L815" i="13"/>
  <c r="I815" i="13"/>
  <c r="F815" i="13"/>
  <c r="L814" i="13"/>
  <c r="I814" i="13"/>
  <c r="F814" i="13"/>
  <c r="L813" i="13"/>
  <c r="I813" i="13"/>
  <c r="F813" i="13"/>
  <c r="L812" i="13"/>
  <c r="I812" i="13"/>
  <c r="F812" i="13"/>
  <c r="L811" i="13"/>
  <c r="I811" i="13"/>
  <c r="F811" i="13"/>
  <c r="L810" i="13"/>
  <c r="I810" i="13"/>
  <c r="F810" i="13"/>
  <c r="L809" i="13"/>
  <c r="I809" i="13"/>
  <c r="F809" i="13"/>
  <c r="L808" i="13"/>
  <c r="I808" i="13"/>
  <c r="F808" i="13"/>
  <c r="L807" i="13"/>
  <c r="I807" i="13"/>
  <c r="F807" i="13"/>
  <c r="L806" i="13"/>
  <c r="I806" i="13"/>
  <c r="F806" i="13"/>
  <c r="L805" i="13"/>
  <c r="I805" i="13"/>
  <c r="F805" i="13"/>
  <c r="L804" i="13"/>
  <c r="I804" i="13"/>
  <c r="F804" i="13"/>
  <c r="L803" i="13"/>
  <c r="I803" i="13"/>
  <c r="F803" i="13"/>
  <c r="L802" i="13"/>
  <c r="I802" i="13"/>
  <c r="F802" i="13"/>
  <c r="L801" i="13"/>
  <c r="I801" i="13"/>
  <c r="F801" i="13"/>
  <c r="L800" i="13"/>
  <c r="I800" i="13"/>
  <c r="F800" i="13"/>
  <c r="L799" i="13"/>
  <c r="I799" i="13"/>
  <c r="F799" i="13"/>
  <c r="L798" i="13"/>
  <c r="I798" i="13"/>
  <c r="F798" i="13"/>
  <c r="L797" i="13"/>
  <c r="I797" i="13"/>
  <c r="F797" i="13"/>
  <c r="L796" i="13"/>
  <c r="I796" i="13"/>
  <c r="F796" i="13"/>
  <c r="L795" i="13"/>
  <c r="I795" i="13"/>
  <c r="F795" i="13"/>
  <c r="L794" i="13"/>
  <c r="I794" i="13"/>
  <c r="F794" i="13"/>
  <c r="L793" i="13"/>
  <c r="I793" i="13"/>
  <c r="F793" i="13"/>
  <c r="L792" i="13"/>
  <c r="I792" i="13"/>
  <c r="F792" i="13"/>
  <c r="L791" i="13"/>
  <c r="I791" i="13"/>
  <c r="F791" i="13"/>
  <c r="L790" i="13"/>
  <c r="I790" i="13"/>
  <c r="F790" i="13"/>
  <c r="L789" i="13"/>
  <c r="I789" i="13"/>
  <c r="F789" i="13"/>
  <c r="L788" i="13"/>
  <c r="I788" i="13"/>
  <c r="F788" i="13"/>
  <c r="L787" i="13"/>
  <c r="I787" i="13"/>
  <c r="F787" i="13"/>
  <c r="L786" i="13"/>
  <c r="I786" i="13"/>
  <c r="F786" i="13"/>
  <c r="L785" i="13"/>
  <c r="I785" i="13"/>
  <c r="F785" i="13"/>
  <c r="L784" i="13"/>
  <c r="I784" i="13"/>
  <c r="F784" i="13"/>
  <c r="L783" i="13"/>
  <c r="I783" i="13"/>
  <c r="F783" i="13"/>
  <c r="L782" i="13"/>
  <c r="I782" i="13"/>
  <c r="F782" i="13"/>
  <c r="L781" i="13"/>
  <c r="I781" i="13"/>
  <c r="F781" i="13"/>
  <c r="L780" i="13"/>
  <c r="I780" i="13"/>
  <c r="F780" i="13"/>
  <c r="L779" i="13"/>
  <c r="I779" i="13"/>
  <c r="F779" i="13"/>
  <c r="L778" i="13"/>
  <c r="I778" i="13"/>
  <c r="F778" i="13"/>
  <c r="L777" i="13"/>
  <c r="I777" i="13"/>
  <c r="F777" i="13"/>
  <c r="L776" i="13"/>
  <c r="I776" i="13"/>
  <c r="F776" i="13"/>
  <c r="L775" i="13"/>
  <c r="I775" i="13"/>
  <c r="F775" i="13"/>
  <c r="L774" i="13"/>
  <c r="I774" i="13"/>
  <c r="F774" i="13"/>
  <c r="L773" i="13"/>
  <c r="I773" i="13"/>
  <c r="F773" i="13"/>
  <c r="L772" i="13"/>
  <c r="I772" i="13"/>
  <c r="F772" i="13"/>
  <c r="L771" i="13"/>
  <c r="I771" i="13"/>
  <c r="F771" i="13"/>
  <c r="L770" i="13"/>
  <c r="I770" i="13"/>
  <c r="F770" i="13"/>
  <c r="L769" i="13"/>
  <c r="I769" i="13"/>
  <c r="F769" i="13"/>
  <c r="L768" i="13"/>
  <c r="I768" i="13"/>
  <c r="F768" i="13"/>
  <c r="L767" i="13"/>
  <c r="I767" i="13"/>
  <c r="F767" i="13"/>
  <c r="L766" i="13"/>
  <c r="I766" i="13"/>
  <c r="F766" i="13"/>
  <c r="L765" i="13"/>
  <c r="I765" i="13"/>
  <c r="F765" i="13"/>
  <c r="L764" i="13"/>
  <c r="I764" i="13"/>
  <c r="F764" i="13"/>
  <c r="L763" i="13"/>
  <c r="I763" i="13"/>
  <c r="F763" i="13"/>
  <c r="L762" i="13"/>
  <c r="I762" i="13"/>
  <c r="F762" i="13"/>
  <c r="L761" i="13"/>
  <c r="I761" i="13"/>
  <c r="F761" i="13"/>
  <c r="L760" i="13"/>
  <c r="I760" i="13"/>
  <c r="F760" i="13"/>
  <c r="L759" i="13"/>
  <c r="I759" i="13"/>
  <c r="F759" i="13"/>
  <c r="L758" i="13"/>
  <c r="I758" i="13"/>
  <c r="F758" i="13"/>
  <c r="L757" i="13"/>
  <c r="I757" i="13"/>
  <c r="F757" i="13"/>
  <c r="L756" i="13"/>
  <c r="I756" i="13"/>
  <c r="F756" i="13"/>
  <c r="L755" i="13"/>
  <c r="I755" i="13"/>
  <c r="F755" i="13"/>
  <c r="L754" i="13"/>
  <c r="I754" i="13"/>
  <c r="F754" i="13"/>
  <c r="L753" i="13"/>
  <c r="I753" i="13"/>
  <c r="F753" i="13"/>
  <c r="L752" i="13"/>
  <c r="I752" i="13"/>
  <c r="F752" i="13"/>
  <c r="L751" i="13"/>
  <c r="I751" i="13"/>
  <c r="F751" i="13"/>
  <c r="L750" i="13"/>
  <c r="I750" i="13"/>
  <c r="F750" i="13"/>
  <c r="L749" i="13"/>
  <c r="I749" i="13"/>
  <c r="F749" i="13"/>
  <c r="L748" i="13"/>
  <c r="I748" i="13"/>
  <c r="F748" i="13"/>
  <c r="L747" i="13"/>
  <c r="I747" i="13"/>
  <c r="F747" i="13"/>
  <c r="L746" i="13"/>
  <c r="I746" i="13"/>
  <c r="F746" i="13"/>
  <c r="L745" i="13"/>
  <c r="I745" i="13"/>
  <c r="F745" i="13"/>
  <c r="L744" i="13"/>
  <c r="I744" i="13"/>
  <c r="F744" i="13"/>
  <c r="L743" i="13"/>
  <c r="I743" i="13"/>
  <c r="F743" i="13"/>
  <c r="L742" i="13"/>
  <c r="I742" i="13"/>
  <c r="F742" i="13"/>
  <c r="L741" i="13"/>
  <c r="I741" i="13"/>
  <c r="F741" i="13"/>
  <c r="L740" i="13"/>
  <c r="I740" i="13"/>
  <c r="F740" i="13"/>
  <c r="L739" i="13"/>
  <c r="I739" i="13"/>
  <c r="F739" i="13"/>
  <c r="L738" i="13"/>
  <c r="I738" i="13"/>
  <c r="F738" i="13"/>
  <c r="L737" i="13"/>
  <c r="I737" i="13"/>
  <c r="F737" i="13"/>
  <c r="L736" i="13"/>
  <c r="I736" i="13"/>
  <c r="F736" i="13"/>
  <c r="L735" i="13"/>
  <c r="I735" i="13"/>
  <c r="F735" i="13"/>
  <c r="L734" i="13"/>
  <c r="I734" i="13"/>
  <c r="F734" i="13"/>
  <c r="L733" i="13"/>
  <c r="I733" i="13"/>
  <c r="F733" i="13"/>
  <c r="L732" i="13"/>
  <c r="I732" i="13"/>
  <c r="F732" i="13"/>
  <c r="L731" i="13"/>
  <c r="I731" i="13"/>
  <c r="F731" i="13"/>
  <c r="L730" i="13"/>
  <c r="I730" i="13"/>
  <c r="F730" i="13"/>
  <c r="L729" i="13"/>
  <c r="I729" i="13"/>
  <c r="F729" i="13"/>
  <c r="L728" i="13"/>
  <c r="I728" i="13"/>
  <c r="F728" i="13"/>
  <c r="L727" i="13"/>
  <c r="I727" i="13"/>
  <c r="F727" i="13"/>
  <c r="L726" i="13"/>
  <c r="I726" i="13"/>
  <c r="F726" i="13"/>
  <c r="L725" i="13"/>
  <c r="I725" i="13"/>
  <c r="F725" i="13"/>
  <c r="L724" i="13"/>
  <c r="I724" i="13"/>
  <c r="F724" i="13"/>
  <c r="L723" i="13"/>
  <c r="I723" i="13"/>
  <c r="F723" i="13"/>
  <c r="L722" i="13"/>
  <c r="I722" i="13"/>
  <c r="F722" i="13"/>
  <c r="L721" i="13"/>
  <c r="I721" i="13"/>
  <c r="F721" i="13"/>
  <c r="L720" i="13"/>
  <c r="I720" i="13"/>
  <c r="F720" i="13"/>
  <c r="L719" i="13"/>
  <c r="I719" i="13"/>
  <c r="F719" i="13"/>
  <c r="L718" i="13"/>
  <c r="I718" i="13"/>
  <c r="F718" i="13"/>
  <c r="L717" i="13"/>
  <c r="I717" i="13"/>
  <c r="F717" i="13"/>
  <c r="L716" i="13"/>
  <c r="I716" i="13"/>
  <c r="F716" i="13"/>
  <c r="L715" i="13"/>
  <c r="I715" i="13"/>
  <c r="F715" i="13"/>
  <c r="L714" i="13"/>
  <c r="I714" i="13"/>
  <c r="F714" i="13"/>
  <c r="L713" i="13"/>
  <c r="I713" i="13"/>
  <c r="F713" i="13"/>
  <c r="L712" i="13"/>
  <c r="I712" i="13"/>
  <c r="F712" i="13"/>
  <c r="L711" i="13"/>
  <c r="I711" i="13"/>
  <c r="F711" i="13"/>
  <c r="L710" i="13"/>
  <c r="I710" i="13"/>
  <c r="F710" i="13"/>
  <c r="L709" i="13"/>
  <c r="I709" i="13"/>
  <c r="F709" i="13"/>
  <c r="L708" i="13"/>
  <c r="I708" i="13"/>
  <c r="F708" i="13"/>
  <c r="L707" i="13"/>
  <c r="I707" i="13"/>
  <c r="F707" i="13"/>
  <c r="L706" i="13"/>
  <c r="I706" i="13"/>
  <c r="F706" i="13"/>
  <c r="L705" i="13"/>
  <c r="I705" i="13"/>
  <c r="F705" i="13"/>
  <c r="L704" i="13"/>
  <c r="I704" i="13"/>
  <c r="F704" i="13"/>
  <c r="L703" i="13"/>
  <c r="I703" i="13"/>
  <c r="F703" i="13"/>
  <c r="L702" i="13"/>
  <c r="I702" i="13"/>
  <c r="F702" i="13"/>
  <c r="L701" i="13"/>
  <c r="I701" i="13"/>
  <c r="F701" i="13"/>
  <c r="L700" i="13"/>
  <c r="I700" i="13"/>
  <c r="F700" i="13"/>
  <c r="L699" i="13"/>
  <c r="I699" i="13"/>
  <c r="F699" i="13"/>
  <c r="L698" i="13"/>
  <c r="I698" i="13"/>
  <c r="F698" i="13"/>
  <c r="L697" i="13"/>
  <c r="I697" i="13"/>
  <c r="F697" i="13"/>
  <c r="L696" i="13"/>
  <c r="I696" i="13"/>
  <c r="F696" i="13"/>
  <c r="L695" i="13"/>
  <c r="I695" i="13"/>
  <c r="F695" i="13"/>
  <c r="L694" i="13"/>
  <c r="I694" i="13"/>
  <c r="F694" i="13"/>
  <c r="L693" i="13"/>
  <c r="I693" i="13"/>
  <c r="F693" i="13"/>
  <c r="L692" i="13"/>
  <c r="I692" i="13"/>
  <c r="F692" i="13"/>
  <c r="L691" i="13"/>
  <c r="I691" i="13"/>
  <c r="F691" i="13"/>
  <c r="L690" i="13"/>
  <c r="I690" i="13"/>
  <c r="F690" i="13"/>
  <c r="L689" i="13"/>
  <c r="I689" i="13"/>
  <c r="F689" i="13"/>
  <c r="L688" i="13"/>
  <c r="I688" i="13"/>
  <c r="F688" i="13"/>
  <c r="L687" i="13"/>
  <c r="I687" i="13"/>
  <c r="F687" i="13"/>
  <c r="L686" i="13"/>
  <c r="I686" i="13"/>
  <c r="F686" i="13"/>
  <c r="L685" i="13"/>
  <c r="I685" i="13"/>
  <c r="F685" i="13"/>
  <c r="L684" i="13"/>
  <c r="I684" i="13"/>
  <c r="F684" i="13"/>
  <c r="L683" i="13"/>
  <c r="I683" i="13"/>
  <c r="F683" i="13"/>
  <c r="L682" i="13"/>
  <c r="I682" i="13"/>
  <c r="F682" i="13"/>
  <c r="L681" i="13"/>
  <c r="I681" i="13"/>
  <c r="F681" i="13"/>
  <c r="L680" i="13"/>
  <c r="I680" i="13"/>
  <c r="F680" i="13"/>
  <c r="L679" i="13"/>
  <c r="I679" i="13"/>
  <c r="F679" i="13"/>
  <c r="L678" i="13"/>
  <c r="I678" i="13"/>
  <c r="F678" i="13"/>
  <c r="L677" i="13"/>
  <c r="I677" i="13"/>
  <c r="F677" i="13"/>
  <c r="L676" i="13"/>
  <c r="I676" i="13"/>
  <c r="F676" i="13"/>
  <c r="L675" i="13"/>
  <c r="I675" i="13"/>
  <c r="F675" i="13"/>
  <c r="L674" i="13"/>
  <c r="I674" i="13"/>
  <c r="F674" i="13"/>
  <c r="L673" i="13"/>
  <c r="I673" i="13"/>
  <c r="F673" i="13"/>
  <c r="L672" i="13"/>
  <c r="I672" i="13"/>
  <c r="F672" i="13"/>
  <c r="L671" i="13"/>
  <c r="I671" i="13"/>
  <c r="F671" i="13"/>
  <c r="L670" i="13"/>
  <c r="I670" i="13"/>
  <c r="F670" i="13"/>
  <c r="L669" i="13"/>
  <c r="I669" i="13"/>
  <c r="F669" i="13"/>
  <c r="L668" i="13"/>
  <c r="I668" i="13"/>
  <c r="F668" i="13"/>
  <c r="L667" i="13"/>
  <c r="I667" i="13"/>
  <c r="F667" i="13"/>
  <c r="L666" i="13"/>
  <c r="I666" i="13"/>
  <c r="F666" i="13"/>
  <c r="L665" i="13"/>
  <c r="I665" i="13"/>
  <c r="F665" i="13"/>
  <c r="L664" i="13"/>
  <c r="I664" i="13"/>
  <c r="F664" i="13"/>
  <c r="L663" i="13"/>
  <c r="I663" i="13"/>
  <c r="F663" i="13"/>
  <c r="L662" i="13"/>
  <c r="I662" i="13"/>
  <c r="F662" i="13"/>
  <c r="L661" i="13"/>
  <c r="I661" i="13"/>
  <c r="F661" i="13"/>
  <c r="L660" i="13"/>
  <c r="I660" i="13"/>
  <c r="F660" i="13"/>
  <c r="L659" i="13"/>
  <c r="I659" i="13"/>
  <c r="F659" i="13"/>
  <c r="L658" i="13"/>
  <c r="I658" i="13"/>
  <c r="F658" i="13"/>
  <c r="L657" i="13"/>
  <c r="I657" i="13"/>
  <c r="F657" i="13"/>
  <c r="L656" i="13"/>
  <c r="I656" i="13"/>
  <c r="F656" i="13"/>
  <c r="L655" i="13"/>
  <c r="I655" i="13"/>
  <c r="F655" i="13"/>
  <c r="L654" i="13"/>
  <c r="I654" i="13"/>
  <c r="F654" i="13"/>
  <c r="L653" i="13"/>
  <c r="I653" i="13"/>
  <c r="F653" i="13"/>
  <c r="L652" i="13"/>
  <c r="I652" i="13"/>
  <c r="F652" i="13"/>
  <c r="L651" i="13"/>
  <c r="I651" i="13"/>
  <c r="F651" i="13"/>
  <c r="L650" i="13"/>
  <c r="I650" i="13"/>
  <c r="F650" i="13"/>
  <c r="L649" i="13"/>
  <c r="I649" i="13"/>
  <c r="F649" i="13"/>
  <c r="L648" i="13"/>
  <c r="I648" i="13"/>
  <c r="F648" i="13"/>
  <c r="L647" i="13"/>
  <c r="I647" i="13"/>
  <c r="F647" i="13"/>
  <c r="L646" i="13"/>
  <c r="I646" i="13"/>
  <c r="F646" i="13"/>
  <c r="L645" i="13"/>
  <c r="I645" i="13"/>
  <c r="F645" i="13"/>
  <c r="L644" i="13"/>
  <c r="I644" i="13"/>
  <c r="F644" i="13"/>
  <c r="L643" i="13"/>
  <c r="I643" i="13"/>
  <c r="F643" i="13"/>
  <c r="L642" i="13"/>
  <c r="I642" i="13"/>
  <c r="F642" i="13"/>
  <c r="L641" i="13"/>
  <c r="I641" i="13"/>
  <c r="F641" i="13"/>
  <c r="L640" i="13"/>
  <c r="I640" i="13"/>
  <c r="F640" i="13"/>
  <c r="L639" i="13"/>
  <c r="I639" i="13"/>
  <c r="F639" i="13"/>
  <c r="L638" i="13"/>
  <c r="I638" i="13"/>
  <c r="F638" i="13"/>
  <c r="L637" i="13"/>
  <c r="I637" i="13"/>
  <c r="F637" i="13"/>
  <c r="L636" i="13"/>
  <c r="I636" i="13"/>
  <c r="F636" i="13"/>
  <c r="L635" i="13"/>
  <c r="I635" i="13"/>
  <c r="F635" i="13"/>
  <c r="L634" i="13"/>
  <c r="I634" i="13"/>
  <c r="F634" i="13"/>
  <c r="L633" i="13"/>
  <c r="I633" i="13"/>
  <c r="F633" i="13"/>
  <c r="L632" i="13"/>
  <c r="I632" i="13"/>
  <c r="F632" i="13"/>
  <c r="L631" i="13"/>
  <c r="I631" i="13"/>
  <c r="F631" i="13"/>
  <c r="L630" i="13"/>
  <c r="I630" i="13"/>
  <c r="F630" i="13"/>
  <c r="L629" i="13"/>
  <c r="I629" i="13"/>
  <c r="F629" i="13"/>
  <c r="L628" i="13"/>
  <c r="I628" i="13"/>
  <c r="F628" i="13"/>
  <c r="L627" i="13"/>
  <c r="I627" i="13"/>
  <c r="F627" i="13"/>
  <c r="L626" i="13"/>
  <c r="I626" i="13"/>
  <c r="F626" i="13"/>
  <c r="L625" i="13"/>
  <c r="I625" i="13"/>
  <c r="F625" i="13"/>
  <c r="L624" i="13"/>
  <c r="I624" i="13"/>
  <c r="F624" i="13"/>
  <c r="L623" i="13"/>
  <c r="I623" i="13"/>
  <c r="F623" i="13"/>
  <c r="L622" i="13"/>
  <c r="I622" i="13"/>
  <c r="F622" i="13"/>
  <c r="L621" i="13"/>
  <c r="I621" i="13"/>
  <c r="F621" i="13"/>
  <c r="L620" i="13"/>
  <c r="I620" i="13"/>
  <c r="F620" i="13"/>
  <c r="L619" i="13"/>
  <c r="I619" i="13"/>
  <c r="F619" i="13"/>
  <c r="L618" i="13"/>
  <c r="I618" i="13"/>
  <c r="F618" i="13"/>
  <c r="L617" i="13"/>
  <c r="I617" i="13"/>
  <c r="F617" i="13"/>
  <c r="L616" i="13"/>
  <c r="I616" i="13"/>
  <c r="F616" i="13"/>
  <c r="L615" i="13"/>
  <c r="I615" i="13"/>
  <c r="F615" i="13"/>
  <c r="L614" i="13"/>
  <c r="I614" i="13"/>
  <c r="F614" i="13"/>
  <c r="L613" i="13"/>
  <c r="I613" i="13"/>
  <c r="F613" i="13"/>
  <c r="L612" i="13"/>
  <c r="I612" i="13"/>
  <c r="F612" i="13"/>
  <c r="L611" i="13"/>
  <c r="I611" i="13"/>
  <c r="F611" i="13"/>
  <c r="L610" i="13"/>
  <c r="I610" i="13"/>
  <c r="F610" i="13"/>
  <c r="L609" i="13"/>
  <c r="I609" i="13"/>
  <c r="F609" i="13"/>
  <c r="L608" i="13"/>
  <c r="I608" i="13"/>
  <c r="F608" i="13"/>
  <c r="L607" i="13"/>
  <c r="I607" i="13"/>
  <c r="F607" i="13"/>
  <c r="L606" i="13"/>
  <c r="I606" i="13"/>
  <c r="F606" i="13"/>
  <c r="L605" i="13"/>
  <c r="I605" i="13"/>
  <c r="F605" i="13"/>
  <c r="L604" i="13"/>
  <c r="I604" i="13"/>
  <c r="F604" i="13"/>
  <c r="L603" i="13"/>
  <c r="I603" i="13"/>
  <c r="F603" i="13"/>
  <c r="L602" i="13"/>
  <c r="I602" i="13"/>
  <c r="F602" i="13"/>
  <c r="L601" i="13"/>
  <c r="I601" i="13"/>
  <c r="F601" i="13"/>
  <c r="L600" i="13"/>
  <c r="I600" i="13"/>
  <c r="F600" i="13"/>
  <c r="L599" i="13"/>
  <c r="I599" i="13"/>
  <c r="F599" i="13"/>
  <c r="L598" i="13"/>
  <c r="I598" i="13"/>
  <c r="F598" i="13"/>
  <c r="L597" i="13"/>
  <c r="I597" i="13"/>
  <c r="F597" i="13"/>
  <c r="L596" i="13"/>
  <c r="I596" i="13"/>
  <c r="F596" i="13"/>
  <c r="L595" i="13"/>
  <c r="I595" i="13"/>
  <c r="F595" i="13"/>
  <c r="L594" i="13"/>
  <c r="I594" i="13"/>
  <c r="F594" i="13"/>
  <c r="L593" i="13"/>
  <c r="I593" i="13"/>
  <c r="F593" i="13"/>
  <c r="L592" i="13"/>
  <c r="I592" i="13"/>
  <c r="F592" i="13"/>
  <c r="L591" i="13"/>
  <c r="I591" i="13"/>
  <c r="F591" i="13"/>
  <c r="L590" i="13"/>
  <c r="I590" i="13"/>
  <c r="F590" i="13"/>
  <c r="L589" i="13"/>
  <c r="I589" i="13"/>
  <c r="F589" i="13"/>
  <c r="L588" i="13"/>
  <c r="I588" i="13"/>
  <c r="F588" i="13"/>
  <c r="L587" i="13"/>
  <c r="I587" i="13"/>
  <c r="F587" i="13"/>
  <c r="L586" i="13"/>
  <c r="I586" i="13"/>
  <c r="F586" i="13"/>
  <c r="L585" i="13"/>
  <c r="I585" i="13"/>
  <c r="F585" i="13"/>
  <c r="L584" i="13"/>
  <c r="I584" i="13"/>
  <c r="F584" i="13"/>
  <c r="L583" i="13"/>
  <c r="I583" i="13"/>
  <c r="F583" i="13"/>
  <c r="L582" i="13"/>
  <c r="I582" i="13"/>
  <c r="F582" i="13"/>
  <c r="L581" i="13"/>
  <c r="I581" i="13"/>
  <c r="F581" i="13"/>
  <c r="L580" i="13"/>
  <c r="I580" i="13"/>
  <c r="F580" i="13"/>
  <c r="L579" i="13"/>
  <c r="I579" i="13"/>
  <c r="F579" i="13"/>
  <c r="L578" i="13"/>
  <c r="I578" i="13"/>
  <c r="F578" i="13"/>
  <c r="L577" i="13"/>
  <c r="I577" i="13"/>
  <c r="F577" i="13"/>
  <c r="L576" i="13"/>
  <c r="I576" i="13"/>
  <c r="F576" i="13"/>
  <c r="L575" i="13"/>
  <c r="I575" i="13"/>
  <c r="F575" i="13"/>
  <c r="L574" i="13"/>
  <c r="I574" i="13"/>
  <c r="F574" i="13"/>
  <c r="L573" i="13"/>
  <c r="I573" i="13"/>
  <c r="F573" i="13"/>
  <c r="L572" i="13"/>
  <c r="I572" i="13"/>
  <c r="F572" i="13"/>
  <c r="L571" i="13"/>
  <c r="I571" i="13"/>
  <c r="F571" i="13"/>
  <c r="L570" i="13"/>
  <c r="I570" i="13"/>
  <c r="F570" i="13"/>
  <c r="L569" i="13"/>
  <c r="I569" i="13"/>
  <c r="F569" i="13"/>
  <c r="L568" i="13"/>
  <c r="I568" i="13"/>
  <c r="F568" i="13"/>
  <c r="L567" i="13"/>
  <c r="I567" i="13"/>
  <c r="F567" i="13"/>
  <c r="L566" i="13"/>
  <c r="I566" i="13"/>
  <c r="F566" i="13"/>
  <c r="L565" i="13"/>
  <c r="I565" i="13"/>
  <c r="F565" i="13"/>
  <c r="L564" i="13"/>
  <c r="I564" i="13"/>
  <c r="F564" i="13"/>
  <c r="L563" i="13"/>
  <c r="I563" i="13"/>
  <c r="F563" i="13"/>
  <c r="L562" i="13"/>
  <c r="I562" i="13"/>
  <c r="F562" i="13"/>
  <c r="L561" i="13"/>
  <c r="I561" i="13"/>
  <c r="F561" i="13"/>
  <c r="L560" i="13"/>
  <c r="I560" i="13"/>
  <c r="F560" i="13"/>
  <c r="L559" i="13"/>
  <c r="I559" i="13"/>
  <c r="F559" i="13"/>
  <c r="L558" i="13"/>
  <c r="I558" i="13"/>
  <c r="F558" i="13"/>
  <c r="L557" i="13"/>
  <c r="I557" i="13"/>
  <c r="F557" i="13"/>
  <c r="L556" i="13"/>
  <c r="I556" i="13"/>
  <c r="F556" i="13"/>
  <c r="L555" i="13"/>
  <c r="I555" i="13"/>
  <c r="F555" i="13"/>
  <c r="L554" i="13"/>
  <c r="I554" i="13"/>
  <c r="F554" i="13"/>
  <c r="L553" i="13"/>
  <c r="I553" i="13"/>
  <c r="F553" i="13"/>
  <c r="L552" i="13"/>
  <c r="I552" i="13"/>
  <c r="F552" i="13"/>
  <c r="L551" i="13"/>
  <c r="I551" i="13"/>
  <c r="F551" i="13"/>
  <c r="L550" i="13"/>
  <c r="I550" i="13"/>
  <c r="F550" i="13"/>
  <c r="L549" i="13"/>
  <c r="I549" i="13"/>
  <c r="F549" i="13"/>
  <c r="L548" i="13"/>
  <c r="I548" i="13"/>
  <c r="F548" i="13"/>
  <c r="L547" i="13"/>
  <c r="I547" i="13"/>
  <c r="F547" i="13"/>
  <c r="L546" i="13"/>
  <c r="I546" i="13"/>
  <c r="F546" i="13"/>
  <c r="L545" i="13"/>
  <c r="I545" i="13"/>
  <c r="F545" i="13"/>
  <c r="L544" i="13"/>
  <c r="I544" i="13"/>
  <c r="F544" i="13"/>
  <c r="L543" i="13"/>
  <c r="I543" i="13"/>
  <c r="F543" i="13"/>
  <c r="L542" i="13"/>
  <c r="I542" i="13"/>
  <c r="F542" i="13"/>
  <c r="L541" i="13"/>
  <c r="I541" i="13"/>
  <c r="F541" i="13"/>
  <c r="L540" i="13"/>
  <c r="I540" i="13"/>
  <c r="F540" i="13"/>
  <c r="L539" i="13"/>
  <c r="I539" i="13"/>
  <c r="F539" i="13"/>
  <c r="L538" i="13"/>
  <c r="I538" i="13"/>
  <c r="F538" i="13"/>
  <c r="L537" i="13"/>
  <c r="I537" i="13"/>
  <c r="F537" i="13"/>
  <c r="L536" i="13"/>
  <c r="I536" i="13"/>
  <c r="F536" i="13"/>
  <c r="L535" i="13"/>
  <c r="I535" i="13"/>
  <c r="F535" i="13"/>
  <c r="L534" i="13"/>
  <c r="I534" i="13"/>
  <c r="F534" i="13"/>
  <c r="L533" i="13"/>
  <c r="I533" i="13"/>
  <c r="F533" i="13"/>
  <c r="L532" i="13"/>
  <c r="I532" i="13"/>
  <c r="F532" i="13"/>
  <c r="L531" i="13"/>
  <c r="I531" i="13"/>
  <c r="F531" i="13"/>
  <c r="L530" i="13"/>
  <c r="I530" i="13"/>
  <c r="F530" i="13"/>
  <c r="L529" i="13"/>
  <c r="I529" i="13"/>
  <c r="F529" i="13"/>
  <c r="L528" i="13"/>
  <c r="I528" i="13"/>
  <c r="F528" i="13"/>
  <c r="L527" i="13"/>
  <c r="I527" i="13"/>
  <c r="F527" i="13"/>
  <c r="L526" i="13"/>
  <c r="I526" i="13"/>
  <c r="F526" i="13"/>
  <c r="L525" i="13"/>
  <c r="I525" i="13"/>
  <c r="F525" i="13"/>
  <c r="L524" i="13"/>
  <c r="I524" i="13"/>
  <c r="F524" i="13"/>
  <c r="L523" i="13"/>
  <c r="I523" i="13"/>
  <c r="F523" i="13"/>
  <c r="L522" i="13"/>
  <c r="I522" i="13"/>
  <c r="F522" i="13"/>
  <c r="L521" i="13"/>
  <c r="I521" i="13"/>
  <c r="F521" i="13"/>
  <c r="L520" i="13"/>
  <c r="I520" i="13"/>
  <c r="F520" i="13"/>
  <c r="L519" i="13"/>
  <c r="I519" i="13"/>
  <c r="F519" i="13"/>
  <c r="L518" i="13"/>
  <c r="I518" i="13"/>
  <c r="F518" i="13"/>
  <c r="L517" i="13"/>
  <c r="I517" i="13"/>
  <c r="F517" i="13"/>
  <c r="L516" i="13"/>
  <c r="I516" i="13"/>
  <c r="F516" i="13"/>
  <c r="L515" i="13"/>
  <c r="I515" i="13"/>
  <c r="F515" i="13"/>
  <c r="L514" i="13"/>
  <c r="I514" i="13"/>
  <c r="F514" i="13"/>
  <c r="L513" i="13"/>
  <c r="I513" i="13"/>
  <c r="F513" i="13"/>
  <c r="L512" i="13"/>
  <c r="I512" i="13"/>
  <c r="F512" i="13"/>
  <c r="L511" i="13"/>
  <c r="I511" i="13"/>
  <c r="F511" i="13"/>
  <c r="L510" i="13"/>
  <c r="I510" i="13"/>
  <c r="F510" i="13"/>
  <c r="L509" i="13"/>
  <c r="I509" i="13"/>
  <c r="F509" i="13"/>
  <c r="L508" i="13"/>
  <c r="I508" i="13"/>
  <c r="F508" i="13"/>
  <c r="L507" i="13"/>
  <c r="I507" i="13"/>
  <c r="F507" i="13"/>
  <c r="L506" i="13"/>
  <c r="I506" i="13"/>
  <c r="F506" i="13"/>
  <c r="L505" i="13"/>
  <c r="I505" i="13"/>
  <c r="F505" i="13"/>
  <c r="L504" i="13"/>
  <c r="I504" i="13"/>
  <c r="F504" i="13"/>
  <c r="L503" i="13"/>
  <c r="I503" i="13"/>
  <c r="F503" i="13"/>
  <c r="L502" i="13"/>
  <c r="I502" i="13"/>
  <c r="F502" i="13"/>
  <c r="L501" i="13"/>
  <c r="I501" i="13"/>
  <c r="F501" i="13"/>
  <c r="L500" i="13"/>
  <c r="I500" i="13"/>
  <c r="F500" i="13"/>
  <c r="L499" i="13"/>
  <c r="I499" i="13"/>
  <c r="F499" i="13"/>
  <c r="L498" i="13"/>
  <c r="I498" i="13"/>
  <c r="F498" i="13"/>
  <c r="L497" i="13"/>
  <c r="I497" i="13"/>
  <c r="F497" i="13"/>
  <c r="L496" i="13"/>
  <c r="I496" i="13"/>
  <c r="F496" i="13"/>
  <c r="L495" i="13"/>
  <c r="I495" i="13"/>
  <c r="F495" i="13"/>
  <c r="L494" i="13"/>
  <c r="I494" i="13"/>
  <c r="F494" i="13"/>
  <c r="L493" i="13"/>
  <c r="I493" i="13"/>
  <c r="F493" i="13"/>
  <c r="L492" i="13"/>
  <c r="I492" i="13"/>
  <c r="F492" i="13"/>
  <c r="L491" i="13"/>
  <c r="I491" i="13"/>
  <c r="F491" i="13"/>
  <c r="L490" i="13"/>
  <c r="I490" i="13"/>
  <c r="F490" i="13"/>
  <c r="L489" i="13"/>
  <c r="I489" i="13"/>
  <c r="F489" i="13"/>
  <c r="L488" i="13"/>
  <c r="I488" i="13"/>
  <c r="F488" i="13"/>
  <c r="L487" i="13"/>
  <c r="I487" i="13"/>
  <c r="F487" i="13"/>
  <c r="L486" i="13"/>
  <c r="I486" i="13"/>
  <c r="F486" i="13"/>
  <c r="L485" i="13"/>
  <c r="I485" i="13"/>
  <c r="F485" i="13"/>
  <c r="L484" i="13"/>
  <c r="I484" i="13"/>
  <c r="F484" i="13"/>
  <c r="L483" i="13"/>
  <c r="I483" i="13"/>
  <c r="F483" i="13"/>
  <c r="L482" i="13"/>
  <c r="I482" i="13"/>
  <c r="F482" i="13"/>
  <c r="L481" i="13"/>
  <c r="I481" i="13"/>
  <c r="F481" i="13"/>
  <c r="L480" i="13"/>
  <c r="I480" i="13"/>
  <c r="F480" i="13"/>
  <c r="L479" i="13"/>
  <c r="I479" i="13"/>
  <c r="F479" i="13"/>
  <c r="L478" i="13"/>
  <c r="I478" i="13"/>
  <c r="F478" i="13"/>
  <c r="L477" i="13"/>
  <c r="I477" i="13"/>
  <c r="F477" i="13"/>
  <c r="L476" i="13"/>
  <c r="I476" i="13"/>
  <c r="F476" i="13"/>
  <c r="L475" i="13"/>
  <c r="I475" i="13"/>
  <c r="F475" i="13"/>
  <c r="L474" i="13"/>
  <c r="I474" i="13"/>
  <c r="F474" i="13"/>
  <c r="L473" i="13"/>
  <c r="I473" i="13"/>
  <c r="F473" i="13"/>
  <c r="L472" i="13"/>
  <c r="I472" i="13"/>
  <c r="F472" i="13"/>
  <c r="L471" i="13"/>
  <c r="I471" i="13"/>
  <c r="F471" i="13"/>
  <c r="L470" i="13"/>
  <c r="I470" i="13"/>
  <c r="F470" i="13"/>
  <c r="L469" i="13"/>
  <c r="I469" i="13"/>
  <c r="F469" i="13"/>
  <c r="L468" i="13"/>
  <c r="I468" i="13"/>
  <c r="F468" i="13"/>
  <c r="L467" i="13"/>
  <c r="I467" i="13"/>
  <c r="F467" i="13"/>
  <c r="L466" i="13"/>
  <c r="I466" i="13"/>
  <c r="F466" i="13"/>
  <c r="L465" i="13"/>
  <c r="I465" i="13"/>
  <c r="F465" i="13"/>
  <c r="L464" i="13"/>
  <c r="I464" i="13"/>
  <c r="F464" i="13"/>
  <c r="L463" i="13"/>
  <c r="I463" i="13"/>
  <c r="F463" i="13"/>
  <c r="L462" i="13"/>
  <c r="I462" i="13"/>
  <c r="F462" i="13"/>
  <c r="L461" i="13"/>
  <c r="I461" i="13"/>
  <c r="F461" i="13"/>
  <c r="L460" i="13"/>
  <c r="I460" i="13"/>
  <c r="F460" i="13"/>
  <c r="L459" i="13"/>
  <c r="I459" i="13"/>
  <c r="F459" i="13"/>
  <c r="L458" i="13"/>
  <c r="I458" i="13"/>
  <c r="F458" i="13"/>
  <c r="L457" i="13"/>
  <c r="I457" i="13"/>
  <c r="F457" i="13"/>
  <c r="L456" i="13"/>
  <c r="I456" i="13"/>
  <c r="F456" i="13"/>
  <c r="L455" i="13"/>
  <c r="I455" i="13"/>
  <c r="F455" i="13"/>
  <c r="L454" i="13"/>
  <c r="I454" i="13"/>
  <c r="F454" i="13"/>
  <c r="L453" i="13"/>
  <c r="I453" i="13"/>
  <c r="F453" i="13"/>
  <c r="L452" i="13"/>
  <c r="I452" i="13"/>
  <c r="F452" i="13"/>
  <c r="L451" i="13"/>
  <c r="I451" i="13"/>
  <c r="F451" i="13"/>
  <c r="L450" i="13"/>
  <c r="I450" i="13"/>
  <c r="F450" i="13"/>
  <c r="L449" i="13"/>
  <c r="I449" i="13"/>
  <c r="F449" i="13"/>
  <c r="L448" i="13"/>
  <c r="I448" i="13"/>
  <c r="F448" i="13"/>
  <c r="L447" i="13"/>
  <c r="I447" i="13"/>
  <c r="F447" i="13"/>
  <c r="L446" i="13"/>
  <c r="I446" i="13"/>
  <c r="F446" i="13"/>
  <c r="L445" i="13"/>
  <c r="I445" i="13"/>
  <c r="F445" i="13"/>
  <c r="L444" i="13"/>
  <c r="I444" i="13"/>
  <c r="F444" i="13"/>
  <c r="L443" i="13"/>
  <c r="I443" i="13"/>
  <c r="F443" i="13"/>
  <c r="L442" i="13"/>
  <c r="I442" i="13"/>
  <c r="F442" i="13"/>
  <c r="L441" i="13"/>
  <c r="I441" i="13"/>
  <c r="F441" i="13"/>
  <c r="L440" i="13"/>
  <c r="I440" i="13"/>
  <c r="F440" i="13"/>
  <c r="L439" i="13"/>
  <c r="I439" i="13"/>
  <c r="F439" i="13"/>
  <c r="L438" i="13"/>
  <c r="I438" i="13"/>
  <c r="F438" i="13"/>
  <c r="L437" i="13"/>
  <c r="I437" i="13"/>
  <c r="F437" i="13"/>
  <c r="L436" i="13"/>
  <c r="I436" i="13"/>
  <c r="F436" i="13"/>
  <c r="L435" i="13"/>
  <c r="I435" i="13"/>
  <c r="F435" i="13"/>
  <c r="L434" i="13"/>
  <c r="I434" i="13"/>
  <c r="F434" i="13"/>
  <c r="L433" i="13"/>
  <c r="I433" i="13"/>
  <c r="F433" i="13"/>
  <c r="L432" i="13"/>
  <c r="I432" i="13"/>
  <c r="F432" i="13"/>
  <c r="L431" i="13"/>
  <c r="I431" i="13"/>
  <c r="F431" i="13"/>
  <c r="L430" i="13"/>
  <c r="I430" i="13"/>
  <c r="F430" i="13"/>
  <c r="L429" i="13"/>
  <c r="I429" i="13"/>
  <c r="F429" i="13"/>
  <c r="L428" i="13"/>
  <c r="I428" i="13"/>
  <c r="F428" i="13"/>
  <c r="L427" i="13"/>
  <c r="I427" i="13"/>
  <c r="F427" i="13"/>
  <c r="L426" i="13"/>
  <c r="I426" i="13"/>
  <c r="F426" i="13"/>
  <c r="L425" i="13"/>
  <c r="I425" i="13"/>
  <c r="F425" i="13"/>
  <c r="L424" i="13"/>
  <c r="I424" i="13"/>
  <c r="F424" i="13"/>
  <c r="L423" i="13"/>
  <c r="I423" i="13"/>
  <c r="F423" i="13"/>
  <c r="L422" i="13"/>
  <c r="I422" i="13"/>
  <c r="F422" i="13"/>
  <c r="L421" i="13"/>
  <c r="I421" i="13"/>
  <c r="F421" i="13"/>
  <c r="L420" i="13"/>
  <c r="I420" i="13"/>
  <c r="F420" i="13"/>
  <c r="L419" i="13"/>
  <c r="I419" i="13"/>
  <c r="F419" i="13"/>
  <c r="L418" i="13"/>
  <c r="I418" i="13"/>
  <c r="F418" i="13"/>
  <c r="L417" i="13"/>
  <c r="I417" i="13"/>
  <c r="F417" i="13"/>
  <c r="L416" i="13"/>
  <c r="I416" i="13"/>
  <c r="F416" i="13"/>
  <c r="L415" i="13"/>
  <c r="I415" i="13"/>
  <c r="F415" i="13"/>
  <c r="L414" i="13"/>
  <c r="I414" i="13"/>
  <c r="F414" i="13"/>
  <c r="L413" i="13"/>
  <c r="I413" i="13"/>
  <c r="F413" i="13"/>
  <c r="L412" i="13"/>
  <c r="I412" i="13"/>
  <c r="F412" i="13"/>
  <c r="L411" i="13"/>
  <c r="I411" i="13"/>
  <c r="F411" i="13"/>
  <c r="L410" i="13"/>
  <c r="I410" i="13"/>
  <c r="F410" i="13"/>
  <c r="L409" i="13"/>
  <c r="I409" i="13"/>
  <c r="F409" i="13"/>
  <c r="L408" i="13"/>
  <c r="I408" i="13"/>
  <c r="F408" i="13"/>
  <c r="L407" i="13"/>
  <c r="I407" i="13"/>
  <c r="F407" i="13"/>
  <c r="L406" i="13"/>
  <c r="I406" i="13"/>
  <c r="F406" i="13"/>
  <c r="L405" i="13"/>
  <c r="I405" i="13"/>
  <c r="F405" i="13"/>
  <c r="L404" i="13"/>
  <c r="I404" i="13"/>
  <c r="F404" i="13"/>
  <c r="L403" i="13"/>
  <c r="I403" i="13"/>
  <c r="F403" i="13"/>
  <c r="L402" i="13"/>
  <c r="I402" i="13"/>
  <c r="F402" i="13"/>
  <c r="L401" i="13"/>
  <c r="I401" i="13"/>
  <c r="F401" i="13"/>
  <c r="L400" i="13"/>
  <c r="I400" i="13"/>
  <c r="F400" i="13"/>
  <c r="L399" i="13"/>
  <c r="I399" i="13"/>
  <c r="F399" i="13"/>
  <c r="L398" i="13"/>
  <c r="I398" i="13"/>
  <c r="F398" i="13"/>
  <c r="L397" i="13"/>
  <c r="I397" i="13"/>
  <c r="F397" i="13"/>
  <c r="L396" i="13"/>
  <c r="I396" i="13"/>
  <c r="F396" i="13"/>
  <c r="L395" i="13"/>
  <c r="I395" i="13"/>
  <c r="F395" i="13"/>
  <c r="L394" i="13"/>
  <c r="I394" i="13"/>
  <c r="F394" i="13"/>
  <c r="L393" i="13"/>
  <c r="I393" i="13"/>
  <c r="F393" i="13"/>
  <c r="L392" i="13"/>
  <c r="I392" i="13"/>
  <c r="F392" i="13"/>
  <c r="L391" i="13"/>
  <c r="I391" i="13"/>
  <c r="F391" i="13"/>
  <c r="L390" i="13"/>
  <c r="I390" i="13"/>
  <c r="F390" i="13"/>
  <c r="L389" i="13"/>
  <c r="I389" i="13"/>
  <c r="F389" i="13"/>
  <c r="L388" i="13"/>
  <c r="I388" i="13"/>
  <c r="F388" i="13"/>
  <c r="L387" i="13"/>
  <c r="I387" i="13"/>
  <c r="F387" i="13"/>
  <c r="L386" i="13"/>
  <c r="I386" i="13"/>
  <c r="F386" i="13"/>
  <c r="L385" i="13"/>
  <c r="I385" i="13"/>
  <c r="F385" i="13"/>
  <c r="L384" i="13"/>
  <c r="I384" i="13"/>
  <c r="F384" i="13"/>
  <c r="L383" i="13"/>
  <c r="I383" i="13"/>
  <c r="F383" i="13"/>
  <c r="L382" i="13"/>
  <c r="I382" i="13"/>
  <c r="F382" i="13"/>
  <c r="L381" i="13"/>
  <c r="I381" i="13"/>
  <c r="F381" i="13"/>
  <c r="L380" i="13"/>
  <c r="I380" i="13"/>
  <c r="F380" i="13"/>
  <c r="L379" i="13"/>
  <c r="I379" i="13"/>
  <c r="F379" i="13"/>
  <c r="L378" i="13"/>
  <c r="I378" i="13"/>
  <c r="F378" i="13"/>
  <c r="L377" i="13"/>
  <c r="I377" i="13"/>
  <c r="F377" i="13"/>
  <c r="L376" i="13"/>
  <c r="I376" i="13"/>
  <c r="F376" i="13"/>
  <c r="L375" i="13"/>
  <c r="I375" i="13"/>
  <c r="F375" i="13"/>
  <c r="L374" i="13"/>
  <c r="I374" i="13"/>
  <c r="F374" i="13"/>
  <c r="L373" i="13"/>
  <c r="I373" i="13"/>
  <c r="F373" i="13"/>
  <c r="L372" i="13"/>
  <c r="I372" i="13"/>
  <c r="F372" i="13"/>
  <c r="L371" i="13"/>
  <c r="I371" i="13"/>
  <c r="F371" i="13"/>
  <c r="L370" i="13"/>
  <c r="I370" i="13"/>
  <c r="F370" i="13"/>
  <c r="L369" i="13"/>
  <c r="I369" i="13"/>
  <c r="F369" i="13"/>
  <c r="L368" i="13"/>
  <c r="I368" i="13"/>
  <c r="F368" i="13"/>
  <c r="L367" i="13"/>
  <c r="I367" i="13"/>
  <c r="F367" i="13"/>
  <c r="L366" i="13"/>
  <c r="I366" i="13"/>
  <c r="F366" i="13"/>
  <c r="L365" i="13"/>
  <c r="I365" i="13"/>
  <c r="F365" i="13"/>
  <c r="L364" i="13"/>
  <c r="I364" i="13"/>
  <c r="F364" i="13"/>
  <c r="L363" i="13"/>
  <c r="I363" i="13"/>
  <c r="F363" i="13"/>
  <c r="L362" i="13"/>
  <c r="I362" i="13"/>
  <c r="F362" i="13"/>
  <c r="L361" i="13"/>
  <c r="I361" i="13"/>
  <c r="F361" i="13"/>
  <c r="L360" i="13"/>
  <c r="I360" i="13"/>
  <c r="F360" i="13"/>
  <c r="L359" i="13"/>
  <c r="I359" i="13"/>
  <c r="F359" i="13"/>
  <c r="L358" i="13"/>
  <c r="I358" i="13"/>
  <c r="F358" i="13"/>
  <c r="L357" i="13"/>
  <c r="I357" i="13"/>
  <c r="F357" i="13"/>
  <c r="L356" i="13"/>
  <c r="I356" i="13"/>
  <c r="F356" i="13"/>
  <c r="L355" i="13"/>
  <c r="I355" i="13"/>
  <c r="F355" i="13"/>
  <c r="L354" i="13"/>
  <c r="I354" i="13"/>
  <c r="F354" i="13"/>
  <c r="L353" i="13"/>
  <c r="I353" i="13"/>
  <c r="F353" i="13"/>
  <c r="L352" i="13"/>
  <c r="I352" i="13"/>
  <c r="F352" i="13"/>
  <c r="L351" i="13"/>
  <c r="I351" i="13"/>
  <c r="F351" i="13"/>
  <c r="L350" i="13"/>
  <c r="I350" i="13"/>
  <c r="F350" i="13"/>
  <c r="L349" i="13"/>
  <c r="I349" i="13"/>
  <c r="F349" i="13"/>
  <c r="L348" i="13"/>
  <c r="I348" i="13"/>
  <c r="F348" i="13"/>
  <c r="L347" i="13"/>
  <c r="I347" i="13"/>
  <c r="F347" i="13"/>
  <c r="L346" i="13"/>
  <c r="I346" i="13"/>
  <c r="F346" i="13"/>
  <c r="L345" i="13"/>
  <c r="I345" i="13"/>
  <c r="F345" i="13"/>
  <c r="L344" i="13"/>
  <c r="I344" i="13"/>
  <c r="F344" i="13"/>
  <c r="L343" i="13"/>
  <c r="I343" i="13"/>
  <c r="F343" i="13"/>
  <c r="L342" i="13"/>
  <c r="I342" i="13"/>
  <c r="F342" i="13"/>
  <c r="L341" i="13"/>
  <c r="I341" i="13"/>
  <c r="F341" i="13"/>
  <c r="L340" i="13"/>
  <c r="I340" i="13"/>
  <c r="F340" i="13"/>
  <c r="L339" i="13"/>
  <c r="I339" i="13"/>
  <c r="F339" i="13"/>
  <c r="L338" i="13"/>
  <c r="I338" i="13"/>
  <c r="F338" i="13"/>
  <c r="L337" i="13"/>
  <c r="I337" i="13"/>
  <c r="F337" i="13"/>
  <c r="L336" i="13"/>
  <c r="I336" i="13"/>
  <c r="F336" i="13"/>
  <c r="L335" i="13"/>
  <c r="I335" i="13"/>
  <c r="F335" i="13"/>
  <c r="L334" i="13"/>
  <c r="I334" i="13"/>
  <c r="F334" i="13"/>
  <c r="L333" i="13"/>
  <c r="I333" i="13"/>
  <c r="F333" i="13"/>
  <c r="L332" i="13"/>
  <c r="I332" i="13"/>
  <c r="F332" i="13"/>
  <c r="L331" i="13"/>
  <c r="I331" i="13"/>
  <c r="F331" i="13"/>
  <c r="L330" i="13"/>
  <c r="I330" i="13"/>
  <c r="F330" i="13"/>
  <c r="L329" i="13"/>
  <c r="I329" i="13"/>
  <c r="F329" i="13"/>
  <c r="L328" i="13"/>
  <c r="I328" i="13"/>
  <c r="F328" i="13"/>
  <c r="L327" i="13"/>
  <c r="I327" i="13"/>
  <c r="F327" i="13"/>
  <c r="L326" i="13"/>
  <c r="I326" i="13"/>
  <c r="F326" i="13"/>
  <c r="L325" i="13"/>
  <c r="I325" i="13"/>
  <c r="F325" i="13"/>
  <c r="L324" i="13"/>
  <c r="I324" i="13"/>
  <c r="F324" i="13"/>
  <c r="L323" i="13"/>
  <c r="I323" i="13"/>
  <c r="F323" i="13"/>
  <c r="L322" i="13"/>
  <c r="I322" i="13"/>
  <c r="F322" i="13"/>
  <c r="L321" i="13"/>
  <c r="I321" i="13"/>
  <c r="F321" i="13"/>
  <c r="L320" i="13"/>
  <c r="I320" i="13"/>
  <c r="F320" i="13"/>
  <c r="L319" i="13"/>
  <c r="I319" i="13"/>
  <c r="F319" i="13"/>
  <c r="L318" i="13"/>
  <c r="I318" i="13"/>
  <c r="F318" i="13"/>
  <c r="L317" i="13"/>
  <c r="I317" i="13"/>
  <c r="F317" i="13"/>
  <c r="L316" i="13"/>
  <c r="I316" i="13"/>
  <c r="F316" i="13"/>
  <c r="L315" i="13"/>
  <c r="I315" i="13"/>
  <c r="F315" i="13"/>
  <c r="L314" i="13"/>
  <c r="I314" i="13"/>
  <c r="F314" i="13"/>
  <c r="L313" i="13"/>
  <c r="I313" i="13"/>
  <c r="F313" i="13"/>
  <c r="L312" i="13"/>
  <c r="I312" i="13"/>
  <c r="F312" i="13"/>
  <c r="L311" i="13"/>
  <c r="I311" i="13"/>
  <c r="F311" i="13"/>
  <c r="L310" i="13"/>
  <c r="I310" i="13"/>
  <c r="F310" i="13"/>
  <c r="L309" i="13"/>
  <c r="I309" i="13"/>
  <c r="F309" i="13"/>
  <c r="L308" i="13"/>
  <c r="I308" i="13"/>
  <c r="F308" i="13"/>
  <c r="L307" i="13"/>
  <c r="I307" i="13"/>
  <c r="F307" i="13"/>
  <c r="L306" i="13"/>
  <c r="I306" i="13"/>
  <c r="F306" i="13"/>
  <c r="L305" i="13"/>
  <c r="I305" i="13"/>
  <c r="F305" i="13"/>
  <c r="L304" i="13"/>
  <c r="I304" i="13"/>
  <c r="F304" i="13"/>
  <c r="L303" i="13"/>
  <c r="I303" i="13"/>
  <c r="F303" i="13"/>
  <c r="L302" i="13"/>
  <c r="I302" i="13"/>
  <c r="F302" i="13"/>
  <c r="L301" i="13"/>
  <c r="I301" i="13"/>
  <c r="F301" i="13"/>
  <c r="L300" i="13"/>
  <c r="I300" i="13"/>
  <c r="F300" i="13"/>
  <c r="L299" i="13"/>
  <c r="I299" i="13"/>
  <c r="F299" i="13"/>
  <c r="L298" i="13"/>
  <c r="I298" i="13"/>
  <c r="F298" i="13"/>
  <c r="L297" i="13"/>
  <c r="I297" i="13"/>
  <c r="F297" i="13"/>
  <c r="L296" i="13"/>
  <c r="I296" i="13"/>
  <c r="F296" i="13"/>
  <c r="L295" i="13"/>
  <c r="I295" i="13"/>
  <c r="F295" i="13"/>
  <c r="L294" i="13"/>
  <c r="I294" i="13"/>
  <c r="F294" i="13"/>
  <c r="L293" i="13"/>
  <c r="I293" i="13"/>
  <c r="F293" i="13"/>
  <c r="L292" i="13"/>
  <c r="I292" i="13"/>
  <c r="F292" i="13"/>
  <c r="L291" i="13"/>
  <c r="I291" i="13"/>
  <c r="F291" i="13"/>
  <c r="L290" i="13"/>
  <c r="I290" i="13"/>
  <c r="F290" i="13"/>
  <c r="L289" i="13"/>
  <c r="I289" i="13"/>
  <c r="F289" i="13"/>
  <c r="L288" i="13"/>
  <c r="I288" i="13"/>
  <c r="F288" i="13"/>
  <c r="L287" i="13"/>
  <c r="I287" i="13"/>
  <c r="F287" i="13"/>
  <c r="L286" i="13"/>
  <c r="I286" i="13"/>
  <c r="F286" i="13"/>
  <c r="L285" i="13"/>
  <c r="I285" i="13"/>
  <c r="F285" i="13"/>
  <c r="L284" i="13"/>
  <c r="I284" i="13"/>
  <c r="F284" i="13"/>
  <c r="L283" i="13"/>
  <c r="I283" i="13"/>
  <c r="F283" i="13"/>
  <c r="L282" i="13"/>
  <c r="I282" i="13"/>
  <c r="F282" i="13"/>
  <c r="L281" i="13"/>
  <c r="I281" i="13"/>
  <c r="F281" i="13"/>
  <c r="L280" i="13"/>
  <c r="I280" i="13"/>
  <c r="F280" i="13"/>
  <c r="L279" i="13"/>
  <c r="I279" i="13"/>
  <c r="F279" i="13"/>
  <c r="L278" i="13"/>
  <c r="I278" i="13"/>
  <c r="F278" i="13"/>
  <c r="L277" i="13"/>
  <c r="I277" i="13"/>
  <c r="F277" i="13"/>
  <c r="L276" i="13"/>
  <c r="I276" i="13"/>
  <c r="F276" i="13"/>
  <c r="L275" i="13"/>
  <c r="I275" i="13"/>
  <c r="F275" i="13"/>
  <c r="L274" i="13"/>
  <c r="I274" i="13"/>
  <c r="F274" i="13"/>
  <c r="L273" i="13"/>
  <c r="I273" i="13"/>
  <c r="F273" i="13"/>
  <c r="L272" i="13"/>
  <c r="I272" i="13"/>
  <c r="F272" i="13"/>
  <c r="L271" i="13"/>
  <c r="I271" i="13"/>
  <c r="F271" i="13"/>
  <c r="L270" i="13"/>
  <c r="I270" i="13"/>
  <c r="F270" i="13"/>
  <c r="L269" i="13"/>
  <c r="I269" i="13"/>
  <c r="F269" i="13"/>
  <c r="L268" i="13"/>
  <c r="I268" i="13"/>
  <c r="F268" i="13"/>
  <c r="L267" i="13"/>
  <c r="I267" i="13"/>
  <c r="F267" i="13"/>
  <c r="L266" i="13"/>
  <c r="I266" i="13"/>
  <c r="F266" i="13"/>
  <c r="L265" i="13"/>
  <c r="I265" i="13"/>
  <c r="F265" i="13"/>
  <c r="L264" i="13"/>
  <c r="I264" i="13"/>
  <c r="F264" i="13"/>
  <c r="L263" i="13"/>
  <c r="I263" i="13"/>
  <c r="F263" i="13"/>
  <c r="L262" i="13"/>
  <c r="I262" i="13"/>
  <c r="F262" i="13"/>
  <c r="L261" i="13"/>
  <c r="I261" i="13"/>
  <c r="F261" i="13"/>
  <c r="L260" i="13"/>
  <c r="I260" i="13"/>
  <c r="F260" i="13"/>
  <c r="L259" i="13"/>
  <c r="I259" i="13"/>
  <c r="F259" i="13"/>
  <c r="L258" i="13"/>
  <c r="I258" i="13"/>
  <c r="F258" i="13"/>
  <c r="L257" i="13"/>
  <c r="I257" i="13"/>
  <c r="F257" i="13"/>
  <c r="L256" i="13"/>
  <c r="I256" i="13"/>
  <c r="F256" i="13"/>
  <c r="L255" i="13"/>
  <c r="I255" i="13"/>
  <c r="F255" i="13"/>
  <c r="L254" i="13"/>
  <c r="I254" i="13"/>
  <c r="F254" i="13"/>
  <c r="L253" i="13"/>
  <c r="I253" i="13"/>
  <c r="F253" i="13"/>
  <c r="L252" i="13"/>
  <c r="I252" i="13"/>
  <c r="F252" i="13"/>
  <c r="L251" i="13"/>
  <c r="I251" i="13"/>
  <c r="F251" i="13"/>
  <c r="L250" i="13"/>
  <c r="I250" i="13"/>
  <c r="F250" i="13"/>
  <c r="L249" i="13"/>
  <c r="I249" i="13"/>
  <c r="F249" i="13"/>
  <c r="L248" i="13"/>
  <c r="I248" i="13"/>
  <c r="F248" i="13"/>
  <c r="L247" i="13"/>
  <c r="I247" i="13"/>
  <c r="F247" i="13"/>
  <c r="L246" i="13"/>
  <c r="I246" i="13"/>
  <c r="F246" i="13"/>
  <c r="L245" i="13"/>
  <c r="I245" i="13"/>
  <c r="F245" i="13"/>
  <c r="L244" i="13"/>
  <c r="I244" i="13"/>
  <c r="F244" i="13"/>
  <c r="L243" i="13"/>
  <c r="I243" i="13"/>
  <c r="F243" i="13"/>
  <c r="L242" i="13"/>
  <c r="I242" i="13"/>
  <c r="F242" i="13"/>
  <c r="L241" i="13"/>
  <c r="I241" i="13"/>
  <c r="F241" i="13"/>
  <c r="L240" i="13"/>
  <c r="I240" i="13"/>
  <c r="F240" i="13"/>
  <c r="L239" i="13"/>
  <c r="I239" i="13"/>
  <c r="F239" i="13"/>
  <c r="L238" i="13"/>
  <c r="I238" i="13"/>
  <c r="F238" i="13"/>
  <c r="L237" i="13"/>
  <c r="I237" i="13"/>
  <c r="F237" i="13"/>
  <c r="L236" i="13"/>
  <c r="I236" i="13"/>
  <c r="F236" i="13"/>
  <c r="L235" i="13"/>
  <c r="I235" i="13"/>
  <c r="F235" i="13"/>
  <c r="L234" i="13"/>
  <c r="I234" i="13"/>
  <c r="F234" i="13"/>
  <c r="L233" i="13"/>
  <c r="I233" i="13"/>
  <c r="F233" i="13"/>
  <c r="L232" i="13"/>
  <c r="I232" i="13"/>
  <c r="F232" i="13"/>
  <c r="L231" i="13"/>
  <c r="I231" i="13"/>
  <c r="F231" i="13"/>
  <c r="L230" i="13"/>
  <c r="I230" i="13"/>
  <c r="F230" i="13"/>
  <c r="L229" i="13"/>
  <c r="I229" i="13"/>
  <c r="F229" i="13"/>
  <c r="L228" i="13"/>
  <c r="I228" i="13"/>
  <c r="F228" i="13"/>
  <c r="L227" i="13"/>
  <c r="I227" i="13"/>
  <c r="F227" i="13"/>
  <c r="L226" i="13"/>
  <c r="I226" i="13"/>
  <c r="F226" i="13"/>
  <c r="L225" i="13"/>
  <c r="I225" i="13"/>
  <c r="F225" i="13"/>
  <c r="L224" i="13"/>
  <c r="I224" i="13"/>
  <c r="F224" i="13"/>
  <c r="L223" i="13"/>
  <c r="I223" i="13"/>
  <c r="F223" i="13"/>
  <c r="L222" i="13"/>
  <c r="I222" i="13"/>
  <c r="F222" i="13"/>
  <c r="L221" i="13"/>
  <c r="I221" i="13"/>
  <c r="F221" i="13"/>
  <c r="L220" i="13"/>
  <c r="I220" i="13"/>
  <c r="F220" i="13"/>
  <c r="L219" i="13"/>
  <c r="I219" i="13"/>
  <c r="F219" i="13"/>
  <c r="L218" i="13"/>
  <c r="I218" i="13"/>
  <c r="F218" i="13"/>
  <c r="L217" i="13"/>
  <c r="I217" i="13"/>
  <c r="F217" i="13"/>
  <c r="L216" i="13"/>
  <c r="I216" i="13"/>
  <c r="F216" i="13"/>
  <c r="L215" i="13"/>
  <c r="I215" i="13"/>
  <c r="F215" i="13"/>
  <c r="L214" i="13"/>
  <c r="I214" i="13"/>
  <c r="F214" i="13"/>
  <c r="L213" i="13"/>
  <c r="I213" i="13"/>
  <c r="F213" i="13"/>
  <c r="L212" i="13"/>
  <c r="I212" i="13"/>
  <c r="F212" i="13"/>
  <c r="L211" i="13"/>
  <c r="I211" i="13"/>
  <c r="F211" i="13"/>
  <c r="L210" i="13"/>
  <c r="I210" i="13"/>
  <c r="F210" i="13"/>
  <c r="L209" i="13"/>
  <c r="I209" i="13"/>
  <c r="F209" i="13"/>
  <c r="L208" i="13"/>
  <c r="I208" i="13"/>
  <c r="F208" i="13"/>
  <c r="L207" i="13"/>
  <c r="I207" i="13"/>
  <c r="F207" i="13"/>
  <c r="L206" i="13"/>
  <c r="I206" i="13"/>
  <c r="F206" i="13"/>
  <c r="L205" i="13"/>
  <c r="I205" i="13"/>
  <c r="F205" i="13"/>
  <c r="L204" i="13"/>
  <c r="I204" i="13"/>
  <c r="F204" i="13"/>
  <c r="L203" i="13"/>
  <c r="I203" i="13"/>
  <c r="F203" i="13"/>
  <c r="L202" i="13"/>
  <c r="I202" i="13"/>
  <c r="F202" i="13"/>
  <c r="L201" i="13"/>
  <c r="I201" i="13"/>
  <c r="F201" i="13"/>
  <c r="L200" i="13"/>
  <c r="I200" i="13"/>
  <c r="F200" i="13"/>
  <c r="L199" i="13"/>
  <c r="I199" i="13"/>
  <c r="F199" i="13"/>
  <c r="L198" i="13"/>
  <c r="I198" i="13"/>
  <c r="F198" i="13"/>
  <c r="L197" i="13"/>
  <c r="I197" i="13"/>
  <c r="F197" i="13"/>
  <c r="L196" i="13"/>
  <c r="I196" i="13"/>
  <c r="F196" i="13"/>
  <c r="L195" i="13"/>
  <c r="I195" i="13"/>
  <c r="F195" i="13"/>
  <c r="L194" i="13"/>
  <c r="I194" i="13"/>
  <c r="F194" i="13"/>
  <c r="L193" i="13"/>
  <c r="I193" i="13"/>
  <c r="F193" i="13"/>
  <c r="L192" i="13"/>
  <c r="I192" i="13"/>
  <c r="F192" i="13"/>
  <c r="L191" i="13"/>
  <c r="I191" i="13"/>
  <c r="F191" i="13"/>
  <c r="L190" i="13"/>
  <c r="I190" i="13"/>
  <c r="F190" i="13"/>
  <c r="L189" i="13"/>
  <c r="I189" i="13"/>
  <c r="F189" i="13"/>
  <c r="L188" i="13"/>
  <c r="I188" i="13"/>
  <c r="F188" i="13"/>
  <c r="L187" i="13"/>
  <c r="I187" i="13"/>
  <c r="F187" i="13"/>
  <c r="L186" i="13"/>
  <c r="I186" i="13"/>
  <c r="F186" i="13"/>
  <c r="L185" i="13"/>
  <c r="I185" i="13"/>
  <c r="F185" i="13"/>
  <c r="L184" i="13"/>
  <c r="I184" i="13"/>
  <c r="F184" i="13"/>
  <c r="L183" i="13"/>
  <c r="I183" i="13"/>
  <c r="F183" i="13"/>
  <c r="L182" i="13"/>
  <c r="I182" i="13"/>
  <c r="F182" i="13"/>
  <c r="L181" i="13"/>
  <c r="I181" i="13"/>
  <c r="F181" i="13"/>
  <c r="L180" i="13"/>
  <c r="I180" i="13"/>
  <c r="F180" i="13"/>
  <c r="L179" i="13"/>
  <c r="I179" i="13"/>
  <c r="F179" i="13"/>
  <c r="L178" i="13"/>
  <c r="I178" i="13"/>
  <c r="F178" i="13"/>
  <c r="L177" i="13"/>
  <c r="I177" i="13"/>
  <c r="F177" i="13"/>
  <c r="L176" i="13"/>
  <c r="I176" i="13"/>
  <c r="F176" i="13"/>
  <c r="L175" i="13"/>
  <c r="I175" i="13"/>
  <c r="F175" i="13"/>
  <c r="L174" i="13"/>
  <c r="I174" i="13"/>
  <c r="F174" i="13"/>
  <c r="L173" i="13"/>
  <c r="I173" i="13"/>
  <c r="F173" i="13"/>
  <c r="L172" i="13"/>
  <c r="I172" i="13"/>
  <c r="F172" i="13"/>
  <c r="L171" i="13"/>
  <c r="I171" i="13"/>
  <c r="F171" i="13"/>
  <c r="L170" i="13"/>
  <c r="I170" i="13"/>
  <c r="F170" i="13"/>
  <c r="L169" i="13"/>
  <c r="I169" i="13"/>
  <c r="F169" i="13"/>
  <c r="L168" i="13"/>
  <c r="I168" i="13"/>
  <c r="F168" i="13"/>
  <c r="L167" i="13"/>
  <c r="I167" i="13"/>
  <c r="F167" i="13"/>
  <c r="L166" i="13"/>
  <c r="I166" i="13"/>
  <c r="F166" i="13"/>
  <c r="L165" i="13"/>
  <c r="I165" i="13"/>
  <c r="F165" i="13"/>
  <c r="L164" i="13"/>
  <c r="I164" i="13"/>
  <c r="F164" i="13"/>
  <c r="L163" i="13"/>
  <c r="I163" i="13"/>
  <c r="F163" i="13"/>
  <c r="L162" i="13"/>
  <c r="I162" i="13"/>
  <c r="F162" i="13"/>
  <c r="L161" i="13"/>
  <c r="I161" i="13"/>
  <c r="F161" i="13"/>
  <c r="L160" i="13"/>
  <c r="I160" i="13"/>
  <c r="F160" i="13"/>
  <c r="L159" i="13"/>
  <c r="I159" i="13"/>
  <c r="F159" i="13"/>
  <c r="L158" i="13"/>
  <c r="I158" i="13"/>
  <c r="F158" i="13"/>
  <c r="L157" i="13"/>
  <c r="I157" i="13"/>
  <c r="F157" i="13"/>
  <c r="L156" i="13"/>
  <c r="I156" i="13"/>
  <c r="F156" i="13"/>
  <c r="L155" i="13"/>
  <c r="I155" i="13"/>
  <c r="F155" i="13"/>
  <c r="L154" i="13"/>
  <c r="I154" i="13"/>
  <c r="F154" i="13"/>
  <c r="L153" i="13"/>
  <c r="I153" i="13"/>
  <c r="F153" i="13"/>
  <c r="L152" i="13"/>
  <c r="I152" i="13"/>
  <c r="F152" i="13"/>
  <c r="L151" i="13"/>
  <c r="I151" i="13"/>
  <c r="F151" i="13"/>
  <c r="L150" i="13"/>
  <c r="I150" i="13"/>
  <c r="F150" i="13"/>
  <c r="L149" i="13"/>
  <c r="I149" i="13"/>
  <c r="F149" i="13"/>
  <c r="L148" i="13"/>
  <c r="I148" i="13"/>
  <c r="F148" i="13"/>
  <c r="L147" i="13"/>
  <c r="I147" i="13"/>
  <c r="F147" i="13"/>
  <c r="L146" i="13"/>
  <c r="I146" i="13"/>
  <c r="F146" i="13"/>
  <c r="L145" i="13"/>
  <c r="I145" i="13"/>
  <c r="F145" i="13"/>
  <c r="L144" i="13"/>
  <c r="I144" i="13"/>
  <c r="F144" i="13"/>
  <c r="L143" i="13"/>
  <c r="I143" i="13"/>
  <c r="F143" i="13"/>
  <c r="L142" i="13"/>
  <c r="I142" i="13"/>
  <c r="F142" i="13"/>
  <c r="L141" i="13"/>
  <c r="I141" i="13"/>
  <c r="F141" i="13"/>
  <c r="L140" i="13"/>
  <c r="I140" i="13"/>
  <c r="F140" i="13"/>
  <c r="L139" i="13"/>
  <c r="I139" i="13"/>
  <c r="F139" i="13"/>
  <c r="L138" i="13"/>
  <c r="I138" i="13"/>
  <c r="F138" i="13"/>
  <c r="L137" i="13"/>
  <c r="I137" i="13"/>
  <c r="F137" i="13"/>
  <c r="L136" i="13"/>
  <c r="I136" i="13"/>
  <c r="F136" i="13"/>
  <c r="L135" i="13"/>
  <c r="I135" i="13"/>
  <c r="F135" i="13"/>
  <c r="L134" i="13"/>
  <c r="I134" i="13"/>
  <c r="F134" i="13"/>
  <c r="L133" i="13"/>
  <c r="I133" i="13"/>
  <c r="F133" i="13"/>
  <c r="L132" i="13"/>
  <c r="I132" i="13"/>
  <c r="F132" i="13"/>
  <c r="L131" i="13"/>
  <c r="I131" i="13"/>
  <c r="F131" i="13"/>
  <c r="L130" i="13"/>
  <c r="I130" i="13"/>
  <c r="F130" i="13"/>
  <c r="L129" i="13"/>
  <c r="I129" i="13"/>
  <c r="F129" i="13"/>
  <c r="L128" i="13"/>
  <c r="I128" i="13"/>
  <c r="F128" i="13"/>
  <c r="L127" i="13"/>
  <c r="I127" i="13"/>
  <c r="F127" i="13"/>
  <c r="L126" i="13"/>
  <c r="I126" i="13"/>
  <c r="F126" i="13"/>
  <c r="L125" i="13"/>
  <c r="I125" i="13"/>
  <c r="F125" i="13"/>
  <c r="L124" i="13"/>
  <c r="I124" i="13"/>
  <c r="F124" i="13"/>
  <c r="L123" i="13"/>
  <c r="I123" i="13"/>
  <c r="F123" i="13"/>
  <c r="L122" i="13"/>
  <c r="I122" i="13"/>
  <c r="F122" i="13"/>
  <c r="L121" i="13"/>
  <c r="I121" i="13"/>
  <c r="F121" i="13"/>
  <c r="L120" i="13"/>
  <c r="I120" i="13"/>
  <c r="F120" i="13"/>
  <c r="L119" i="13"/>
  <c r="I119" i="13"/>
  <c r="F119" i="13"/>
  <c r="L118" i="13"/>
  <c r="I118" i="13"/>
  <c r="F118" i="13"/>
  <c r="L117" i="13"/>
  <c r="I117" i="13"/>
  <c r="F117" i="13"/>
  <c r="L116" i="13"/>
  <c r="I116" i="13"/>
  <c r="F116" i="13"/>
  <c r="L115" i="13"/>
  <c r="I115" i="13"/>
  <c r="F115" i="13"/>
  <c r="L114" i="13"/>
  <c r="I114" i="13"/>
  <c r="F114" i="13"/>
  <c r="L113" i="13"/>
  <c r="I113" i="13"/>
  <c r="F113" i="13"/>
  <c r="L112" i="13"/>
  <c r="I112" i="13"/>
  <c r="F112" i="13"/>
  <c r="L111" i="13"/>
  <c r="I111" i="13"/>
  <c r="F111" i="13"/>
  <c r="L110" i="13"/>
  <c r="I110" i="13"/>
  <c r="F110" i="13"/>
  <c r="L109" i="13"/>
  <c r="I109" i="13"/>
  <c r="F109" i="13"/>
  <c r="L108" i="13"/>
  <c r="I108" i="13"/>
  <c r="F108" i="13"/>
  <c r="L107" i="13"/>
  <c r="I107" i="13"/>
  <c r="F107" i="13"/>
  <c r="L106" i="13"/>
  <c r="I106" i="13"/>
  <c r="F106" i="13"/>
  <c r="L105" i="13"/>
  <c r="I105" i="13"/>
  <c r="F105" i="13"/>
  <c r="L104" i="13"/>
  <c r="I104" i="13"/>
  <c r="F104" i="13"/>
  <c r="L103" i="13"/>
  <c r="I103" i="13"/>
  <c r="F103" i="13"/>
  <c r="L102" i="13"/>
  <c r="I102" i="13"/>
  <c r="F102" i="13"/>
  <c r="L101" i="13"/>
  <c r="I101" i="13"/>
  <c r="F101" i="13"/>
  <c r="L100" i="13"/>
  <c r="I100" i="13"/>
  <c r="F100" i="13"/>
  <c r="L99" i="13"/>
  <c r="I99" i="13"/>
  <c r="F99" i="13"/>
  <c r="L98" i="13"/>
  <c r="I98" i="13"/>
  <c r="F98" i="13"/>
  <c r="L97" i="13"/>
  <c r="I97" i="13"/>
  <c r="F97" i="13"/>
  <c r="L96" i="13"/>
  <c r="I96" i="13"/>
  <c r="F96" i="13"/>
  <c r="L95" i="13"/>
  <c r="I95" i="13"/>
  <c r="F95" i="13"/>
  <c r="L94" i="13"/>
  <c r="I94" i="13"/>
  <c r="F94" i="13"/>
  <c r="L93" i="13"/>
  <c r="I93" i="13"/>
  <c r="F93" i="13"/>
  <c r="L92" i="13"/>
  <c r="I92" i="13"/>
  <c r="F92" i="13"/>
  <c r="L91" i="13"/>
  <c r="I91" i="13"/>
  <c r="F91" i="13"/>
  <c r="L90" i="13"/>
  <c r="I90" i="13"/>
  <c r="F90" i="13"/>
  <c r="L89" i="13"/>
  <c r="I89" i="13"/>
  <c r="F89" i="13"/>
  <c r="L88" i="13"/>
  <c r="I88" i="13"/>
  <c r="F88" i="13"/>
  <c r="L87" i="13"/>
  <c r="I87" i="13"/>
  <c r="F87" i="13"/>
  <c r="L86" i="13"/>
  <c r="I86" i="13"/>
  <c r="F86" i="13"/>
  <c r="L85" i="13"/>
  <c r="I85" i="13"/>
  <c r="F85" i="13"/>
  <c r="L84" i="13"/>
  <c r="I84" i="13"/>
  <c r="F84" i="13"/>
  <c r="L83" i="13"/>
  <c r="I83" i="13"/>
  <c r="F83" i="13"/>
  <c r="L82" i="13"/>
  <c r="I82" i="13"/>
  <c r="F82" i="13"/>
  <c r="L81" i="13"/>
  <c r="I81" i="13"/>
  <c r="F81" i="13"/>
  <c r="L80" i="13"/>
  <c r="I80" i="13"/>
  <c r="F80" i="13"/>
  <c r="L79" i="13"/>
  <c r="I79" i="13"/>
  <c r="F79" i="13"/>
  <c r="L78" i="13"/>
  <c r="I78" i="13"/>
  <c r="F78" i="13"/>
  <c r="L77" i="13"/>
  <c r="I77" i="13"/>
  <c r="F77" i="13"/>
  <c r="L76" i="13"/>
  <c r="I76" i="13"/>
  <c r="F76" i="13"/>
  <c r="L75" i="13"/>
  <c r="I75" i="13"/>
  <c r="F75" i="13"/>
  <c r="L74" i="13"/>
  <c r="I74" i="13"/>
  <c r="F74" i="13"/>
  <c r="L73" i="13"/>
  <c r="I73" i="13"/>
  <c r="F73" i="13"/>
  <c r="L72" i="13"/>
  <c r="I72" i="13"/>
  <c r="F72" i="13"/>
  <c r="L71" i="13"/>
  <c r="I71" i="13"/>
  <c r="F71" i="13"/>
  <c r="L70" i="13"/>
  <c r="I70" i="13"/>
  <c r="F70" i="13"/>
  <c r="L69" i="13"/>
  <c r="I69" i="13"/>
  <c r="F69" i="13"/>
  <c r="L68" i="13"/>
  <c r="I68" i="13"/>
  <c r="F68" i="13"/>
  <c r="L67" i="13"/>
  <c r="I67" i="13"/>
  <c r="F67" i="13"/>
  <c r="L66" i="13"/>
  <c r="I66" i="13"/>
  <c r="F66" i="13"/>
  <c r="L65" i="13"/>
  <c r="I65" i="13"/>
  <c r="F65" i="13"/>
  <c r="L64" i="13"/>
  <c r="I64" i="13"/>
  <c r="F64" i="13"/>
  <c r="L63" i="13"/>
  <c r="I63" i="13"/>
  <c r="F63" i="13"/>
  <c r="L62" i="13"/>
  <c r="I62" i="13"/>
  <c r="F62" i="13"/>
  <c r="L61" i="13"/>
  <c r="I61" i="13"/>
  <c r="F61" i="13"/>
  <c r="L60" i="13"/>
  <c r="I60" i="13"/>
  <c r="F60" i="13"/>
  <c r="L59" i="13"/>
  <c r="I59" i="13"/>
  <c r="F59" i="13"/>
  <c r="L58" i="13"/>
  <c r="I58" i="13"/>
  <c r="F58" i="13"/>
  <c r="L57" i="13"/>
  <c r="I57" i="13"/>
  <c r="F57" i="13"/>
  <c r="L56" i="13"/>
  <c r="I56" i="13"/>
  <c r="F56" i="13"/>
  <c r="L55" i="13"/>
  <c r="I55" i="13"/>
  <c r="F55" i="13"/>
  <c r="L54" i="13"/>
  <c r="I54" i="13"/>
  <c r="F54" i="13"/>
  <c r="L53" i="13"/>
  <c r="I53" i="13"/>
  <c r="F53" i="13"/>
  <c r="L52" i="13"/>
  <c r="I52" i="13"/>
  <c r="F52" i="13"/>
  <c r="L51" i="13"/>
  <c r="I51" i="13"/>
  <c r="F51" i="13"/>
  <c r="L50" i="13"/>
  <c r="I50" i="13"/>
  <c r="F50" i="13"/>
  <c r="L49" i="13"/>
  <c r="I49" i="13"/>
  <c r="F49" i="13"/>
  <c r="L48" i="13"/>
  <c r="I48" i="13"/>
  <c r="F48" i="13"/>
  <c r="L47" i="13"/>
  <c r="I47" i="13"/>
  <c r="F47" i="13"/>
  <c r="L46" i="13"/>
  <c r="I46" i="13"/>
  <c r="F46" i="13"/>
  <c r="L45" i="13"/>
  <c r="I45" i="13"/>
  <c r="F45" i="13"/>
  <c r="L44" i="13"/>
  <c r="I44" i="13"/>
  <c r="F44" i="13"/>
  <c r="L43" i="13"/>
  <c r="I43" i="13"/>
  <c r="F43" i="13"/>
  <c r="L42" i="13"/>
  <c r="I42" i="13"/>
  <c r="F42" i="13"/>
  <c r="L41" i="13"/>
  <c r="I41" i="13"/>
  <c r="F41" i="13"/>
  <c r="L40" i="13"/>
  <c r="I40" i="13"/>
  <c r="F40" i="13"/>
  <c r="L39" i="13"/>
  <c r="I39" i="13"/>
  <c r="F39" i="13"/>
  <c r="L38" i="13"/>
  <c r="I38" i="13"/>
  <c r="F38" i="13"/>
  <c r="L37" i="13"/>
  <c r="I37" i="13"/>
  <c r="F37" i="13"/>
  <c r="L36" i="13"/>
  <c r="I36" i="13"/>
  <c r="F36" i="13"/>
  <c r="L35" i="13"/>
  <c r="I35" i="13"/>
  <c r="F35" i="13"/>
  <c r="L34" i="13"/>
  <c r="I34" i="13"/>
  <c r="F34" i="13"/>
  <c r="L33" i="13"/>
  <c r="I33" i="13"/>
  <c r="F33" i="13"/>
  <c r="L32" i="13"/>
  <c r="I32" i="13"/>
  <c r="F32" i="13"/>
  <c r="L31" i="13"/>
  <c r="I31" i="13"/>
  <c r="F31" i="13"/>
  <c r="L30" i="13"/>
  <c r="I30" i="13"/>
  <c r="F30" i="13"/>
  <c r="L29" i="13"/>
  <c r="I29" i="13"/>
  <c r="F29" i="13"/>
  <c r="L28" i="13"/>
  <c r="I28" i="13"/>
  <c r="F28" i="13"/>
  <c r="L27" i="13"/>
  <c r="I27" i="13"/>
  <c r="F27" i="13"/>
  <c r="L26" i="13"/>
  <c r="I26" i="13"/>
  <c r="F26" i="13"/>
  <c r="L25" i="13"/>
  <c r="I25" i="13"/>
  <c r="F25" i="13"/>
  <c r="L24" i="13"/>
  <c r="I24" i="13"/>
  <c r="F24" i="13"/>
  <c r="L23" i="13"/>
  <c r="I23" i="13"/>
  <c r="F23" i="13"/>
  <c r="L22" i="13"/>
  <c r="I22" i="13"/>
  <c r="F22" i="13"/>
  <c r="L21" i="13"/>
  <c r="I21" i="13"/>
  <c r="F21" i="13"/>
  <c r="L20" i="13"/>
  <c r="I20" i="13"/>
  <c r="F20" i="13"/>
  <c r="L19" i="13"/>
  <c r="I19" i="13"/>
  <c r="F19" i="13"/>
  <c r="L18" i="13"/>
  <c r="I18" i="13"/>
  <c r="F18" i="13"/>
  <c r="L17" i="13"/>
  <c r="I17" i="13"/>
  <c r="F17" i="13"/>
  <c r="L16" i="13"/>
  <c r="I16" i="13"/>
  <c r="F16" i="13"/>
  <c r="L15" i="13"/>
  <c r="I15" i="13"/>
  <c r="F15" i="13"/>
  <c r="L14" i="13"/>
  <c r="I14" i="13"/>
  <c r="F14" i="13"/>
  <c r="L13" i="13"/>
  <c r="I13" i="13"/>
  <c r="F13" i="13"/>
  <c r="L12" i="13"/>
  <c r="I12" i="13"/>
  <c r="F12" i="13"/>
  <c r="L11" i="13"/>
  <c r="I11" i="13"/>
  <c r="F11" i="13"/>
  <c r="L10" i="13"/>
  <c r="I10" i="13"/>
  <c r="F10" i="13"/>
  <c r="L9" i="13"/>
  <c r="I9" i="13"/>
  <c r="F9" i="13"/>
  <c r="L8" i="13"/>
  <c r="I8" i="13"/>
  <c r="F8" i="13"/>
  <c r="L7" i="13"/>
  <c r="I7" i="13"/>
  <c r="F7" i="13"/>
  <c r="L6" i="13"/>
  <c r="I6" i="13"/>
  <c r="F6" i="13"/>
  <c r="L5" i="13"/>
  <c r="I5" i="13"/>
  <c r="F5" i="13"/>
  <c r="L4" i="13"/>
  <c r="I4" i="13"/>
  <c r="F4" i="13"/>
  <c r="L3" i="13"/>
  <c r="S292" i="13" s="1"/>
  <c r="I3" i="13"/>
  <c r="F3" i="13"/>
  <c r="P1204" i="10"/>
  <c r="I1204" i="10"/>
  <c r="F1204" i="10"/>
  <c r="D1204" i="10"/>
  <c r="P1203" i="10"/>
  <c r="I1203" i="10"/>
  <c r="F1203" i="10"/>
  <c r="D1203" i="10"/>
  <c r="P1202" i="10"/>
  <c r="I1202" i="10"/>
  <c r="F1202" i="10"/>
  <c r="D1202" i="10"/>
  <c r="P1201" i="10"/>
  <c r="I1201" i="10"/>
  <c r="F1201" i="10"/>
  <c r="D1201" i="10"/>
  <c r="P1200" i="10"/>
  <c r="I1200" i="10"/>
  <c r="F1200" i="10"/>
  <c r="D1200" i="10"/>
  <c r="P1199" i="10"/>
  <c r="I1199" i="10"/>
  <c r="F1199" i="10"/>
  <c r="D1199" i="10"/>
  <c r="P1198" i="10"/>
  <c r="I1198" i="10"/>
  <c r="F1198" i="10"/>
  <c r="D1198" i="10"/>
  <c r="P1197" i="10"/>
  <c r="I1197" i="10"/>
  <c r="F1197" i="10"/>
  <c r="D1197" i="10"/>
  <c r="P1196" i="10"/>
  <c r="I1196" i="10"/>
  <c r="F1196" i="10"/>
  <c r="D1196" i="10"/>
  <c r="P1195" i="10"/>
  <c r="I1195" i="10"/>
  <c r="F1195" i="10"/>
  <c r="D1195" i="10"/>
  <c r="P1194" i="10"/>
  <c r="I1194" i="10"/>
  <c r="F1194" i="10"/>
  <c r="D1194" i="10"/>
  <c r="P1193" i="10"/>
  <c r="I1193" i="10"/>
  <c r="F1193" i="10"/>
  <c r="D1193" i="10"/>
  <c r="P1192" i="10"/>
  <c r="I1192" i="10"/>
  <c r="F1192" i="10"/>
  <c r="D1192" i="10"/>
  <c r="P1191" i="10"/>
  <c r="I1191" i="10"/>
  <c r="F1191" i="10"/>
  <c r="D1191" i="10"/>
  <c r="P1190" i="10"/>
  <c r="I1190" i="10"/>
  <c r="F1190" i="10"/>
  <c r="D1190" i="10"/>
  <c r="P1189" i="10"/>
  <c r="I1189" i="10"/>
  <c r="F1189" i="10"/>
  <c r="D1189" i="10"/>
  <c r="P1188" i="10"/>
  <c r="I1188" i="10"/>
  <c r="F1188" i="10"/>
  <c r="D1188" i="10"/>
  <c r="P1187" i="10"/>
  <c r="I1187" i="10"/>
  <c r="F1187" i="10"/>
  <c r="D1187" i="10"/>
  <c r="P1186" i="10"/>
  <c r="I1186" i="10"/>
  <c r="F1186" i="10"/>
  <c r="D1186" i="10"/>
  <c r="P1185" i="10"/>
  <c r="I1185" i="10"/>
  <c r="F1185" i="10"/>
  <c r="D1185" i="10"/>
  <c r="P1184" i="10"/>
  <c r="I1184" i="10"/>
  <c r="F1184" i="10"/>
  <c r="D1184" i="10"/>
  <c r="P1183" i="10"/>
  <c r="I1183" i="10"/>
  <c r="F1183" i="10"/>
  <c r="D1183" i="10"/>
  <c r="P1182" i="10"/>
  <c r="I1182" i="10"/>
  <c r="F1182" i="10"/>
  <c r="D1182" i="10"/>
  <c r="P1181" i="10"/>
  <c r="I1181" i="10"/>
  <c r="F1181" i="10"/>
  <c r="D1181" i="10"/>
  <c r="P1180" i="10"/>
  <c r="I1180" i="10"/>
  <c r="F1180" i="10"/>
  <c r="D1180" i="10"/>
  <c r="P1179" i="10"/>
  <c r="I1179" i="10"/>
  <c r="F1179" i="10"/>
  <c r="D1179" i="10"/>
  <c r="P1178" i="10"/>
  <c r="I1178" i="10"/>
  <c r="F1178" i="10"/>
  <c r="D1178" i="10"/>
  <c r="P1177" i="10"/>
  <c r="I1177" i="10"/>
  <c r="F1177" i="10"/>
  <c r="D1177" i="10"/>
  <c r="P1176" i="10"/>
  <c r="I1176" i="10"/>
  <c r="F1176" i="10"/>
  <c r="D1176" i="10"/>
  <c r="P1175" i="10"/>
  <c r="I1175" i="10"/>
  <c r="F1175" i="10"/>
  <c r="D1175" i="10"/>
  <c r="P1174" i="10"/>
  <c r="I1174" i="10"/>
  <c r="F1174" i="10"/>
  <c r="D1174" i="10"/>
  <c r="P1173" i="10"/>
  <c r="I1173" i="10"/>
  <c r="F1173" i="10"/>
  <c r="D1173" i="10"/>
  <c r="P1172" i="10"/>
  <c r="I1172" i="10"/>
  <c r="F1172" i="10"/>
  <c r="D1172" i="10"/>
  <c r="P1171" i="10"/>
  <c r="I1171" i="10"/>
  <c r="F1171" i="10"/>
  <c r="D1171" i="10"/>
  <c r="P1170" i="10"/>
  <c r="I1170" i="10"/>
  <c r="F1170" i="10"/>
  <c r="D1170" i="10"/>
  <c r="P1169" i="10"/>
  <c r="I1169" i="10"/>
  <c r="F1169" i="10"/>
  <c r="D1169" i="10"/>
  <c r="P1168" i="10"/>
  <c r="I1168" i="10"/>
  <c r="F1168" i="10"/>
  <c r="D1168" i="10"/>
  <c r="P1167" i="10"/>
  <c r="I1167" i="10"/>
  <c r="F1167" i="10"/>
  <c r="D1167" i="10"/>
  <c r="P1166" i="10"/>
  <c r="I1166" i="10"/>
  <c r="F1166" i="10"/>
  <c r="D1166" i="10"/>
  <c r="P1165" i="10"/>
  <c r="I1165" i="10"/>
  <c r="F1165" i="10"/>
  <c r="D1165" i="10"/>
  <c r="P1164" i="10"/>
  <c r="I1164" i="10"/>
  <c r="F1164" i="10"/>
  <c r="D1164" i="10"/>
  <c r="P1163" i="10"/>
  <c r="I1163" i="10"/>
  <c r="F1163" i="10"/>
  <c r="D1163" i="10"/>
  <c r="P1162" i="10"/>
  <c r="I1162" i="10"/>
  <c r="F1162" i="10"/>
  <c r="D1162" i="10"/>
  <c r="P1161" i="10"/>
  <c r="I1161" i="10"/>
  <c r="F1161" i="10"/>
  <c r="D1161" i="10"/>
  <c r="P1160" i="10"/>
  <c r="I1160" i="10"/>
  <c r="F1160" i="10"/>
  <c r="D1160" i="10"/>
  <c r="P1159" i="10"/>
  <c r="I1159" i="10"/>
  <c r="F1159" i="10"/>
  <c r="D1159" i="10"/>
  <c r="P1158" i="10"/>
  <c r="I1158" i="10"/>
  <c r="F1158" i="10"/>
  <c r="D1158" i="10"/>
  <c r="P1157" i="10"/>
  <c r="I1157" i="10"/>
  <c r="F1157" i="10"/>
  <c r="D1157" i="10"/>
  <c r="P1156" i="10"/>
  <c r="I1156" i="10"/>
  <c r="F1156" i="10"/>
  <c r="D1156" i="10"/>
  <c r="P1155" i="10"/>
  <c r="I1155" i="10"/>
  <c r="F1155" i="10"/>
  <c r="D1155" i="10"/>
  <c r="P1154" i="10"/>
  <c r="I1154" i="10"/>
  <c r="F1154" i="10"/>
  <c r="D1154" i="10"/>
  <c r="P1153" i="10"/>
  <c r="I1153" i="10"/>
  <c r="F1153" i="10"/>
  <c r="D1153" i="10"/>
  <c r="P1152" i="10"/>
  <c r="I1152" i="10"/>
  <c r="F1152" i="10"/>
  <c r="D1152" i="10"/>
  <c r="P1151" i="10"/>
  <c r="I1151" i="10"/>
  <c r="F1151" i="10"/>
  <c r="D1151" i="10"/>
  <c r="P1150" i="10"/>
  <c r="I1150" i="10"/>
  <c r="F1150" i="10"/>
  <c r="D1150" i="10"/>
  <c r="P1149" i="10"/>
  <c r="I1149" i="10"/>
  <c r="F1149" i="10"/>
  <c r="D1149" i="10"/>
  <c r="P1148" i="10"/>
  <c r="I1148" i="10"/>
  <c r="F1148" i="10"/>
  <c r="D1148" i="10"/>
  <c r="P1147" i="10"/>
  <c r="I1147" i="10"/>
  <c r="F1147" i="10"/>
  <c r="D1147" i="10"/>
  <c r="P1146" i="10"/>
  <c r="I1146" i="10"/>
  <c r="F1146" i="10"/>
  <c r="D1146" i="10"/>
  <c r="P1145" i="10"/>
  <c r="I1145" i="10"/>
  <c r="F1145" i="10"/>
  <c r="D1145" i="10"/>
  <c r="P1144" i="10"/>
  <c r="I1144" i="10"/>
  <c r="F1144" i="10"/>
  <c r="D1144" i="10"/>
  <c r="P1143" i="10"/>
  <c r="I1143" i="10"/>
  <c r="F1143" i="10"/>
  <c r="D1143" i="10"/>
  <c r="P1142" i="10"/>
  <c r="I1142" i="10"/>
  <c r="F1142" i="10"/>
  <c r="D1142" i="10"/>
  <c r="P1141" i="10"/>
  <c r="I1141" i="10"/>
  <c r="F1141" i="10"/>
  <c r="D1141" i="10"/>
  <c r="P1140" i="10"/>
  <c r="I1140" i="10"/>
  <c r="F1140" i="10"/>
  <c r="D1140" i="10"/>
  <c r="P1139" i="10"/>
  <c r="I1139" i="10"/>
  <c r="F1139" i="10"/>
  <c r="D1139" i="10"/>
  <c r="P1138" i="10"/>
  <c r="I1138" i="10"/>
  <c r="F1138" i="10"/>
  <c r="D1138" i="10"/>
  <c r="P1137" i="10"/>
  <c r="I1137" i="10"/>
  <c r="F1137" i="10"/>
  <c r="D1137" i="10"/>
  <c r="P1136" i="10"/>
  <c r="I1136" i="10"/>
  <c r="F1136" i="10"/>
  <c r="D1136" i="10"/>
  <c r="P1135" i="10"/>
  <c r="I1135" i="10"/>
  <c r="F1135" i="10"/>
  <c r="D1135" i="10"/>
  <c r="P1134" i="10"/>
  <c r="I1134" i="10"/>
  <c r="F1134" i="10"/>
  <c r="D1134" i="10"/>
  <c r="P1133" i="10"/>
  <c r="I1133" i="10"/>
  <c r="F1133" i="10"/>
  <c r="D1133" i="10"/>
  <c r="P1132" i="10"/>
  <c r="I1132" i="10"/>
  <c r="F1132" i="10"/>
  <c r="D1132" i="10"/>
  <c r="P1131" i="10"/>
  <c r="I1131" i="10"/>
  <c r="F1131" i="10"/>
  <c r="D1131" i="10"/>
  <c r="P1130" i="10"/>
  <c r="I1130" i="10"/>
  <c r="F1130" i="10"/>
  <c r="D1130" i="10"/>
  <c r="P1129" i="10"/>
  <c r="I1129" i="10"/>
  <c r="F1129" i="10"/>
  <c r="D1129" i="10"/>
  <c r="P1128" i="10"/>
  <c r="I1128" i="10"/>
  <c r="F1128" i="10"/>
  <c r="D1128" i="10"/>
  <c r="P1127" i="10"/>
  <c r="I1127" i="10"/>
  <c r="F1127" i="10"/>
  <c r="D1127" i="10"/>
  <c r="P1126" i="10"/>
  <c r="I1126" i="10"/>
  <c r="F1126" i="10"/>
  <c r="D1126" i="10"/>
  <c r="P1125" i="10"/>
  <c r="I1125" i="10"/>
  <c r="F1125" i="10"/>
  <c r="D1125" i="10"/>
  <c r="P1124" i="10"/>
  <c r="I1124" i="10"/>
  <c r="F1124" i="10"/>
  <c r="D1124" i="10"/>
  <c r="P1123" i="10"/>
  <c r="I1123" i="10"/>
  <c r="F1123" i="10"/>
  <c r="D1123" i="10"/>
  <c r="P1122" i="10"/>
  <c r="I1122" i="10"/>
  <c r="F1122" i="10"/>
  <c r="D1122" i="10"/>
  <c r="P1121" i="10"/>
  <c r="I1121" i="10"/>
  <c r="F1121" i="10"/>
  <c r="D1121" i="10"/>
  <c r="P1120" i="10"/>
  <c r="I1120" i="10"/>
  <c r="F1120" i="10"/>
  <c r="D1120" i="10"/>
  <c r="P1119" i="10"/>
  <c r="I1119" i="10"/>
  <c r="F1119" i="10"/>
  <c r="D1119" i="10"/>
  <c r="P1118" i="10"/>
  <c r="I1118" i="10"/>
  <c r="F1118" i="10"/>
  <c r="D1118" i="10"/>
  <c r="P1117" i="10"/>
  <c r="I1117" i="10"/>
  <c r="F1117" i="10"/>
  <c r="D1117" i="10"/>
  <c r="P1116" i="10"/>
  <c r="I1116" i="10"/>
  <c r="F1116" i="10"/>
  <c r="D1116" i="10"/>
  <c r="P1115" i="10"/>
  <c r="I1115" i="10"/>
  <c r="F1115" i="10"/>
  <c r="D1115" i="10"/>
  <c r="P1114" i="10"/>
  <c r="I1114" i="10"/>
  <c r="F1114" i="10"/>
  <c r="D1114" i="10"/>
  <c r="P1113" i="10"/>
  <c r="I1113" i="10"/>
  <c r="F1113" i="10"/>
  <c r="D1113" i="10"/>
  <c r="P1112" i="10"/>
  <c r="I1112" i="10"/>
  <c r="F1112" i="10"/>
  <c r="D1112" i="10"/>
  <c r="P1111" i="10"/>
  <c r="I1111" i="10"/>
  <c r="F1111" i="10"/>
  <c r="D1111" i="10"/>
  <c r="P1110" i="10"/>
  <c r="I1110" i="10"/>
  <c r="F1110" i="10"/>
  <c r="D1110" i="10"/>
  <c r="P1109" i="10"/>
  <c r="I1109" i="10"/>
  <c r="F1109" i="10"/>
  <c r="D1109" i="10"/>
  <c r="P1108" i="10"/>
  <c r="I1108" i="10"/>
  <c r="F1108" i="10"/>
  <c r="D1108" i="10"/>
  <c r="P1107" i="10"/>
  <c r="I1107" i="10"/>
  <c r="F1107" i="10"/>
  <c r="D1107" i="10"/>
  <c r="P1106" i="10"/>
  <c r="I1106" i="10"/>
  <c r="F1106" i="10"/>
  <c r="D1106" i="10"/>
  <c r="P1105" i="10"/>
  <c r="I1105" i="10"/>
  <c r="F1105" i="10"/>
  <c r="D1105" i="10"/>
  <c r="P1104" i="10"/>
  <c r="I1104" i="10"/>
  <c r="F1104" i="10"/>
  <c r="D1104" i="10"/>
  <c r="P1103" i="10"/>
  <c r="I1103" i="10"/>
  <c r="F1103" i="10"/>
  <c r="D1103" i="10"/>
  <c r="P1102" i="10"/>
  <c r="I1102" i="10"/>
  <c r="F1102" i="10"/>
  <c r="D1102" i="10"/>
  <c r="P1101" i="10"/>
  <c r="I1101" i="10"/>
  <c r="F1101" i="10"/>
  <c r="D1101" i="10"/>
  <c r="P1100" i="10"/>
  <c r="I1100" i="10"/>
  <c r="F1100" i="10"/>
  <c r="D1100" i="10"/>
  <c r="P1099" i="10"/>
  <c r="I1099" i="10"/>
  <c r="F1099" i="10"/>
  <c r="D1099" i="10"/>
  <c r="P1098" i="10"/>
  <c r="I1098" i="10"/>
  <c r="F1098" i="10"/>
  <c r="D1098" i="10"/>
  <c r="P1097" i="10"/>
  <c r="I1097" i="10"/>
  <c r="F1097" i="10"/>
  <c r="D1097" i="10"/>
  <c r="P1096" i="10"/>
  <c r="I1096" i="10"/>
  <c r="F1096" i="10"/>
  <c r="D1096" i="10"/>
  <c r="P1095" i="10"/>
  <c r="I1095" i="10"/>
  <c r="F1095" i="10"/>
  <c r="D1095" i="10"/>
  <c r="P1094" i="10"/>
  <c r="I1094" i="10"/>
  <c r="F1094" i="10"/>
  <c r="D1094" i="10"/>
  <c r="P1093" i="10"/>
  <c r="I1093" i="10"/>
  <c r="F1093" i="10"/>
  <c r="D1093" i="10"/>
  <c r="P1092" i="10"/>
  <c r="I1092" i="10"/>
  <c r="F1092" i="10"/>
  <c r="D1092" i="10"/>
  <c r="P1091" i="10"/>
  <c r="I1091" i="10"/>
  <c r="F1091" i="10"/>
  <c r="D1091" i="10"/>
  <c r="P1090" i="10"/>
  <c r="I1090" i="10"/>
  <c r="F1090" i="10"/>
  <c r="D1090" i="10"/>
  <c r="P1089" i="10"/>
  <c r="I1089" i="10"/>
  <c r="F1089" i="10"/>
  <c r="D1089" i="10"/>
  <c r="P1088" i="10"/>
  <c r="I1088" i="10"/>
  <c r="F1088" i="10"/>
  <c r="D1088" i="10"/>
  <c r="P1087" i="10"/>
  <c r="I1087" i="10"/>
  <c r="F1087" i="10"/>
  <c r="D1087" i="10"/>
  <c r="P1086" i="10"/>
  <c r="I1086" i="10"/>
  <c r="F1086" i="10"/>
  <c r="D1086" i="10"/>
  <c r="P1085" i="10"/>
  <c r="I1085" i="10"/>
  <c r="F1085" i="10"/>
  <c r="D1085" i="10"/>
  <c r="P1084" i="10"/>
  <c r="I1084" i="10"/>
  <c r="F1084" i="10"/>
  <c r="D1084" i="10"/>
  <c r="P1083" i="10"/>
  <c r="I1083" i="10"/>
  <c r="F1083" i="10"/>
  <c r="D1083" i="10"/>
  <c r="P1082" i="10"/>
  <c r="I1082" i="10"/>
  <c r="F1082" i="10"/>
  <c r="D1082" i="10"/>
  <c r="P1081" i="10"/>
  <c r="I1081" i="10"/>
  <c r="F1081" i="10"/>
  <c r="D1081" i="10"/>
  <c r="P1080" i="10"/>
  <c r="I1080" i="10"/>
  <c r="F1080" i="10"/>
  <c r="D1080" i="10"/>
  <c r="P1079" i="10"/>
  <c r="I1079" i="10"/>
  <c r="F1079" i="10"/>
  <c r="D1079" i="10"/>
  <c r="P1078" i="10"/>
  <c r="I1078" i="10"/>
  <c r="F1078" i="10"/>
  <c r="D1078" i="10"/>
  <c r="I1077" i="10"/>
  <c r="P1076" i="10"/>
  <c r="I1076" i="10"/>
  <c r="F1076" i="10"/>
  <c r="D1076" i="10"/>
  <c r="P1075" i="10"/>
  <c r="I1075" i="10"/>
  <c r="F1075" i="10"/>
  <c r="D1075" i="10"/>
  <c r="P1074" i="10"/>
  <c r="I1074" i="10"/>
  <c r="F1074" i="10"/>
  <c r="D1074" i="10"/>
  <c r="P1073" i="10"/>
  <c r="I1073" i="10"/>
  <c r="F1073" i="10"/>
  <c r="D1073" i="10"/>
  <c r="P1072" i="10"/>
  <c r="I1072" i="10"/>
  <c r="F1072" i="10"/>
  <c r="D1072" i="10"/>
  <c r="P1071" i="10"/>
  <c r="I1071" i="10"/>
  <c r="F1071" i="10"/>
  <c r="D1071" i="10"/>
  <c r="P1070" i="10"/>
  <c r="I1070" i="10"/>
  <c r="F1070" i="10"/>
  <c r="D1070" i="10"/>
  <c r="P1069" i="10"/>
  <c r="I1069" i="10"/>
  <c r="F1069" i="10"/>
  <c r="D1069" i="10"/>
  <c r="P1068" i="10"/>
  <c r="I1068" i="10"/>
  <c r="F1068" i="10"/>
  <c r="D1068" i="10"/>
  <c r="P1067" i="10"/>
  <c r="I1067" i="10"/>
  <c r="F1067" i="10"/>
  <c r="D1067" i="10"/>
  <c r="P1066" i="10"/>
  <c r="I1066" i="10"/>
  <c r="F1066" i="10"/>
  <c r="D1066" i="10"/>
  <c r="P1065" i="10"/>
  <c r="I1065" i="10"/>
  <c r="F1065" i="10"/>
  <c r="D1065" i="10"/>
  <c r="P1064" i="10"/>
  <c r="I1064" i="10"/>
  <c r="F1064" i="10"/>
  <c r="D1064" i="10"/>
  <c r="P1063" i="10"/>
  <c r="I1063" i="10"/>
  <c r="F1063" i="10"/>
  <c r="D1063" i="10"/>
  <c r="P1062" i="10"/>
  <c r="I1062" i="10"/>
  <c r="F1062" i="10"/>
  <c r="D1062" i="10"/>
  <c r="P1061" i="10"/>
  <c r="I1061" i="10"/>
  <c r="F1061" i="10"/>
  <c r="D1061" i="10"/>
  <c r="P1060" i="10"/>
  <c r="I1060" i="10"/>
  <c r="F1060" i="10"/>
  <c r="D1060" i="10"/>
  <c r="P1059" i="10"/>
  <c r="I1059" i="10"/>
  <c r="F1059" i="10"/>
  <c r="D1059" i="10"/>
  <c r="P1058" i="10"/>
  <c r="I1058" i="10"/>
  <c r="F1058" i="10"/>
  <c r="D1058" i="10"/>
  <c r="P1057" i="10"/>
  <c r="I1057" i="10"/>
  <c r="F1057" i="10"/>
  <c r="D1057" i="10"/>
  <c r="P1056" i="10"/>
  <c r="I1056" i="10"/>
  <c r="F1056" i="10"/>
  <c r="D1056" i="10"/>
  <c r="P1055" i="10"/>
  <c r="I1055" i="10"/>
  <c r="F1055" i="10"/>
  <c r="D1055" i="10"/>
  <c r="P1054" i="10"/>
  <c r="I1054" i="10"/>
  <c r="F1054" i="10"/>
  <c r="D1054" i="10"/>
  <c r="P1053" i="10"/>
  <c r="I1053" i="10"/>
  <c r="F1053" i="10"/>
  <c r="D1053" i="10"/>
  <c r="P1052" i="10"/>
  <c r="I1052" i="10"/>
  <c r="F1052" i="10"/>
  <c r="D1052" i="10"/>
  <c r="P1051" i="10"/>
  <c r="I1051" i="10"/>
  <c r="F1051" i="10"/>
  <c r="D1051" i="10"/>
  <c r="P1050" i="10"/>
  <c r="I1050" i="10"/>
  <c r="F1050" i="10"/>
  <c r="D1050" i="10"/>
  <c r="P1049" i="10"/>
  <c r="I1049" i="10"/>
  <c r="F1049" i="10"/>
  <c r="D1049" i="10"/>
  <c r="P1048" i="10"/>
  <c r="I1048" i="10"/>
  <c r="F1048" i="10"/>
  <c r="D1048" i="10"/>
  <c r="P1047" i="10"/>
  <c r="I1047" i="10"/>
  <c r="F1047" i="10"/>
  <c r="D1047" i="10"/>
  <c r="P1046" i="10"/>
  <c r="I1046" i="10"/>
  <c r="F1046" i="10"/>
  <c r="D1046" i="10"/>
  <c r="P1045" i="10"/>
  <c r="I1045" i="10"/>
  <c r="F1045" i="10"/>
  <c r="D1045" i="10"/>
  <c r="P1044" i="10"/>
  <c r="I1044" i="10"/>
  <c r="F1044" i="10"/>
  <c r="D1044" i="10"/>
  <c r="P1043" i="10"/>
  <c r="I1043" i="10"/>
  <c r="F1043" i="10"/>
  <c r="D1043" i="10"/>
  <c r="P1042" i="10"/>
  <c r="I1042" i="10"/>
  <c r="F1042" i="10"/>
  <c r="D1042" i="10"/>
  <c r="I1041" i="10"/>
  <c r="P1040" i="10"/>
  <c r="I1040" i="10"/>
  <c r="F1040" i="10"/>
  <c r="D1040" i="10"/>
  <c r="P1039" i="10"/>
  <c r="I1039" i="10"/>
  <c r="F1039" i="10"/>
  <c r="D1039" i="10"/>
  <c r="P1038" i="10"/>
  <c r="I1038" i="10"/>
  <c r="F1038" i="10"/>
  <c r="D1038" i="10"/>
  <c r="P1037" i="10"/>
  <c r="I1037" i="10"/>
  <c r="F1037" i="10"/>
  <c r="D1037" i="10"/>
  <c r="P1036" i="10"/>
  <c r="I1036" i="10"/>
  <c r="F1036" i="10"/>
  <c r="D1036" i="10"/>
  <c r="P1035" i="10"/>
  <c r="I1035" i="10"/>
  <c r="F1035" i="10"/>
  <c r="D1035" i="10"/>
  <c r="P1034" i="10"/>
  <c r="I1034" i="10"/>
  <c r="F1034" i="10"/>
  <c r="D1034" i="10"/>
  <c r="P1033" i="10"/>
  <c r="I1033" i="10"/>
  <c r="F1033" i="10"/>
  <c r="D1033" i="10"/>
  <c r="P1032" i="10"/>
  <c r="I1032" i="10"/>
  <c r="F1032" i="10"/>
  <c r="D1032" i="10"/>
  <c r="P1031" i="10"/>
  <c r="I1031" i="10"/>
  <c r="F1031" i="10"/>
  <c r="D1031" i="10"/>
  <c r="P1030" i="10"/>
  <c r="I1030" i="10"/>
  <c r="F1030" i="10"/>
  <c r="D1030" i="10"/>
  <c r="P1029" i="10"/>
  <c r="I1029" i="10"/>
  <c r="F1029" i="10"/>
  <c r="D1029" i="10"/>
  <c r="P1028" i="10"/>
  <c r="I1028" i="10"/>
  <c r="F1028" i="10"/>
  <c r="D1028" i="10"/>
  <c r="P1027" i="10"/>
  <c r="I1027" i="10"/>
  <c r="F1027" i="10"/>
  <c r="D1027" i="10"/>
  <c r="P1026" i="10"/>
  <c r="I1026" i="10"/>
  <c r="F1026" i="10"/>
  <c r="D1026" i="10"/>
  <c r="P1025" i="10"/>
  <c r="I1025" i="10"/>
  <c r="F1025" i="10"/>
  <c r="D1025" i="10"/>
  <c r="P1024" i="10"/>
  <c r="I1024" i="10"/>
  <c r="F1024" i="10"/>
  <c r="D1024" i="10"/>
  <c r="P1023" i="10"/>
  <c r="I1023" i="10"/>
  <c r="F1023" i="10"/>
  <c r="D1023" i="10"/>
  <c r="P1022" i="10"/>
  <c r="I1022" i="10"/>
  <c r="F1022" i="10"/>
  <c r="D1022" i="10"/>
  <c r="P1021" i="10"/>
  <c r="I1021" i="10"/>
  <c r="F1021" i="10"/>
  <c r="D1021" i="10"/>
  <c r="P1020" i="10"/>
  <c r="I1020" i="10"/>
  <c r="F1020" i="10"/>
  <c r="D1020" i="10"/>
  <c r="P1019" i="10"/>
  <c r="I1019" i="10"/>
  <c r="F1019" i="10"/>
  <c r="D1019" i="10"/>
  <c r="P1018" i="10"/>
  <c r="I1018" i="10"/>
  <c r="F1018" i="10"/>
  <c r="D1018" i="10"/>
  <c r="P1017" i="10"/>
  <c r="I1017" i="10"/>
  <c r="F1017" i="10"/>
  <c r="D1017" i="10"/>
  <c r="P1016" i="10"/>
  <c r="I1016" i="10"/>
  <c r="F1016" i="10"/>
  <c r="D1016" i="10"/>
  <c r="P1015" i="10"/>
  <c r="I1015" i="10"/>
  <c r="F1015" i="10"/>
  <c r="D1015" i="10"/>
  <c r="P1014" i="10"/>
  <c r="I1014" i="10"/>
  <c r="F1014" i="10"/>
  <c r="D1014" i="10"/>
  <c r="P1013" i="10"/>
  <c r="I1013" i="10"/>
  <c r="F1013" i="10"/>
  <c r="D1013" i="10"/>
  <c r="P1012" i="10"/>
  <c r="I1012" i="10"/>
  <c r="F1012" i="10"/>
  <c r="D1012" i="10"/>
  <c r="P1011" i="10"/>
  <c r="I1011" i="10"/>
  <c r="F1011" i="10"/>
  <c r="D1011" i="10"/>
  <c r="P1010" i="10"/>
  <c r="I1010" i="10"/>
  <c r="F1010" i="10"/>
  <c r="D1010" i="10"/>
  <c r="P1009" i="10"/>
  <c r="I1009" i="10"/>
  <c r="F1009" i="10"/>
  <c r="D1009" i="10"/>
  <c r="P1008" i="10"/>
  <c r="I1008" i="10"/>
  <c r="F1008" i="10"/>
  <c r="D1008" i="10"/>
  <c r="P1007" i="10"/>
  <c r="I1007" i="10"/>
  <c r="F1007" i="10"/>
  <c r="D1007" i="10"/>
  <c r="P1006" i="10"/>
  <c r="I1006" i="10"/>
  <c r="F1006" i="10"/>
  <c r="D1006" i="10"/>
  <c r="P1005" i="10"/>
  <c r="I1005" i="10"/>
  <c r="F1005" i="10"/>
  <c r="D1005" i="10"/>
  <c r="P1004" i="10"/>
  <c r="I1004" i="10"/>
  <c r="F1004" i="10"/>
  <c r="D1004" i="10"/>
  <c r="P1003" i="10"/>
  <c r="I1003" i="10"/>
  <c r="F1003" i="10"/>
  <c r="D1003" i="10"/>
  <c r="P1002" i="10"/>
  <c r="I1002" i="10"/>
  <c r="F1002" i="10"/>
  <c r="D1002" i="10"/>
  <c r="P1001" i="10"/>
  <c r="I1001" i="10"/>
  <c r="F1001" i="10"/>
  <c r="D1001" i="10"/>
  <c r="P1000" i="10"/>
  <c r="I1000" i="10"/>
  <c r="F1000" i="10"/>
  <c r="D1000" i="10"/>
  <c r="P999" i="10"/>
  <c r="I999" i="10"/>
  <c r="F999" i="10"/>
  <c r="D999" i="10"/>
  <c r="P998" i="10"/>
  <c r="I998" i="10"/>
  <c r="F998" i="10"/>
  <c r="D998" i="10"/>
  <c r="P997" i="10"/>
  <c r="I997" i="10"/>
  <c r="F997" i="10"/>
  <c r="D997" i="10"/>
  <c r="P996" i="10"/>
  <c r="I996" i="10"/>
  <c r="F996" i="10"/>
  <c r="D996" i="10"/>
  <c r="P995" i="10"/>
  <c r="I995" i="10"/>
  <c r="F995" i="10"/>
  <c r="D995" i="10"/>
  <c r="P994" i="10"/>
  <c r="I994" i="10"/>
  <c r="F994" i="10"/>
  <c r="D994" i="10"/>
  <c r="P993" i="10"/>
  <c r="I993" i="10"/>
  <c r="F993" i="10"/>
  <c r="D993" i="10"/>
  <c r="P992" i="10"/>
  <c r="I992" i="10"/>
  <c r="F992" i="10"/>
  <c r="D992" i="10"/>
  <c r="P991" i="10"/>
  <c r="I991" i="10"/>
  <c r="F991" i="10"/>
  <c r="D991" i="10"/>
  <c r="P990" i="10"/>
  <c r="I990" i="10"/>
  <c r="F990" i="10"/>
  <c r="D990" i="10"/>
  <c r="P989" i="10"/>
  <c r="I989" i="10"/>
  <c r="F989" i="10"/>
  <c r="D989" i="10"/>
  <c r="P988" i="10"/>
  <c r="I988" i="10"/>
  <c r="F988" i="10"/>
  <c r="D988" i="10"/>
  <c r="P987" i="10"/>
  <c r="I987" i="10"/>
  <c r="F987" i="10"/>
  <c r="D987" i="10"/>
  <c r="P986" i="10"/>
  <c r="I986" i="10"/>
  <c r="F986" i="10"/>
  <c r="D986" i="10"/>
  <c r="P985" i="10"/>
  <c r="I985" i="10"/>
  <c r="F985" i="10"/>
  <c r="D985" i="10"/>
  <c r="P984" i="10"/>
  <c r="I984" i="10"/>
  <c r="F984" i="10"/>
  <c r="D984" i="10"/>
  <c r="P983" i="10"/>
  <c r="I983" i="10"/>
  <c r="F983" i="10"/>
  <c r="D983" i="10"/>
  <c r="P982" i="10"/>
  <c r="I982" i="10"/>
  <c r="F982" i="10"/>
  <c r="D982" i="10"/>
  <c r="P981" i="10"/>
  <c r="I981" i="10"/>
  <c r="F981" i="10"/>
  <c r="D981" i="10"/>
  <c r="P980" i="10"/>
  <c r="I980" i="10"/>
  <c r="F980" i="10"/>
  <c r="D980" i="10"/>
  <c r="P979" i="10"/>
  <c r="I979" i="10"/>
  <c r="F979" i="10"/>
  <c r="D979" i="10"/>
  <c r="P978" i="10"/>
  <c r="I978" i="10"/>
  <c r="F978" i="10"/>
  <c r="D978" i="10"/>
  <c r="P977" i="10"/>
  <c r="I977" i="10"/>
  <c r="F977" i="10"/>
  <c r="D977" i="10"/>
  <c r="P976" i="10"/>
  <c r="I976" i="10"/>
  <c r="F976" i="10"/>
  <c r="D976" i="10"/>
  <c r="P975" i="10"/>
  <c r="I975" i="10"/>
  <c r="F975" i="10"/>
  <c r="D975" i="10"/>
  <c r="P974" i="10"/>
  <c r="I974" i="10"/>
  <c r="F974" i="10"/>
  <c r="D974" i="10"/>
  <c r="P973" i="10"/>
  <c r="I973" i="10"/>
  <c r="F973" i="10"/>
  <c r="D973" i="10"/>
  <c r="P972" i="10"/>
  <c r="I972" i="10"/>
  <c r="F972" i="10"/>
  <c r="D972" i="10"/>
  <c r="P971" i="10"/>
  <c r="I971" i="10"/>
  <c r="F971" i="10"/>
  <c r="D971" i="10"/>
  <c r="P970" i="10"/>
  <c r="I970" i="10"/>
  <c r="F970" i="10"/>
  <c r="D970" i="10"/>
  <c r="P969" i="10"/>
  <c r="I969" i="10"/>
  <c r="F969" i="10"/>
  <c r="D969" i="10"/>
  <c r="P968" i="10"/>
  <c r="I968" i="10"/>
  <c r="F968" i="10"/>
  <c r="D968" i="10"/>
  <c r="P967" i="10"/>
  <c r="I967" i="10"/>
  <c r="F967" i="10"/>
  <c r="D967" i="10"/>
  <c r="P966" i="10"/>
  <c r="I966" i="10"/>
  <c r="F966" i="10"/>
  <c r="D966" i="10"/>
  <c r="P965" i="10"/>
  <c r="I965" i="10"/>
  <c r="F965" i="10"/>
  <c r="D965" i="10"/>
  <c r="P964" i="10"/>
  <c r="I964" i="10"/>
  <c r="F964" i="10"/>
  <c r="D964" i="10"/>
  <c r="P963" i="10"/>
  <c r="I963" i="10"/>
  <c r="F963" i="10"/>
  <c r="D963" i="10"/>
  <c r="P962" i="10"/>
  <c r="I962" i="10"/>
  <c r="F962" i="10"/>
  <c r="D962" i="10"/>
  <c r="P961" i="10"/>
  <c r="I961" i="10"/>
  <c r="F961" i="10"/>
  <c r="D961" i="10"/>
  <c r="P960" i="10"/>
  <c r="I960" i="10"/>
  <c r="F960" i="10"/>
  <c r="D960" i="10"/>
  <c r="P959" i="10"/>
  <c r="I959" i="10"/>
  <c r="F959" i="10"/>
  <c r="D959" i="10"/>
  <c r="P958" i="10"/>
  <c r="I958" i="10"/>
  <c r="F958" i="10"/>
  <c r="D958" i="10"/>
  <c r="P957" i="10"/>
  <c r="I957" i="10"/>
  <c r="F957" i="10"/>
  <c r="D957" i="10"/>
  <c r="P956" i="10"/>
  <c r="I956" i="10"/>
  <c r="F956" i="10"/>
  <c r="D956" i="10"/>
  <c r="P955" i="10"/>
  <c r="I955" i="10"/>
  <c r="F955" i="10"/>
  <c r="D955" i="10"/>
  <c r="P954" i="10"/>
  <c r="I954" i="10"/>
  <c r="F954" i="10"/>
  <c r="D954" i="10"/>
  <c r="P953" i="10"/>
  <c r="I953" i="10"/>
  <c r="F953" i="10"/>
  <c r="D953" i="10"/>
  <c r="P952" i="10"/>
  <c r="I952" i="10"/>
  <c r="F952" i="10"/>
  <c r="D952" i="10"/>
  <c r="P951" i="10"/>
  <c r="I951" i="10"/>
  <c r="F951" i="10"/>
  <c r="D951" i="10"/>
  <c r="P950" i="10"/>
  <c r="I950" i="10"/>
  <c r="F950" i="10"/>
  <c r="D950" i="10"/>
  <c r="P949" i="10"/>
  <c r="I949" i="10"/>
  <c r="F949" i="10"/>
  <c r="D949" i="10"/>
  <c r="P948" i="10"/>
  <c r="I948" i="10"/>
  <c r="F948" i="10"/>
  <c r="D948" i="10"/>
  <c r="P947" i="10"/>
  <c r="I947" i="10"/>
  <c r="F947" i="10"/>
  <c r="D947" i="10"/>
  <c r="P946" i="10"/>
  <c r="I946" i="10"/>
  <c r="F946" i="10"/>
  <c r="D946" i="10"/>
  <c r="P945" i="10"/>
  <c r="I945" i="10"/>
  <c r="F945" i="10"/>
  <c r="D945" i="10"/>
  <c r="P944" i="10"/>
  <c r="I944" i="10"/>
  <c r="F944" i="10"/>
  <c r="D944" i="10"/>
  <c r="P943" i="10"/>
  <c r="I943" i="10"/>
  <c r="F943" i="10"/>
  <c r="D943" i="10"/>
  <c r="P942" i="10"/>
  <c r="I942" i="10"/>
  <c r="F942" i="10"/>
  <c r="D942" i="10"/>
  <c r="P941" i="10"/>
  <c r="I941" i="10"/>
  <c r="F941" i="10"/>
  <c r="D941" i="10"/>
  <c r="P940" i="10"/>
  <c r="I940" i="10"/>
  <c r="F940" i="10"/>
  <c r="D940" i="10"/>
  <c r="P939" i="10"/>
  <c r="I939" i="10"/>
  <c r="F939" i="10"/>
  <c r="D939" i="10"/>
  <c r="P938" i="10"/>
  <c r="I938" i="10"/>
  <c r="F938" i="10"/>
  <c r="D938" i="10"/>
  <c r="P937" i="10"/>
  <c r="I937" i="10"/>
  <c r="F937" i="10"/>
  <c r="D937" i="10"/>
  <c r="P936" i="10"/>
  <c r="I936" i="10"/>
  <c r="F936" i="10"/>
  <c r="D936" i="10"/>
  <c r="P935" i="10"/>
  <c r="I935" i="10"/>
  <c r="F935" i="10"/>
  <c r="D935" i="10"/>
  <c r="P934" i="10"/>
  <c r="I934" i="10"/>
  <c r="F934" i="10"/>
  <c r="D934" i="10"/>
  <c r="P933" i="10"/>
  <c r="I933" i="10"/>
  <c r="F933" i="10"/>
  <c r="D933" i="10"/>
  <c r="P932" i="10"/>
  <c r="I932" i="10"/>
  <c r="F932" i="10"/>
  <c r="D932" i="10"/>
  <c r="P931" i="10"/>
  <c r="I931" i="10"/>
  <c r="F931" i="10"/>
  <c r="D931" i="10"/>
  <c r="P930" i="10"/>
  <c r="I930" i="10"/>
  <c r="F930" i="10"/>
  <c r="D930" i="10"/>
  <c r="P929" i="10"/>
  <c r="I929" i="10"/>
  <c r="F929" i="10"/>
  <c r="D929" i="10"/>
  <c r="P928" i="10"/>
  <c r="I928" i="10"/>
  <c r="F928" i="10"/>
  <c r="D928" i="10"/>
  <c r="P927" i="10"/>
  <c r="I927" i="10"/>
  <c r="F927" i="10"/>
  <c r="D927" i="10"/>
  <c r="P926" i="10"/>
  <c r="I926" i="10"/>
  <c r="F926" i="10"/>
  <c r="D926" i="10"/>
  <c r="P925" i="10"/>
  <c r="I925" i="10"/>
  <c r="F925" i="10"/>
  <c r="D925" i="10"/>
  <c r="P924" i="10"/>
  <c r="I924" i="10"/>
  <c r="F924" i="10"/>
  <c r="D924" i="10"/>
  <c r="P923" i="10"/>
  <c r="I923" i="10"/>
  <c r="F923" i="10"/>
  <c r="D923" i="10"/>
  <c r="P922" i="10"/>
  <c r="I922" i="10"/>
  <c r="F922" i="10"/>
  <c r="D922" i="10"/>
  <c r="P921" i="10"/>
  <c r="I921" i="10"/>
  <c r="F921" i="10"/>
  <c r="D921" i="10"/>
  <c r="P920" i="10"/>
  <c r="I920" i="10"/>
  <c r="F920" i="10"/>
  <c r="D920" i="10"/>
  <c r="P919" i="10"/>
  <c r="I919" i="10"/>
  <c r="F919" i="10"/>
  <c r="D919" i="10"/>
  <c r="P918" i="10"/>
  <c r="I918" i="10"/>
  <c r="F918" i="10"/>
  <c r="D918" i="10"/>
  <c r="P917" i="10"/>
  <c r="I917" i="10"/>
  <c r="F917" i="10"/>
  <c r="D917" i="10"/>
  <c r="P916" i="10"/>
  <c r="I916" i="10"/>
  <c r="F916" i="10"/>
  <c r="D916" i="10"/>
  <c r="P915" i="10"/>
  <c r="I915" i="10"/>
  <c r="F915" i="10"/>
  <c r="D915" i="10"/>
  <c r="P914" i="10"/>
  <c r="I914" i="10"/>
  <c r="F914" i="10"/>
  <c r="D914" i="10"/>
  <c r="P913" i="10"/>
  <c r="I913" i="10"/>
  <c r="F913" i="10"/>
  <c r="D913" i="10"/>
  <c r="P912" i="10"/>
  <c r="I912" i="10"/>
  <c r="F912" i="10"/>
  <c r="D912" i="10"/>
  <c r="P911" i="10"/>
  <c r="I911" i="10"/>
  <c r="F911" i="10"/>
  <c r="D911" i="10"/>
  <c r="P910" i="10"/>
  <c r="I910" i="10"/>
  <c r="F910" i="10"/>
  <c r="D910" i="10"/>
  <c r="P909" i="10"/>
  <c r="I909" i="10"/>
  <c r="F909" i="10"/>
  <c r="D909" i="10"/>
  <c r="P908" i="10"/>
  <c r="I908" i="10"/>
  <c r="F908" i="10"/>
  <c r="D908" i="10"/>
  <c r="P907" i="10"/>
  <c r="I907" i="10"/>
  <c r="F907" i="10"/>
  <c r="D907" i="10"/>
  <c r="P906" i="10"/>
  <c r="I906" i="10"/>
  <c r="F906" i="10"/>
  <c r="D906" i="10"/>
  <c r="P905" i="10"/>
  <c r="I905" i="10"/>
  <c r="F905" i="10"/>
  <c r="D905" i="10"/>
  <c r="P904" i="10"/>
  <c r="I904" i="10"/>
  <c r="F904" i="10"/>
  <c r="D904" i="10"/>
  <c r="P903" i="10"/>
  <c r="I903" i="10"/>
  <c r="F903" i="10"/>
  <c r="D903" i="10"/>
  <c r="P902" i="10"/>
  <c r="I902" i="10"/>
  <c r="F902" i="10"/>
  <c r="D902" i="10"/>
  <c r="P901" i="10"/>
  <c r="I901" i="10"/>
  <c r="F901" i="10"/>
  <c r="D901" i="10"/>
  <c r="P900" i="10"/>
  <c r="I900" i="10"/>
  <c r="F900" i="10"/>
  <c r="D900" i="10"/>
  <c r="P899" i="10"/>
  <c r="I899" i="10"/>
  <c r="F899" i="10"/>
  <c r="D899" i="10"/>
  <c r="P898" i="10"/>
  <c r="I898" i="10"/>
  <c r="F898" i="10"/>
  <c r="D898" i="10"/>
  <c r="P897" i="10"/>
  <c r="I897" i="10"/>
  <c r="F897" i="10"/>
  <c r="D897" i="10"/>
  <c r="P896" i="10"/>
  <c r="I896" i="10"/>
  <c r="F896" i="10"/>
  <c r="D896" i="10"/>
  <c r="P895" i="10"/>
  <c r="I895" i="10"/>
  <c r="F895" i="10"/>
  <c r="D895" i="10"/>
  <c r="P894" i="10"/>
  <c r="I894" i="10"/>
  <c r="F894" i="10"/>
  <c r="D894" i="10"/>
  <c r="P893" i="10"/>
  <c r="I893" i="10"/>
  <c r="F893" i="10"/>
  <c r="D893" i="10"/>
  <c r="P892" i="10"/>
  <c r="I892" i="10"/>
  <c r="F892" i="10"/>
  <c r="D892" i="10"/>
  <c r="P891" i="10"/>
  <c r="I891" i="10"/>
  <c r="F891" i="10"/>
  <c r="D891" i="10"/>
  <c r="P890" i="10"/>
  <c r="I890" i="10"/>
  <c r="F890" i="10"/>
  <c r="D890" i="10"/>
  <c r="P889" i="10"/>
  <c r="I889" i="10"/>
  <c r="F889" i="10"/>
  <c r="D889" i="10"/>
  <c r="P888" i="10"/>
  <c r="I888" i="10"/>
  <c r="F888" i="10"/>
  <c r="D888" i="10"/>
  <c r="P887" i="10"/>
  <c r="I887" i="10"/>
  <c r="F887" i="10"/>
  <c r="D887" i="10"/>
  <c r="P886" i="10"/>
  <c r="I886" i="10"/>
  <c r="F886" i="10"/>
  <c r="D886" i="10"/>
  <c r="P885" i="10"/>
  <c r="I885" i="10"/>
  <c r="F885" i="10"/>
  <c r="D885" i="10"/>
  <c r="P884" i="10"/>
  <c r="I884" i="10"/>
  <c r="F884" i="10"/>
  <c r="D884" i="10"/>
  <c r="P883" i="10"/>
  <c r="I883" i="10"/>
  <c r="F883" i="10"/>
  <c r="D883" i="10"/>
  <c r="P882" i="10"/>
  <c r="I882" i="10"/>
  <c r="F882" i="10"/>
  <c r="D882" i="10"/>
  <c r="P881" i="10"/>
  <c r="I881" i="10"/>
  <c r="F881" i="10"/>
  <c r="D881" i="10"/>
  <c r="P880" i="10"/>
  <c r="I880" i="10"/>
  <c r="F880" i="10"/>
  <c r="D880" i="10"/>
  <c r="P879" i="10"/>
  <c r="I879" i="10"/>
  <c r="F879" i="10"/>
  <c r="D879" i="10"/>
  <c r="P878" i="10"/>
  <c r="I878" i="10"/>
  <c r="F878" i="10"/>
  <c r="D878" i="10"/>
  <c r="P877" i="10"/>
  <c r="I877" i="10"/>
  <c r="F877" i="10"/>
  <c r="D877" i="10"/>
  <c r="P876" i="10"/>
  <c r="I876" i="10"/>
  <c r="F876" i="10"/>
  <c r="D876" i="10"/>
  <c r="P875" i="10"/>
  <c r="I875" i="10"/>
  <c r="F875" i="10"/>
  <c r="D875" i="10"/>
  <c r="P874" i="10"/>
  <c r="I874" i="10"/>
  <c r="F874" i="10"/>
  <c r="D874" i="10"/>
  <c r="P873" i="10"/>
  <c r="I873" i="10"/>
  <c r="F873" i="10"/>
  <c r="D873" i="10"/>
  <c r="P872" i="10"/>
  <c r="I872" i="10"/>
  <c r="F872" i="10"/>
  <c r="D872" i="10"/>
  <c r="P871" i="10"/>
  <c r="I871" i="10"/>
  <c r="F871" i="10"/>
  <c r="D871" i="10"/>
  <c r="P870" i="10"/>
  <c r="I870" i="10"/>
  <c r="F870" i="10"/>
  <c r="D870" i="10"/>
  <c r="P869" i="10"/>
  <c r="I869" i="10"/>
  <c r="F869" i="10"/>
  <c r="D869" i="10"/>
  <c r="P868" i="10"/>
  <c r="I868" i="10"/>
  <c r="F868" i="10"/>
  <c r="D868" i="10"/>
  <c r="P867" i="10"/>
  <c r="I867" i="10"/>
  <c r="F867" i="10"/>
  <c r="D867" i="10"/>
  <c r="P866" i="10"/>
  <c r="I866" i="10"/>
  <c r="F866" i="10"/>
  <c r="D866" i="10"/>
  <c r="P865" i="10"/>
  <c r="I865" i="10"/>
  <c r="F865" i="10"/>
  <c r="D865" i="10"/>
  <c r="P864" i="10"/>
  <c r="I864" i="10"/>
  <c r="F864" i="10"/>
  <c r="D864" i="10"/>
  <c r="P863" i="10"/>
  <c r="I863" i="10"/>
  <c r="F863" i="10"/>
  <c r="D863" i="10"/>
  <c r="P862" i="10"/>
  <c r="I862" i="10"/>
  <c r="F862" i="10"/>
  <c r="D862" i="10"/>
  <c r="P861" i="10"/>
  <c r="I861" i="10"/>
  <c r="F861" i="10"/>
  <c r="D861" i="10"/>
  <c r="P860" i="10"/>
  <c r="I860" i="10"/>
  <c r="F860" i="10"/>
  <c r="D860" i="10"/>
  <c r="P859" i="10"/>
  <c r="I859" i="10"/>
  <c r="F859" i="10"/>
  <c r="D859" i="10"/>
  <c r="P858" i="10"/>
  <c r="I858" i="10"/>
  <c r="F858" i="10"/>
  <c r="D858" i="10"/>
  <c r="P857" i="10"/>
  <c r="I857" i="10"/>
  <c r="F857" i="10"/>
  <c r="D857" i="10"/>
  <c r="P856" i="10"/>
  <c r="I856" i="10"/>
  <c r="F856" i="10"/>
  <c r="D856" i="10"/>
  <c r="P855" i="10"/>
  <c r="I855" i="10"/>
  <c r="F855" i="10"/>
  <c r="D855" i="10"/>
  <c r="P854" i="10"/>
  <c r="I854" i="10"/>
  <c r="F854" i="10"/>
  <c r="D854" i="10"/>
  <c r="P853" i="10"/>
  <c r="I853" i="10"/>
  <c r="F853" i="10"/>
  <c r="D853" i="10"/>
  <c r="P852" i="10"/>
  <c r="I852" i="10"/>
  <c r="F852" i="10"/>
  <c r="D852" i="10"/>
  <c r="P851" i="10"/>
  <c r="I851" i="10"/>
  <c r="F851" i="10"/>
  <c r="D851" i="10"/>
  <c r="P850" i="10"/>
  <c r="I850" i="10"/>
  <c r="F850" i="10"/>
  <c r="D850" i="10"/>
  <c r="P849" i="10"/>
  <c r="I849" i="10"/>
  <c r="F849" i="10"/>
  <c r="D849" i="10"/>
  <c r="P848" i="10"/>
  <c r="I848" i="10"/>
  <c r="F848" i="10"/>
  <c r="D848" i="10"/>
  <c r="P847" i="10"/>
  <c r="I847" i="10"/>
  <c r="F847" i="10"/>
  <c r="D847" i="10"/>
  <c r="P846" i="10"/>
  <c r="I846" i="10"/>
  <c r="F846" i="10"/>
  <c r="D846" i="10"/>
  <c r="P845" i="10"/>
  <c r="I845" i="10"/>
  <c r="F845" i="10"/>
  <c r="D845" i="10"/>
  <c r="P844" i="10"/>
  <c r="I844" i="10"/>
  <c r="F844" i="10"/>
  <c r="D844" i="10"/>
  <c r="P843" i="10"/>
  <c r="I843" i="10"/>
  <c r="F843" i="10"/>
  <c r="D843" i="10"/>
  <c r="P842" i="10"/>
  <c r="I842" i="10"/>
  <c r="F842" i="10"/>
  <c r="D842" i="10"/>
  <c r="P841" i="10"/>
  <c r="I841" i="10"/>
  <c r="F841" i="10"/>
  <c r="D841" i="10"/>
  <c r="P840" i="10"/>
  <c r="I840" i="10"/>
  <c r="F840" i="10"/>
  <c r="D840" i="10"/>
  <c r="P839" i="10"/>
  <c r="I839" i="10"/>
  <c r="F839" i="10"/>
  <c r="D839" i="10"/>
  <c r="P838" i="10"/>
  <c r="I838" i="10"/>
  <c r="F838" i="10"/>
  <c r="D838" i="10"/>
  <c r="P837" i="10"/>
  <c r="I837" i="10"/>
  <c r="F837" i="10"/>
  <c r="D837" i="10"/>
  <c r="P836" i="10"/>
  <c r="I836" i="10"/>
  <c r="F836" i="10"/>
  <c r="D836" i="10"/>
  <c r="P835" i="10"/>
  <c r="I835" i="10"/>
  <c r="F835" i="10"/>
  <c r="D835" i="10"/>
  <c r="P834" i="10"/>
  <c r="I834" i="10"/>
  <c r="F834" i="10"/>
  <c r="D834" i="10"/>
  <c r="P833" i="10"/>
  <c r="I833" i="10"/>
  <c r="F833" i="10"/>
  <c r="D833" i="10"/>
  <c r="P832" i="10"/>
  <c r="I832" i="10"/>
  <c r="F832" i="10"/>
  <c r="D832" i="10"/>
  <c r="P831" i="10"/>
  <c r="I831" i="10"/>
  <c r="F831" i="10"/>
  <c r="D831" i="10"/>
  <c r="P830" i="10"/>
  <c r="I830" i="10"/>
  <c r="F830" i="10"/>
  <c r="D830" i="10"/>
  <c r="P829" i="10"/>
  <c r="I829" i="10"/>
  <c r="F829" i="10"/>
  <c r="D829" i="10"/>
  <c r="P828" i="10"/>
  <c r="I828" i="10"/>
  <c r="F828" i="10"/>
  <c r="D828" i="10"/>
  <c r="P827" i="10"/>
  <c r="I827" i="10"/>
  <c r="F827" i="10"/>
  <c r="D827" i="10"/>
  <c r="P826" i="10"/>
  <c r="I826" i="10"/>
  <c r="F826" i="10"/>
  <c r="D826" i="10"/>
  <c r="P825" i="10"/>
  <c r="I825" i="10"/>
  <c r="F825" i="10"/>
  <c r="D825" i="10"/>
  <c r="P824" i="10"/>
  <c r="I824" i="10"/>
  <c r="F824" i="10"/>
  <c r="D824" i="10"/>
  <c r="P823" i="10"/>
  <c r="I823" i="10"/>
  <c r="F823" i="10"/>
  <c r="D823" i="10"/>
  <c r="P822" i="10"/>
  <c r="I822" i="10"/>
  <c r="F822" i="10"/>
  <c r="D822" i="10"/>
  <c r="P821" i="10"/>
  <c r="I821" i="10"/>
  <c r="F821" i="10"/>
  <c r="D821" i="10"/>
  <c r="P820" i="10"/>
  <c r="I820" i="10"/>
  <c r="F820" i="10"/>
  <c r="D820" i="10"/>
  <c r="P819" i="10"/>
  <c r="I819" i="10"/>
  <c r="F819" i="10"/>
  <c r="D819" i="10"/>
  <c r="P818" i="10"/>
  <c r="I818" i="10"/>
  <c r="F818" i="10"/>
  <c r="D818" i="10"/>
  <c r="P817" i="10"/>
  <c r="I817" i="10"/>
  <c r="F817" i="10"/>
  <c r="D817" i="10"/>
  <c r="P816" i="10"/>
  <c r="I816" i="10"/>
  <c r="F816" i="10"/>
  <c r="D816" i="10"/>
  <c r="P815" i="10"/>
  <c r="I815" i="10"/>
  <c r="F815" i="10"/>
  <c r="D815" i="10"/>
  <c r="P814" i="10"/>
  <c r="I814" i="10"/>
  <c r="F814" i="10"/>
  <c r="D814" i="10"/>
  <c r="P813" i="10"/>
  <c r="I813" i="10"/>
  <c r="F813" i="10"/>
  <c r="D813" i="10"/>
  <c r="P812" i="10"/>
  <c r="I812" i="10"/>
  <c r="F812" i="10"/>
  <c r="D812" i="10"/>
  <c r="P811" i="10"/>
  <c r="I811" i="10"/>
  <c r="F811" i="10"/>
  <c r="D811" i="10"/>
  <c r="P810" i="10"/>
  <c r="I810" i="10"/>
  <c r="F810" i="10"/>
  <c r="D810" i="10"/>
  <c r="P809" i="10"/>
  <c r="I809" i="10"/>
  <c r="F809" i="10"/>
  <c r="D809" i="10"/>
  <c r="P808" i="10"/>
  <c r="I808" i="10"/>
  <c r="F808" i="10"/>
  <c r="D808" i="10"/>
  <c r="P807" i="10"/>
  <c r="I807" i="10"/>
  <c r="F807" i="10"/>
  <c r="D807" i="10"/>
  <c r="P806" i="10"/>
  <c r="I806" i="10"/>
  <c r="F806" i="10"/>
  <c r="D806" i="10"/>
  <c r="P805" i="10"/>
  <c r="I805" i="10"/>
  <c r="F805" i="10"/>
  <c r="D805" i="10"/>
  <c r="P804" i="10"/>
  <c r="I804" i="10"/>
  <c r="F804" i="10"/>
  <c r="D804" i="10"/>
  <c r="P803" i="10"/>
  <c r="I803" i="10"/>
  <c r="F803" i="10"/>
  <c r="D803" i="10"/>
  <c r="P802" i="10"/>
  <c r="I802" i="10"/>
  <c r="F802" i="10"/>
  <c r="D802" i="10"/>
  <c r="P801" i="10"/>
  <c r="I801" i="10"/>
  <c r="F801" i="10"/>
  <c r="D801" i="10"/>
  <c r="P800" i="10"/>
  <c r="I800" i="10"/>
  <c r="F800" i="10"/>
  <c r="D800" i="10"/>
  <c r="P799" i="10"/>
  <c r="I799" i="10"/>
  <c r="F799" i="10"/>
  <c r="D799" i="10"/>
  <c r="P798" i="10"/>
  <c r="I798" i="10"/>
  <c r="F798" i="10"/>
  <c r="D798" i="10"/>
  <c r="P797" i="10"/>
  <c r="I797" i="10"/>
  <c r="F797" i="10"/>
  <c r="D797" i="10"/>
  <c r="P796" i="10"/>
  <c r="I796" i="10"/>
  <c r="F796" i="10"/>
  <c r="D796" i="10"/>
  <c r="P795" i="10"/>
  <c r="I795" i="10"/>
  <c r="F795" i="10"/>
  <c r="D795" i="10"/>
  <c r="P794" i="10"/>
  <c r="I794" i="10"/>
  <c r="F794" i="10"/>
  <c r="D794" i="10"/>
  <c r="P793" i="10"/>
  <c r="I793" i="10"/>
  <c r="F793" i="10"/>
  <c r="D793" i="10"/>
  <c r="P792" i="10"/>
  <c r="I792" i="10"/>
  <c r="F792" i="10"/>
  <c r="D792" i="10"/>
  <c r="P791" i="10"/>
  <c r="I791" i="10"/>
  <c r="F791" i="10"/>
  <c r="D791" i="10"/>
  <c r="P790" i="10"/>
  <c r="I790" i="10"/>
  <c r="F790" i="10"/>
  <c r="D790" i="10"/>
  <c r="P789" i="10"/>
  <c r="I789" i="10"/>
  <c r="F789" i="10"/>
  <c r="D789" i="10"/>
  <c r="P788" i="10"/>
  <c r="I788" i="10"/>
  <c r="F788" i="10"/>
  <c r="D788" i="10"/>
  <c r="P787" i="10"/>
  <c r="I787" i="10"/>
  <c r="F787" i="10"/>
  <c r="D787" i="10"/>
  <c r="P786" i="10"/>
  <c r="I786" i="10"/>
  <c r="F786" i="10"/>
  <c r="D786" i="10"/>
  <c r="P785" i="10"/>
  <c r="I785" i="10"/>
  <c r="F785" i="10"/>
  <c r="D785" i="10"/>
  <c r="P784" i="10"/>
  <c r="I784" i="10"/>
  <c r="F784" i="10"/>
  <c r="D784" i="10"/>
  <c r="P783" i="10"/>
  <c r="I783" i="10"/>
  <c r="F783" i="10"/>
  <c r="D783" i="10"/>
  <c r="P782" i="10"/>
  <c r="I782" i="10"/>
  <c r="F782" i="10"/>
  <c r="D782" i="10"/>
  <c r="P781" i="10"/>
  <c r="I781" i="10"/>
  <c r="F781" i="10"/>
  <c r="D781" i="10"/>
  <c r="P780" i="10"/>
  <c r="I780" i="10"/>
  <c r="F780" i="10"/>
  <c r="D780" i="10"/>
  <c r="P779" i="10"/>
  <c r="I779" i="10"/>
  <c r="F779" i="10"/>
  <c r="D779" i="10"/>
  <c r="P778" i="10"/>
  <c r="I778" i="10"/>
  <c r="F778" i="10"/>
  <c r="D778" i="10"/>
  <c r="P777" i="10"/>
  <c r="I777" i="10"/>
  <c r="F777" i="10"/>
  <c r="D777" i="10"/>
  <c r="P776" i="10"/>
  <c r="I776" i="10"/>
  <c r="F776" i="10"/>
  <c r="D776" i="10"/>
  <c r="P775" i="10"/>
  <c r="I775" i="10"/>
  <c r="F775" i="10"/>
  <c r="D775" i="10"/>
  <c r="P774" i="10"/>
  <c r="I774" i="10"/>
  <c r="F774" i="10"/>
  <c r="D774" i="10"/>
  <c r="P773" i="10"/>
  <c r="I773" i="10"/>
  <c r="F773" i="10"/>
  <c r="D773" i="10"/>
  <c r="P772" i="10"/>
  <c r="I772" i="10"/>
  <c r="F772" i="10"/>
  <c r="D772" i="10"/>
  <c r="P771" i="10"/>
  <c r="I771" i="10"/>
  <c r="F771" i="10"/>
  <c r="D771" i="10"/>
  <c r="P770" i="10"/>
  <c r="I770" i="10"/>
  <c r="F770" i="10"/>
  <c r="D770" i="10"/>
  <c r="P769" i="10"/>
  <c r="I769" i="10"/>
  <c r="F769" i="10"/>
  <c r="D769" i="10"/>
  <c r="P768" i="10"/>
  <c r="I768" i="10"/>
  <c r="F768" i="10"/>
  <c r="D768" i="10"/>
  <c r="P767" i="10"/>
  <c r="I767" i="10"/>
  <c r="F767" i="10"/>
  <c r="D767" i="10"/>
  <c r="P766" i="10"/>
  <c r="I766" i="10"/>
  <c r="F766" i="10"/>
  <c r="D766" i="10"/>
  <c r="P765" i="10"/>
  <c r="I765" i="10"/>
  <c r="F765" i="10"/>
  <c r="D765" i="10"/>
  <c r="P764" i="10"/>
  <c r="I764" i="10"/>
  <c r="F764" i="10"/>
  <c r="D764" i="10"/>
  <c r="P763" i="10"/>
  <c r="I763" i="10"/>
  <c r="F763" i="10"/>
  <c r="D763" i="10"/>
  <c r="P762" i="10"/>
  <c r="I762" i="10"/>
  <c r="F762" i="10"/>
  <c r="D762" i="10"/>
  <c r="P761" i="10"/>
  <c r="I761" i="10"/>
  <c r="F761" i="10"/>
  <c r="D761" i="10"/>
  <c r="P760" i="10"/>
  <c r="I760" i="10"/>
  <c r="F760" i="10"/>
  <c r="D760" i="10"/>
  <c r="P759" i="10"/>
  <c r="I759" i="10"/>
  <c r="F759" i="10"/>
  <c r="D759" i="10"/>
  <c r="P758" i="10"/>
  <c r="I758" i="10"/>
  <c r="F758" i="10"/>
  <c r="D758" i="10"/>
  <c r="P757" i="10"/>
  <c r="I757" i="10"/>
  <c r="F757" i="10"/>
  <c r="D757" i="10"/>
  <c r="P756" i="10"/>
  <c r="I756" i="10"/>
  <c r="F756" i="10"/>
  <c r="D756" i="10"/>
  <c r="P755" i="10"/>
  <c r="I755" i="10"/>
  <c r="F755" i="10"/>
  <c r="D755" i="10"/>
  <c r="P754" i="10"/>
  <c r="I754" i="10"/>
  <c r="F754" i="10"/>
  <c r="D754" i="10"/>
  <c r="P753" i="10"/>
  <c r="I753" i="10"/>
  <c r="F753" i="10"/>
  <c r="D753" i="10"/>
  <c r="P752" i="10"/>
  <c r="I752" i="10"/>
  <c r="F752" i="10"/>
  <c r="D752" i="10"/>
  <c r="P751" i="10"/>
  <c r="I751" i="10"/>
  <c r="F751" i="10"/>
  <c r="D751" i="10"/>
  <c r="P750" i="10"/>
  <c r="I750" i="10"/>
  <c r="F750" i="10"/>
  <c r="D750" i="10"/>
  <c r="P749" i="10"/>
  <c r="I749" i="10"/>
  <c r="F749" i="10"/>
  <c r="D749" i="10"/>
  <c r="P748" i="10"/>
  <c r="I748" i="10"/>
  <c r="F748" i="10"/>
  <c r="D748" i="10"/>
  <c r="P747" i="10"/>
  <c r="I747" i="10"/>
  <c r="F747" i="10"/>
  <c r="D747" i="10"/>
  <c r="P746" i="10"/>
  <c r="I746" i="10"/>
  <c r="F746" i="10"/>
  <c r="D746" i="10"/>
  <c r="P745" i="10"/>
  <c r="I745" i="10"/>
  <c r="F745" i="10"/>
  <c r="D745" i="10"/>
  <c r="P744" i="10"/>
  <c r="I744" i="10"/>
  <c r="F744" i="10"/>
  <c r="D744" i="10"/>
  <c r="P743" i="10"/>
  <c r="I743" i="10"/>
  <c r="F743" i="10"/>
  <c r="D743" i="10"/>
  <c r="P742" i="10"/>
  <c r="I742" i="10"/>
  <c r="F742" i="10"/>
  <c r="D742" i="10"/>
  <c r="P741" i="10"/>
  <c r="I741" i="10"/>
  <c r="F741" i="10"/>
  <c r="D741" i="10"/>
  <c r="P740" i="10"/>
  <c r="I740" i="10"/>
  <c r="F740" i="10"/>
  <c r="D740" i="10"/>
  <c r="P739" i="10"/>
  <c r="I739" i="10"/>
  <c r="F739" i="10"/>
  <c r="D739" i="10"/>
  <c r="P738" i="10"/>
  <c r="I738" i="10"/>
  <c r="F738" i="10"/>
  <c r="D738" i="10"/>
  <c r="P737" i="10"/>
  <c r="I737" i="10"/>
  <c r="F737" i="10"/>
  <c r="D737" i="10"/>
  <c r="I736" i="10"/>
  <c r="P735" i="10"/>
  <c r="I735" i="10"/>
  <c r="F735" i="10"/>
  <c r="D735" i="10"/>
  <c r="P734" i="10"/>
  <c r="I734" i="10"/>
  <c r="F734" i="10"/>
  <c r="D734" i="10"/>
  <c r="P733" i="10"/>
  <c r="I733" i="10"/>
  <c r="F733" i="10"/>
  <c r="D733" i="10"/>
  <c r="P732" i="10"/>
  <c r="I732" i="10"/>
  <c r="F732" i="10"/>
  <c r="D732" i="10"/>
  <c r="P731" i="10"/>
  <c r="I731" i="10"/>
  <c r="F731" i="10"/>
  <c r="D731" i="10"/>
  <c r="P730" i="10"/>
  <c r="I730" i="10"/>
  <c r="F730" i="10"/>
  <c r="D730" i="10"/>
  <c r="P729" i="10"/>
  <c r="I729" i="10"/>
  <c r="F729" i="10"/>
  <c r="D729" i="10"/>
  <c r="P728" i="10"/>
  <c r="I728" i="10"/>
  <c r="F728" i="10"/>
  <c r="D728" i="10"/>
  <c r="P727" i="10"/>
  <c r="I727" i="10"/>
  <c r="F727" i="10"/>
  <c r="D727" i="10"/>
  <c r="P726" i="10"/>
  <c r="I726" i="10"/>
  <c r="F726" i="10"/>
  <c r="D726" i="10"/>
  <c r="P725" i="10"/>
  <c r="I725" i="10"/>
  <c r="F725" i="10"/>
  <c r="D725" i="10"/>
  <c r="P724" i="10"/>
  <c r="I724" i="10"/>
  <c r="F724" i="10"/>
  <c r="D724" i="10"/>
  <c r="P723" i="10"/>
  <c r="I723" i="10"/>
  <c r="F723" i="10"/>
  <c r="D723" i="10"/>
  <c r="P722" i="10"/>
  <c r="I722" i="10"/>
  <c r="F722" i="10"/>
  <c r="D722" i="10"/>
  <c r="P721" i="10"/>
  <c r="I721" i="10"/>
  <c r="F721" i="10"/>
  <c r="D721" i="10"/>
  <c r="P720" i="10"/>
  <c r="I720" i="10"/>
  <c r="F720" i="10"/>
  <c r="D720" i="10"/>
  <c r="P719" i="10"/>
  <c r="I719" i="10"/>
  <c r="F719" i="10"/>
  <c r="D719" i="10"/>
  <c r="P718" i="10"/>
  <c r="I718" i="10"/>
  <c r="F718" i="10"/>
  <c r="D718" i="10"/>
  <c r="P717" i="10"/>
  <c r="I717" i="10"/>
  <c r="F717" i="10"/>
  <c r="D717" i="10"/>
  <c r="P716" i="10"/>
  <c r="I716" i="10"/>
  <c r="F716" i="10"/>
  <c r="D716" i="10"/>
  <c r="P715" i="10"/>
  <c r="I715" i="10"/>
  <c r="F715" i="10"/>
  <c r="D715" i="10"/>
  <c r="P714" i="10"/>
  <c r="I714" i="10"/>
  <c r="F714" i="10"/>
  <c r="D714" i="10"/>
  <c r="P713" i="10"/>
  <c r="I713" i="10"/>
  <c r="F713" i="10"/>
  <c r="D713" i="10"/>
  <c r="P712" i="10"/>
  <c r="I712" i="10"/>
  <c r="F712" i="10"/>
  <c r="D712" i="10"/>
  <c r="P711" i="10"/>
  <c r="I711" i="10"/>
  <c r="F711" i="10"/>
  <c r="D711" i="10"/>
  <c r="P710" i="10"/>
  <c r="I710" i="10"/>
  <c r="F710" i="10"/>
  <c r="D710" i="10"/>
  <c r="P709" i="10"/>
  <c r="I709" i="10"/>
  <c r="F709" i="10"/>
  <c r="D709" i="10"/>
  <c r="P708" i="10"/>
  <c r="I708" i="10"/>
  <c r="F708" i="10"/>
  <c r="D708" i="10"/>
  <c r="P707" i="10"/>
  <c r="I707" i="10"/>
  <c r="F707" i="10"/>
  <c r="D707" i="10"/>
  <c r="P706" i="10"/>
  <c r="I706" i="10"/>
  <c r="F706" i="10"/>
  <c r="D706" i="10"/>
  <c r="P705" i="10"/>
  <c r="I705" i="10"/>
  <c r="F705" i="10"/>
  <c r="D705" i="10"/>
  <c r="P704" i="10"/>
  <c r="I704" i="10"/>
  <c r="F704" i="10"/>
  <c r="D704" i="10"/>
  <c r="P703" i="10"/>
  <c r="I703" i="10"/>
  <c r="F703" i="10"/>
  <c r="D703" i="10"/>
  <c r="P702" i="10"/>
  <c r="I702" i="10"/>
  <c r="F702" i="10"/>
  <c r="D702" i="10"/>
  <c r="P701" i="10"/>
  <c r="I701" i="10"/>
  <c r="F701" i="10"/>
  <c r="D701" i="10"/>
  <c r="P700" i="10"/>
  <c r="I700" i="10"/>
  <c r="F700" i="10"/>
  <c r="D700" i="10"/>
  <c r="P699" i="10"/>
  <c r="I699" i="10"/>
  <c r="F699" i="10"/>
  <c r="D699" i="10"/>
  <c r="P698" i="10"/>
  <c r="I698" i="10"/>
  <c r="F698" i="10"/>
  <c r="D698" i="10"/>
  <c r="P697" i="10"/>
  <c r="I697" i="10"/>
  <c r="F697" i="10"/>
  <c r="D697" i="10"/>
  <c r="P696" i="10"/>
  <c r="I696" i="10"/>
  <c r="F696" i="10"/>
  <c r="D696" i="10"/>
  <c r="P695" i="10"/>
  <c r="I695" i="10"/>
  <c r="F695" i="10"/>
  <c r="D695" i="10"/>
  <c r="P694" i="10"/>
  <c r="I694" i="10"/>
  <c r="F694" i="10"/>
  <c r="D694" i="10"/>
  <c r="P693" i="10"/>
  <c r="I693" i="10"/>
  <c r="F693" i="10"/>
  <c r="D693" i="10"/>
  <c r="P692" i="10"/>
  <c r="I692" i="10"/>
  <c r="F692" i="10"/>
  <c r="D692" i="10"/>
  <c r="P691" i="10"/>
  <c r="I691" i="10"/>
  <c r="F691" i="10"/>
  <c r="D691" i="10"/>
  <c r="P690" i="10"/>
  <c r="I690" i="10"/>
  <c r="F690" i="10"/>
  <c r="D690" i="10"/>
  <c r="P689" i="10"/>
  <c r="I689" i="10"/>
  <c r="F689" i="10"/>
  <c r="D689" i="10"/>
  <c r="P688" i="10"/>
  <c r="I688" i="10"/>
  <c r="F688" i="10"/>
  <c r="D688" i="10"/>
  <c r="P687" i="10"/>
  <c r="I687" i="10"/>
  <c r="F687" i="10"/>
  <c r="D687" i="10"/>
  <c r="P686" i="10"/>
  <c r="I686" i="10"/>
  <c r="F686" i="10"/>
  <c r="D686" i="10"/>
  <c r="P685" i="10"/>
  <c r="I685" i="10"/>
  <c r="F685" i="10"/>
  <c r="D685" i="10"/>
  <c r="P684" i="10"/>
  <c r="I684" i="10"/>
  <c r="F684" i="10"/>
  <c r="D684" i="10"/>
  <c r="P683" i="10"/>
  <c r="I683" i="10"/>
  <c r="F683" i="10"/>
  <c r="D683" i="10"/>
  <c r="P682" i="10"/>
  <c r="I682" i="10"/>
  <c r="F682" i="10"/>
  <c r="D682" i="10"/>
  <c r="P681" i="10"/>
  <c r="I681" i="10"/>
  <c r="F681" i="10"/>
  <c r="D681" i="10"/>
  <c r="P680" i="10"/>
  <c r="I680" i="10"/>
  <c r="F680" i="10"/>
  <c r="D680" i="10"/>
  <c r="P679" i="10"/>
  <c r="I679" i="10"/>
  <c r="F679" i="10"/>
  <c r="D679" i="10"/>
  <c r="P678" i="10"/>
  <c r="I678" i="10"/>
  <c r="F678" i="10"/>
  <c r="D678" i="10"/>
  <c r="P677" i="10"/>
  <c r="I677" i="10"/>
  <c r="F677" i="10"/>
  <c r="D677" i="10"/>
  <c r="P676" i="10"/>
  <c r="I676" i="10"/>
  <c r="F676" i="10"/>
  <c r="D676" i="10"/>
  <c r="P675" i="10"/>
  <c r="I675" i="10"/>
  <c r="F675" i="10"/>
  <c r="D675" i="10"/>
  <c r="P674" i="10"/>
  <c r="I674" i="10"/>
  <c r="F674" i="10"/>
  <c r="D674" i="10"/>
  <c r="P673" i="10"/>
  <c r="I673" i="10"/>
  <c r="F673" i="10"/>
  <c r="D673" i="10"/>
  <c r="P672" i="10"/>
  <c r="I672" i="10"/>
  <c r="F672" i="10"/>
  <c r="D672" i="10"/>
  <c r="P671" i="10"/>
  <c r="I671" i="10"/>
  <c r="F671" i="10"/>
  <c r="D671" i="10"/>
  <c r="P670" i="10"/>
  <c r="I670" i="10"/>
  <c r="F670" i="10"/>
  <c r="D670" i="10"/>
  <c r="P669" i="10"/>
  <c r="I669" i="10"/>
  <c r="F669" i="10"/>
  <c r="D669" i="10"/>
  <c r="P668" i="10"/>
  <c r="I668" i="10"/>
  <c r="F668" i="10"/>
  <c r="D668" i="10"/>
  <c r="P667" i="10"/>
  <c r="I667" i="10"/>
  <c r="F667" i="10"/>
  <c r="D667" i="10"/>
  <c r="P666" i="10"/>
  <c r="I666" i="10"/>
  <c r="F666" i="10"/>
  <c r="D666" i="10"/>
  <c r="P665" i="10"/>
  <c r="I665" i="10"/>
  <c r="F665" i="10"/>
  <c r="D665" i="10"/>
  <c r="P664" i="10"/>
  <c r="I664" i="10"/>
  <c r="F664" i="10"/>
  <c r="D664" i="10"/>
  <c r="P663" i="10"/>
  <c r="I663" i="10"/>
  <c r="F663" i="10"/>
  <c r="D663" i="10"/>
  <c r="P662" i="10"/>
  <c r="I662" i="10"/>
  <c r="F662" i="10"/>
  <c r="D662" i="10"/>
  <c r="P661" i="10"/>
  <c r="I661" i="10"/>
  <c r="F661" i="10"/>
  <c r="D661" i="10"/>
  <c r="P660" i="10"/>
  <c r="I660" i="10"/>
  <c r="F660" i="10"/>
  <c r="D660" i="10"/>
  <c r="P659" i="10"/>
  <c r="I659" i="10"/>
  <c r="F659" i="10"/>
  <c r="D659" i="10"/>
  <c r="P658" i="10"/>
  <c r="I658" i="10"/>
  <c r="F658" i="10"/>
  <c r="D658" i="10"/>
  <c r="P657" i="10"/>
  <c r="I657" i="10"/>
  <c r="F657" i="10"/>
  <c r="D657" i="10"/>
  <c r="P656" i="10"/>
  <c r="I656" i="10"/>
  <c r="F656" i="10"/>
  <c r="D656" i="10"/>
  <c r="P655" i="10"/>
  <c r="I655" i="10"/>
  <c r="F655" i="10"/>
  <c r="D655" i="10"/>
  <c r="P654" i="10"/>
  <c r="I654" i="10"/>
  <c r="F654" i="10"/>
  <c r="D654" i="10"/>
  <c r="P653" i="10"/>
  <c r="I653" i="10"/>
  <c r="F653" i="10"/>
  <c r="D653" i="10"/>
  <c r="P652" i="10"/>
  <c r="I652" i="10"/>
  <c r="F652" i="10"/>
  <c r="D652" i="10"/>
  <c r="P651" i="10"/>
  <c r="I651" i="10"/>
  <c r="F651" i="10"/>
  <c r="D651" i="10"/>
  <c r="P650" i="10"/>
  <c r="I650" i="10"/>
  <c r="F650" i="10"/>
  <c r="D650" i="10"/>
  <c r="P649" i="10"/>
  <c r="I649" i="10"/>
  <c r="F649" i="10"/>
  <c r="D649" i="10"/>
  <c r="P648" i="10"/>
  <c r="I648" i="10"/>
  <c r="F648" i="10"/>
  <c r="D648" i="10"/>
  <c r="P647" i="10"/>
  <c r="I647" i="10"/>
  <c r="F647" i="10"/>
  <c r="D647" i="10"/>
  <c r="P646" i="10"/>
  <c r="I646" i="10"/>
  <c r="F646" i="10"/>
  <c r="D646" i="10"/>
  <c r="P645" i="10"/>
  <c r="I645" i="10"/>
  <c r="F645" i="10"/>
  <c r="D645" i="10"/>
  <c r="P644" i="10"/>
  <c r="I644" i="10"/>
  <c r="F644" i="10"/>
  <c r="D644" i="10"/>
  <c r="P643" i="10"/>
  <c r="I643" i="10"/>
  <c r="F643" i="10"/>
  <c r="D643" i="10"/>
  <c r="P642" i="10"/>
  <c r="I642" i="10"/>
  <c r="F642" i="10"/>
  <c r="D642" i="10"/>
  <c r="P641" i="10"/>
  <c r="I641" i="10"/>
  <c r="F641" i="10"/>
  <c r="D641" i="10"/>
  <c r="P640" i="10"/>
  <c r="I640" i="10"/>
  <c r="F640" i="10"/>
  <c r="D640" i="10"/>
  <c r="P639" i="10"/>
  <c r="I639" i="10"/>
  <c r="F639" i="10"/>
  <c r="D639" i="10"/>
  <c r="P638" i="10"/>
  <c r="I638" i="10"/>
  <c r="F638" i="10"/>
  <c r="D638" i="10"/>
  <c r="P637" i="10"/>
  <c r="I637" i="10"/>
  <c r="F637" i="10"/>
  <c r="D637" i="10"/>
  <c r="P636" i="10"/>
  <c r="I636" i="10"/>
  <c r="F636" i="10"/>
  <c r="D636" i="10"/>
  <c r="P635" i="10"/>
  <c r="I635" i="10"/>
  <c r="F635" i="10"/>
  <c r="D635" i="10"/>
  <c r="P634" i="10"/>
  <c r="I634" i="10"/>
  <c r="F634" i="10"/>
  <c r="D634" i="10"/>
  <c r="P633" i="10"/>
  <c r="I633" i="10"/>
  <c r="F633" i="10"/>
  <c r="D633" i="10"/>
  <c r="P632" i="10"/>
  <c r="I632" i="10"/>
  <c r="F632" i="10"/>
  <c r="D632" i="10"/>
  <c r="P631" i="10"/>
  <c r="I631" i="10"/>
  <c r="F631" i="10"/>
  <c r="D631" i="10"/>
  <c r="P630" i="10"/>
  <c r="I630" i="10"/>
  <c r="F630" i="10"/>
  <c r="D630" i="10"/>
  <c r="P629" i="10"/>
  <c r="I629" i="10"/>
  <c r="F629" i="10"/>
  <c r="D629" i="10"/>
  <c r="P628" i="10"/>
  <c r="I628" i="10"/>
  <c r="F628" i="10"/>
  <c r="D628" i="10"/>
  <c r="P627" i="10"/>
  <c r="I627" i="10"/>
  <c r="F627" i="10"/>
  <c r="D627" i="10"/>
  <c r="P626" i="10"/>
  <c r="I626" i="10"/>
  <c r="F626" i="10"/>
  <c r="D626" i="10"/>
  <c r="P625" i="10"/>
  <c r="I625" i="10"/>
  <c r="F625" i="10"/>
  <c r="D625" i="10"/>
  <c r="P624" i="10"/>
  <c r="I624" i="10"/>
  <c r="F624" i="10"/>
  <c r="D624" i="10"/>
  <c r="P623" i="10"/>
  <c r="I623" i="10"/>
  <c r="F623" i="10"/>
  <c r="D623" i="10"/>
  <c r="P622" i="10"/>
  <c r="I622" i="10"/>
  <c r="F622" i="10"/>
  <c r="D622" i="10"/>
  <c r="P621" i="10"/>
  <c r="I621" i="10"/>
  <c r="F621" i="10"/>
  <c r="D621" i="10"/>
  <c r="P620" i="10"/>
  <c r="I620" i="10"/>
  <c r="F620" i="10"/>
  <c r="D620" i="10"/>
  <c r="P619" i="10"/>
  <c r="I619" i="10"/>
  <c r="F619" i="10"/>
  <c r="D619" i="10"/>
  <c r="P618" i="10"/>
  <c r="I618" i="10"/>
  <c r="F618" i="10"/>
  <c r="D618" i="10"/>
  <c r="P617" i="10"/>
  <c r="I617" i="10"/>
  <c r="F617" i="10"/>
  <c r="D617" i="10"/>
  <c r="P616" i="10"/>
  <c r="I616" i="10"/>
  <c r="F616" i="10"/>
  <c r="D616" i="10"/>
  <c r="P615" i="10"/>
  <c r="I615" i="10"/>
  <c r="F615" i="10"/>
  <c r="D615" i="10"/>
  <c r="P614" i="10"/>
  <c r="I614" i="10"/>
  <c r="F614" i="10"/>
  <c r="D614" i="10"/>
  <c r="P613" i="10"/>
  <c r="I613" i="10"/>
  <c r="F613" i="10"/>
  <c r="D613" i="10"/>
  <c r="P612" i="10"/>
  <c r="I612" i="10"/>
  <c r="F612" i="10"/>
  <c r="D612" i="10"/>
  <c r="P611" i="10"/>
  <c r="I611" i="10"/>
  <c r="F611" i="10"/>
  <c r="D611" i="10"/>
  <c r="P610" i="10"/>
  <c r="I610" i="10"/>
  <c r="F610" i="10"/>
  <c r="D610" i="10"/>
  <c r="P609" i="10"/>
  <c r="I609" i="10"/>
  <c r="F609" i="10"/>
  <c r="D609" i="10"/>
  <c r="P608" i="10"/>
  <c r="I608" i="10"/>
  <c r="F608" i="10"/>
  <c r="D608" i="10"/>
  <c r="P607" i="10"/>
  <c r="I607" i="10"/>
  <c r="F607" i="10"/>
  <c r="D607" i="10"/>
  <c r="P606" i="10"/>
  <c r="I606" i="10"/>
  <c r="F606" i="10"/>
  <c r="D606" i="10"/>
  <c r="P605" i="10"/>
  <c r="I605" i="10"/>
  <c r="F605" i="10"/>
  <c r="D605" i="10"/>
  <c r="P604" i="10"/>
  <c r="I604" i="10"/>
  <c r="F604" i="10"/>
  <c r="D604" i="10"/>
  <c r="P603" i="10"/>
  <c r="I603" i="10"/>
  <c r="F603" i="10"/>
  <c r="D603" i="10"/>
  <c r="P602" i="10"/>
  <c r="I602" i="10"/>
  <c r="F602" i="10"/>
  <c r="D602" i="10"/>
  <c r="P601" i="10"/>
  <c r="I601" i="10"/>
  <c r="F601" i="10"/>
  <c r="D601" i="10"/>
  <c r="P600" i="10"/>
  <c r="I600" i="10"/>
  <c r="F600" i="10"/>
  <c r="D600" i="10"/>
  <c r="P599" i="10"/>
  <c r="I599" i="10"/>
  <c r="F599" i="10"/>
  <c r="D599" i="10"/>
  <c r="P598" i="10"/>
  <c r="I598" i="10"/>
  <c r="F598" i="10"/>
  <c r="D598" i="10"/>
  <c r="P597" i="10"/>
  <c r="I597" i="10"/>
  <c r="F597" i="10"/>
  <c r="D597" i="10"/>
  <c r="P596" i="10"/>
  <c r="I596" i="10"/>
  <c r="F596" i="10"/>
  <c r="D596" i="10"/>
  <c r="P595" i="10"/>
  <c r="I595" i="10"/>
  <c r="F595" i="10"/>
  <c r="D595" i="10"/>
  <c r="P594" i="10"/>
  <c r="I594" i="10"/>
  <c r="F594" i="10"/>
  <c r="D594" i="10"/>
  <c r="P593" i="10"/>
  <c r="I593" i="10"/>
  <c r="F593" i="10"/>
  <c r="D593" i="10"/>
  <c r="P592" i="10"/>
  <c r="I592" i="10"/>
  <c r="F592" i="10"/>
  <c r="D592" i="10"/>
  <c r="P591" i="10"/>
  <c r="I591" i="10"/>
  <c r="F591" i="10"/>
  <c r="D591" i="10"/>
  <c r="P590" i="10"/>
  <c r="I590" i="10"/>
  <c r="F590" i="10"/>
  <c r="D590" i="10"/>
  <c r="P589" i="10"/>
  <c r="I589" i="10"/>
  <c r="F589" i="10"/>
  <c r="D589" i="10"/>
  <c r="P588" i="10"/>
  <c r="I588" i="10"/>
  <c r="F588" i="10"/>
  <c r="D588" i="10"/>
  <c r="P587" i="10"/>
  <c r="I587" i="10"/>
  <c r="F587" i="10"/>
  <c r="D587" i="10"/>
  <c r="P586" i="10"/>
  <c r="I586" i="10"/>
  <c r="F586" i="10"/>
  <c r="D586" i="10"/>
  <c r="P585" i="10"/>
  <c r="I585" i="10"/>
  <c r="F585" i="10"/>
  <c r="D585" i="10"/>
  <c r="P584" i="10"/>
  <c r="I584" i="10"/>
  <c r="F584" i="10"/>
  <c r="D584" i="10"/>
  <c r="P583" i="10"/>
  <c r="I583" i="10"/>
  <c r="F583" i="10"/>
  <c r="D583" i="10"/>
  <c r="P582" i="10"/>
  <c r="I582" i="10"/>
  <c r="F582" i="10"/>
  <c r="D582" i="10"/>
  <c r="P581" i="10"/>
  <c r="I581" i="10"/>
  <c r="F581" i="10"/>
  <c r="D581" i="10"/>
  <c r="P580" i="10"/>
  <c r="I580" i="10"/>
  <c r="F580" i="10"/>
  <c r="D580" i="10"/>
  <c r="P579" i="10"/>
  <c r="I579" i="10"/>
  <c r="F579" i="10"/>
  <c r="D579" i="10"/>
  <c r="P578" i="10"/>
  <c r="I578" i="10"/>
  <c r="F578" i="10"/>
  <c r="D578" i="10"/>
  <c r="P577" i="10"/>
  <c r="I577" i="10"/>
  <c r="F577" i="10"/>
  <c r="D577" i="10"/>
  <c r="P576" i="10"/>
  <c r="I576" i="10"/>
  <c r="F576" i="10"/>
  <c r="D576" i="10"/>
  <c r="P575" i="10"/>
  <c r="I575" i="10"/>
  <c r="F575" i="10"/>
  <c r="D575" i="10"/>
  <c r="P574" i="10"/>
  <c r="I574" i="10"/>
  <c r="F574" i="10"/>
  <c r="D574" i="10"/>
  <c r="P573" i="10"/>
  <c r="I573" i="10"/>
  <c r="F573" i="10"/>
  <c r="D573" i="10"/>
  <c r="P572" i="10"/>
  <c r="I572" i="10"/>
  <c r="F572" i="10"/>
  <c r="D572" i="10"/>
  <c r="P571" i="10"/>
  <c r="I571" i="10"/>
  <c r="F571" i="10"/>
  <c r="D571" i="10"/>
  <c r="P570" i="10"/>
  <c r="I570" i="10"/>
  <c r="F570" i="10"/>
  <c r="D570" i="10"/>
  <c r="P569" i="10"/>
  <c r="I569" i="10"/>
  <c r="F569" i="10"/>
  <c r="D569" i="10"/>
  <c r="P568" i="10"/>
  <c r="I568" i="10"/>
  <c r="F568" i="10"/>
  <c r="D568" i="10"/>
  <c r="P567" i="10"/>
  <c r="I567" i="10"/>
  <c r="F567" i="10"/>
  <c r="D567" i="10"/>
  <c r="P566" i="10"/>
  <c r="I566" i="10"/>
  <c r="F566" i="10"/>
  <c r="D566" i="10"/>
  <c r="P565" i="10"/>
  <c r="I565" i="10"/>
  <c r="F565" i="10"/>
  <c r="D565" i="10"/>
  <c r="P564" i="10"/>
  <c r="I564" i="10"/>
  <c r="F564" i="10"/>
  <c r="D564" i="10"/>
  <c r="P563" i="10"/>
  <c r="I563" i="10"/>
  <c r="F563" i="10"/>
  <c r="D563" i="10"/>
  <c r="P562" i="10"/>
  <c r="I562" i="10"/>
  <c r="F562" i="10"/>
  <c r="D562" i="10"/>
  <c r="P561" i="10"/>
  <c r="I561" i="10"/>
  <c r="F561" i="10"/>
  <c r="D561" i="10"/>
  <c r="P560" i="10"/>
  <c r="I560" i="10"/>
  <c r="F560" i="10"/>
  <c r="D560" i="10"/>
  <c r="P559" i="10"/>
  <c r="I559" i="10"/>
  <c r="F559" i="10"/>
  <c r="D559" i="10"/>
  <c r="P558" i="10"/>
  <c r="I558" i="10"/>
  <c r="F558" i="10"/>
  <c r="D558" i="10"/>
  <c r="P557" i="10"/>
  <c r="I557" i="10"/>
  <c r="F557" i="10"/>
  <c r="D557" i="10"/>
  <c r="P556" i="10"/>
  <c r="I556" i="10"/>
  <c r="F556" i="10"/>
  <c r="D556" i="10"/>
  <c r="P555" i="10"/>
  <c r="I555" i="10"/>
  <c r="F555" i="10"/>
  <c r="D555" i="10"/>
  <c r="P554" i="10"/>
  <c r="I554" i="10"/>
  <c r="F554" i="10"/>
  <c r="D554" i="10"/>
  <c r="P553" i="10"/>
  <c r="I553" i="10"/>
  <c r="F553" i="10"/>
  <c r="D553" i="10"/>
  <c r="P552" i="10"/>
  <c r="I552" i="10"/>
  <c r="F552" i="10"/>
  <c r="D552" i="10"/>
  <c r="P551" i="10"/>
  <c r="I551" i="10"/>
  <c r="F551" i="10"/>
  <c r="D551" i="10"/>
  <c r="P550" i="10"/>
  <c r="I550" i="10"/>
  <c r="F550" i="10"/>
  <c r="D550" i="10"/>
  <c r="P549" i="10"/>
  <c r="I549" i="10"/>
  <c r="F549" i="10"/>
  <c r="D549" i="10"/>
  <c r="P548" i="10"/>
  <c r="I548" i="10"/>
  <c r="F548" i="10"/>
  <c r="D548" i="10"/>
  <c r="P547" i="10"/>
  <c r="I547" i="10"/>
  <c r="F547" i="10"/>
  <c r="D547" i="10"/>
  <c r="P546" i="10"/>
  <c r="I546" i="10"/>
  <c r="F546" i="10"/>
  <c r="D546" i="10"/>
  <c r="P545" i="10"/>
  <c r="I545" i="10"/>
  <c r="F545" i="10"/>
  <c r="D545" i="10"/>
  <c r="P544" i="10"/>
  <c r="I544" i="10"/>
  <c r="F544" i="10"/>
  <c r="D544" i="10"/>
  <c r="P543" i="10"/>
  <c r="I543" i="10"/>
  <c r="F543" i="10"/>
  <c r="D543" i="10"/>
  <c r="P542" i="10"/>
  <c r="I542" i="10"/>
  <c r="F542" i="10"/>
  <c r="D542" i="10"/>
  <c r="P541" i="10"/>
  <c r="I541" i="10"/>
  <c r="F541" i="10"/>
  <c r="D541" i="10"/>
  <c r="P540" i="10"/>
  <c r="I540" i="10"/>
  <c r="F540" i="10"/>
  <c r="D540" i="10"/>
  <c r="P539" i="10"/>
  <c r="I539" i="10"/>
  <c r="F539" i="10"/>
  <c r="D539" i="10"/>
  <c r="P538" i="10"/>
  <c r="I538" i="10"/>
  <c r="F538" i="10"/>
  <c r="D538" i="10"/>
  <c r="P537" i="10"/>
  <c r="I537" i="10"/>
  <c r="F537" i="10"/>
  <c r="D537" i="10"/>
  <c r="P536" i="10"/>
  <c r="I536" i="10"/>
  <c r="F536" i="10"/>
  <c r="D536" i="10"/>
  <c r="P535" i="10"/>
  <c r="I535" i="10"/>
  <c r="F535" i="10"/>
  <c r="D535" i="10"/>
  <c r="P534" i="10"/>
  <c r="I534" i="10"/>
  <c r="F534" i="10"/>
  <c r="D534" i="10"/>
  <c r="P533" i="10"/>
  <c r="I533" i="10"/>
  <c r="F533" i="10"/>
  <c r="D533" i="10"/>
  <c r="P532" i="10"/>
  <c r="I532" i="10"/>
  <c r="F532" i="10"/>
  <c r="D532" i="10"/>
  <c r="P531" i="10"/>
  <c r="I531" i="10"/>
  <c r="F531" i="10"/>
  <c r="D531" i="10"/>
  <c r="P530" i="10"/>
  <c r="I530" i="10"/>
  <c r="F530" i="10"/>
  <c r="D530" i="10"/>
  <c r="P529" i="10"/>
  <c r="I529" i="10"/>
  <c r="F529" i="10"/>
  <c r="D529" i="10"/>
  <c r="P528" i="10"/>
  <c r="I528" i="10"/>
  <c r="F528" i="10"/>
  <c r="D528" i="10"/>
  <c r="P527" i="10"/>
  <c r="I527" i="10"/>
  <c r="F527" i="10"/>
  <c r="D527" i="10"/>
  <c r="P526" i="10"/>
  <c r="I526" i="10"/>
  <c r="F526" i="10"/>
  <c r="D526" i="10"/>
  <c r="P525" i="10"/>
  <c r="I525" i="10"/>
  <c r="F525" i="10"/>
  <c r="D525" i="10"/>
  <c r="P524" i="10"/>
  <c r="I524" i="10"/>
  <c r="F524" i="10"/>
  <c r="D524" i="10"/>
  <c r="P523" i="10"/>
  <c r="I523" i="10"/>
  <c r="F523" i="10"/>
  <c r="D523" i="10"/>
  <c r="P522" i="10"/>
  <c r="I522" i="10"/>
  <c r="F522" i="10"/>
  <c r="D522" i="10"/>
  <c r="P521" i="10"/>
  <c r="I521" i="10"/>
  <c r="F521" i="10"/>
  <c r="D521" i="10"/>
  <c r="P520" i="10"/>
  <c r="I520" i="10"/>
  <c r="F520" i="10"/>
  <c r="D520" i="10"/>
  <c r="P519" i="10"/>
  <c r="I519" i="10"/>
  <c r="F519" i="10"/>
  <c r="D519" i="10"/>
  <c r="P518" i="10"/>
  <c r="I518" i="10"/>
  <c r="F518" i="10"/>
  <c r="D518" i="10"/>
  <c r="P517" i="10"/>
  <c r="I517" i="10"/>
  <c r="F517" i="10"/>
  <c r="D517" i="10"/>
  <c r="P516" i="10"/>
  <c r="I516" i="10"/>
  <c r="F516" i="10"/>
  <c r="D516" i="10"/>
  <c r="P515" i="10"/>
  <c r="I515" i="10"/>
  <c r="F515" i="10"/>
  <c r="D515" i="10"/>
  <c r="P514" i="10"/>
  <c r="I514" i="10"/>
  <c r="F514" i="10"/>
  <c r="D514" i="10"/>
  <c r="P513" i="10"/>
  <c r="I513" i="10"/>
  <c r="F513" i="10"/>
  <c r="D513" i="10"/>
  <c r="P512" i="10"/>
  <c r="I512" i="10"/>
  <c r="F512" i="10"/>
  <c r="D512" i="10"/>
  <c r="P511" i="10"/>
  <c r="I511" i="10"/>
  <c r="F511" i="10"/>
  <c r="D511" i="10"/>
  <c r="P510" i="10"/>
  <c r="I510" i="10"/>
  <c r="F510" i="10"/>
  <c r="D510" i="10"/>
  <c r="W509" i="10"/>
  <c r="P509" i="10"/>
  <c r="I509" i="10"/>
  <c r="H509" i="10"/>
  <c r="F509" i="10"/>
  <c r="D509" i="10"/>
  <c r="P508" i="10"/>
  <c r="I508" i="10"/>
  <c r="F508" i="10"/>
  <c r="D508" i="10"/>
  <c r="P507" i="10"/>
  <c r="I507" i="10"/>
  <c r="F507" i="10"/>
  <c r="D507" i="10"/>
  <c r="P506" i="10"/>
  <c r="I506" i="10"/>
  <c r="F506" i="10"/>
  <c r="D506" i="10"/>
  <c r="P505" i="10"/>
  <c r="I505" i="10"/>
  <c r="F505" i="10"/>
  <c r="D505" i="10"/>
  <c r="P504" i="10"/>
  <c r="I504" i="10"/>
  <c r="F504" i="10"/>
  <c r="D504" i="10"/>
  <c r="P503" i="10"/>
  <c r="I503" i="10"/>
  <c r="F503" i="10"/>
  <c r="D503" i="10"/>
  <c r="P502" i="10"/>
  <c r="I502" i="10"/>
  <c r="F502" i="10"/>
  <c r="D502" i="10"/>
  <c r="P501" i="10"/>
  <c r="I501" i="10"/>
  <c r="F501" i="10"/>
  <c r="D501" i="10"/>
  <c r="P500" i="10"/>
  <c r="I500" i="10"/>
  <c r="F500" i="10"/>
  <c r="D500" i="10"/>
  <c r="P499" i="10"/>
  <c r="I499" i="10"/>
  <c r="F499" i="10"/>
  <c r="D499" i="10"/>
  <c r="P498" i="10"/>
  <c r="I498" i="10"/>
  <c r="F498" i="10"/>
  <c r="D498" i="10"/>
  <c r="P497" i="10"/>
  <c r="I497" i="10"/>
  <c r="F497" i="10"/>
  <c r="D497" i="10"/>
  <c r="P496" i="10"/>
  <c r="I496" i="10"/>
  <c r="F496" i="10"/>
  <c r="D496" i="10"/>
  <c r="P495" i="10"/>
  <c r="I495" i="10"/>
  <c r="F495" i="10"/>
  <c r="D495" i="10"/>
  <c r="P494" i="10"/>
  <c r="I494" i="10"/>
  <c r="F494" i="10"/>
  <c r="D494" i="10"/>
  <c r="P493" i="10"/>
  <c r="I493" i="10"/>
  <c r="F493" i="10"/>
  <c r="D493" i="10"/>
  <c r="P492" i="10"/>
  <c r="I492" i="10"/>
  <c r="F492" i="10"/>
  <c r="D492" i="10"/>
  <c r="P491" i="10"/>
  <c r="I491" i="10"/>
  <c r="F491" i="10"/>
  <c r="D491" i="10"/>
  <c r="P490" i="10"/>
  <c r="I490" i="10"/>
  <c r="F490" i="10"/>
  <c r="D490" i="10"/>
  <c r="P489" i="10"/>
  <c r="I489" i="10"/>
  <c r="F489" i="10"/>
  <c r="D489" i="10"/>
  <c r="P488" i="10"/>
  <c r="I488" i="10"/>
  <c r="F488" i="10"/>
  <c r="D488" i="10"/>
  <c r="P487" i="10"/>
  <c r="I487" i="10"/>
  <c r="F487" i="10"/>
  <c r="D487" i="10"/>
  <c r="P486" i="10"/>
  <c r="I486" i="10"/>
  <c r="F486" i="10"/>
  <c r="D486" i="10"/>
  <c r="P485" i="10"/>
  <c r="I485" i="10"/>
  <c r="F485" i="10"/>
  <c r="D485" i="10"/>
  <c r="P484" i="10"/>
  <c r="I484" i="10"/>
  <c r="F484" i="10"/>
  <c r="D484" i="10"/>
  <c r="P483" i="10"/>
  <c r="I483" i="10"/>
  <c r="F483" i="10"/>
  <c r="D483" i="10"/>
  <c r="P482" i="10"/>
  <c r="I482" i="10"/>
  <c r="F482" i="10"/>
  <c r="D482" i="10"/>
  <c r="P481" i="10"/>
  <c r="I481" i="10"/>
  <c r="F481" i="10"/>
  <c r="D481" i="10"/>
  <c r="P480" i="10"/>
  <c r="I480" i="10"/>
  <c r="F480" i="10"/>
  <c r="D480" i="10"/>
  <c r="P479" i="10"/>
  <c r="I479" i="10"/>
  <c r="F479" i="10"/>
  <c r="D479" i="10"/>
  <c r="P478" i="10"/>
  <c r="I478" i="10"/>
  <c r="F478" i="10"/>
  <c r="D478" i="10"/>
  <c r="P477" i="10"/>
  <c r="I477" i="10"/>
  <c r="F477" i="10"/>
  <c r="D477" i="10"/>
  <c r="P476" i="10"/>
  <c r="I476" i="10"/>
  <c r="F476" i="10"/>
  <c r="D476" i="10"/>
  <c r="P475" i="10"/>
  <c r="I475" i="10"/>
  <c r="F475" i="10"/>
  <c r="D475" i="10"/>
  <c r="P474" i="10"/>
  <c r="I474" i="10"/>
  <c r="F474" i="10"/>
  <c r="D474" i="10"/>
  <c r="P473" i="10"/>
  <c r="I473" i="10"/>
  <c r="F473" i="10"/>
  <c r="D473" i="10"/>
  <c r="P472" i="10"/>
  <c r="I472" i="10"/>
  <c r="F472" i="10"/>
  <c r="D472" i="10"/>
  <c r="P471" i="10"/>
  <c r="I471" i="10"/>
  <c r="F471" i="10"/>
  <c r="D471" i="10"/>
  <c r="P470" i="10"/>
  <c r="I470" i="10"/>
  <c r="F470" i="10"/>
  <c r="D470" i="10"/>
  <c r="P469" i="10"/>
  <c r="I469" i="10"/>
  <c r="F469" i="10"/>
  <c r="D469" i="10"/>
  <c r="P468" i="10"/>
  <c r="I468" i="10"/>
  <c r="F468" i="10"/>
  <c r="D468" i="10"/>
  <c r="P467" i="10"/>
  <c r="I467" i="10"/>
  <c r="F467" i="10"/>
  <c r="D467" i="10"/>
  <c r="P466" i="10"/>
  <c r="I466" i="10"/>
  <c r="F466" i="10"/>
  <c r="D466" i="10"/>
  <c r="P465" i="10"/>
  <c r="I465" i="10"/>
  <c r="F465" i="10"/>
  <c r="D465" i="10"/>
  <c r="P464" i="10"/>
  <c r="I464" i="10"/>
  <c r="F464" i="10"/>
  <c r="D464" i="10"/>
  <c r="P463" i="10"/>
  <c r="I463" i="10"/>
  <c r="F463" i="10"/>
  <c r="D463" i="10"/>
  <c r="P462" i="10"/>
  <c r="I462" i="10"/>
  <c r="F462" i="10"/>
  <c r="D462" i="10"/>
  <c r="P461" i="10"/>
  <c r="I461" i="10"/>
  <c r="F461" i="10"/>
  <c r="D461" i="10"/>
  <c r="P460" i="10"/>
  <c r="I460" i="10"/>
  <c r="F460" i="10"/>
  <c r="D460" i="10"/>
  <c r="P459" i="10"/>
  <c r="I459" i="10"/>
  <c r="F459" i="10"/>
  <c r="D459" i="10"/>
  <c r="P458" i="10"/>
  <c r="I458" i="10"/>
  <c r="F458" i="10"/>
  <c r="D458" i="10"/>
  <c r="P457" i="10"/>
  <c r="I457" i="10"/>
  <c r="F457" i="10"/>
  <c r="D457" i="10"/>
  <c r="P456" i="10"/>
  <c r="I456" i="10"/>
  <c r="F456" i="10"/>
  <c r="D456" i="10"/>
  <c r="P455" i="10"/>
  <c r="I455" i="10"/>
  <c r="F455" i="10"/>
  <c r="D455" i="10"/>
  <c r="P454" i="10"/>
  <c r="I454" i="10"/>
  <c r="F454" i="10"/>
  <c r="D454" i="10"/>
  <c r="P453" i="10"/>
  <c r="I453" i="10"/>
  <c r="F453" i="10"/>
  <c r="D453" i="10"/>
  <c r="P452" i="10"/>
  <c r="I452" i="10"/>
  <c r="F452" i="10"/>
  <c r="D452" i="10"/>
  <c r="P451" i="10"/>
  <c r="I451" i="10"/>
  <c r="F451" i="10"/>
  <c r="D451" i="10"/>
  <c r="P450" i="10"/>
  <c r="I450" i="10"/>
  <c r="F450" i="10"/>
  <c r="D450" i="10"/>
  <c r="P449" i="10"/>
  <c r="I449" i="10"/>
  <c r="F449" i="10"/>
  <c r="D449" i="10"/>
  <c r="P448" i="10"/>
  <c r="I448" i="10"/>
  <c r="F448" i="10"/>
  <c r="D448" i="10"/>
  <c r="P447" i="10"/>
  <c r="I447" i="10"/>
  <c r="F447" i="10"/>
  <c r="D447" i="10"/>
  <c r="P446" i="10"/>
  <c r="I446" i="10"/>
  <c r="F446" i="10"/>
  <c r="D446" i="10"/>
  <c r="P445" i="10"/>
  <c r="I445" i="10"/>
  <c r="F445" i="10"/>
  <c r="D445" i="10"/>
  <c r="P444" i="10"/>
  <c r="I444" i="10"/>
  <c r="F444" i="10"/>
  <c r="D444" i="10"/>
  <c r="P443" i="10"/>
  <c r="I443" i="10"/>
  <c r="F443" i="10"/>
  <c r="D443" i="10"/>
  <c r="P442" i="10"/>
  <c r="I442" i="10"/>
  <c r="F442" i="10"/>
  <c r="D442" i="10"/>
  <c r="P441" i="10"/>
  <c r="I441" i="10"/>
  <c r="F441" i="10"/>
  <c r="D441" i="10"/>
  <c r="P440" i="10"/>
  <c r="I440" i="10"/>
  <c r="F440" i="10"/>
  <c r="D440" i="10"/>
  <c r="P439" i="10"/>
  <c r="I439" i="10"/>
  <c r="F439" i="10"/>
  <c r="D439" i="10"/>
  <c r="P438" i="10"/>
  <c r="I438" i="10"/>
  <c r="F438" i="10"/>
  <c r="D438" i="10"/>
  <c r="P437" i="10"/>
  <c r="I437" i="10"/>
  <c r="F437" i="10"/>
  <c r="D437" i="10"/>
  <c r="P436" i="10"/>
  <c r="I436" i="10"/>
  <c r="F436" i="10"/>
  <c r="D436" i="10"/>
  <c r="P435" i="10"/>
  <c r="I435" i="10"/>
  <c r="F435" i="10"/>
  <c r="D435" i="10"/>
  <c r="P434" i="10"/>
  <c r="I434" i="10"/>
  <c r="F434" i="10"/>
  <c r="D434" i="10"/>
  <c r="P433" i="10"/>
  <c r="I433" i="10"/>
  <c r="F433" i="10"/>
  <c r="D433" i="10"/>
  <c r="P432" i="10"/>
  <c r="I432" i="10"/>
  <c r="F432" i="10"/>
  <c r="D432" i="10"/>
  <c r="P431" i="10"/>
  <c r="I431" i="10"/>
  <c r="F431" i="10"/>
  <c r="D431" i="10"/>
  <c r="P430" i="10"/>
  <c r="I430" i="10"/>
  <c r="F430" i="10"/>
  <c r="D430" i="10"/>
  <c r="P429" i="10"/>
  <c r="I429" i="10"/>
  <c r="F429" i="10"/>
  <c r="D429" i="10"/>
  <c r="P428" i="10"/>
  <c r="I428" i="10"/>
  <c r="F428" i="10"/>
  <c r="D428" i="10"/>
  <c r="P427" i="10"/>
  <c r="I427" i="10"/>
  <c r="F427" i="10"/>
  <c r="D427" i="10"/>
  <c r="P426" i="10"/>
  <c r="I426" i="10"/>
  <c r="F426" i="10"/>
  <c r="D426" i="10"/>
  <c r="P425" i="10"/>
  <c r="I425" i="10"/>
  <c r="F425" i="10"/>
  <c r="D425" i="10"/>
  <c r="P424" i="10"/>
  <c r="I424" i="10"/>
  <c r="F424" i="10"/>
  <c r="D424" i="10"/>
  <c r="P423" i="10"/>
  <c r="I423" i="10"/>
  <c r="F423" i="10"/>
  <c r="D423" i="10"/>
  <c r="P422" i="10"/>
  <c r="I422" i="10"/>
  <c r="F422" i="10"/>
  <c r="D422" i="10"/>
  <c r="P421" i="10"/>
  <c r="I421" i="10"/>
  <c r="F421" i="10"/>
  <c r="D421" i="10"/>
  <c r="P420" i="10"/>
  <c r="I420" i="10"/>
  <c r="F420" i="10"/>
  <c r="D420" i="10"/>
  <c r="P419" i="10"/>
  <c r="I419" i="10"/>
  <c r="F419" i="10"/>
  <c r="D419" i="10"/>
  <c r="P418" i="10"/>
  <c r="I418" i="10"/>
  <c r="F418" i="10"/>
  <c r="D418" i="10"/>
  <c r="P417" i="10"/>
  <c r="I417" i="10"/>
  <c r="F417" i="10"/>
  <c r="D417" i="10"/>
  <c r="P416" i="10"/>
  <c r="I416" i="10"/>
  <c r="F416" i="10"/>
  <c r="D416" i="10"/>
  <c r="P415" i="10"/>
  <c r="I415" i="10"/>
  <c r="F415" i="10"/>
  <c r="D415" i="10"/>
  <c r="P414" i="10"/>
  <c r="I414" i="10"/>
  <c r="F414" i="10"/>
  <c r="D414" i="10"/>
  <c r="P413" i="10"/>
  <c r="I413" i="10"/>
  <c r="F413" i="10"/>
  <c r="D413" i="10"/>
  <c r="P412" i="10"/>
  <c r="I412" i="10"/>
  <c r="F412" i="10"/>
  <c r="D412" i="10"/>
  <c r="P411" i="10"/>
  <c r="I411" i="10"/>
  <c r="F411" i="10"/>
  <c r="D411" i="10"/>
  <c r="P410" i="10"/>
  <c r="I410" i="10"/>
  <c r="F410" i="10"/>
  <c r="D410" i="10"/>
  <c r="P409" i="10"/>
  <c r="I409" i="10"/>
  <c r="F409" i="10"/>
  <c r="D409" i="10"/>
  <c r="P408" i="10"/>
  <c r="I408" i="10"/>
  <c r="F408" i="10"/>
  <c r="D408" i="10"/>
  <c r="P407" i="10"/>
  <c r="I407" i="10"/>
  <c r="F407" i="10"/>
  <c r="D407" i="10"/>
  <c r="P406" i="10"/>
  <c r="I406" i="10"/>
  <c r="F406" i="10"/>
  <c r="D406" i="10"/>
  <c r="P405" i="10"/>
  <c r="I405" i="10"/>
  <c r="F405" i="10"/>
  <c r="D405" i="10"/>
  <c r="P404" i="10"/>
  <c r="I404" i="10"/>
  <c r="F404" i="10"/>
  <c r="D404" i="10"/>
  <c r="P403" i="10"/>
  <c r="I403" i="10"/>
  <c r="F403" i="10"/>
  <c r="D403" i="10"/>
  <c r="P402" i="10"/>
  <c r="I402" i="10"/>
  <c r="F402" i="10"/>
  <c r="D402" i="10"/>
  <c r="P401" i="10"/>
  <c r="I401" i="10"/>
  <c r="F401" i="10"/>
  <c r="D401" i="10"/>
  <c r="P400" i="10"/>
  <c r="I400" i="10"/>
  <c r="F400" i="10"/>
  <c r="D400" i="10"/>
  <c r="P399" i="10"/>
  <c r="I399" i="10"/>
  <c r="F399" i="10"/>
  <c r="D399" i="10"/>
  <c r="P398" i="10"/>
  <c r="I398" i="10"/>
  <c r="F398" i="10"/>
  <c r="D398" i="10"/>
  <c r="P397" i="10"/>
  <c r="I397" i="10"/>
  <c r="F397" i="10"/>
  <c r="D397" i="10"/>
  <c r="P396" i="10"/>
  <c r="I396" i="10"/>
  <c r="F396" i="10"/>
  <c r="D396" i="10"/>
  <c r="P395" i="10"/>
  <c r="I395" i="10"/>
  <c r="F395" i="10"/>
  <c r="D395" i="10"/>
  <c r="P394" i="10"/>
  <c r="I394" i="10"/>
  <c r="F394" i="10"/>
  <c r="D394" i="10"/>
  <c r="P393" i="10"/>
  <c r="I393" i="10"/>
  <c r="F393" i="10"/>
  <c r="D393" i="10"/>
  <c r="P392" i="10"/>
  <c r="I392" i="10"/>
  <c r="F392" i="10"/>
  <c r="D392" i="10"/>
  <c r="P391" i="10"/>
  <c r="I391" i="10"/>
  <c r="F391" i="10"/>
  <c r="D391" i="10"/>
  <c r="P390" i="10"/>
  <c r="I390" i="10"/>
  <c r="F390" i="10"/>
  <c r="D390" i="10"/>
  <c r="P389" i="10"/>
  <c r="I389" i="10"/>
  <c r="F389" i="10"/>
  <c r="D389" i="10"/>
  <c r="P388" i="10"/>
  <c r="I388" i="10"/>
  <c r="F388" i="10"/>
  <c r="D388" i="10"/>
  <c r="P387" i="10"/>
  <c r="I387" i="10"/>
  <c r="F387" i="10"/>
  <c r="D387" i="10"/>
  <c r="P386" i="10"/>
  <c r="I386" i="10"/>
  <c r="F386" i="10"/>
  <c r="D386" i="10"/>
  <c r="P385" i="10"/>
  <c r="I385" i="10"/>
  <c r="F385" i="10"/>
  <c r="D385" i="10"/>
  <c r="P384" i="10"/>
  <c r="I384" i="10"/>
  <c r="F384" i="10"/>
  <c r="D384" i="10"/>
  <c r="P383" i="10"/>
  <c r="I383" i="10"/>
  <c r="F383" i="10"/>
  <c r="D383" i="10"/>
  <c r="P382" i="10"/>
  <c r="I382" i="10"/>
  <c r="F382" i="10"/>
  <c r="D382" i="10"/>
  <c r="P381" i="10"/>
  <c r="I381" i="10"/>
  <c r="F381" i="10"/>
  <c r="D381" i="10"/>
  <c r="P380" i="10"/>
  <c r="I380" i="10"/>
  <c r="F380" i="10"/>
  <c r="D380" i="10"/>
  <c r="P379" i="10"/>
  <c r="I379" i="10"/>
  <c r="F379" i="10"/>
  <c r="D379" i="10"/>
  <c r="P378" i="10"/>
  <c r="I378" i="10"/>
  <c r="F378" i="10"/>
  <c r="D378" i="10"/>
  <c r="P377" i="10"/>
  <c r="I377" i="10"/>
  <c r="F377" i="10"/>
  <c r="D377" i="10"/>
  <c r="P376" i="10"/>
  <c r="I376" i="10"/>
  <c r="F376" i="10"/>
  <c r="D376" i="10"/>
  <c r="P375" i="10"/>
  <c r="I375" i="10"/>
  <c r="F375" i="10"/>
  <c r="D375" i="10"/>
  <c r="P374" i="10"/>
  <c r="I374" i="10"/>
  <c r="F374" i="10"/>
  <c r="D374" i="10"/>
  <c r="P373" i="10"/>
  <c r="I373" i="10"/>
  <c r="F373" i="10"/>
  <c r="D373" i="10"/>
  <c r="P372" i="10"/>
  <c r="I372" i="10"/>
  <c r="F372" i="10"/>
  <c r="D372" i="10"/>
  <c r="P371" i="10"/>
  <c r="I371" i="10"/>
  <c r="F371" i="10"/>
  <c r="D371" i="10"/>
  <c r="P370" i="10"/>
  <c r="I370" i="10"/>
  <c r="F370" i="10"/>
  <c r="D370" i="10"/>
  <c r="P369" i="10"/>
  <c r="I369" i="10"/>
  <c r="F369" i="10"/>
  <c r="D369" i="10"/>
  <c r="P368" i="10"/>
  <c r="I368" i="10"/>
  <c r="F368" i="10"/>
  <c r="D368" i="10"/>
  <c r="P367" i="10"/>
  <c r="I367" i="10"/>
  <c r="F367" i="10"/>
  <c r="D367" i="10"/>
  <c r="P366" i="10"/>
  <c r="I366" i="10"/>
  <c r="F366" i="10"/>
  <c r="D366" i="10"/>
  <c r="P365" i="10"/>
  <c r="I365" i="10"/>
  <c r="F365" i="10"/>
  <c r="D365" i="10"/>
  <c r="P364" i="10"/>
  <c r="I364" i="10"/>
  <c r="F364" i="10"/>
  <c r="D364" i="10"/>
  <c r="P363" i="10"/>
  <c r="I363" i="10"/>
  <c r="F363" i="10"/>
  <c r="D363" i="10"/>
  <c r="P362" i="10"/>
  <c r="I362" i="10"/>
  <c r="F362" i="10"/>
  <c r="D362" i="10"/>
  <c r="P361" i="10"/>
  <c r="I361" i="10"/>
  <c r="F361" i="10"/>
  <c r="D361" i="10"/>
  <c r="P360" i="10"/>
  <c r="I360" i="10"/>
  <c r="F360" i="10"/>
  <c r="D360" i="10"/>
  <c r="P359" i="10"/>
  <c r="I359" i="10"/>
  <c r="F359" i="10"/>
  <c r="D359" i="10"/>
  <c r="P358" i="10"/>
  <c r="I358" i="10"/>
  <c r="F358" i="10"/>
  <c r="D358" i="10"/>
  <c r="P357" i="10"/>
  <c r="I357" i="10"/>
  <c r="F357" i="10"/>
  <c r="D357" i="10"/>
  <c r="P356" i="10"/>
  <c r="I356" i="10"/>
  <c r="F356" i="10"/>
  <c r="D356" i="10"/>
  <c r="P355" i="10"/>
  <c r="I355" i="10"/>
  <c r="F355" i="10"/>
  <c r="D355" i="10"/>
  <c r="P354" i="10"/>
  <c r="I354" i="10"/>
  <c r="F354" i="10"/>
  <c r="D354" i="10"/>
  <c r="P353" i="10"/>
  <c r="I353" i="10"/>
  <c r="F353" i="10"/>
  <c r="D353" i="10"/>
  <c r="P352" i="10"/>
  <c r="I352" i="10"/>
  <c r="F352" i="10"/>
  <c r="D352" i="10"/>
  <c r="P351" i="10"/>
  <c r="I351" i="10"/>
  <c r="F351" i="10"/>
  <c r="D351" i="10"/>
  <c r="Z350" i="10"/>
  <c r="P350" i="10"/>
  <c r="I350" i="10"/>
  <c r="F350" i="10"/>
  <c r="D350" i="10"/>
  <c r="P349" i="10"/>
  <c r="I349" i="10"/>
  <c r="F349" i="10"/>
  <c r="D349" i="10"/>
  <c r="P348" i="10"/>
  <c r="I348" i="10"/>
  <c r="F348" i="10"/>
  <c r="D348" i="10"/>
  <c r="P347" i="10"/>
  <c r="I347" i="10"/>
  <c r="F347" i="10"/>
  <c r="D347" i="10"/>
  <c r="P346" i="10"/>
  <c r="I346" i="10"/>
  <c r="F346" i="10"/>
  <c r="D346" i="10"/>
  <c r="P345" i="10"/>
  <c r="I345" i="10"/>
  <c r="F345" i="10"/>
  <c r="D345" i="10"/>
  <c r="P344" i="10"/>
  <c r="I344" i="10"/>
  <c r="F344" i="10"/>
  <c r="D344" i="10"/>
  <c r="P343" i="10"/>
  <c r="I343" i="10"/>
  <c r="F343" i="10"/>
  <c r="D343" i="10"/>
  <c r="P342" i="10"/>
  <c r="I342" i="10"/>
  <c r="F342" i="10"/>
  <c r="D342" i="10"/>
  <c r="P341" i="10"/>
  <c r="I341" i="10"/>
  <c r="F341" i="10"/>
  <c r="D341" i="10"/>
  <c r="P340" i="10"/>
  <c r="I340" i="10"/>
  <c r="F340" i="10"/>
  <c r="D340" i="10"/>
  <c r="P339" i="10"/>
  <c r="I339" i="10"/>
  <c r="F339" i="10"/>
  <c r="D339" i="10"/>
  <c r="P338" i="10"/>
  <c r="I338" i="10"/>
  <c r="F338" i="10"/>
  <c r="D338" i="10"/>
  <c r="P337" i="10"/>
  <c r="I337" i="10"/>
  <c r="F337" i="10"/>
  <c r="D337" i="10"/>
  <c r="P336" i="10"/>
  <c r="I336" i="10"/>
  <c r="F336" i="10"/>
  <c r="D336" i="10"/>
  <c r="P335" i="10"/>
  <c r="I335" i="10"/>
  <c r="F335" i="10"/>
  <c r="D335" i="10"/>
  <c r="P334" i="10"/>
  <c r="I334" i="10"/>
  <c r="F334" i="10"/>
  <c r="D334" i="10"/>
  <c r="P333" i="10"/>
  <c r="I333" i="10"/>
  <c r="F333" i="10"/>
  <c r="D333" i="10"/>
  <c r="P332" i="10"/>
  <c r="I332" i="10"/>
  <c r="F332" i="10"/>
  <c r="D332" i="10"/>
  <c r="P331" i="10"/>
  <c r="I331" i="10"/>
  <c r="F331" i="10"/>
  <c r="D331" i="10"/>
  <c r="P330" i="10"/>
  <c r="I330" i="10"/>
  <c r="F330" i="10"/>
  <c r="D330" i="10"/>
  <c r="P329" i="10"/>
  <c r="I329" i="10"/>
  <c r="F329" i="10"/>
  <c r="D329" i="10"/>
  <c r="P328" i="10"/>
  <c r="I328" i="10"/>
  <c r="F328" i="10"/>
  <c r="D328" i="10"/>
  <c r="P327" i="10"/>
  <c r="I327" i="10"/>
  <c r="F327" i="10"/>
  <c r="D327" i="10"/>
  <c r="P326" i="10"/>
  <c r="I326" i="10"/>
  <c r="F326" i="10"/>
  <c r="D326" i="10"/>
  <c r="P325" i="10"/>
  <c r="I325" i="10"/>
  <c r="F325" i="10"/>
  <c r="D325" i="10"/>
  <c r="P324" i="10"/>
  <c r="I324" i="10"/>
  <c r="F324" i="10"/>
  <c r="D324" i="10"/>
  <c r="P323" i="10"/>
  <c r="I323" i="10"/>
  <c r="F323" i="10"/>
  <c r="D323" i="10"/>
  <c r="P322" i="10"/>
  <c r="I322" i="10"/>
  <c r="F322" i="10"/>
  <c r="D322" i="10"/>
  <c r="P321" i="10"/>
  <c r="I321" i="10"/>
  <c r="F321" i="10"/>
  <c r="D321" i="10"/>
  <c r="P320" i="10"/>
  <c r="I320" i="10"/>
  <c r="F320" i="10"/>
  <c r="D320" i="10"/>
  <c r="P319" i="10"/>
  <c r="I319" i="10"/>
  <c r="F319" i="10"/>
  <c r="D319" i="10"/>
  <c r="P318" i="10"/>
  <c r="I318" i="10"/>
  <c r="F318" i="10"/>
  <c r="D318" i="10"/>
  <c r="P317" i="10"/>
  <c r="I317" i="10"/>
  <c r="F317" i="10"/>
  <c r="D317" i="10"/>
  <c r="P316" i="10"/>
  <c r="I316" i="10"/>
  <c r="F316" i="10"/>
  <c r="D316" i="10"/>
  <c r="P315" i="10"/>
  <c r="I315" i="10"/>
  <c r="F315" i="10"/>
  <c r="D315" i="10"/>
  <c r="P314" i="10"/>
  <c r="I314" i="10"/>
  <c r="F314" i="10"/>
  <c r="D314" i="10"/>
  <c r="P313" i="10"/>
  <c r="I313" i="10"/>
  <c r="F313" i="10"/>
  <c r="D313" i="10"/>
  <c r="P312" i="10"/>
  <c r="I312" i="10"/>
  <c r="F312" i="10"/>
  <c r="D312" i="10"/>
  <c r="P311" i="10"/>
  <c r="I311" i="10"/>
  <c r="F311" i="10"/>
  <c r="D311" i="10"/>
  <c r="P310" i="10"/>
  <c r="I310" i="10"/>
  <c r="F310" i="10"/>
  <c r="D310" i="10"/>
  <c r="P309" i="10"/>
  <c r="I309" i="10"/>
  <c r="F309" i="10"/>
  <c r="D309" i="10"/>
  <c r="P308" i="10"/>
  <c r="I308" i="10"/>
  <c r="F308" i="10"/>
  <c r="D308" i="10"/>
  <c r="P307" i="10"/>
  <c r="I307" i="10"/>
  <c r="F307" i="10"/>
  <c r="D307" i="10"/>
  <c r="P306" i="10"/>
  <c r="I306" i="10"/>
  <c r="F306" i="10"/>
  <c r="D306" i="10"/>
  <c r="P305" i="10"/>
  <c r="I305" i="10"/>
  <c r="F305" i="10"/>
  <c r="D305" i="10"/>
  <c r="P304" i="10"/>
  <c r="I304" i="10"/>
  <c r="F304" i="10"/>
  <c r="D304" i="10"/>
  <c r="P303" i="10"/>
  <c r="I303" i="10"/>
  <c r="F303" i="10"/>
  <c r="D303" i="10"/>
  <c r="P302" i="10"/>
  <c r="I302" i="10"/>
  <c r="F302" i="10"/>
  <c r="D302" i="10"/>
  <c r="P301" i="10"/>
  <c r="I301" i="10"/>
  <c r="F301" i="10"/>
  <c r="D301" i="10"/>
  <c r="P300" i="10"/>
  <c r="I300" i="10"/>
  <c r="F300" i="10"/>
  <c r="D300" i="10"/>
  <c r="P299" i="10"/>
  <c r="I299" i="10"/>
  <c r="F299" i="10"/>
  <c r="D299" i="10"/>
  <c r="P298" i="10"/>
  <c r="I298" i="10"/>
  <c r="F298" i="10"/>
  <c r="D298" i="10"/>
  <c r="P297" i="10"/>
  <c r="I297" i="10"/>
  <c r="F297" i="10"/>
  <c r="D297" i="10"/>
  <c r="P296" i="10"/>
  <c r="I296" i="10"/>
  <c r="F296" i="10"/>
  <c r="D296" i="10"/>
  <c r="P295" i="10"/>
  <c r="I295" i="10"/>
  <c r="F295" i="10"/>
  <c r="D295" i="10"/>
  <c r="P294" i="10"/>
  <c r="I294" i="10"/>
  <c r="F294" i="10"/>
  <c r="D294" i="10"/>
  <c r="P293" i="10"/>
  <c r="I293" i="10"/>
  <c r="F293" i="10"/>
  <c r="D293" i="10"/>
  <c r="P292" i="10"/>
  <c r="I292" i="10"/>
  <c r="F292" i="10"/>
  <c r="D292" i="10"/>
  <c r="P291" i="10"/>
  <c r="I291" i="10"/>
  <c r="F291" i="10"/>
  <c r="D291" i="10"/>
  <c r="P290" i="10"/>
  <c r="I290" i="10"/>
  <c r="F290" i="10"/>
  <c r="D290" i="10"/>
  <c r="P289" i="10"/>
  <c r="I289" i="10"/>
  <c r="F289" i="10"/>
  <c r="D289" i="10"/>
  <c r="P288" i="10"/>
  <c r="I288" i="10"/>
  <c r="F288" i="10"/>
  <c r="D288" i="10"/>
  <c r="P287" i="10"/>
  <c r="I287" i="10"/>
  <c r="F287" i="10"/>
  <c r="D287" i="10"/>
  <c r="P286" i="10"/>
  <c r="I286" i="10"/>
  <c r="F286" i="10"/>
  <c r="D286" i="10"/>
  <c r="P285" i="10"/>
  <c r="I285" i="10"/>
  <c r="F285" i="10"/>
  <c r="D285" i="10"/>
  <c r="P284" i="10"/>
  <c r="I284" i="10"/>
  <c r="F284" i="10"/>
  <c r="D284" i="10"/>
  <c r="P283" i="10"/>
  <c r="I283" i="10"/>
  <c r="F283" i="10"/>
  <c r="D283" i="10"/>
  <c r="P282" i="10"/>
  <c r="I282" i="10"/>
  <c r="F282" i="10"/>
  <c r="D282" i="10"/>
  <c r="P281" i="10"/>
  <c r="I281" i="10"/>
  <c r="F281" i="10"/>
  <c r="D281" i="10"/>
  <c r="P280" i="10"/>
  <c r="I280" i="10"/>
  <c r="F280" i="10"/>
  <c r="D280" i="10"/>
  <c r="P279" i="10"/>
  <c r="I279" i="10"/>
  <c r="F279" i="10"/>
  <c r="D279" i="10"/>
  <c r="P278" i="10"/>
  <c r="I278" i="10"/>
  <c r="F278" i="10"/>
  <c r="D278" i="10"/>
  <c r="P277" i="10"/>
  <c r="I277" i="10"/>
  <c r="F277" i="10"/>
  <c r="D277" i="10"/>
  <c r="P276" i="10"/>
  <c r="I276" i="10"/>
  <c r="F276" i="10"/>
  <c r="D276" i="10"/>
  <c r="P275" i="10"/>
  <c r="I275" i="10"/>
  <c r="F275" i="10"/>
  <c r="D275" i="10"/>
  <c r="P274" i="10"/>
  <c r="I274" i="10"/>
  <c r="F274" i="10"/>
  <c r="D274" i="10"/>
  <c r="P273" i="10"/>
  <c r="I273" i="10"/>
  <c r="F273" i="10"/>
  <c r="D273" i="10"/>
  <c r="P272" i="10"/>
  <c r="I272" i="10"/>
  <c r="F272" i="10"/>
  <c r="D272" i="10"/>
  <c r="P271" i="10"/>
  <c r="I271" i="10"/>
  <c r="F271" i="10"/>
  <c r="D271" i="10"/>
  <c r="P270" i="10"/>
  <c r="I270" i="10"/>
  <c r="F270" i="10"/>
  <c r="D270" i="10"/>
  <c r="P269" i="10"/>
  <c r="I269" i="10"/>
  <c r="F269" i="10"/>
  <c r="D269" i="10"/>
  <c r="P268" i="10"/>
  <c r="I268" i="10"/>
  <c r="F268" i="10"/>
  <c r="D268" i="10"/>
  <c r="P267" i="10"/>
  <c r="I267" i="10"/>
  <c r="F267" i="10"/>
  <c r="D267" i="10"/>
  <c r="P266" i="10"/>
  <c r="I266" i="10"/>
  <c r="F266" i="10"/>
  <c r="D266" i="10"/>
  <c r="P265" i="10"/>
  <c r="I265" i="10"/>
  <c r="F265" i="10"/>
  <c r="D265" i="10"/>
  <c r="P264" i="10"/>
  <c r="I264" i="10"/>
  <c r="F264" i="10"/>
  <c r="D264" i="10"/>
  <c r="P263" i="10"/>
  <c r="I263" i="10"/>
  <c r="F263" i="10"/>
  <c r="D263" i="10"/>
  <c r="P262" i="10"/>
  <c r="I262" i="10"/>
  <c r="F262" i="10"/>
  <c r="D262" i="10"/>
  <c r="P261" i="10"/>
  <c r="I261" i="10"/>
  <c r="F261" i="10"/>
  <c r="D261" i="10"/>
  <c r="P260" i="10"/>
  <c r="I260" i="10"/>
  <c r="F260" i="10"/>
  <c r="D260" i="10"/>
  <c r="P259" i="10"/>
  <c r="I259" i="10"/>
  <c r="F259" i="10"/>
  <c r="D259" i="10"/>
  <c r="P258" i="10"/>
  <c r="I258" i="10"/>
  <c r="F258" i="10"/>
  <c r="D258" i="10"/>
  <c r="P257" i="10"/>
  <c r="I257" i="10"/>
  <c r="F257" i="10"/>
  <c r="D257" i="10"/>
  <c r="P256" i="10"/>
  <c r="I256" i="10"/>
  <c r="F256" i="10"/>
  <c r="D256" i="10"/>
  <c r="P255" i="10"/>
  <c r="I255" i="10"/>
  <c r="F255" i="10"/>
  <c r="D255" i="10"/>
  <c r="P254" i="10"/>
  <c r="I254" i="10"/>
  <c r="F254" i="10"/>
  <c r="D254" i="10"/>
  <c r="P253" i="10"/>
  <c r="I253" i="10"/>
  <c r="F253" i="10"/>
  <c r="D253" i="10"/>
  <c r="P252" i="10"/>
  <c r="I252" i="10"/>
  <c r="F252" i="10"/>
  <c r="D252" i="10"/>
  <c r="P251" i="10"/>
  <c r="I251" i="10"/>
  <c r="F251" i="10"/>
  <c r="D251" i="10"/>
  <c r="P250" i="10"/>
  <c r="I250" i="10"/>
  <c r="F250" i="10"/>
  <c r="D250" i="10"/>
  <c r="P249" i="10"/>
  <c r="I249" i="10"/>
  <c r="F249" i="10"/>
  <c r="D249" i="10"/>
  <c r="P248" i="10"/>
  <c r="I248" i="10"/>
  <c r="F248" i="10"/>
  <c r="D248" i="10"/>
  <c r="P247" i="10"/>
  <c r="I247" i="10"/>
  <c r="F247" i="10"/>
  <c r="D247" i="10"/>
  <c r="P246" i="10"/>
  <c r="I246" i="10"/>
  <c r="F246" i="10"/>
  <c r="D246" i="10"/>
  <c r="P245" i="10"/>
  <c r="I245" i="10"/>
  <c r="F245" i="10"/>
  <c r="D245" i="10"/>
  <c r="Z244" i="10"/>
  <c r="P244" i="10"/>
  <c r="I244" i="10"/>
  <c r="F244" i="10"/>
  <c r="D244" i="10"/>
  <c r="P243" i="10"/>
  <c r="I243" i="10"/>
  <c r="F243" i="10"/>
  <c r="D243" i="10"/>
  <c r="P242" i="10"/>
  <c r="I242" i="10"/>
  <c r="F242" i="10"/>
  <c r="D242" i="10"/>
  <c r="P241" i="10"/>
  <c r="I241" i="10"/>
  <c r="F241" i="10"/>
  <c r="D241" i="10"/>
  <c r="P240" i="10"/>
  <c r="I240" i="10"/>
  <c r="F240" i="10"/>
  <c r="D240" i="10"/>
  <c r="P239" i="10"/>
  <c r="I239" i="10"/>
  <c r="F239" i="10"/>
  <c r="D239" i="10"/>
  <c r="P238" i="10"/>
  <c r="I238" i="10"/>
  <c r="F238" i="10"/>
  <c r="D238" i="10"/>
  <c r="P237" i="10"/>
  <c r="I237" i="10"/>
  <c r="F237" i="10"/>
  <c r="D237" i="10"/>
  <c r="P236" i="10"/>
  <c r="I236" i="10"/>
  <c r="F236" i="10"/>
  <c r="D236" i="10"/>
  <c r="P235" i="10"/>
  <c r="I235" i="10"/>
  <c r="F235" i="10"/>
  <c r="D235" i="10"/>
  <c r="P234" i="10"/>
  <c r="I234" i="10"/>
  <c r="F234" i="10"/>
  <c r="D234" i="10"/>
  <c r="P233" i="10"/>
  <c r="I233" i="10"/>
  <c r="F233" i="10"/>
  <c r="D233" i="10"/>
  <c r="P232" i="10"/>
  <c r="I232" i="10"/>
  <c r="F232" i="10"/>
  <c r="D232" i="10"/>
  <c r="P231" i="10"/>
  <c r="I231" i="10"/>
  <c r="F231" i="10"/>
  <c r="D231" i="10"/>
  <c r="P230" i="10"/>
  <c r="I230" i="10"/>
  <c r="F230" i="10"/>
  <c r="D230" i="10"/>
  <c r="P229" i="10"/>
  <c r="I229" i="10"/>
  <c r="F229" i="10"/>
  <c r="D229" i="10"/>
  <c r="P228" i="10"/>
  <c r="I228" i="10"/>
  <c r="F228" i="10"/>
  <c r="D228" i="10"/>
  <c r="P227" i="10"/>
  <c r="I227" i="10"/>
  <c r="F227" i="10"/>
  <c r="D227" i="10"/>
  <c r="P226" i="10"/>
  <c r="I226" i="10"/>
  <c r="F226" i="10"/>
  <c r="D226" i="10"/>
  <c r="P225" i="10"/>
  <c r="I225" i="10"/>
  <c r="F225" i="10"/>
  <c r="D225" i="10"/>
  <c r="P224" i="10"/>
  <c r="I224" i="10"/>
  <c r="F224" i="10"/>
  <c r="D224" i="10"/>
  <c r="P223" i="10"/>
  <c r="I223" i="10"/>
  <c r="F223" i="10"/>
  <c r="D223" i="10"/>
  <c r="P222" i="10"/>
  <c r="I222" i="10"/>
  <c r="F222" i="10"/>
  <c r="D222" i="10"/>
  <c r="P221" i="10"/>
  <c r="I221" i="10"/>
  <c r="F221" i="10"/>
  <c r="D221" i="10"/>
  <c r="P220" i="10"/>
  <c r="I220" i="10"/>
  <c r="F220" i="10"/>
  <c r="D220" i="10"/>
  <c r="P219" i="10"/>
  <c r="I219" i="10"/>
  <c r="F219" i="10"/>
  <c r="D219" i="10"/>
  <c r="P218" i="10"/>
  <c r="I218" i="10"/>
  <c r="F218" i="10"/>
  <c r="D218" i="10"/>
  <c r="P217" i="10"/>
  <c r="I217" i="10"/>
  <c r="F217" i="10"/>
  <c r="D217" i="10"/>
  <c r="P216" i="10"/>
  <c r="I216" i="10"/>
  <c r="F216" i="10"/>
  <c r="D216" i="10"/>
  <c r="P215" i="10"/>
  <c r="I215" i="10"/>
  <c r="F215" i="10"/>
  <c r="D215" i="10"/>
  <c r="P214" i="10"/>
  <c r="I214" i="10"/>
  <c r="F214" i="10"/>
  <c r="D214" i="10"/>
  <c r="P213" i="10"/>
  <c r="I213" i="10"/>
  <c r="F213" i="10"/>
  <c r="D213" i="10"/>
  <c r="P212" i="10"/>
  <c r="I212" i="10"/>
  <c r="F212" i="10"/>
  <c r="D212" i="10"/>
  <c r="P211" i="10"/>
  <c r="I211" i="10"/>
  <c r="F211" i="10"/>
  <c r="D211" i="10"/>
  <c r="P210" i="10"/>
  <c r="I210" i="10"/>
  <c r="F210" i="10"/>
  <c r="D210" i="10"/>
  <c r="P209" i="10"/>
  <c r="I209" i="10"/>
  <c r="F209" i="10"/>
  <c r="D209" i="10"/>
  <c r="P208" i="10"/>
  <c r="I208" i="10"/>
  <c r="F208" i="10"/>
  <c r="D208" i="10"/>
  <c r="P207" i="10"/>
  <c r="I207" i="10"/>
  <c r="F207" i="10"/>
  <c r="D207" i="10"/>
  <c r="P206" i="10"/>
  <c r="I206" i="10"/>
  <c r="F206" i="10"/>
  <c r="D206" i="10"/>
  <c r="P205" i="10"/>
  <c r="I205" i="10"/>
  <c r="F205" i="10"/>
  <c r="D205" i="10"/>
  <c r="P204" i="10"/>
  <c r="I204" i="10"/>
  <c r="F204" i="10"/>
  <c r="D204" i="10"/>
  <c r="P203" i="10"/>
  <c r="I203" i="10"/>
  <c r="F203" i="10"/>
  <c r="D203" i="10"/>
  <c r="P202" i="10"/>
  <c r="I202" i="10"/>
  <c r="F202" i="10"/>
  <c r="D202" i="10"/>
  <c r="P201" i="10"/>
  <c r="I201" i="10"/>
  <c r="F201" i="10"/>
  <c r="D201" i="10"/>
  <c r="P200" i="10"/>
  <c r="I200" i="10"/>
  <c r="F200" i="10"/>
  <c r="D200" i="10"/>
  <c r="P199" i="10"/>
  <c r="I199" i="10"/>
  <c r="F199" i="10"/>
  <c r="D199" i="10"/>
  <c r="P198" i="10"/>
  <c r="I198" i="10"/>
  <c r="F198" i="10"/>
  <c r="D198" i="10"/>
  <c r="P197" i="10"/>
  <c r="I197" i="10"/>
  <c r="F197" i="10"/>
  <c r="D197" i="10"/>
  <c r="P196" i="10"/>
  <c r="I196" i="10"/>
  <c r="F196" i="10"/>
  <c r="D196" i="10"/>
  <c r="P195" i="10"/>
  <c r="I195" i="10"/>
  <c r="F195" i="10"/>
  <c r="D195" i="10"/>
  <c r="P194" i="10"/>
  <c r="I194" i="10"/>
  <c r="F194" i="10"/>
  <c r="D194" i="10"/>
  <c r="P193" i="10"/>
  <c r="I193" i="10"/>
  <c r="F193" i="10"/>
  <c r="D193" i="10"/>
  <c r="P192" i="10"/>
  <c r="I192" i="10"/>
  <c r="F192" i="10"/>
  <c r="D192" i="10"/>
  <c r="P191" i="10"/>
  <c r="I191" i="10"/>
  <c r="F191" i="10"/>
  <c r="D191" i="10"/>
  <c r="P190" i="10"/>
  <c r="I190" i="10"/>
  <c r="F190" i="10"/>
  <c r="D190" i="10"/>
  <c r="P189" i="10"/>
  <c r="I189" i="10"/>
  <c r="F189" i="10"/>
  <c r="D189" i="10"/>
  <c r="P188" i="10"/>
  <c r="I188" i="10"/>
  <c r="F188" i="10"/>
  <c r="D188" i="10"/>
  <c r="P187" i="10"/>
  <c r="I187" i="10"/>
  <c r="F187" i="10"/>
  <c r="D187" i="10"/>
  <c r="P186" i="10"/>
  <c r="I186" i="10"/>
  <c r="F186" i="10"/>
  <c r="D186" i="10"/>
  <c r="P185" i="10"/>
  <c r="I185" i="10"/>
  <c r="F185" i="10"/>
  <c r="D185" i="10"/>
  <c r="P184" i="10"/>
  <c r="I184" i="10"/>
  <c r="F184" i="10"/>
  <c r="D184" i="10"/>
  <c r="P183" i="10"/>
  <c r="I183" i="10"/>
  <c r="F183" i="10"/>
  <c r="D183" i="10"/>
  <c r="P182" i="10"/>
  <c r="I182" i="10"/>
  <c r="F182" i="10"/>
  <c r="D182" i="10"/>
  <c r="P181" i="10"/>
  <c r="I181" i="10"/>
  <c r="F181" i="10"/>
  <c r="D181" i="10"/>
  <c r="P180" i="10"/>
  <c r="I180" i="10"/>
  <c r="F180" i="10"/>
  <c r="D180" i="10"/>
  <c r="P179" i="10"/>
  <c r="I179" i="10"/>
  <c r="F179" i="10"/>
  <c r="D179" i="10"/>
  <c r="P178" i="10"/>
  <c r="I178" i="10"/>
  <c r="F178" i="10"/>
  <c r="D178" i="10"/>
  <c r="P177" i="10"/>
  <c r="I177" i="10"/>
  <c r="F177" i="10"/>
  <c r="D177" i="10"/>
  <c r="P176" i="10"/>
  <c r="I176" i="10"/>
  <c r="F176" i="10"/>
  <c r="D176" i="10"/>
  <c r="P175" i="10"/>
  <c r="I175" i="10"/>
  <c r="F175" i="10"/>
  <c r="D175" i="10"/>
  <c r="P174" i="10"/>
  <c r="I174" i="10"/>
  <c r="F174" i="10"/>
  <c r="D174" i="10"/>
  <c r="P173" i="10"/>
  <c r="I173" i="10"/>
  <c r="F173" i="10"/>
  <c r="D173" i="10"/>
  <c r="P172" i="10"/>
  <c r="I172" i="10"/>
  <c r="F172" i="10"/>
  <c r="D172" i="10"/>
  <c r="P171" i="10"/>
  <c r="I171" i="10"/>
  <c r="F171" i="10"/>
  <c r="D171" i="10"/>
  <c r="P170" i="10"/>
  <c r="I170" i="10"/>
  <c r="F170" i="10"/>
  <c r="D170" i="10"/>
  <c r="P169" i="10"/>
  <c r="I169" i="10"/>
  <c r="F169" i="10"/>
  <c r="D169" i="10"/>
  <c r="P168" i="10"/>
  <c r="I168" i="10"/>
  <c r="F168" i="10"/>
  <c r="D168" i="10"/>
  <c r="P167" i="10"/>
  <c r="I167" i="10"/>
  <c r="F167" i="10"/>
  <c r="D167" i="10"/>
  <c r="P166" i="10"/>
  <c r="I166" i="10"/>
  <c r="F166" i="10"/>
  <c r="D166" i="10"/>
  <c r="P165" i="10"/>
  <c r="I165" i="10"/>
  <c r="F165" i="10"/>
  <c r="D165" i="10"/>
  <c r="P164" i="10"/>
  <c r="I164" i="10"/>
  <c r="F164" i="10"/>
  <c r="D164" i="10"/>
  <c r="P163" i="10"/>
  <c r="I163" i="10"/>
  <c r="F163" i="10"/>
  <c r="D163" i="10"/>
  <c r="P162" i="10"/>
  <c r="I162" i="10"/>
  <c r="F162" i="10"/>
  <c r="D162" i="10"/>
  <c r="P161" i="10"/>
  <c r="I161" i="10"/>
  <c r="F161" i="10"/>
  <c r="D161" i="10"/>
  <c r="P160" i="10"/>
  <c r="I160" i="10"/>
  <c r="F160" i="10"/>
  <c r="D160" i="10"/>
  <c r="P159" i="10"/>
  <c r="I159" i="10"/>
  <c r="F159" i="10"/>
  <c r="D159" i="10"/>
  <c r="P158" i="10"/>
  <c r="I158" i="10"/>
  <c r="F158" i="10"/>
  <c r="D158" i="10"/>
  <c r="P157" i="10"/>
  <c r="I157" i="10"/>
  <c r="F157" i="10"/>
  <c r="D157" i="10"/>
  <c r="P156" i="10"/>
  <c r="I156" i="10"/>
  <c r="F156" i="10"/>
  <c r="D156" i="10"/>
  <c r="P155" i="10"/>
  <c r="I155" i="10"/>
  <c r="F155" i="10"/>
  <c r="D155" i="10"/>
  <c r="P154" i="10"/>
  <c r="I154" i="10"/>
  <c r="F154" i="10"/>
  <c r="D154" i="10"/>
  <c r="P153" i="10"/>
  <c r="I153" i="10"/>
  <c r="F153" i="10"/>
  <c r="D153" i="10"/>
  <c r="P152" i="10"/>
  <c r="I152" i="10"/>
  <c r="F152" i="10"/>
  <c r="D152" i="10"/>
  <c r="P151" i="10"/>
  <c r="I151" i="10"/>
  <c r="F151" i="10"/>
  <c r="D151" i="10"/>
  <c r="P150" i="10"/>
  <c r="I150" i="10"/>
  <c r="F150" i="10"/>
  <c r="D150" i="10"/>
  <c r="P149" i="10"/>
  <c r="I149" i="10"/>
  <c r="F149" i="10"/>
  <c r="D149" i="10"/>
  <c r="P148" i="10"/>
  <c r="I148" i="10"/>
  <c r="F148" i="10"/>
  <c r="D148" i="10"/>
  <c r="P147" i="10"/>
  <c r="I147" i="10"/>
  <c r="F147" i="10"/>
  <c r="D147" i="10"/>
  <c r="P146" i="10"/>
  <c r="I146" i="10"/>
  <c r="F146" i="10"/>
  <c r="D146" i="10"/>
  <c r="P145" i="10"/>
  <c r="I145" i="10"/>
  <c r="F145" i="10"/>
  <c r="D145" i="10"/>
  <c r="P144" i="10"/>
  <c r="I144" i="10"/>
  <c r="F144" i="10"/>
  <c r="D144" i="10"/>
  <c r="P143" i="10"/>
  <c r="I143" i="10"/>
  <c r="F143" i="10"/>
  <c r="D143" i="10"/>
  <c r="P142" i="10"/>
  <c r="I142" i="10"/>
  <c r="F142" i="10"/>
  <c r="D142" i="10"/>
  <c r="P141" i="10"/>
  <c r="I141" i="10"/>
  <c r="F141" i="10"/>
  <c r="D141" i="10"/>
  <c r="P140" i="10"/>
  <c r="I140" i="10"/>
  <c r="F140" i="10"/>
  <c r="D140" i="10"/>
  <c r="P139" i="10"/>
  <c r="I139" i="10"/>
  <c r="F139" i="10"/>
  <c r="D139" i="10"/>
  <c r="I138" i="10"/>
  <c r="P137" i="10"/>
  <c r="I137" i="10"/>
  <c r="F137" i="10"/>
  <c r="D137" i="10"/>
  <c r="P136" i="10"/>
  <c r="I136" i="10"/>
  <c r="F136" i="10"/>
  <c r="D136" i="10"/>
  <c r="P135" i="10"/>
  <c r="I135" i="10"/>
  <c r="F135" i="10"/>
  <c r="D135" i="10"/>
  <c r="P134" i="10"/>
  <c r="I134" i="10"/>
  <c r="F134" i="10"/>
  <c r="D134" i="10"/>
  <c r="P133" i="10"/>
  <c r="I133" i="10"/>
  <c r="F133" i="10"/>
  <c r="D133" i="10"/>
  <c r="P132" i="10"/>
  <c r="I132" i="10"/>
  <c r="F132" i="10"/>
  <c r="D132" i="10"/>
  <c r="P131" i="10"/>
  <c r="I131" i="10"/>
  <c r="F131" i="10"/>
  <c r="D131" i="10"/>
  <c r="P130" i="10"/>
  <c r="I130" i="10"/>
  <c r="F130" i="10"/>
  <c r="D130" i="10"/>
  <c r="P129" i="10"/>
  <c r="I129" i="10"/>
  <c r="F129" i="10"/>
  <c r="D129" i="10"/>
  <c r="P128" i="10"/>
  <c r="I128" i="10"/>
  <c r="F128" i="10"/>
  <c r="D128" i="10"/>
  <c r="W127" i="10"/>
  <c r="P127" i="10"/>
  <c r="I127" i="10"/>
  <c r="H127" i="10"/>
  <c r="F127" i="10"/>
  <c r="D127" i="10"/>
  <c r="P126" i="10"/>
  <c r="I126" i="10"/>
  <c r="F126" i="10"/>
  <c r="D126" i="10"/>
  <c r="P125" i="10"/>
  <c r="I125" i="10"/>
  <c r="F125" i="10"/>
  <c r="D125" i="10"/>
  <c r="P124" i="10"/>
  <c r="I124" i="10"/>
  <c r="F124" i="10"/>
  <c r="D124" i="10"/>
  <c r="P123" i="10"/>
  <c r="I123" i="10"/>
  <c r="F123" i="10"/>
  <c r="D123" i="10"/>
  <c r="P122" i="10"/>
  <c r="I122" i="10"/>
  <c r="F122" i="10"/>
  <c r="D122" i="10"/>
  <c r="W121" i="10"/>
  <c r="P121" i="10"/>
  <c r="I121" i="10"/>
  <c r="H121" i="10"/>
  <c r="F121" i="10"/>
  <c r="D121" i="10"/>
  <c r="P120" i="10"/>
  <c r="I120" i="10"/>
  <c r="F120" i="10"/>
  <c r="D120" i="10"/>
  <c r="P119" i="10"/>
  <c r="I119" i="10"/>
  <c r="F119" i="10"/>
  <c r="D119" i="10"/>
  <c r="P118" i="10"/>
  <c r="I118" i="10"/>
  <c r="F118" i="10"/>
  <c r="D118" i="10"/>
  <c r="P117" i="10"/>
  <c r="I117" i="10"/>
  <c r="F117" i="10"/>
  <c r="D117" i="10"/>
  <c r="P116" i="10"/>
  <c r="I116" i="10"/>
  <c r="F116" i="10"/>
  <c r="D116" i="10"/>
  <c r="P115" i="10"/>
  <c r="I115" i="10"/>
  <c r="F115" i="10"/>
  <c r="D115" i="10"/>
  <c r="W114" i="10"/>
  <c r="P114" i="10"/>
  <c r="I114" i="10"/>
  <c r="H114" i="10"/>
  <c r="F114" i="10"/>
  <c r="D114" i="10"/>
  <c r="P113" i="10"/>
  <c r="I113" i="10"/>
  <c r="F113" i="10"/>
  <c r="D113" i="10"/>
  <c r="P112" i="10"/>
  <c r="I112" i="10"/>
  <c r="F112" i="10"/>
  <c r="D112" i="10"/>
  <c r="P111" i="10"/>
  <c r="I111" i="10"/>
  <c r="F111" i="10"/>
  <c r="D111" i="10"/>
  <c r="P110" i="10"/>
  <c r="I110" i="10"/>
  <c r="F110" i="10"/>
  <c r="D110" i="10"/>
  <c r="P109" i="10"/>
  <c r="I109" i="10"/>
  <c r="F109" i="10"/>
  <c r="D109" i="10"/>
  <c r="P108" i="10"/>
  <c r="I108" i="10"/>
  <c r="F108" i="10"/>
  <c r="D108" i="10"/>
  <c r="P107" i="10"/>
  <c r="I107" i="10"/>
  <c r="F107" i="10"/>
  <c r="D107" i="10"/>
  <c r="P106" i="10"/>
  <c r="I106" i="10"/>
  <c r="F106" i="10"/>
  <c r="D106" i="10"/>
  <c r="P105" i="10"/>
  <c r="I105" i="10"/>
  <c r="F105" i="10"/>
  <c r="D105" i="10"/>
  <c r="I104" i="10"/>
  <c r="I103" i="10"/>
  <c r="W102" i="10"/>
  <c r="P102" i="10"/>
  <c r="I102" i="10"/>
  <c r="H102" i="10"/>
  <c r="F102" i="10"/>
  <c r="D102" i="10"/>
  <c r="P101" i="10"/>
  <c r="I101" i="10"/>
  <c r="F101" i="10"/>
  <c r="D101" i="10"/>
  <c r="P100" i="10"/>
  <c r="I100" i="10"/>
  <c r="F100" i="10"/>
  <c r="D100" i="10"/>
  <c r="W99" i="10"/>
  <c r="P99" i="10"/>
  <c r="I99" i="10"/>
  <c r="H99" i="10"/>
  <c r="F99" i="10"/>
  <c r="D99" i="10"/>
  <c r="P98" i="10"/>
  <c r="I98" i="10"/>
  <c r="F98" i="10"/>
  <c r="D98" i="10"/>
  <c r="P97" i="10"/>
  <c r="I97" i="10"/>
  <c r="F97" i="10"/>
  <c r="D97" i="10"/>
  <c r="P96" i="10"/>
  <c r="I96" i="10"/>
  <c r="F96" i="10"/>
  <c r="D96" i="10"/>
  <c r="P95" i="10"/>
  <c r="I95" i="10"/>
  <c r="F95" i="10"/>
  <c r="D95" i="10"/>
  <c r="P94" i="10"/>
  <c r="I94" i="10"/>
  <c r="F94" i="10"/>
  <c r="D94" i="10"/>
  <c r="P93" i="10"/>
  <c r="I93" i="10"/>
  <c r="F93" i="10"/>
  <c r="D93" i="10"/>
  <c r="P92" i="10"/>
  <c r="I92" i="10"/>
  <c r="F92" i="10"/>
  <c r="D92" i="10"/>
  <c r="P91" i="10"/>
  <c r="I91" i="10"/>
  <c r="F91" i="10"/>
  <c r="D91" i="10"/>
  <c r="W90" i="10"/>
  <c r="P90" i="10"/>
  <c r="I90" i="10"/>
  <c r="H90" i="10"/>
  <c r="F90" i="10"/>
  <c r="D90" i="10"/>
  <c r="W89" i="10"/>
  <c r="P89" i="10"/>
  <c r="I89" i="10"/>
  <c r="H89" i="10"/>
  <c r="F89" i="10"/>
  <c r="D89" i="10"/>
  <c r="P88" i="10"/>
  <c r="I88" i="10"/>
  <c r="F88" i="10"/>
  <c r="D88" i="10"/>
  <c r="P87" i="10"/>
  <c r="I87" i="10"/>
  <c r="F87" i="10"/>
  <c r="D87" i="10"/>
  <c r="P86" i="10"/>
  <c r="I86" i="10"/>
  <c r="F86" i="10"/>
  <c r="D86" i="10"/>
  <c r="P85" i="10"/>
  <c r="I85" i="10"/>
  <c r="F85" i="10"/>
  <c r="D85" i="10"/>
  <c r="W84" i="10"/>
  <c r="P84" i="10"/>
  <c r="I84" i="10"/>
  <c r="H84" i="10"/>
  <c r="F84" i="10"/>
  <c r="D84" i="10"/>
  <c r="W83" i="10"/>
  <c r="P83" i="10"/>
  <c r="I83" i="10"/>
  <c r="H83" i="10"/>
  <c r="F83" i="10"/>
  <c r="D83" i="10"/>
  <c r="P82" i="10"/>
  <c r="I82" i="10"/>
  <c r="F82" i="10"/>
  <c r="D82" i="10"/>
  <c r="P81" i="10"/>
  <c r="I81" i="10"/>
  <c r="F81" i="10"/>
  <c r="D81" i="10"/>
  <c r="W80" i="10"/>
  <c r="P80" i="10"/>
  <c r="I80" i="10"/>
  <c r="H80" i="10"/>
  <c r="F80" i="10"/>
  <c r="D80" i="10"/>
  <c r="P79" i="10"/>
  <c r="I79" i="10"/>
  <c r="F79" i="10"/>
  <c r="D79" i="10"/>
  <c r="W78" i="10"/>
  <c r="P78" i="10"/>
  <c r="I78" i="10"/>
  <c r="H78" i="10"/>
  <c r="F78" i="10"/>
  <c r="D78" i="10"/>
  <c r="P77" i="10"/>
  <c r="I77" i="10"/>
  <c r="F77" i="10"/>
  <c r="D77" i="10"/>
  <c r="P76" i="10"/>
  <c r="I76" i="10"/>
  <c r="F76" i="10"/>
  <c r="D76" i="10"/>
  <c r="P75" i="10"/>
  <c r="I75" i="10"/>
  <c r="F75" i="10"/>
  <c r="D75" i="10"/>
  <c r="W74" i="10"/>
  <c r="P74" i="10"/>
  <c r="I74" i="10"/>
  <c r="H74" i="10"/>
  <c r="F74" i="10"/>
  <c r="D74" i="10"/>
  <c r="W73" i="10"/>
  <c r="P73" i="10"/>
  <c r="I73" i="10"/>
  <c r="H73" i="10"/>
  <c r="F73" i="10"/>
  <c r="D73" i="10"/>
  <c r="W72" i="10"/>
  <c r="P72" i="10"/>
  <c r="I72" i="10"/>
  <c r="H72" i="10"/>
  <c r="F72" i="10"/>
  <c r="D72" i="10"/>
  <c r="W71" i="10"/>
  <c r="P71" i="10"/>
  <c r="I71" i="10"/>
  <c r="H71" i="10"/>
  <c r="F71" i="10"/>
  <c r="D71" i="10"/>
  <c r="P70" i="10"/>
  <c r="I70" i="10"/>
  <c r="F70" i="10"/>
  <c r="D70" i="10"/>
  <c r="W69" i="10"/>
  <c r="P69" i="10"/>
  <c r="I69" i="10"/>
  <c r="H69" i="10"/>
  <c r="F69" i="10"/>
  <c r="D69" i="10"/>
  <c r="W68" i="10"/>
  <c r="P68" i="10"/>
  <c r="I68" i="10"/>
  <c r="H68" i="10"/>
  <c r="F68" i="10"/>
  <c r="D68" i="10"/>
  <c r="P67" i="10"/>
  <c r="I67" i="10"/>
  <c r="F67" i="10"/>
  <c r="D67" i="10"/>
  <c r="W66" i="10"/>
  <c r="P66" i="10"/>
  <c r="I66" i="10"/>
  <c r="H66" i="10"/>
  <c r="F66" i="10"/>
  <c r="D66" i="10"/>
  <c r="W65" i="10"/>
  <c r="P65" i="10"/>
  <c r="I65" i="10"/>
  <c r="H65" i="10"/>
  <c r="F65" i="10"/>
  <c r="D65" i="10"/>
  <c r="W64" i="10"/>
  <c r="P64" i="10"/>
  <c r="I64" i="10"/>
  <c r="H64" i="10"/>
  <c r="F64" i="10"/>
  <c r="D64" i="10"/>
  <c r="W63" i="10"/>
  <c r="P63" i="10"/>
  <c r="I63" i="10"/>
  <c r="H63" i="10"/>
  <c r="F63" i="10"/>
  <c r="D63" i="10"/>
  <c r="W62" i="10"/>
  <c r="P62" i="10"/>
  <c r="I62" i="10"/>
  <c r="H62" i="10"/>
  <c r="F62" i="10"/>
  <c r="D62" i="10"/>
  <c r="W61" i="10"/>
  <c r="P61" i="10"/>
  <c r="I61" i="10"/>
  <c r="H61" i="10"/>
  <c r="F61" i="10"/>
  <c r="D61" i="10"/>
  <c r="W60" i="10"/>
  <c r="P60" i="10"/>
  <c r="I60" i="10"/>
  <c r="H60" i="10"/>
  <c r="F60" i="10"/>
  <c r="D60" i="10"/>
  <c r="W59" i="10"/>
  <c r="P59" i="10"/>
  <c r="I59" i="10"/>
  <c r="H59" i="10"/>
  <c r="F59" i="10"/>
  <c r="D59" i="10"/>
  <c r="W58" i="10"/>
  <c r="P58" i="10"/>
  <c r="I58" i="10"/>
  <c r="H58" i="10"/>
  <c r="F58" i="10"/>
  <c r="D58" i="10"/>
  <c r="W57" i="10"/>
  <c r="P57" i="10"/>
  <c r="I57" i="10"/>
  <c r="H57" i="10"/>
  <c r="F57" i="10"/>
  <c r="D57" i="10"/>
  <c r="W56" i="10"/>
  <c r="P56" i="10"/>
  <c r="I56" i="10"/>
  <c r="H56" i="10"/>
  <c r="F56" i="10"/>
  <c r="D56" i="10"/>
  <c r="W55" i="10"/>
  <c r="P55" i="10"/>
  <c r="I55" i="10"/>
  <c r="H55" i="10"/>
  <c r="F55" i="10"/>
  <c r="D55" i="10"/>
  <c r="W54" i="10"/>
  <c r="P54" i="10"/>
  <c r="I54" i="10"/>
  <c r="H54" i="10"/>
  <c r="F54" i="10"/>
  <c r="D54" i="10"/>
  <c r="W53" i="10"/>
  <c r="P53" i="10"/>
  <c r="I53" i="10"/>
  <c r="H53" i="10"/>
  <c r="F53" i="10"/>
  <c r="D53" i="10"/>
  <c r="W52" i="10"/>
  <c r="P52" i="10"/>
  <c r="I52" i="10"/>
  <c r="H52" i="10"/>
  <c r="F52" i="10"/>
  <c r="D52" i="10"/>
  <c r="W51" i="10"/>
  <c r="P51" i="10"/>
  <c r="I51" i="10"/>
  <c r="H51" i="10"/>
  <c r="F51" i="10"/>
  <c r="D51" i="10"/>
  <c r="W50" i="10"/>
  <c r="P50" i="10"/>
  <c r="I50" i="10"/>
  <c r="H50" i="10"/>
  <c r="F50" i="10"/>
  <c r="D50" i="10"/>
  <c r="W49" i="10"/>
  <c r="P49" i="10"/>
  <c r="I49" i="10"/>
  <c r="H49" i="10"/>
  <c r="F49" i="10"/>
  <c r="D49" i="10"/>
  <c r="W48" i="10"/>
  <c r="P48" i="10"/>
  <c r="I48" i="10"/>
  <c r="H48" i="10"/>
  <c r="F48" i="10"/>
  <c r="D48" i="10"/>
  <c r="W47" i="10"/>
  <c r="P47" i="10"/>
  <c r="I47" i="10"/>
  <c r="H47" i="10"/>
  <c r="F47" i="10"/>
  <c r="D47" i="10"/>
  <c r="W46" i="10"/>
  <c r="P46" i="10"/>
  <c r="I46" i="10"/>
  <c r="H46" i="10"/>
  <c r="F46" i="10"/>
  <c r="D46" i="10"/>
  <c r="W45" i="10"/>
  <c r="P45" i="10"/>
  <c r="I45" i="10"/>
  <c r="H45" i="10"/>
  <c r="F45" i="10"/>
  <c r="D45" i="10"/>
  <c r="W44" i="10"/>
  <c r="P44" i="10"/>
  <c r="I44" i="10"/>
  <c r="H44" i="10"/>
  <c r="F44" i="10"/>
  <c r="D44" i="10"/>
  <c r="W43" i="10"/>
  <c r="P43" i="10"/>
  <c r="I43" i="10"/>
  <c r="H43" i="10"/>
  <c r="F43" i="10"/>
  <c r="D43" i="10"/>
  <c r="W42" i="10"/>
  <c r="P42" i="10"/>
  <c r="I42" i="10"/>
  <c r="H42" i="10"/>
  <c r="F42" i="10"/>
  <c r="D42" i="10"/>
  <c r="W41" i="10"/>
  <c r="P41" i="10"/>
  <c r="I41" i="10"/>
  <c r="H41" i="10"/>
  <c r="F41" i="10"/>
  <c r="D41" i="10"/>
  <c r="W40" i="10"/>
  <c r="P40" i="10"/>
  <c r="I40" i="10"/>
  <c r="H40" i="10"/>
  <c r="F40" i="10"/>
  <c r="D40" i="10"/>
  <c r="W39" i="10"/>
  <c r="P39" i="10"/>
  <c r="I39" i="10"/>
  <c r="H39" i="10"/>
  <c r="F39" i="10"/>
  <c r="D39" i="10"/>
  <c r="W38" i="10"/>
  <c r="P38" i="10"/>
  <c r="I38" i="10"/>
  <c r="H38" i="10"/>
  <c r="F38" i="10"/>
  <c r="D38" i="10"/>
  <c r="W37" i="10"/>
  <c r="P37" i="10"/>
  <c r="I37" i="10"/>
  <c r="H37" i="10"/>
  <c r="F37" i="10"/>
  <c r="D37" i="10"/>
  <c r="W36" i="10"/>
  <c r="P36" i="10"/>
  <c r="I36" i="10"/>
  <c r="H36" i="10"/>
  <c r="F36" i="10"/>
  <c r="D36" i="10"/>
  <c r="W35" i="10"/>
  <c r="P35" i="10"/>
  <c r="I35" i="10"/>
  <c r="H35" i="10"/>
  <c r="F35" i="10"/>
  <c r="D35" i="10"/>
  <c r="W34" i="10"/>
  <c r="P34" i="10"/>
  <c r="I34" i="10"/>
  <c r="H34" i="10"/>
  <c r="F34" i="10"/>
  <c r="D34" i="10"/>
  <c r="W33" i="10"/>
  <c r="P33" i="10"/>
  <c r="I33" i="10"/>
  <c r="H33" i="10"/>
  <c r="F33" i="10"/>
  <c r="D33" i="10"/>
  <c r="W32" i="10"/>
  <c r="P32" i="10"/>
  <c r="I32" i="10"/>
  <c r="H32" i="10"/>
  <c r="F32" i="10"/>
  <c r="D32" i="10"/>
  <c r="W31" i="10"/>
  <c r="P31" i="10"/>
  <c r="I31" i="10"/>
  <c r="H31" i="10"/>
  <c r="F31" i="10"/>
  <c r="D31" i="10"/>
  <c r="W30" i="10"/>
  <c r="P30" i="10"/>
  <c r="I30" i="10"/>
  <c r="H30" i="10"/>
  <c r="F30" i="10"/>
  <c r="D30" i="10"/>
  <c r="W29" i="10"/>
  <c r="P29" i="10"/>
  <c r="I29" i="10"/>
  <c r="H29" i="10"/>
  <c r="F29" i="10"/>
  <c r="D29" i="10"/>
  <c r="W28" i="10"/>
  <c r="P28" i="10"/>
  <c r="I28" i="10"/>
  <c r="H28" i="10"/>
  <c r="F28" i="10"/>
  <c r="D28" i="10"/>
  <c r="W27" i="10"/>
  <c r="P27" i="10"/>
  <c r="I27" i="10"/>
  <c r="H27" i="10"/>
  <c r="F27" i="10"/>
  <c r="D27" i="10"/>
  <c r="W26" i="10"/>
  <c r="P26" i="10"/>
  <c r="I26" i="10"/>
  <c r="H26" i="10"/>
  <c r="F26" i="10"/>
  <c r="D26" i="10"/>
  <c r="W25" i="10"/>
  <c r="P25" i="10"/>
  <c r="I25" i="10"/>
  <c r="H25" i="10"/>
  <c r="F25" i="10"/>
  <c r="D25" i="10"/>
  <c r="W24" i="10"/>
  <c r="P24" i="10"/>
  <c r="I24" i="10"/>
  <c r="H24" i="10"/>
  <c r="F24" i="10"/>
  <c r="D24" i="10"/>
  <c r="W23" i="10"/>
  <c r="P23" i="10"/>
  <c r="I23" i="10"/>
  <c r="H23" i="10"/>
  <c r="F23" i="10"/>
  <c r="D23" i="10"/>
  <c r="W22" i="10"/>
  <c r="P22" i="10"/>
  <c r="I22" i="10"/>
  <c r="H22" i="10"/>
  <c r="F22" i="10"/>
  <c r="D22" i="10"/>
  <c r="W21" i="10"/>
  <c r="P21" i="10"/>
  <c r="I21" i="10"/>
  <c r="H21" i="10"/>
  <c r="F21" i="10"/>
  <c r="D21" i="10"/>
  <c r="W20" i="10"/>
  <c r="P20" i="10"/>
  <c r="I20" i="10"/>
  <c r="H20" i="10"/>
  <c r="F20" i="10"/>
  <c r="D20" i="10"/>
  <c r="W19" i="10"/>
  <c r="P19" i="10"/>
  <c r="I19" i="10"/>
  <c r="H19" i="10"/>
  <c r="F19" i="10"/>
  <c r="D19" i="10"/>
  <c r="W18" i="10"/>
  <c r="P18" i="10"/>
  <c r="I18" i="10"/>
  <c r="H18" i="10"/>
  <c r="F18" i="10"/>
  <c r="D18" i="10"/>
  <c r="W17" i="10"/>
  <c r="P17" i="10"/>
  <c r="I17" i="10"/>
  <c r="H17" i="10"/>
  <c r="F17" i="10"/>
  <c r="D17" i="10"/>
  <c r="W16" i="10"/>
  <c r="P16" i="10"/>
  <c r="I16" i="10"/>
  <c r="H16" i="10"/>
  <c r="F16" i="10"/>
  <c r="D16" i="10"/>
  <c r="W15" i="10"/>
  <c r="P15" i="10"/>
  <c r="I15" i="10"/>
  <c r="H15" i="10"/>
  <c r="F15" i="10"/>
  <c r="D15" i="10"/>
  <c r="W14" i="10"/>
  <c r="P14" i="10"/>
  <c r="I14" i="10"/>
  <c r="H14" i="10"/>
  <c r="F14" i="10"/>
  <c r="D14" i="10"/>
  <c r="W13" i="10"/>
  <c r="P13" i="10"/>
  <c r="I13" i="10"/>
  <c r="H13" i="10"/>
  <c r="F13" i="10"/>
  <c r="D13" i="10"/>
  <c r="W12" i="10"/>
  <c r="P12" i="10"/>
  <c r="I12" i="10"/>
  <c r="H12" i="10"/>
  <c r="F12" i="10"/>
  <c r="D12" i="10"/>
  <c r="W11" i="10"/>
  <c r="P11" i="10"/>
  <c r="I11" i="10"/>
  <c r="H11" i="10"/>
  <c r="F11" i="10"/>
  <c r="D11" i="10"/>
  <c r="W10" i="10"/>
  <c r="P10" i="10"/>
  <c r="I10" i="10"/>
  <c r="H10" i="10"/>
  <c r="F10" i="10"/>
  <c r="D10" i="10"/>
  <c r="W9" i="10"/>
  <c r="P9" i="10"/>
  <c r="I9" i="10"/>
  <c r="H9" i="10"/>
  <c r="F9" i="10"/>
  <c r="D9" i="10"/>
  <c r="W8" i="10"/>
  <c r="P8" i="10"/>
  <c r="I8" i="10"/>
  <c r="H8" i="10"/>
  <c r="F8" i="10"/>
  <c r="D8" i="10"/>
  <c r="W7" i="10"/>
  <c r="P7" i="10"/>
  <c r="I7" i="10"/>
  <c r="H7" i="10"/>
  <c r="F7" i="10"/>
  <c r="D7" i="10"/>
  <c r="W6" i="10"/>
  <c r="P6" i="10"/>
  <c r="I6" i="10"/>
  <c r="H6" i="10"/>
  <c r="F6" i="10"/>
  <c r="D6" i="10"/>
  <c r="W5" i="10"/>
  <c r="P5" i="10"/>
  <c r="I5" i="10"/>
  <c r="H5" i="10"/>
  <c r="F5" i="10"/>
  <c r="D5" i="10"/>
  <c r="W4" i="10"/>
  <c r="P4" i="10"/>
  <c r="I4" i="10"/>
  <c r="H4" i="10"/>
  <c r="F4" i="10"/>
  <c r="D4" i="10"/>
  <c r="W3" i="10"/>
  <c r="P3" i="10"/>
  <c r="I3" i="10"/>
  <c r="H3" i="10"/>
  <c r="F3" i="10"/>
  <c r="D3" i="10"/>
  <c r="W2" i="10"/>
  <c r="P2" i="10"/>
  <c r="I2" i="10"/>
  <c r="H2" i="10"/>
  <c r="F2" i="10"/>
  <c r="D2" i="10"/>
  <c r="Z48" i="7"/>
  <c r="X48" i="7"/>
  <c r="O48" i="7"/>
  <c r="N48" i="7"/>
  <c r="K48" i="7"/>
  <c r="J48" i="7"/>
  <c r="H48" i="7"/>
  <c r="Z47" i="7"/>
  <c r="Y47" i="7"/>
  <c r="X47" i="7"/>
  <c r="W47" i="7"/>
  <c r="V47" i="7"/>
  <c r="U47" i="7"/>
  <c r="T47" i="7"/>
  <c r="S47" i="7"/>
  <c r="R47" i="7"/>
  <c r="Q47" i="7"/>
  <c r="P47" i="7"/>
  <c r="O47" i="7"/>
  <c r="N47" i="7"/>
  <c r="M47" i="7"/>
  <c r="L47" i="7"/>
  <c r="K47" i="7"/>
  <c r="J47" i="7"/>
  <c r="I47" i="7"/>
  <c r="H47" i="7"/>
  <c r="G47" i="7"/>
  <c r="F47" i="7"/>
  <c r="C47" i="7" s="1"/>
  <c r="E47" i="7"/>
  <c r="C46" i="7"/>
  <c r="C45" i="7"/>
  <c r="C44" i="7"/>
  <c r="C43" i="7"/>
  <c r="C42" i="7"/>
  <c r="C41" i="7"/>
  <c r="C40" i="7"/>
  <c r="C39" i="7"/>
  <c r="C38" i="7"/>
  <c r="C37" i="7"/>
  <c r="C36" i="7"/>
  <c r="C35" i="7"/>
  <c r="Z34" i="7"/>
  <c r="Y34" i="7"/>
  <c r="X34" i="7"/>
  <c r="W34" i="7"/>
  <c r="V34" i="7"/>
  <c r="U34" i="7"/>
  <c r="U48" i="7" s="1"/>
  <c r="T34" i="7"/>
  <c r="S34" i="7"/>
  <c r="R34" i="7"/>
  <c r="Q34" i="7"/>
  <c r="P34" i="7"/>
  <c r="P48" i="7" s="1"/>
  <c r="O34" i="7"/>
  <c r="N34" i="7"/>
  <c r="M34" i="7"/>
  <c r="L34" i="7"/>
  <c r="K34" i="7"/>
  <c r="J34" i="7"/>
  <c r="I34" i="7"/>
  <c r="H34" i="7"/>
  <c r="G34" i="7"/>
  <c r="F34" i="7"/>
  <c r="C34" i="7" s="1"/>
  <c r="E34" i="7"/>
  <c r="E48" i="7" s="1"/>
  <c r="C33" i="7"/>
  <c r="C32" i="7"/>
  <c r="C31" i="7"/>
  <c r="C30" i="7"/>
  <c r="C29" i="7"/>
  <c r="C28" i="7"/>
  <c r="C27" i="7"/>
  <c r="C26" i="7"/>
  <c r="C25" i="7"/>
  <c r="C24" i="7"/>
  <c r="C23" i="7"/>
  <c r="C22" i="7"/>
  <c r="C21" i="7"/>
  <c r="C20" i="7"/>
  <c r="C19" i="7"/>
  <c r="Z18" i="7"/>
  <c r="Y18" i="7"/>
  <c r="X18" i="7"/>
  <c r="W18" i="7"/>
  <c r="V18" i="7"/>
  <c r="U18" i="7"/>
  <c r="T18" i="7"/>
  <c r="S18" i="7"/>
  <c r="R18" i="7"/>
  <c r="Q18" i="7"/>
  <c r="P18" i="7"/>
  <c r="O18" i="7"/>
  <c r="N18" i="7"/>
  <c r="M18" i="7"/>
  <c r="M48" i="7" s="1"/>
  <c r="L18" i="7"/>
  <c r="L48" i="7" s="1"/>
  <c r="K18" i="7"/>
  <c r="J18" i="7"/>
  <c r="I18" i="7"/>
  <c r="H18" i="7"/>
  <c r="G18" i="7"/>
  <c r="F18" i="7"/>
  <c r="C18" i="7" s="1"/>
  <c r="E18" i="7"/>
  <c r="C17" i="7"/>
  <c r="C16" i="7"/>
  <c r="C15" i="7"/>
  <c r="C14" i="7"/>
  <c r="C13" i="7"/>
  <c r="C12" i="7"/>
  <c r="C11" i="7"/>
  <c r="C9" i="7"/>
  <c r="C8" i="7"/>
  <c r="Z7" i="7"/>
  <c r="Y7" i="7"/>
  <c r="Y48" i="7" s="1"/>
  <c r="X7" i="7"/>
  <c r="W7" i="7"/>
  <c r="W48" i="7" s="1"/>
  <c r="V7" i="7"/>
  <c r="V48" i="7" s="1"/>
  <c r="U7" i="7"/>
  <c r="T7" i="7"/>
  <c r="T48" i="7" s="1"/>
  <c r="S7" i="7"/>
  <c r="S48" i="7" s="1"/>
  <c r="R7" i="7"/>
  <c r="R48" i="7" s="1"/>
  <c r="Q7" i="7"/>
  <c r="Q48" i="7" s="1"/>
  <c r="P7" i="7"/>
  <c r="O7" i="7"/>
  <c r="N7" i="7"/>
  <c r="M7" i="7"/>
  <c r="L7" i="7"/>
  <c r="K7" i="7"/>
  <c r="J7" i="7"/>
  <c r="I7" i="7"/>
  <c r="I48" i="7" s="1"/>
  <c r="H7" i="7"/>
  <c r="G7" i="7"/>
  <c r="G48" i="7" s="1"/>
  <c r="F7" i="7"/>
  <c r="F48" i="7" s="1"/>
  <c r="E7" i="7"/>
  <c r="C6" i="7"/>
  <c r="C5" i="7"/>
  <c r="C4" i="7"/>
  <c r="C3" i="7"/>
  <c r="C25" i="8"/>
  <c r="C24" i="8"/>
  <c r="C23" i="8"/>
  <c r="C22" i="8"/>
  <c r="C21" i="8"/>
  <c r="C20" i="8"/>
  <c r="I18" i="8"/>
  <c r="H18" i="8"/>
  <c r="G18" i="8"/>
  <c r="F18" i="8"/>
  <c r="C18" i="8" s="1"/>
  <c r="E18" i="8"/>
  <c r="D18" i="8"/>
  <c r="C17" i="8"/>
  <c r="C16" i="8"/>
  <c r="C15" i="8"/>
  <c r="C14" i="8"/>
  <c r="C13" i="8"/>
  <c r="C12" i="8"/>
  <c r="C11" i="8"/>
  <c r="C9" i="8"/>
  <c r="C8" i="8"/>
  <c r="I7" i="8"/>
  <c r="H7" i="8"/>
  <c r="G7" i="8"/>
  <c r="F7" i="8"/>
  <c r="C7" i="8" s="1"/>
  <c r="E7" i="8"/>
  <c r="D7" i="8"/>
  <c r="C6" i="8"/>
  <c r="C5" i="8"/>
  <c r="C4" i="8"/>
  <c r="C3" i="8"/>
  <c r="R2" i="6"/>
  <c r="Q2" i="6"/>
  <c r="P2" i="6"/>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R176" i="5"/>
  <c r="Q176" i="5"/>
  <c r="P176" i="5"/>
  <c r="E176" i="5"/>
  <c r="E175" i="5"/>
  <c r="L174" i="5"/>
  <c r="E174" i="5"/>
  <c r="L173" i="5"/>
  <c r="E173" i="5"/>
  <c r="L172" i="5"/>
  <c r="E172" i="5"/>
  <c r="L171" i="5"/>
  <c r="E171" i="5"/>
  <c r="L170" i="5"/>
  <c r="E170" i="5"/>
  <c r="L169" i="5"/>
  <c r="E169" i="5"/>
  <c r="L168" i="5"/>
  <c r="E168" i="5"/>
  <c r="L167" i="5"/>
  <c r="E167" i="5"/>
  <c r="L166" i="5"/>
  <c r="E166" i="5"/>
  <c r="L165" i="5"/>
  <c r="E165" i="5"/>
  <c r="L164" i="5"/>
  <c r="E164" i="5"/>
  <c r="L163" i="5"/>
  <c r="E163" i="5"/>
  <c r="L162" i="5"/>
  <c r="E162" i="5"/>
  <c r="L161" i="5"/>
  <c r="E161" i="5"/>
  <c r="L160" i="5"/>
  <c r="E160" i="5"/>
  <c r="L159" i="5"/>
  <c r="E159" i="5"/>
  <c r="L158" i="5"/>
  <c r="E158" i="5"/>
  <c r="L157" i="5"/>
  <c r="E157" i="5"/>
  <c r="L156" i="5"/>
  <c r="E156" i="5"/>
  <c r="L155" i="5"/>
  <c r="E155" i="5"/>
  <c r="L154" i="5"/>
  <c r="E154" i="5"/>
  <c r="L153" i="5"/>
  <c r="E153" i="5"/>
  <c r="L152" i="5"/>
  <c r="E152" i="5"/>
  <c r="L151" i="5"/>
  <c r="E151" i="5"/>
  <c r="L150" i="5"/>
  <c r="E150" i="5"/>
  <c r="L149" i="5"/>
  <c r="E149" i="5"/>
  <c r="L148" i="5"/>
  <c r="E148" i="5"/>
  <c r="L147" i="5"/>
  <c r="E147" i="5"/>
  <c r="L146" i="5"/>
  <c r="E146" i="5"/>
  <c r="L145" i="5"/>
  <c r="E145" i="5"/>
  <c r="R144" i="5"/>
  <c r="Q144" i="5"/>
  <c r="P144" i="5"/>
  <c r="L144" i="5"/>
  <c r="E144" i="5"/>
  <c r="L143" i="5"/>
  <c r="E143" i="5"/>
  <c r="L142" i="5"/>
  <c r="E142" i="5"/>
  <c r="L141" i="5"/>
  <c r="E141" i="5"/>
  <c r="L140" i="5"/>
  <c r="E140" i="5"/>
  <c r="L139" i="5"/>
  <c r="E139" i="5"/>
  <c r="L138" i="5"/>
  <c r="E138" i="5"/>
  <c r="L137" i="5"/>
  <c r="E137" i="5"/>
  <c r="L136" i="5"/>
  <c r="E136" i="5"/>
  <c r="L135" i="5"/>
  <c r="E135" i="5"/>
  <c r="R134" i="5"/>
  <c r="Q134" i="5"/>
  <c r="P134" i="5"/>
  <c r="L134" i="5"/>
  <c r="E134" i="5"/>
  <c r="L133" i="5"/>
  <c r="E133" i="5"/>
  <c r="L132" i="5"/>
  <c r="E132" i="5"/>
  <c r="L131" i="5"/>
  <c r="E131" i="5"/>
  <c r="L130" i="5"/>
  <c r="E130" i="5"/>
  <c r="L129" i="5"/>
  <c r="E129" i="5"/>
  <c r="L128" i="5"/>
  <c r="E128" i="5"/>
  <c r="L127" i="5"/>
  <c r="E127" i="5"/>
  <c r="L126" i="5"/>
  <c r="E126" i="5"/>
  <c r="L125" i="5"/>
  <c r="E125" i="5"/>
  <c r="L124" i="5"/>
  <c r="E124" i="5"/>
  <c r="L123" i="5"/>
  <c r="E123" i="5"/>
  <c r="L122" i="5"/>
  <c r="E122" i="5"/>
  <c r="L121" i="5"/>
  <c r="E121" i="5"/>
  <c r="L120" i="5"/>
  <c r="E120" i="5"/>
  <c r="L119" i="5"/>
  <c r="E119" i="5"/>
  <c r="L118" i="5"/>
  <c r="E118" i="5"/>
  <c r="L117" i="5"/>
  <c r="E117" i="5"/>
  <c r="L116" i="5"/>
  <c r="E116" i="5"/>
  <c r="L115" i="5"/>
  <c r="E115" i="5"/>
  <c r="L114" i="5"/>
  <c r="E114" i="5"/>
  <c r="R113" i="5"/>
  <c r="Q113" i="5"/>
  <c r="P113" i="5"/>
  <c r="L113" i="5"/>
  <c r="E113" i="5"/>
  <c r="L112" i="5"/>
  <c r="E112" i="5"/>
  <c r="L111" i="5"/>
  <c r="E111" i="5"/>
  <c r="R110" i="5"/>
  <c r="Q110" i="5"/>
  <c r="P110" i="5"/>
  <c r="L110" i="5"/>
  <c r="E110" i="5"/>
  <c r="L109" i="5"/>
  <c r="E109" i="5"/>
  <c r="L108" i="5"/>
  <c r="E108" i="5"/>
  <c r="L107" i="5"/>
  <c r="E107" i="5"/>
  <c r="L106" i="5"/>
  <c r="E106" i="5"/>
  <c r="L105" i="5"/>
  <c r="E105" i="5"/>
  <c r="L104" i="5"/>
  <c r="E104" i="5"/>
  <c r="L103" i="5"/>
  <c r="E103" i="5"/>
  <c r="R102" i="5"/>
  <c r="Q102" i="5"/>
  <c r="P102" i="5"/>
  <c r="L102" i="5"/>
  <c r="E102" i="5"/>
  <c r="L101" i="5"/>
  <c r="E101" i="5"/>
  <c r="L100" i="5"/>
  <c r="E100" i="5"/>
  <c r="L99" i="5"/>
  <c r="E99" i="5"/>
  <c r="L98" i="5"/>
  <c r="E98" i="5"/>
  <c r="L97" i="5"/>
  <c r="E97" i="5"/>
  <c r="L96" i="5"/>
  <c r="E96" i="5"/>
  <c r="L95" i="5"/>
  <c r="E95" i="5"/>
  <c r="L94" i="5"/>
  <c r="E94" i="5"/>
  <c r="L93" i="5"/>
  <c r="E93" i="5"/>
  <c r="L92" i="5"/>
  <c r="E92" i="5"/>
  <c r="L91" i="5"/>
  <c r="E91" i="5"/>
  <c r="L90" i="5"/>
  <c r="E90" i="5"/>
  <c r="L89" i="5"/>
  <c r="E89" i="5"/>
  <c r="L88" i="5"/>
  <c r="E88" i="5"/>
  <c r="L87" i="5"/>
  <c r="E87" i="5"/>
  <c r="L86" i="5"/>
  <c r="E86" i="5"/>
  <c r="L85" i="5"/>
  <c r="E85" i="5"/>
  <c r="L84" i="5"/>
  <c r="E84" i="5"/>
  <c r="L83" i="5"/>
  <c r="E83" i="5"/>
  <c r="L82" i="5"/>
  <c r="E82" i="5"/>
  <c r="L81" i="5"/>
  <c r="E81" i="5"/>
  <c r="L80" i="5"/>
  <c r="E80" i="5"/>
  <c r="L79" i="5"/>
  <c r="E79" i="5"/>
  <c r="L78" i="5"/>
  <c r="E78" i="5"/>
  <c r="L77" i="5"/>
  <c r="E77" i="5"/>
  <c r="L76" i="5"/>
  <c r="E76" i="5"/>
  <c r="L75" i="5"/>
  <c r="E75" i="5"/>
  <c r="L74" i="5"/>
  <c r="E74" i="5"/>
  <c r="R73" i="5"/>
  <c r="Q73" i="5"/>
  <c r="P73" i="5"/>
  <c r="L73" i="5"/>
  <c r="E73" i="5"/>
  <c r="L72" i="5"/>
  <c r="E72" i="5"/>
  <c r="L71" i="5"/>
  <c r="E71" i="5"/>
  <c r="L70" i="5"/>
  <c r="E70" i="5"/>
  <c r="L69" i="5"/>
  <c r="E69" i="5"/>
  <c r="L68" i="5"/>
  <c r="E68" i="5"/>
  <c r="L67" i="5"/>
  <c r="E67" i="5"/>
  <c r="L66" i="5"/>
  <c r="E66" i="5"/>
  <c r="L65" i="5"/>
  <c r="E65" i="5"/>
  <c r="L64" i="5"/>
  <c r="E64" i="5"/>
  <c r="L63" i="5"/>
  <c r="E63" i="5"/>
  <c r="L62" i="5"/>
  <c r="E62" i="5"/>
  <c r="L61" i="5"/>
  <c r="E61" i="5"/>
  <c r="L60" i="5"/>
  <c r="E60" i="5"/>
  <c r="L59" i="5"/>
  <c r="E59" i="5"/>
  <c r="L58" i="5"/>
  <c r="E58" i="5"/>
  <c r="L57" i="5"/>
  <c r="E57" i="5"/>
  <c r="L56" i="5"/>
  <c r="E56" i="5"/>
  <c r="L55" i="5"/>
  <c r="E55" i="5"/>
  <c r="L54" i="5"/>
  <c r="E54" i="5"/>
  <c r="L53" i="5"/>
  <c r="E53" i="5"/>
  <c r="L52" i="5"/>
  <c r="E52" i="5"/>
  <c r="L51" i="5"/>
  <c r="E51" i="5"/>
  <c r="L50" i="5"/>
  <c r="E50" i="5"/>
  <c r="L49" i="5"/>
  <c r="E49" i="5"/>
  <c r="L48" i="5"/>
  <c r="E48" i="5"/>
  <c r="L47" i="5"/>
  <c r="E47" i="5"/>
  <c r="L46" i="5"/>
  <c r="E46" i="5"/>
  <c r="L45" i="5"/>
  <c r="E45" i="5"/>
  <c r="L44" i="5"/>
  <c r="E44" i="5"/>
  <c r="R43" i="5"/>
  <c r="Q43" i="5"/>
  <c r="P43" i="5"/>
  <c r="L43" i="5"/>
  <c r="E43" i="5"/>
  <c r="L42" i="5"/>
  <c r="E42" i="5"/>
  <c r="L41" i="5"/>
  <c r="E41" i="5"/>
  <c r="L40" i="5"/>
  <c r="E40" i="5"/>
  <c r="L39" i="5"/>
  <c r="E39" i="5"/>
  <c r="L38" i="5"/>
  <c r="E38" i="5"/>
  <c r="L37" i="5"/>
  <c r="E37" i="5"/>
  <c r="L36" i="5"/>
  <c r="E36" i="5"/>
  <c r="L35" i="5"/>
  <c r="E35" i="5"/>
  <c r="L34" i="5"/>
  <c r="E34" i="5"/>
  <c r="L33" i="5"/>
  <c r="E33" i="5"/>
  <c r="L32" i="5"/>
  <c r="E32" i="5"/>
  <c r="L31" i="5"/>
  <c r="E31" i="5"/>
  <c r="L30" i="5"/>
  <c r="E30" i="5"/>
  <c r="L29" i="5"/>
  <c r="E29" i="5"/>
  <c r="L28" i="5"/>
  <c r="E28" i="5"/>
  <c r="L27" i="5"/>
  <c r="E27" i="5"/>
  <c r="L26" i="5"/>
  <c r="E26" i="5"/>
  <c r="L25" i="5"/>
  <c r="E25" i="5"/>
  <c r="L24" i="5"/>
  <c r="E24" i="5"/>
  <c r="L23" i="5"/>
  <c r="E23" i="5"/>
  <c r="L22" i="5"/>
  <c r="E22" i="5"/>
  <c r="L21" i="5"/>
  <c r="E21" i="5"/>
  <c r="L20" i="5"/>
  <c r="E20" i="5"/>
  <c r="L19" i="5"/>
  <c r="E19" i="5"/>
  <c r="L18" i="5"/>
  <c r="E18" i="5"/>
  <c r="L17" i="5"/>
  <c r="E17" i="5"/>
  <c r="L16" i="5"/>
  <c r="E16" i="5"/>
  <c r="Q15" i="5"/>
  <c r="P15" i="5"/>
  <c r="L15" i="5"/>
  <c r="E15" i="5"/>
  <c r="L14" i="5"/>
  <c r="E14" i="5"/>
  <c r="L13" i="5"/>
  <c r="E13" i="5"/>
  <c r="L12" i="5"/>
  <c r="E12" i="5"/>
  <c r="L11" i="5"/>
  <c r="E11" i="5"/>
  <c r="L10" i="5"/>
  <c r="E10" i="5"/>
  <c r="L9" i="5"/>
  <c r="E9" i="5"/>
  <c r="L8" i="5"/>
  <c r="E8" i="5"/>
  <c r="L7" i="5"/>
  <c r="E7" i="5"/>
  <c r="L6" i="5"/>
  <c r="E6" i="5"/>
  <c r="L5" i="5"/>
  <c r="E5" i="5"/>
  <c r="L4" i="5"/>
  <c r="E4" i="5"/>
  <c r="R3" i="5"/>
  <c r="Q3" i="5"/>
  <c r="P3" i="5"/>
  <c r="L3" i="5"/>
  <c r="E3" i="5"/>
  <c r="R2" i="5"/>
  <c r="Q2" i="5"/>
  <c r="P2" i="5"/>
  <c r="L2" i="5"/>
  <c r="E2" i="5"/>
  <c r="E175" i="4"/>
  <c r="E174" i="4"/>
  <c r="E173" i="4"/>
  <c r="E172" i="4"/>
  <c r="E171" i="4"/>
  <c r="E170" i="4"/>
  <c r="R169" i="4"/>
  <c r="Q169" i="4"/>
  <c r="P169"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R123" i="4"/>
  <c r="Q123" i="4"/>
  <c r="P123"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P94" i="4"/>
  <c r="E94" i="4"/>
  <c r="E93" i="4"/>
  <c r="E92" i="4"/>
  <c r="R91" i="4"/>
  <c r="Q91" i="4"/>
  <c r="P91" i="4"/>
  <c r="E91" i="4"/>
  <c r="E90" i="4"/>
  <c r="E89" i="4"/>
  <c r="E88" i="4"/>
  <c r="E87" i="4"/>
  <c r="E86" i="4"/>
  <c r="E85" i="4"/>
  <c r="E84" i="4"/>
  <c r="E83" i="4"/>
  <c r="E82" i="4"/>
  <c r="E81" i="4"/>
  <c r="E80" i="4"/>
  <c r="E79" i="4"/>
  <c r="E78" i="4"/>
  <c r="E77" i="4"/>
  <c r="E76" i="4"/>
  <c r="E75" i="4"/>
  <c r="E74" i="4"/>
  <c r="E73" i="4"/>
  <c r="E72" i="4"/>
  <c r="E71" i="4"/>
  <c r="E70" i="4"/>
  <c r="R69" i="4"/>
  <c r="Q69" i="4"/>
  <c r="P69" i="4"/>
  <c r="E69" i="4"/>
  <c r="E68" i="4"/>
  <c r="E67" i="4"/>
  <c r="E66" i="4"/>
  <c r="R65" i="4"/>
  <c r="Q65" i="4"/>
  <c r="P65" i="4"/>
  <c r="E65" i="4"/>
  <c r="E64" i="4"/>
  <c r="E63" i="4"/>
  <c r="E62" i="4"/>
  <c r="E61" i="4"/>
  <c r="E60" i="4"/>
  <c r="E59" i="4"/>
  <c r="E58" i="4"/>
  <c r="E57" i="4"/>
  <c r="E56" i="4"/>
  <c r="E55" i="4"/>
  <c r="E54" i="4"/>
  <c r="E53" i="4"/>
  <c r="E52" i="4"/>
  <c r="E51" i="4"/>
  <c r="E50" i="4"/>
  <c r="E49" i="4"/>
  <c r="E48" i="4"/>
  <c r="E47" i="4"/>
  <c r="E46" i="4"/>
  <c r="R45" i="4"/>
  <c r="Q45" i="4"/>
  <c r="P45" i="4"/>
  <c r="E45" i="4"/>
  <c r="E44" i="4"/>
  <c r="E43" i="4"/>
  <c r="E42" i="4"/>
  <c r="E41" i="4"/>
  <c r="E40" i="4"/>
  <c r="E39" i="4"/>
  <c r="E38" i="4"/>
  <c r="E37" i="4"/>
  <c r="E36" i="4"/>
  <c r="R35" i="4"/>
  <c r="Q35" i="4"/>
  <c r="P35"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R3" i="4"/>
  <c r="Q3" i="4"/>
  <c r="P3" i="4"/>
  <c r="E3" i="4"/>
  <c r="R2" i="4"/>
  <c r="Q2" i="4"/>
  <c r="P2" i="4"/>
  <c r="L2" i="4"/>
  <c r="E2" i="4"/>
  <c r="L1" i="4"/>
  <c r="P736" i="3"/>
  <c r="P735" i="3"/>
  <c r="R734" i="3"/>
  <c r="Q734" i="3"/>
  <c r="P734" i="3"/>
  <c r="P720" i="3"/>
  <c r="P719" i="3"/>
  <c r="R716" i="3"/>
  <c r="Q716" i="3"/>
  <c r="P716" i="3"/>
  <c r="P701" i="3"/>
  <c r="P700" i="3"/>
  <c r="R698" i="3"/>
  <c r="Q698" i="3"/>
  <c r="P698" i="3"/>
  <c r="P691" i="3"/>
  <c r="P690" i="3"/>
  <c r="R680" i="3"/>
  <c r="Q680" i="3"/>
  <c r="P680" i="3"/>
  <c r="P674" i="3"/>
  <c r="R671" i="3"/>
  <c r="Q671" i="3"/>
  <c r="P671" i="3"/>
  <c r="P644" i="3"/>
  <c r="P643" i="3"/>
  <c r="R641" i="3"/>
  <c r="Q641" i="3"/>
  <c r="P641" i="3"/>
  <c r="R626" i="3"/>
  <c r="Q626" i="3"/>
  <c r="P626" i="3"/>
  <c r="R597" i="3"/>
  <c r="Q597" i="3"/>
  <c r="P597" i="3"/>
  <c r="R591" i="3"/>
  <c r="Q591" i="3"/>
  <c r="P591" i="3"/>
  <c r="P565" i="3"/>
  <c r="P564" i="3"/>
  <c r="R561" i="3"/>
  <c r="Q561" i="3"/>
  <c r="P561" i="3"/>
  <c r="P537" i="3"/>
  <c r="P536" i="3"/>
  <c r="R531" i="3"/>
  <c r="Q531" i="3"/>
  <c r="P531" i="3"/>
  <c r="P385" i="3"/>
  <c r="P384" i="3"/>
  <c r="R377" i="3"/>
  <c r="Q377" i="3"/>
  <c r="P377" i="3"/>
  <c r="P157" i="3"/>
  <c r="P156" i="3"/>
  <c r="R138" i="3"/>
  <c r="Q138" i="3"/>
  <c r="P138" i="3"/>
  <c r="R104" i="3"/>
  <c r="Q104" i="3"/>
  <c r="P104" i="3"/>
  <c r="Q10" i="3"/>
  <c r="P10" i="3"/>
  <c r="Q9" i="3"/>
  <c r="P9" i="3"/>
  <c r="L8" i="3"/>
  <c r="E8" i="3"/>
  <c r="L7" i="3"/>
  <c r="E7" i="3"/>
  <c r="L6" i="3"/>
  <c r="E6" i="3"/>
  <c r="L5" i="3"/>
  <c r="E5" i="3"/>
  <c r="L4" i="3"/>
  <c r="E4" i="3"/>
  <c r="R3" i="3"/>
  <c r="Q3" i="3"/>
  <c r="P3" i="3"/>
  <c r="L3" i="3"/>
  <c r="E3" i="3"/>
  <c r="R2" i="3"/>
  <c r="Q2" i="3"/>
  <c r="P2" i="3"/>
  <c r="L2" i="3"/>
  <c r="E2" i="3"/>
  <c r="R42" i="2"/>
  <c r="Q42" i="2"/>
  <c r="P42" i="2"/>
  <c r="R24" i="2"/>
  <c r="Q24" i="2"/>
  <c r="P24" i="2"/>
  <c r="P6" i="2"/>
  <c r="P5" i="2"/>
  <c r="R3" i="2"/>
  <c r="Q3" i="2"/>
  <c r="P3" i="2"/>
  <c r="R2" i="2"/>
  <c r="Q2" i="2"/>
  <c r="P2" i="2"/>
  <c r="L2" i="2"/>
  <c r="E2" i="2"/>
  <c r="AO1204" i="1"/>
  <c r="I1204" i="1"/>
  <c r="AO1203" i="1"/>
  <c r="I1203" i="1"/>
  <c r="AO1202" i="1"/>
  <c r="I1202" i="1"/>
  <c r="AO1201" i="1"/>
  <c r="I1201" i="1"/>
  <c r="AO1200" i="1"/>
  <c r="I1200" i="1"/>
  <c r="I1199" i="1"/>
  <c r="F1199" i="1"/>
  <c r="D1199" i="1"/>
  <c r="I1198" i="1"/>
  <c r="F1198" i="1"/>
  <c r="D1198" i="1"/>
  <c r="I1197" i="1"/>
  <c r="F1197" i="1"/>
  <c r="D1197" i="1"/>
  <c r="I1196" i="1"/>
  <c r="F1196" i="1"/>
  <c r="D1196" i="1"/>
  <c r="I1195" i="1"/>
  <c r="F1195" i="1"/>
  <c r="D1195" i="1"/>
  <c r="I1194" i="1"/>
  <c r="F1194" i="1"/>
  <c r="D1194" i="1"/>
  <c r="I1193" i="1"/>
  <c r="F1193" i="1"/>
  <c r="D1193" i="1"/>
  <c r="I1192" i="1"/>
  <c r="F1192" i="1"/>
  <c r="D1192" i="1"/>
  <c r="I1191" i="1"/>
  <c r="F1191" i="1"/>
  <c r="D1191" i="1"/>
  <c r="I1190" i="1"/>
  <c r="F1190" i="1"/>
  <c r="D1190" i="1"/>
  <c r="I1189" i="1"/>
  <c r="F1189" i="1"/>
  <c r="D1189" i="1"/>
  <c r="I1188" i="1"/>
  <c r="F1188" i="1"/>
  <c r="D1188" i="1"/>
  <c r="I1187" i="1"/>
  <c r="F1187" i="1"/>
  <c r="D1187" i="1"/>
  <c r="I1186" i="1"/>
  <c r="F1186" i="1"/>
  <c r="D1186" i="1"/>
  <c r="I1185" i="1"/>
  <c r="F1185" i="1"/>
  <c r="D1185" i="1"/>
  <c r="I1184" i="1"/>
  <c r="F1184" i="1"/>
  <c r="D1184" i="1"/>
  <c r="I1183" i="1"/>
  <c r="F1183" i="1"/>
  <c r="D1183" i="1"/>
  <c r="I1182" i="1"/>
  <c r="F1182" i="1"/>
  <c r="D1182" i="1"/>
  <c r="I1181" i="1"/>
  <c r="F1181" i="1"/>
  <c r="D1181" i="1"/>
  <c r="I1180" i="1"/>
  <c r="F1180" i="1"/>
  <c r="D1180" i="1"/>
  <c r="I1179" i="1"/>
  <c r="F1179" i="1"/>
  <c r="D1179" i="1"/>
  <c r="I1178" i="1"/>
  <c r="F1178" i="1"/>
  <c r="D1178" i="1"/>
  <c r="I1177" i="1"/>
  <c r="F1177" i="1"/>
  <c r="D1177" i="1"/>
  <c r="I1176" i="1"/>
  <c r="F1176" i="1"/>
  <c r="D1176" i="1"/>
  <c r="I1175" i="1"/>
  <c r="F1175" i="1"/>
  <c r="D1175" i="1"/>
  <c r="I1174" i="1"/>
  <c r="F1174" i="1"/>
  <c r="D1174" i="1"/>
  <c r="I1173" i="1"/>
  <c r="F1173" i="1"/>
  <c r="D1173" i="1"/>
  <c r="I1172" i="1"/>
  <c r="F1172" i="1"/>
  <c r="D1172" i="1"/>
  <c r="I1171" i="1"/>
  <c r="F1171" i="1"/>
  <c r="D1171" i="1"/>
  <c r="I1170" i="1"/>
  <c r="F1170" i="1"/>
  <c r="D1170" i="1"/>
  <c r="I1169" i="1"/>
  <c r="F1169" i="1"/>
  <c r="D1169" i="1"/>
  <c r="I1168" i="1"/>
  <c r="F1168" i="1"/>
  <c r="D1168" i="1"/>
  <c r="I1167" i="1"/>
  <c r="F1167" i="1"/>
  <c r="D1167" i="1"/>
  <c r="I1166" i="1"/>
  <c r="F1166" i="1"/>
  <c r="D1166" i="1"/>
  <c r="I1165" i="1"/>
  <c r="F1165" i="1"/>
  <c r="D1165" i="1"/>
  <c r="I1164" i="1"/>
  <c r="F1164" i="1"/>
  <c r="D1164" i="1"/>
  <c r="I1163" i="1"/>
  <c r="F1163" i="1"/>
  <c r="D1163" i="1"/>
  <c r="I1162" i="1"/>
  <c r="F1162" i="1"/>
  <c r="D1162" i="1"/>
  <c r="I1161" i="1"/>
  <c r="F1161" i="1"/>
  <c r="D1161" i="1"/>
  <c r="I1160" i="1"/>
  <c r="F1160" i="1"/>
  <c r="D1160" i="1"/>
  <c r="I1159" i="1"/>
  <c r="F1159" i="1"/>
  <c r="D1159" i="1"/>
  <c r="I1158" i="1"/>
  <c r="F1158" i="1"/>
  <c r="D1158" i="1"/>
  <c r="I1157" i="1"/>
  <c r="F1157" i="1"/>
  <c r="D1157" i="1"/>
  <c r="I1156" i="1"/>
  <c r="F1156" i="1"/>
  <c r="D1156" i="1"/>
  <c r="I1155" i="1"/>
  <c r="F1155" i="1"/>
  <c r="D1155" i="1"/>
  <c r="I1154" i="1"/>
  <c r="F1154" i="1"/>
  <c r="D1154" i="1"/>
  <c r="I1153" i="1"/>
  <c r="F1153" i="1"/>
  <c r="D1153" i="1"/>
  <c r="I1152" i="1"/>
  <c r="F1152" i="1"/>
  <c r="D1152" i="1"/>
  <c r="I1151" i="1"/>
  <c r="F1151" i="1"/>
  <c r="D1151" i="1"/>
  <c r="I1150" i="1"/>
  <c r="F1150" i="1"/>
  <c r="D1150" i="1"/>
  <c r="I1149" i="1"/>
  <c r="F1149" i="1"/>
  <c r="D1149" i="1"/>
  <c r="I1148" i="1"/>
  <c r="F1148" i="1"/>
  <c r="D1148" i="1"/>
  <c r="I1147" i="1"/>
  <c r="F1147" i="1"/>
  <c r="D1147" i="1"/>
  <c r="I1146" i="1"/>
  <c r="F1146" i="1"/>
  <c r="D1146" i="1"/>
  <c r="I1145" i="1"/>
  <c r="F1145" i="1"/>
  <c r="D1145" i="1"/>
  <c r="I1144" i="1"/>
  <c r="F1144" i="1"/>
  <c r="D1144" i="1"/>
  <c r="I1143" i="1"/>
  <c r="F1143" i="1"/>
  <c r="D1143" i="1"/>
  <c r="I1142" i="1"/>
  <c r="F1142" i="1"/>
  <c r="D1142" i="1"/>
  <c r="I1141" i="1"/>
  <c r="F1141" i="1"/>
  <c r="D1141" i="1"/>
  <c r="I1140" i="1"/>
  <c r="F1140" i="1"/>
  <c r="D1140" i="1"/>
  <c r="I1139" i="1"/>
  <c r="F1139" i="1"/>
  <c r="D1139" i="1"/>
  <c r="I1138" i="1"/>
  <c r="F1138" i="1"/>
  <c r="D1138" i="1"/>
  <c r="I1137" i="1"/>
  <c r="F1137" i="1"/>
  <c r="D1137" i="1"/>
  <c r="I1136" i="1"/>
  <c r="F1136" i="1"/>
  <c r="D1136" i="1"/>
  <c r="I1135" i="1"/>
  <c r="F1135" i="1"/>
  <c r="D1135" i="1"/>
  <c r="I1134" i="1"/>
  <c r="F1134" i="1"/>
  <c r="D1134" i="1"/>
  <c r="I1133" i="1"/>
  <c r="F1133" i="1"/>
  <c r="D1133" i="1"/>
  <c r="I1132" i="1"/>
  <c r="F1132" i="1"/>
  <c r="D1132" i="1"/>
  <c r="I1131" i="1"/>
  <c r="F1131" i="1"/>
  <c r="D1131" i="1"/>
  <c r="I1130" i="1"/>
  <c r="F1130" i="1"/>
  <c r="D1130" i="1"/>
  <c r="I1129" i="1"/>
  <c r="F1129" i="1"/>
  <c r="D1129" i="1"/>
  <c r="I1128" i="1"/>
  <c r="F1128" i="1"/>
  <c r="D1128" i="1"/>
  <c r="I1127" i="1"/>
  <c r="F1127" i="1"/>
  <c r="D1127" i="1"/>
  <c r="I1126" i="1"/>
  <c r="F1126" i="1"/>
  <c r="D1126" i="1"/>
  <c r="I1125" i="1"/>
  <c r="F1125" i="1"/>
  <c r="D1125" i="1"/>
  <c r="I1124" i="1"/>
  <c r="F1124" i="1"/>
  <c r="D1124" i="1"/>
  <c r="I1123" i="1"/>
  <c r="F1123" i="1"/>
  <c r="D1123" i="1"/>
  <c r="I1122" i="1"/>
  <c r="F1122" i="1"/>
  <c r="D1122" i="1"/>
  <c r="I1121" i="1"/>
  <c r="F1121" i="1"/>
  <c r="D1121" i="1"/>
  <c r="I1120" i="1"/>
  <c r="F1120" i="1"/>
  <c r="D1120" i="1"/>
  <c r="I1119" i="1"/>
  <c r="F1119" i="1"/>
  <c r="D1119" i="1"/>
  <c r="I1118" i="1"/>
  <c r="F1118" i="1"/>
  <c r="D1118" i="1"/>
  <c r="I1117" i="1"/>
  <c r="F1117" i="1"/>
  <c r="D1117" i="1"/>
  <c r="I1116" i="1"/>
  <c r="F1116" i="1"/>
  <c r="D1116" i="1"/>
  <c r="I1115" i="1"/>
  <c r="F1115" i="1"/>
  <c r="D1115" i="1"/>
  <c r="I1114" i="1"/>
  <c r="F1114" i="1"/>
  <c r="D1114" i="1"/>
  <c r="I1113" i="1"/>
  <c r="F1113" i="1"/>
  <c r="D1113" i="1"/>
  <c r="W1112" i="1"/>
  <c r="I1112" i="1"/>
  <c r="H1112" i="1"/>
  <c r="F1112" i="1"/>
  <c r="D1112" i="1"/>
  <c r="I1111" i="1"/>
  <c r="F1111" i="1"/>
  <c r="D1111" i="1"/>
  <c r="I1110" i="1"/>
  <c r="F1110" i="1"/>
  <c r="D1110" i="1"/>
  <c r="I1109" i="1"/>
  <c r="F1109" i="1"/>
  <c r="D1109" i="1"/>
  <c r="I1108" i="1"/>
  <c r="F1108" i="1"/>
  <c r="D1108" i="1"/>
  <c r="I1107" i="1"/>
  <c r="F1107" i="1"/>
  <c r="D1107" i="1"/>
  <c r="I1106" i="1"/>
  <c r="F1106" i="1"/>
  <c r="D1106" i="1"/>
  <c r="I1105" i="1"/>
  <c r="F1105" i="1"/>
  <c r="D1105" i="1"/>
  <c r="I1104" i="1"/>
  <c r="F1104" i="1"/>
  <c r="D1104" i="1"/>
  <c r="I1103" i="1"/>
  <c r="F1103" i="1"/>
  <c r="D1103" i="1"/>
  <c r="I1102" i="1"/>
  <c r="F1102" i="1"/>
  <c r="D1102" i="1"/>
  <c r="I1101" i="1"/>
  <c r="F1101" i="1"/>
  <c r="D1101" i="1"/>
  <c r="I1100" i="1"/>
  <c r="F1100" i="1"/>
  <c r="D1100" i="1"/>
  <c r="I1099" i="1"/>
  <c r="F1099" i="1"/>
  <c r="D1099" i="1"/>
  <c r="I1098" i="1"/>
  <c r="F1098" i="1"/>
  <c r="D1098" i="1"/>
  <c r="I1097" i="1"/>
  <c r="F1097" i="1"/>
  <c r="D1097" i="1"/>
  <c r="I1096" i="1"/>
  <c r="F1096" i="1"/>
  <c r="D1096" i="1"/>
  <c r="I1095" i="1"/>
  <c r="F1095" i="1"/>
  <c r="D1095" i="1"/>
  <c r="I1094" i="1"/>
  <c r="F1094" i="1"/>
  <c r="D1094" i="1"/>
  <c r="I1093" i="1"/>
  <c r="F1093" i="1"/>
  <c r="D1093" i="1"/>
  <c r="I1092" i="1"/>
  <c r="F1092" i="1"/>
  <c r="D1092" i="1"/>
  <c r="I1091" i="1"/>
  <c r="F1091" i="1"/>
  <c r="D1091" i="1"/>
  <c r="I1090" i="1"/>
  <c r="F1090" i="1"/>
  <c r="D1090" i="1"/>
  <c r="I1089" i="1"/>
  <c r="F1089" i="1"/>
  <c r="D1089" i="1"/>
  <c r="I1088" i="1"/>
  <c r="F1088" i="1"/>
  <c r="D1088" i="1"/>
  <c r="I1087" i="1"/>
  <c r="F1087" i="1"/>
  <c r="D1087" i="1"/>
  <c r="I1086" i="1"/>
  <c r="F1086" i="1"/>
  <c r="D1086" i="1"/>
  <c r="I1085" i="1"/>
  <c r="F1085" i="1"/>
  <c r="D1085" i="1"/>
  <c r="I1084" i="1"/>
  <c r="F1084" i="1"/>
  <c r="D1084" i="1"/>
  <c r="I1083" i="1"/>
  <c r="F1083" i="1"/>
  <c r="D1083" i="1"/>
  <c r="I1082" i="1"/>
  <c r="F1082" i="1"/>
  <c r="D1082" i="1"/>
  <c r="W1081" i="1"/>
  <c r="I1081" i="1"/>
  <c r="H1081" i="1"/>
  <c r="F1081" i="1"/>
  <c r="D1081" i="1"/>
  <c r="I1080" i="1"/>
  <c r="F1080" i="1"/>
  <c r="D1080" i="1"/>
  <c r="I1079" i="1"/>
  <c r="F1079" i="1"/>
  <c r="D1079" i="1"/>
  <c r="I1078" i="1"/>
  <c r="F1078" i="1"/>
  <c r="D1078" i="1"/>
  <c r="I1077" i="1"/>
  <c r="F1077" i="1"/>
  <c r="D1077" i="1"/>
  <c r="I1076" i="1"/>
  <c r="F1076" i="1"/>
  <c r="D1076" i="1"/>
  <c r="I1075" i="1"/>
  <c r="F1075" i="1"/>
  <c r="D1075" i="1"/>
  <c r="I1074" i="1"/>
  <c r="F1074" i="1"/>
  <c r="D1074" i="1"/>
  <c r="I1073" i="1"/>
  <c r="F1073" i="1"/>
  <c r="D1073" i="1"/>
  <c r="I1072" i="1"/>
  <c r="F1072" i="1"/>
  <c r="D1072" i="1"/>
  <c r="I1071" i="1"/>
  <c r="F1071" i="1"/>
  <c r="D1071" i="1"/>
  <c r="W1070" i="1"/>
  <c r="I1070" i="1"/>
  <c r="H1070" i="1"/>
  <c r="F1070" i="1"/>
  <c r="D1070" i="1"/>
  <c r="I1069" i="1"/>
  <c r="F1069" i="1"/>
  <c r="D1069" i="1"/>
  <c r="I1068" i="1"/>
  <c r="F1068" i="1"/>
  <c r="D1068" i="1"/>
  <c r="I1067" i="1"/>
  <c r="F1067" i="1"/>
  <c r="D1067" i="1"/>
  <c r="I1066" i="1"/>
  <c r="F1066" i="1"/>
  <c r="D1066" i="1"/>
  <c r="I1065" i="1"/>
  <c r="F1065" i="1"/>
  <c r="D1065" i="1"/>
  <c r="I1064" i="1"/>
  <c r="F1064" i="1"/>
  <c r="D1064" i="1"/>
  <c r="I1063" i="1"/>
  <c r="F1063" i="1"/>
  <c r="D1063" i="1"/>
  <c r="I1062" i="1"/>
  <c r="F1062" i="1"/>
  <c r="D1062" i="1"/>
  <c r="I1061" i="1"/>
  <c r="F1061" i="1"/>
  <c r="D1061" i="1"/>
  <c r="I1060" i="1"/>
  <c r="F1060" i="1"/>
  <c r="D1060" i="1"/>
  <c r="I1059" i="1"/>
  <c r="F1059" i="1"/>
  <c r="D1059" i="1"/>
  <c r="I1058" i="1"/>
  <c r="F1058" i="1"/>
  <c r="D1058" i="1"/>
  <c r="I1057" i="1"/>
  <c r="F1057" i="1"/>
  <c r="D1057" i="1"/>
  <c r="I1056" i="1"/>
  <c r="F1056" i="1"/>
  <c r="D1056" i="1"/>
  <c r="I1055" i="1"/>
  <c r="F1055" i="1"/>
  <c r="D1055" i="1"/>
  <c r="I1054" i="1"/>
  <c r="F1054" i="1"/>
  <c r="D1054" i="1"/>
  <c r="I1053" i="1"/>
  <c r="F1053" i="1"/>
  <c r="D1053" i="1"/>
  <c r="I1052" i="1"/>
  <c r="F1052" i="1"/>
  <c r="D1052" i="1"/>
  <c r="I1051" i="1"/>
  <c r="F1051" i="1"/>
  <c r="D1051" i="1"/>
  <c r="I1050" i="1"/>
  <c r="F1050" i="1"/>
  <c r="D1050" i="1"/>
  <c r="I1049" i="1"/>
  <c r="F1049" i="1"/>
  <c r="D1049" i="1"/>
  <c r="I1048" i="1"/>
  <c r="F1048" i="1"/>
  <c r="D1048" i="1"/>
  <c r="I1047" i="1"/>
  <c r="F1047" i="1"/>
  <c r="D1047" i="1"/>
  <c r="I1046" i="1"/>
  <c r="F1046" i="1"/>
  <c r="D1046" i="1"/>
  <c r="I1045" i="1"/>
  <c r="F1045" i="1"/>
  <c r="D1045" i="1"/>
  <c r="I1044" i="1"/>
  <c r="F1044" i="1"/>
  <c r="D1044" i="1"/>
  <c r="I1043" i="1"/>
  <c r="F1043" i="1"/>
  <c r="D1043" i="1"/>
  <c r="I1042" i="1"/>
  <c r="F1042" i="1"/>
  <c r="D1042" i="1"/>
  <c r="I1041" i="1"/>
  <c r="F1041" i="1"/>
  <c r="D1041" i="1"/>
  <c r="I1040" i="1"/>
  <c r="F1040" i="1"/>
  <c r="D1040" i="1"/>
  <c r="I1039" i="1"/>
  <c r="F1039" i="1"/>
  <c r="D1039" i="1"/>
  <c r="I1038" i="1"/>
  <c r="F1038" i="1"/>
  <c r="D1038" i="1"/>
  <c r="I1037" i="1"/>
  <c r="F1037" i="1"/>
  <c r="D1037" i="1"/>
  <c r="I1036" i="1"/>
  <c r="F1036" i="1"/>
  <c r="D1036" i="1"/>
  <c r="I1035" i="1"/>
  <c r="F1035" i="1"/>
  <c r="D1035" i="1"/>
  <c r="I1034" i="1"/>
  <c r="F1034" i="1"/>
  <c r="D1034" i="1"/>
  <c r="I1033" i="1"/>
  <c r="F1033" i="1"/>
  <c r="D1033" i="1"/>
  <c r="I1032" i="1"/>
  <c r="F1032" i="1"/>
  <c r="D1032" i="1"/>
  <c r="I1031" i="1"/>
  <c r="F1031" i="1"/>
  <c r="D1031" i="1"/>
  <c r="I1030" i="1"/>
  <c r="F1030" i="1"/>
  <c r="D1030" i="1"/>
  <c r="I1029" i="1"/>
  <c r="F1029" i="1"/>
  <c r="D1029" i="1"/>
  <c r="I1028" i="1"/>
  <c r="F1028" i="1"/>
  <c r="D1028" i="1"/>
  <c r="I1027" i="1"/>
  <c r="F1027" i="1"/>
  <c r="D1027" i="1"/>
  <c r="I1026" i="1"/>
  <c r="F1026" i="1"/>
  <c r="D1026" i="1"/>
  <c r="I1025" i="1"/>
  <c r="F1025" i="1"/>
  <c r="D1025" i="1"/>
  <c r="I1024" i="1"/>
  <c r="F1024" i="1"/>
  <c r="D1024" i="1"/>
  <c r="I1023" i="1"/>
  <c r="F1023" i="1"/>
  <c r="D1023" i="1"/>
  <c r="I1022" i="1"/>
  <c r="F1022" i="1"/>
  <c r="D1022" i="1"/>
  <c r="I1021" i="1"/>
  <c r="F1021" i="1"/>
  <c r="D1021" i="1"/>
  <c r="I1020" i="1"/>
  <c r="F1020" i="1"/>
  <c r="D1020" i="1"/>
  <c r="I1019" i="1"/>
  <c r="F1019" i="1"/>
  <c r="D1019" i="1"/>
  <c r="I1018" i="1"/>
  <c r="F1018" i="1"/>
  <c r="D1018" i="1"/>
  <c r="I1017" i="1"/>
  <c r="F1017" i="1"/>
  <c r="D1017" i="1"/>
  <c r="I1016" i="1"/>
  <c r="F1016" i="1"/>
  <c r="D1016" i="1"/>
  <c r="I1015" i="1"/>
  <c r="F1015" i="1"/>
  <c r="D1015" i="1"/>
  <c r="I1014" i="1"/>
  <c r="F1014" i="1"/>
  <c r="D1014" i="1"/>
  <c r="W1013" i="1"/>
  <c r="I1013" i="1"/>
  <c r="H1013" i="1"/>
  <c r="F1013" i="1"/>
  <c r="D1013" i="1"/>
  <c r="W1012" i="1"/>
  <c r="I1012" i="1"/>
  <c r="H1012" i="1"/>
  <c r="F1012" i="1"/>
  <c r="D1012" i="1"/>
  <c r="W1011" i="1"/>
  <c r="I1011" i="1"/>
  <c r="H1011" i="1"/>
  <c r="F1011" i="1"/>
  <c r="D1011" i="1"/>
  <c r="I1010" i="1"/>
  <c r="F1010" i="1"/>
  <c r="D1010" i="1"/>
  <c r="I1009" i="1"/>
  <c r="F1009" i="1"/>
  <c r="D1009" i="1"/>
  <c r="I1008" i="1"/>
  <c r="F1008" i="1"/>
  <c r="D1008" i="1"/>
  <c r="I1007" i="1"/>
  <c r="F1007" i="1"/>
  <c r="D1007" i="1"/>
  <c r="I1006" i="1"/>
  <c r="F1006" i="1"/>
  <c r="D1006" i="1"/>
  <c r="I1005" i="1"/>
  <c r="F1005" i="1"/>
  <c r="D1005" i="1"/>
  <c r="I1004" i="1"/>
  <c r="F1004" i="1"/>
  <c r="D1004" i="1"/>
  <c r="I1003" i="1"/>
  <c r="F1003" i="1"/>
  <c r="D1003" i="1"/>
  <c r="I1002" i="1"/>
  <c r="F1002" i="1"/>
  <c r="D1002" i="1"/>
  <c r="I1001" i="1"/>
  <c r="F1001" i="1"/>
  <c r="D1001" i="1"/>
  <c r="I1000" i="1"/>
  <c r="F1000" i="1"/>
  <c r="D1000" i="1"/>
  <c r="I999" i="1"/>
  <c r="F999" i="1"/>
  <c r="D999" i="1"/>
  <c r="I998" i="1"/>
  <c r="F998" i="1"/>
  <c r="D998" i="1"/>
  <c r="I997" i="1"/>
  <c r="F997" i="1"/>
  <c r="D997" i="1"/>
  <c r="I996" i="1"/>
  <c r="F996" i="1"/>
  <c r="D996" i="1"/>
  <c r="I995" i="1"/>
  <c r="F995" i="1"/>
  <c r="D995" i="1"/>
  <c r="I994" i="1"/>
  <c r="F994" i="1"/>
  <c r="D994" i="1"/>
  <c r="I993" i="1"/>
  <c r="F993" i="1"/>
  <c r="D993" i="1"/>
  <c r="I992" i="1"/>
  <c r="F992" i="1"/>
  <c r="D992" i="1"/>
  <c r="I991" i="1"/>
  <c r="F991" i="1"/>
  <c r="D991" i="1"/>
  <c r="I990" i="1"/>
  <c r="F990" i="1"/>
  <c r="D990" i="1"/>
  <c r="I989" i="1"/>
  <c r="F989" i="1"/>
  <c r="D989" i="1"/>
  <c r="I988" i="1"/>
  <c r="F988" i="1"/>
  <c r="D988" i="1"/>
  <c r="I987" i="1"/>
  <c r="F987" i="1"/>
  <c r="D987" i="1"/>
  <c r="I986" i="1"/>
  <c r="F986" i="1"/>
  <c r="D986" i="1"/>
  <c r="I985" i="1"/>
  <c r="F985" i="1"/>
  <c r="D985" i="1"/>
  <c r="I984" i="1"/>
  <c r="F984" i="1"/>
  <c r="D984" i="1"/>
  <c r="I983" i="1"/>
  <c r="F983" i="1"/>
  <c r="D983" i="1"/>
  <c r="I982" i="1"/>
  <c r="F982" i="1"/>
  <c r="D982" i="1"/>
  <c r="W981" i="1"/>
  <c r="I981" i="1"/>
  <c r="H981" i="1"/>
  <c r="F981" i="1"/>
  <c r="D981" i="1"/>
  <c r="W980" i="1"/>
  <c r="I980" i="1"/>
  <c r="H980" i="1"/>
  <c r="F980" i="1"/>
  <c r="D980" i="1"/>
  <c r="W979" i="1"/>
  <c r="I979" i="1"/>
  <c r="H979" i="1"/>
  <c r="F979" i="1"/>
  <c r="D979" i="1"/>
  <c r="W978" i="1"/>
  <c r="I978" i="1"/>
  <c r="H978" i="1"/>
  <c r="F978" i="1"/>
  <c r="D978" i="1"/>
  <c r="W977" i="1"/>
  <c r="I977" i="1"/>
  <c r="H977" i="1"/>
  <c r="F977" i="1"/>
  <c r="D977" i="1"/>
  <c r="W976" i="1"/>
  <c r="I976" i="1"/>
  <c r="H976" i="1"/>
  <c r="F976" i="1"/>
  <c r="D976" i="1"/>
  <c r="W975" i="1"/>
  <c r="I975" i="1"/>
  <c r="H975" i="1"/>
  <c r="F975" i="1"/>
  <c r="D975" i="1"/>
  <c r="W974" i="1"/>
  <c r="I974" i="1"/>
  <c r="H974" i="1"/>
  <c r="F974" i="1"/>
  <c r="D974" i="1"/>
  <c r="W973" i="1"/>
  <c r="I973" i="1"/>
  <c r="H973" i="1"/>
  <c r="F973" i="1"/>
  <c r="D973" i="1"/>
  <c r="W972" i="1"/>
  <c r="I972" i="1"/>
  <c r="H972" i="1"/>
  <c r="F972" i="1"/>
  <c r="D972" i="1"/>
  <c r="W971" i="1"/>
  <c r="I971" i="1"/>
  <c r="H971" i="1"/>
  <c r="F971" i="1"/>
  <c r="D971" i="1"/>
  <c r="W970" i="1"/>
  <c r="I970" i="1"/>
  <c r="H970" i="1"/>
  <c r="F970" i="1"/>
  <c r="D970" i="1"/>
  <c r="I969" i="1"/>
  <c r="F969" i="1"/>
  <c r="D969" i="1"/>
  <c r="I968" i="1"/>
  <c r="F968" i="1"/>
  <c r="D968" i="1"/>
  <c r="I967" i="1"/>
  <c r="F967" i="1"/>
  <c r="D967" i="1"/>
  <c r="I966" i="1"/>
  <c r="F966" i="1"/>
  <c r="D966" i="1"/>
  <c r="I965" i="1"/>
  <c r="F965" i="1"/>
  <c r="D965" i="1"/>
  <c r="I964" i="1"/>
  <c r="F964" i="1"/>
  <c r="D964" i="1"/>
  <c r="I963" i="1"/>
  <c r="F963" i="1"/>
  <c r="D963" i="1"/>
  <c r="I962" i="1"/>
  <c r="F962" i="1"/>
  <c r="D962" i="1"/>
  <c r="I961" i="1"/>
  <c r="F961" i="1"/>
  <c r="D961" i="1"/>
  <c r="I960" i="1"/>
  <c r="F960" i="1"/>
  <c r="D960" i="1"/>
  <c r="I959" i="1"/>
  <c r="F959" i="1"/>
  <c r="D959" i="1"/>
  <c r="I958" i="1"/>
  <c r="F958" i="1"/>
  <c r="D958" i="1"/>
  <c r="I957" i="1"/>
  <c r="F957" i="1"/>
  <c r="D957" i="1"/>
  <c r="I956" i="1"/>
  <c r="F956" i="1"/>
  <c r="D956" i="1"/>
  <c r="I955" i="1"/>
  <c r="F955" i="1"/>
  <c r="D955" i="1"/>
  <c r="I954" i="1"/>
  <c r="F954" i="1"/>
  <c r="D954" i="1"/>
  <c r="I953" i="1"/>
  <c r="F953" i="1"/>
  <c r="D953" i="1"/>
  <c r="I952" i="1"/>
  <c r="F952" i="1"/>
  <c r="D952" i="1"/>
  <c r="I951" i="1"/>
  <c r="F951" i="1"/>
  <c r="D951" i="1"/>
  <c r="I950" i="1"/>
  <c r="F950" i="1"/>
  <c r="D950" i="1"/>
  <c r="I949" i="1"/>
  <c r="F949" i="1"/>
  <c r="D949" i="1"/>
  <c r="I948" i="1"/>
  <c r="F948" i="1"/>
  <c r="D948" i="1"/>
  <c r="I947" i="1"/>
  <c r="F947" i="1"/>
  <c r="D947" i="1"/>
  <c r="I946" i="1"/>
  <c r="F946" i="1"/>
  <c r="D946" i="1"/>
  <c r="I945" i="1"/>
  <c r="F945" i="1"/>
  <c r="D945" i="1"/>
  <c r="I944" i="1"/>
  <c r="F944" i="1"/>
  <c r="D944" i="1"/>
  <c r="I943" i="1"/>
  <c r="F943" i="1"/>
  <c r="D943" i="1"/>
  <c r="I942" i="1"/>
  <c r="F942" i="1"/>
  <c r="D942" i="1"/>
  <c r="I941" i="1"/>
  <c r="F941" i="1"/>
  <c r="D941" i="1"/>
  <c r="I940" i="1"/>
  <c r="F940" i="1"/>
  <c r="D940" i="1"/>
  <c r="I939" i="1"/>
  <c r="F939" i="1"/>
  <c r="D939" i="1"/>
  <c r="I938" i="1"/>
  <c r="F938" i="1"/>
  <c r="D938" i="1"/>
  <c r="I937" i="1"/>
  <c r="F937" i="1"/>
  <c r="D937" i="1"/>
  <c r="I936" i="1"/>
  <c r="F936" i="1"/>
  <c r="D936" i="1"/>
  <c r="I935" i="1"/>
  <c r="F935" i="1"/>
  <c r="D935" i="1"/>
  <c r="I934" i="1"/>
  <c r="F934" i="1"/>
  <c r="D934" i="1"/>
  <c r="I933" i="1"/>
  <c r="F933" i="1"/>
  <c r="D933" i="1"/>
  <c r="I932" i="1"/>
  <c r="F932" i="1"/>
  <c r="D932" i="1"/>
  <c r="I931" i="1"/>
  <c r="F931" i="1"/>
  <c r="D931" i="1"/>
  <c r="I930" i="1"/>
  <c r="F930" i="1"/>
  <c r="D930" i="1"/>
  <c r="I929" i="1"/>
  <c r="F929" i="1"/>
  <c r="D929" i="1"/>
  <c r="I928" i="1"/>
  <c r="F928" i="1"/>
  <c r="D928" i="1"/>
  <c r="I927" i="1"/>
  <c r="F927" i="1"/>
  <c r="D927" i="1"/>
  <c r="I926" i="1"/>
  <c r="F926" i="1"/>
  <c r="D926" i="1"/>
  <c r="I925" i="1"/>
  <c r="F925" i="1"/>
  <c r="D925" i="1"/>
  <c r="I924" i="1"/>
  <c r="F924" i="1"/>
  <c r="D924" i="1"/>
  <c r="I923" i="1"/>
  <c r="F923" i="1"/>
  <c r="D923" i="1"/>
  <c r="I922" i="1"/>
  <c r="F922" i="1"/>
  <c r="D922" i="1"/>
  <c r="I921" i="1"/>
  <c r="F921" i="1"/>
  <c r="D921" i="1"/>
  <c r="I920" i="1"/>
  <c r="F920" i="1"/>
  <c r="D920" i="1"/>
  <c r="I919" i="1"/>
  <c r="F919" i="1"/>
  <c r="D919" i="1"/>
  <c r="I918" i="1"/>
  <c r="F918" i="1"/>
  <c r="D918" i="1"/>
  <c r="I917" i="1"/>
  <c r="F917" i="1"/>
  <c r="D917" i="1"/>
  <c r="I916" i="1"/>
  <c r="F916" i="1"/>
  <c r="D916" i="1"/>
  <c r="I915" i="1"/>
  <c r="F915" i="1"/>
  <c r="D915" i="1"/>
  <c r="I914" i="1"/>
  <c r="F914" i="1"/>
  <c r="D914" i="1"/>
  <c r="I913" i="1"/>
  <c r="F913" i="1"/>
  <c r="D913" i="1"/>
  <c r="I912" i="1"/>
  <c r="F912" i="1"/>
  <c r="D912" i="1"/>
  <c r="I911" i="1"/>
  <c r="F911" i="1"/>
  <c r="D911" i="1"/>
  <c r="I910" i="1"/>
  <c r="F910" i="1"/>
  <c r="D910" i="1"/>
  <c r="I909" i="1"/>
  <c r="F909" i="1"/>
  <c r="D909" i="1"/>
  <c r="I908" i="1"/>
  <c r="F908" i="1"/>
  <c r="D908" i="1"/>
  <c r="I907" i="1"/>
  <c r="F907" i="1"/>
  <c r="D907" i="1"/>
  <c r="I906" i="1"/>
  <c r="F906" i="1"/>
  <c r="D906" i="1"/>
  <c r="I905" i="1"/>
  <c r="F905" i="1"/>
  <c r="D905" i="1"/>
  <c r="I904" i="1"/>
  <c r="F904" i="1"/>
  <c r="D904" i="1"/>
  <c r="I903" i="1"/>
  <c r="F903" i="1"/>
  <c r="D903" i="1"/>
  <c r="I902" i="1"/>
  <c r="F902" i="1"/>
  <c r="D902" i="1"/>
  <c r="I901" i="1"/>
  <c r="F901" i="1"/>
  <c r="D901" i="1"/>
  <c r="I900" i="1"/>
  <c r="F900" i="1"/>
  <c r="D900" i="1"/>
  <c r="I899" i="1"/>
  <c r="F899" i="1"/>
  <c r="D899" i="1"/>
  <c r="I898" i="1"/>
  <c r="F898" i="1"/>
  <c r="D898" i="1"/>
  <c r="I897" i="1"/>
  <c r="F897" i="1"/>
  <c r="D897" i="1"/>
  <c r="I896" i="1"/>
  <c r="F896" i="1"/>
  <c r="D896" i="1"/>
  <c r="I895" i="1"/>
  <c r="F895" i="1"/>
  <c r="D895" i="1"/>
  <c r="I894" i="1"/>
  <c r="F894" i="1"/>
  <c r="D894" i="1"/>
  <c r="I893" i="1"/>
  <c r="F893" i="1"/>
  <c r="D893" i="1"/>
  <c r="I892" i="1"/>
  <c r="F892" i="1"/>
  <c r="D892" i="1"/>
  <c r="I891" i="1"/>
  <c r="F891" i="1"/>
  <c r="D891" i="1"/>
  <c r="I890" i="1"/>
  <c r="F890" i="1"/>
  <c r="D890" i="1"/>
  <c r="I889" i="1"/>
  <c r="F889" i="1"/>
  <c r="D889" i="1"/>
  <c r="I888" i="1"/>
  <c r="F888" i="1"/>
  <c r="D888" i="1"/>
  <c r="I887" i="1"/>
  <c r="F887" i="1"/>
  <c r="D887" i="1"/>
  <c r="W886" i="1"/>
  <c r="I886" i="1"/>
  <c r="H886" i="1"/>
  <c r="F886" i="1"/>
  <c r="D886" i="1"/>
  <c r="W885" i="1"/>
  <c r="I885" i="1"/>
  <c r="H885" i="1"/>
  <c r="F885" i="1"/>
  <c r="D885" i="1"/>
  <c r="I884" i="1"/>
  <c r="F884" i="1"/>
  <c r="D884" i="1"/>
  <c r="I883" i="1"/>
  <c r="F883" i="1"/>
  <c r="D883" i="1"/>
  <c r="I882" i="1"/>
  <c r="F882" i="1"/>
  <c r="D882" i="1"/>
  <c r="I881" i="1"/>
  <c r="F881" i="1"/>
  <c r="D881" i="1"/>
  <c r="I880" i="1"/>
  <c r="F880" i="1"/>
  <c r="D880" i="1"/>
  <c r="I879" i="1"/>
  <c r="F879" i="1"/>
  <c r="D879" i="1"/>
  <c r="I878" i="1"/>
  <c r="F878" i="1"/>
  <c r="D878" i="1"/>
  <c r="I877" i="1"/>
  <c r="F877" i="1"/>
  <c r="D877" i="1"/>
  <c r="I876" i="1"/>
  <c r="F876" i="1"/>
  <c r="D876" i="1"/>
  <c r="I875" i="1"/>
  <c r="F875" i="1"/>
  <c r="D875" i="1"/>
  <c r="I874" i="1"/>
  <c r="F874" i="1"/>
  <c r="D874" i="1"/>
  <c r="I873" i="1"/>
  <c r="F873" i="1"/>
  <c r="D873" i="1"/>
  <c r="I872" i="1"/>
  <c r="F872" i="1"/>
  <c r="D872" i="1"/>
  <c r="I871" i="1"/>
  <c r="F871" i="1"/>
  <c r="D871" i="1"/>
  <c r="I870" i="1"/>
  <c r="F870" i="1"/>
  <c r="D870" i="1"/>
  <c r="I869" i="1"/>
  <c r="F869" i="1"/>
  <c r="D869" i="1"/>
  <c r="I868" i="1"/>
  <c r="F868" i="1"/>
  <c r="D868" i="1"/>
  <c r="I867" i="1"/>
  <c r="F867" i="1"/>
  <c r="D867" i="1"/>
  <c r="I866" i="1"/>
  <c r="F866" i="1"/>
  <c r="D866" i="1"/>
  <c r="I865" i="1"/>
  <c r="F865" i="1"/>
  <c r="D865" i="1"/>
  <c r="I864" i="1"/>
  <c r="F864" i="1"/>
  <c r="D864" i="1"/>
  <c r="I863" i="1"/>
  <c r="F863" i="1"/>
  <c r="D863" i="1"/>
  <c r="I862" i="1"/>
  <c r="F862" i="1"/>
  <c r="D862" i="1"/>
  <c r="I861" i="1"/>
  <c r="F861" i="1"/>
  <c r="D861" i="1"/>
  <c r="I860" i="1"/>
  <c r="F860" i="1"/>
  <c r="D860" i="1"/>
  <c r="I859" i="1"/>
  <c r="F859" i="1"/>
  <c r="D859" i="1"/>
  <c r="I858" i="1"/>
  <c r="F858" i="1"/>
  <c r="D858" i="1"/>
  <c r="I857" i="1"/>
  <c r="F857" i="1"/>
  <c r="D857" i="1"/>
  <c r="I856" i="1"/>
  <c r="F856" i="1"/>
  <c r="D856" i="1"/>
  <c r="I855" i="1"/>
  <c r="F855" i="1"/>
  <c r="D855" i="1"/>
  <c r="I854" i="1"/>
  <c r="F854" i="1"/>
  <c r="D854" i="1"/>
  <c r="I853" i="1"/>
  <c r="F853" i="1"/>
  <c r="D853" i="1"/>
  <c r="I852" i="1"/>
  <c r="F852" i="1"/>
  <c r="D852" i="1"/>
  <c r="I851" i="1"/>
  <c r="F851" i="1"/>
  <c r="D851" i="1"/>
  <c r="I850" i="1"/>
  <c r="F850" i="1"/>
  <c r="D850" i="1"/>
  <c r="I849" i="1"/>
  <c r="F849" i="1"/>
  <c r="D849" i="1"/>
  <c r="I848" i="1"/>
  <c r="F848" i="1"/>
  <c r="D848" i="1"/>
  <c r="I847" i="1"/>
  <c r="F847" i="1"/>
  <c r="D847" i="1"/>
  <c r="I846" i="1"/>
  <c r="F846" i="1"/>
  <c r="D846" i="1"/>
  <c r="I845" i="1"/>
  <c r="F845" i="1"/>
  <c r="D845" i="1"/>
  <c r="I844" i="1"/>
  <c r="F844" i="1"/>
  <c r="D844" i="1"/>
  <c r="I843" i="1"/>
  <c r="F843" i="1"/>
  <c r="D843" i="1"/>
  <c r="I842" i="1"/>
  <c r="F842" i="1"/>
  <c r="D842" i="1"/>
  <c r="I841" i="1"/>
  <c r="F841" i="1"/>
  <c r="D841" i="1"/>
  <c r="I840" i="1"/>
  <c r="F840" i="1"/>
  <c r="D840" i="1"/>
  <c r="I839" i="1"/>
  <c r="F839" i="1"/>
  <c r="D839" i="1"/>
  <c r="I838" i="1"/>
  <c r="F838" i="1"/>
  <c r="D838" i="1"/>
  <c r="I837" i="1"/>
  <c r="F837" i="1"/>
  <c r="D837" i="1"/>
  <c r="I836" i="1"/>
  <c r="F836" i="1"/>
  <c r="D836" i="1"/>
  <c r="I835" i="1"/>
  <c r="F835" i="1"/>
  <c r="D835" i="1"/>
  <c r="I834" i="1"/>
  <c r="F834" i="1"/>
  <c r="D834" i="1"/>
  <c r="I833" i="1"/>
  <c r="F833" i="1"/>
  <c r="D833" i="1"/>
  <c r="I832" i="1"/>
  <c r="F832" i="1"/>
  <c r="D832" i="1"/>
  <c r="I831" i="1"/>
  <c r="F831" i="1"/>
  <c r="D831" i="1"/>
  <c r="I830" i="1"/>
  <c r="F830" i="1"/>
  <c r="D830" i="1"/>
  <c r="I829" i="1"/>
  <c r="F829" i="1"/>
  <c r="D829" i="1"/>
  <c r="I828" i="1"/>
  <c r="F828" i="1"/>
  <c r="D828" i="1"/>
  <c r="I827" i="1"/>
  <c r="F827" i="1"/>
  <c r="D827" i="1"/>
  <c r="I826" i="1"/>
  <c r="F826" i="1"/>
  <c r="D826" i="1"/>
  <c r="I825" i="1"/>
  <c r="F825" i="1"/>
  <c r="D825" i="1"/>
  <c r="I824" i="1"/>
  <c r="F824" i="1"/>
  <c r="D824" i="1"/>
  <c r="I823" i="1"/>
  <c r="F823" i="1"/>
  <c r="D823" i="1"/>
  <c r="I822" i="1"/>
  <c r="F822" i="1"/>
  <c r="D822" i="1"/>
  <c r="I821" i="1"/>
  <c r="F821" i="1"/>
  <c r="D821" i="1"/>
  <c r="I820" i="1"/>
  <c r="F820" i="1"/>
  <c r="D820" i="1"/>
  <c r="I819" i="1"/>
  <c r="F819" i="1"/>
  <c r="D819" i="1"/>
  <c r="I818" i="1"/>
  <c r="F818" i="1"/>
  <c r="D818" i="1"/>
  <c r="I817" i="1"/>
  <c r="F817" i="1"/>
  <c r="D817" i="1"/>
  <c r="I816" i="1"/>
  <c r="F816" i="1"/>
  <c r="D816" i="1"/>
  <c r="I815" i="1"/>
  <c r="F815" i="1"/>
  <c r="D815" i="1"/>
  <c r="I814" i="1"/>
  <c r="F814" i="1"/>
  <c r="D814" i="1"/>
  <c r="I813" i="1"/>
  <c r="F813" i="1"/>
  <c r="D813" i="1"/>
  <c r="I812" i="1"/>
  <c r="F812" i="1"/>
  <c r="D812" i="1"/>
  <c r="I811" i="1"/>
  <c r="F811" i="1"/>
  <c r="D811" i="1"/>
  <c r="I810" i="1"/>
  <c r="F810" i="1"/>
  <c r="D810" i="1"/>
  <c r="I809" i="1"/>
  <c r="F809" i="1"/>
  <c r="D809" i="1"/>
  <c r="I808" i="1"/>
  <c r="F808" i="1"/>
  <c r="D808" i="1"/>
  <c r="I807" i="1"/>
  <c r="F807" i="1"/>
  <c r="D807" i="1"/>
  <c r="I806" i="1"/>
  <c r="F806" i="1"/>
  <c r="D806" i="1"/>
  <c r="I805" i="1"/>
  <c r="F805" i="1"/>
  <c r="D805" i="1"/>
  <c r="I804" i="1"/>
  <c r="F804" i="1"/>
  <c r="D804" i="1"/>
  <c r="I803" i="1"/>
  <c r="F803" i="1"/>
  <c r="D803" i="1"/>
  <c r="I802" i="1"/>
  <c r="F802" i="1"/>
  <c r="D802" i="1"/>
  <c r="I801" i="1"/>
  <c r="F801" i="1"/>
  <c r="D801" i="1"/>
  <c r="I800" i="1"/>
  <c r="F800" i="1"/>
  <c r="D800" i="1"/>
  <c r="I799" i="1"/>
  <c r="F799" i="1"/>
  <c r="D799" i="1"/>
  <c r="I798" i="1"/>
  <c r="F798" i="1"/>
  <c r="D798" i="1"/>
  <c r="I797" i="1"/>
  <c r="F797" i="1"/>
  <c r="D797" i="1"/>
  <c r="I796" i="1"/>
  <c r="F796" i="1"/>
  <c r="D796" i="1"/>
  <c r="I795" i="1"/>
  <c r="F795" i="1"/>
  <c r="D795" i="1"/>
  <c r="I794" i="1"/>
  <c r="F794" i="1"/>
  <c r="D794" i="1"/>
  <c r="I793" i="1"/>
  <c r="F793" i="1"/>
  <c r="D793" i="1"/>
  <c r="I792" i="1"/>
  <c r="F792" i="1"/>
  <c r="D792" i="1"/>
  <c r="I791" i="1"/>
  <c r="F791" i="1"/>
  <c r="D791" i="1"/>
  <c r="I790" i="1"/>
  <c r="F790" i="1"/>
  <c r="D790" i="1"/>
  <c r="I789" i="1"/>
  <c r="F789" i="1"/>
  <c r="D789" i="1"/>
  <c r="I788" i="1"/>
  <c r="F788" i="1"/>
  <c r="D788" i="1"/>
  <c r="I787" i="1"/>
  <c r="F787" i="1"/>
  <c r="D787" i="1"/>
  <c r="I786" i="1"/>
  <c r="F786" i="1"/>
  <c r="D786" i="1"/>
  <c r="W785" i="1"/>
  <c r="I785" i="1"/>
  <c r="H785" i="1"/>
  <c r="F785" i="1"/>
  <c r="D785" i="1"/>
  <c r="I784" i="1"/>
  <c r="F784" i="1"/>
  <c r="D784" i="1"/>
  <c r="I783" i="1"/>
  <c r="F783" i="1"/>
  <c r="D783" i="1"/>
  <c r="I782" i="1"/>
  <c r="F782" i="1"/>
  <c r="D782" i="1"/>
  <c r="I781" i="1"/>
  <c r="F781" i="1"/>
  <c r="D781" i="1"/>
  <c r="I780" i="1"/>
  <c r="F780" i="1"/>
  <c r="D780" i="1"/>
  <c r="I779" i="1"/>
  <c r="F779" i="1"/>
  <c r="D779" i="1"/>
  <c r="I778" i="1"/>
  <c r="F778" i="1"/>
  <c r="D778" i="1"/>
  <c r="I777" i="1"/>
  <c r="F777" i="1"/>
  <c r="D777" i="1"/>
  <c r="I776" i="1"/>
  <c r="F776" i="1"/>
  <c r="D776" i="1"/>
  <c r="I775" i="1"/>
  <c r="F775" i="1"/>
  <c r="D775" i="1"/>
  <c r="I774" i="1"/>
  <c r="F774" i="1"/>
  <c r="D774" i="1"/>
  <c r="I773" i="1"/>
  <c r="F773" i="1"/>
  <c r="D773" i="1"/>
  <c r="I772" i="1"/>
  <c r="F772" i="1"/>
  <c r="D772" i="1"/>
  <c r="I771" i="1"/>
  <c r="F771" i="1"/>
  <c r="D771" i="1"/>
  <c r="I770" i="1"/>
  <c r="F770" i="1"/>
  <c r="D770" i="1"/>
  <c r="W769" i="1"/>
  <c r="I769" i="1"/>
  <c r="H769" i="1"/>
  <c r="F769" i="1"/>
  <c r="D769" i="1"/>
  <c r="W768" i="1"/>
  <c r="I768" i="1"/>
  <c r="H768" i="1"/>
  <c r="F768" i="1"/>
  <c r="D768" i="1"/>
  <c r="W767" i="1"/>
  <c r="I767" i="1"/>
  <c r="H767" i="1"/>
  <c r="F767" i="1"/>
  <c r="D767" i="1"/>
  <c r="I766" i="1"/>
  <c r="F766" i="1"/>
  <c r="D766" i="1"/>
  <c r="I765" i="1"/>
  <c r="F765" i="1"/>
  <c r="D765" i="1"/>
  <c r="I764" i="1"/>
  <c r="F764" i="1"/>
  <c r="D764" i="1"/>
  <c r="I763" i="1"/>
  <c r="F763" i="1"/>
  <c r="D763" i="1"/>
  <c r="I762" i="1"/>
  <c r="F762" i="1"/>
  <c r="D762" i="1"/>
  <c r="I761" i="1"/>
  <c r="F761" i="1"/>
  <c r="D761" i="1"/>
  <c r="I760" i="1"/>
  <c r="F760" i="1"/>
  <c r="D760" i="1"/>
  <c r="I759" i="1"/>
  <c r="F759" i="1"/>
  <c r="D759" i="1"/>
  <c r="I758" i="1"/>
  <c r="F758" i="1"/>
  <c r="D758" i="1"/>
  <c r="I757" i="1"/>
  <c r="F757" i="1"/>
  <c r="D757" i="1"/>
  <c r="I756" i="1"/>
  <c r="F756" i="1"/>
  <c r="D756" i="1"/>
  <c r="I755" i="1"/>
  <c r="F755" i="1"/>
  <c r="D755" i="1"/>
  <c r="I754" i="1"/>
  <c r="F754" i="1"/>
  <c r="D754" i="1"/>
  <c r="I753" i="1"/>
  <c r="F753" i="1"/>
  <c r="D753" i="1"/>
  <c r="I752" i="1"/>
  <c r="F752" i="1"/>
  <c r="D752" i="1"/>
  <c r="I751" i="1"/>
  <c r="F751" i="1"/>
  <c r="D751" i="1"/>
  <c r="W750" i="1"/>
  <c r="I750" i="1"/>
  <c r="H750" i="1"/>
  <c r="F750" i="1"/>
  <c r="D750" i="1"/>
  <c r="W749" i="1"/>
  <c r="I749" i="1"/>
  <c r="H749" i="1"/>
  <c r="F749" i="1"/>
  <c r="D749" i="1"/>
  <c r="I748" i="1"/>
  <c r="F748" i="1"/>
  <c r="D748" i="1"/>
  <c r="I747" i="1"/>
  <c r="F747" i="1"/>
  <c r="D747" i="1"/>
  <c r="I746" i="1"/>
  <c r="F746" i="1"/>
  <c r="D746" i="1"/>
  <c r="I745" i="1"/>
  <c r="F745" i="1"/>
  <c r="D745" i="1"/>
  <c r="I744" i="1"/>
  <c r="F744" i="1"/>
  <c r="D744" i="1"/>
  <c r="I743" i="1"/>
  <c r="F743" i="1"/>
  <c r="D743" i="1"/>
  <c r="W742" i="1"/>
  <c r="I742" i="1"/>
  <c r="H742" i="1"/>
  <c r="F742" i="1"/>
  <c r="D742" i="1"/>
  <c r="W741" i="1"/>
  <c r="I741" i="1"/>
  <c r="H741" i="1"/>
  <c r="F741" i="1"/>
  <c r="D741" i="1"/>
  <c r="W740" i="1"/>
  <c r="I740" i="1"/>
  <c r="H740" i="1"/>
  <c r="F740" i="1"/>
  <c r="D740" i="1"/>
  <c r="W739" i="1"/>
  <c r="I739" i="1"/>
  <c r="H739" i="1"/>
  <c r="F739" i="1"/>
  <c r="D739" i="1"/>
  <c r="W738" i="1"/>
  <c r="I738" i="1"/>
  <c r="H738" i="1"/>
  <c r="F738" i="1"/>
  <c r="D738" i="1"/>
  <c r="W737" i="1"/>
  <c r="I737" i="1"/>
  <c r="H737" i="1"/>
  <c r="F737" i="1"/>
  <c r="D737" i="1"/>
  <c r="W736" i="1"/>
  <c r="I736" i="1"/>
  <c r="H736" i="1"/>
  <c r="F736" i="1"/>
  <c r="D736" i="1"/>
  <c r="W735" i="1"/>
  <c r="I735" i="1"/>
  <c r="H735" i="1"/>
  <c r="F735" i="1"/>
  <c r="D735" i="1"/>
  <c r="W734" i="1"/>
  <c r="I734" i="1"/>
  <c r="H734" i="1"/>
  <c r="F734" i="1"/>
  <c r="D734" i="1"/>
  <c r="W733" i="1"/>
  <c r="I733" i="1"/>
  <c r="H733" i="1"/>
  <c r="F733" i="1"/>
  <c r="D733" i="1"/>
  <c r="I732" i="1"/>
  <c r="F732" i="1"/>
  <c r="D732" i="1"/>
  <c r="I731" i="1"/>
  <c r="F731" i="1"/>
  <c r="D731" i="1"/>
  <c r="I730" i="1"/>
  <c r="F730" i="1"/>
  <c r="D730" i="1"/>
  <c r="I729" i="1"/>
  <c r="F729" i="1"/>
  <c r="D729" i="1"/>
  <c r="I728" i="1"/>
  <c r="F728" i="1"/>
  <c r="D728" i="1"/>
  <c r="I727" i="1"/>
  <c r="F727" i="1"/>
  <c r="D727" i="1"/>
  <c r="I726" i="1"/>
  <c r="F726" i="1"/>
  <c r="D726" i="1"/>
  <c r="W725" i="1"/>
  <c r="I725" i="1"/>
  <c r="H725" i="1"/>
  <c r="F725" i="1"/>
  <c r="D725" i="1"/>
  <c r="W724" i="1"/>
  <c r="I724" i="1"/>
  <c r="H724" i="1"/>
  <c r="F724" i="1"/>
  <c r="D724" i="1"/>
  <c r="I723" i="1"/>
  <c r="F723" i="1"/>
  <c r="D723" i="1"/>
  <c r="I722" i="1"/>
  <c r="F722" i="1"/>
  <c r="D722" i="1"/>
  <c r="I721" i="1"/>
  <c r="F721" i="1"/>
  <c r="D721" i="1"/>
  <c r="I720" i="1"/>
  <c r="F720" i="1"/>
  <c r="D720" i="1"/>
  <c r="I719" i="1"/>
  <c r="F719" i="1"/>
  <c r="D719" i="1"/>
  <c r="I718" i="1"/>
  <c r="F718" i="1"/>
  <c r="D718" i="1"/>
  <c r="I717" i="1"/>
  <c r="F717" i="1"/>
  <c r="D717" i="1"/>
  <c r="I716" i="1"/>
  <c r="F716" i="1"/>
  <c r="D716" i="1"/>
  <c r="I715" i="1"/>
  <c r="F715" i="1"/>
  <c r="D715" i="1"/>
  <c r="I714" i="1"/>
  <c r="F714" i="1"/>
  <c r="D714" i="1"/>
  <c r="I713" i="1"/>
  <c r="F713" i="1"/>
  <c r="D713" i="1"/>
  <c r="I712" i="1"/>
  <c r="F712" i="1"/>
  <c r="D712" i="1"/>
  <c r="I711" i="1"/>
  <c r="F711" i="1"/>
  <c r="D711" i="1"/>
  <c r="I710" i="1"/>
  <c r="F710" i="1"/>
  <c r="D710" i="1"/>
  <c r="I709" i="1"/>
  <c r="F709" i="1"/>
  <c r="D709" i="1"/>
  <c r="I708" i="1"/>
  <c r="F708" i="1"/>
  <c r="D708" i="1"/>
  <c r="I707" i="1"/>
  <c r="F707" i="1"/>
  <c r="D707" i="1"/>
  <c r="I706" i="1"/>
  <c r="F706" i="1"/>
  <c r="D706" i="1"/>
  <c r="I705" i="1"/>
  <c r="F705" i="1"/>
  <c r="D705" i="1"/>
  <c r="I704" i="1"/>
  <c r="F704" i="1"/>
  <c r="D704" i="1"/>
  <c r="I703" i="1"/>
  <c r="F703" i="1"/>
  <c r="D703" i="1"/>
  <c r="I702" i="1"/>
  <c r="F702" i="1"/>
  <c r="D702" i="1"/>
  <c r="I701" i="1"/>
  <c r="F701" i="1"/>
  <c r="D701" i="1"/>
  <c r="I700" i="1"/>
  <c r="F700" i="1"/>
  <c r="D700" i="1"/>
  <c r="I699" i="1"/>
  <c r="F699" i="1"/>
  <c r="D699" i="1"/>
  <c r="I698" i="1"/>
  <c r="F698" i="1"/>
  <c r="D698" i="1"/>
  <c r="I697" i="1"/>
  <c r="F697" i="1"/>
  <c r="D697" i="1"/>
  <c r="I696" i="1"/>
  <c r="F696" i="1"/>
  <c r="D696" i="1"/>
  <c r="W695" i="1"/>
  <c r="I695" i="1"/>
  <c r="H695" i="1"/>
  <c r="F695" i="1"/>
  <c r="D695" i="1"/>
  <c r="W694" i="1"/>
  <c r="I694" i="1"/>
  <c r="H694" i="1"/>
  <c r="F694" i="1"/>
  <c r="D694" i="1"/>
  <c r="I693" i="1"/>
  <c r="F693" i="1"/>
  <c r="D693" i="1"/>
  <c r="I692" i="1"/>
  <c r="F692" i="1"/>
  <c r="D692" i="1"/>
  <c r="I691" i="1"/>
  <c r="F691" i="1"/>
  <c r="D691" i="1"/>
  <c r="I690" i="1"/>
  <c r="F690" i="1"/>
  <c r="D690" i="1"/>
  <c r="I689" i="1"/>
  <c r="F689" i="1"/>
  <c r="D689" i="1"/>
  <c r="I688" i="1"/>
  <c r="F688" i="1"/>
  <c r="D688" i="1"/>
  <c r="I687" i="1"/>
  <c r="F687" i="1"/>
  <c r="D687" i="1"/>
  <c r="I686" i="1"/>
  <c r="F686" i="1"/>
  <c r="D686" i="1"/>
  <c r="I685" i="1"/>
  <c r="F685" i="1"/>
  <c r="D685" i="1"/>
  <c r="I684" i="1"/>
  <c r="F684" i="1"/>
  <c r="D684" i="1"/>
  <c r="I683" i="1"/>
  <c r="F683" i="1"/>
  <c r="D683" i="1"/>
  <c r="I682" i="1"/>
  <c r="F682" i="1"/>
  <c r="D682" i="1"/>
  <c r="I681" i="1"/>
  <c r="F681" i="1"/>
  <c r="D681" i="1"/>
  <c r="I680" i="1"/>
  <c r="F680" i="1"/>
  <c r="D680" i="1"/>
  <c r="I679" i="1"/>
  <c r="F679" i="1"/>
  <c r="D679" i="1"/>
  <c r="I678" i="1"/>
  <c r="F678" i="1"/>
  <c r="D678" i="1"/>
  <c r="I677" i="1"/>
  <c r="F677" i="1"/>
  <c r="D677" i="1"/>
  <c r="I676" i="1"/>
  <c r="F676" i="1"/>
  <c r="D676" i="1"/>
  <c r="I675" i="1"/>
  <c r="F675" i="1"/>
  <c r="D675" i="1"/>
  <c r="I674" i="1"/>
  <c r="F674" i="1"/>
  <c r="D674" i="1"/>
  <c r="I673" i="1"/>
  <c r="F673" i="1"/>
  <c r="D673" i="1"/>
  <c r="I672" i="1"/>
  <c r="F672" i="1"/>
  <c r="D672" i="1"/>
  <c r="I671" i="1"/>
  <c r="F671" i="1"/>
  <c r="D671" i="1"/>
  <c r="I670" i="1"/>
  <c r="F670" i="1"/>
  <c r="D670" i="1"/>
  <c r="I669" i="1"/>
  <c r="F669" i="1"/>
  <c r="D669" i="1"/>
  <c r="I668" i="1"/>
  <c r="F668" i="1"/>
  <c r="D668" i="1"/>
  <c r="I667" i="1"/>
  <c r="F667" i="1"/>
  <c r="D667" i="1"/>
  <c r="I666" i="1"/>
  <c r="F666" i="1"/>
  <c r="D666" i="1"/>
  <c r="I665" i="1"/>
  <c r="F665" i="1"/>
  <c r="D665" i="1"/>
  <c r="I664" i="1"/>
  <c r="F664" i="1"/>
  <c r="D664" i="1"/>
  <c r="I663" i="1"/>
  <c r="F663" i="1"/>
  <c r="D663" i="1"/>
  <c r="I662" i="1"/>
  <c r="F662" i="1"/>
  <c r="D662" i="1"/>
  <c r="I661" i="1"/>
  <c r="F661" i="1"/>
  <c r="D661" i="1"/>
  <c r="I660" i="1"/>
  <c r="F660" i="1"/>
  <c r="D660" i="1"/>
  <c r="I659" i="1"/>
  <c r="F659" i="1"/>
  <c r="D659" i="1"/>
  <c r="I658" i="1"/>
  <c r="F658" i="1"/>
  <c r="D658" i="1"/>
  <c r="I657" i="1"/>
  <c r="F657" i="1"/>
  <c r="D657" i="1"/>
  <c r="I656" i="1"/>
  <c r="F656" i="1"/>
  <c r="D656" i="1"/>
  <c r="I655" i="1"/>
  <c r="F655" i="1"/>
  <c r="D655" i="1"/>
  <c r="I654" i="1"/>
  <c r="F654" i="1"/>
  <c r="D654" i="1"/>
  <c r="I653" i="1"/>
  <c r="F653" i="1"/>
  <c r="D653" i="1"/>
  <c r="I652" i="1"/>
  <c r="F652" i="1"/>
  <c r="D652" i="1"/>
  <c r="I651" i="1"/>
  <c r="F651" i="1"/>
  <c r="D651" i="1"/>
  <c r="I650" i="1"/>
  <c r="F650" i="1"/>
  <c r="D650" i="1"/>
  <c r="I649" i="1"/>
  <c r="F649" i="1"/>
  <c r="D649" i="1"/>
  <c r="I648" i="1"/>
  <c r="F648" i="1"/>
  <c r="D648" i="1"/>
  <c r="I647" i="1"/>
  <c r="F647" i="1"/>
  <c r="D647" i="1"/>
  <c r="I646" i="1"/>
  <c r="F646" i="1"/>
  <c r="D646" i="1"/>
  <c r="W645" i="1"/>
  <c r="I645" i="1"/>
  <c r="H645" i="1"/>
  <c r="F645" i="1"/>
  <c r="D645" i="1"/>
  <c r="I644" i="1"/>
  <c r="F644" i="1"/>
  <c r="D644" i="1"/>
  <c r="I643" i="1"/>
  <c r="F643" i="1"/>
  <c r="D643" i="1"/>
  <c r="I642" i="1"/>
  <c r="F642" i="1"/>
  <c r="D642" i="1"/>
  <c r="I641" i="1"/>
  <c r="F641" i="1"/>
  <c r="D641" i="1"/>
  <c r="I640" i="1"/>
  <c r="F640" i="1"/>
  <c r="D640" i="1"/>
  <c r="I639" i="1"/>
  <c r="F639" i="1"/>
  <c r="D639" i="1"/>
  <c r="I638" i="1"/>
  <c r="F638" i="1"/>
  <c r="D638" i="1"/>
  <c r="I637" i="1"/>
  <c r="F637" i="1"/>
  <c r="D637" i="1"/>
  <c r="I636" i="1"/>
  <c r="F636" i="1"/>
  <c r="D636" i="1"/>
  <c r="I635" i="1"/>
  <c r="F635" i="1"/>
  <c r="D635" i="1"/>
  <c r="I634" i="1"/>
  <c r="F634" i="1"/>
  <c r="D634" i="1"/>
  <c r="I633" i="1"/>
  <c r="F633" i="1"/>
  <c r="D633" i="1"/>
  <c r="I632" i="1"/>
  <c r="F632" i="1"/>
  <c r="D632" i="1"/>
  <c r="I631" i="1"/>
  <c r="F631" i="1"/>
  <c r="D631" i="1"/>
  <c r="I630" i="1"/>
  <c r="F630" i="1"/>
  <c r="D630" i="1"/>
  <c r="I629" i="1"/>
  <c r="F629" i="1"/>
  <c r="D629" i="1"/>
  <c r="I628" i="1"/>
  <c r="F628" i="1"/>
  <c r="D628" i="1"/>
  <c r="I627" i="1"/>
  <c r="F627" i="1"/>
  <c r="D627" i="1"/>
  <c r="I626" i="1"/>
  <c r="F626" i="1"/>
  <c r="D626" i="1"/>
  <c r="I625" i="1"/>
  <c r="F625" i="1"/>
  <c r="D625" i="1"/>
  <c r="I624" i="1"/>
  <c r="F624" i="1"/>
  <c r="D624" i="1"/>
  <c r="I623" i="1"/>
  <c r="F623" i="1"/>
  <c r="D623" i="1"/>
  <c r="I622" i="1"/>
  <c r="F622" i="1"/>
  <c r="D622" i="1"/>
  <c r="I621" i="1"/>
  <c r="F621" i="1"/>
  <c r="D621" i="1"/>
  <c r="I620" i="1"/>
  <c r="F620" i="1"/>
  <c r="D620" i="1"/>
  <c r="I619" i="1"/>
  <c r="F619" i="1"/>
  <c r="D619" i="1"/>
  <c r="I618" i="1"/>
  <c r="F618" i="1"/>
  <c r="D618" i="1"/>
  <c r="I617" i="1"/>
  <c r="F617" i="1"/>
  <c r="D617" i="1"/>
  <c r="W616" i="1"/>
  <c r="I616" i="1"/>
  <c r="H616" i="1"/>
  <c r="F616" i="1"/>
  <c r="D616" i="1"/>
  <c r="W615" i="1"/>
  <c r="I615" i="1"/>
  <c r="H615" i="1"/>
  <c r="F615" i="1"/>
  <c r="D615" i="1"/>
  <c r="W614" i="1"/>
  <c r="I614" i="1"/>
  <c r="H614" i="1"/>
  <c r="F614" i="1"/>
  <c r="D614" i="1"/>
  <c r="I613" i="1"/>
  <c r="F613" i="1"/>
  <c r="D613" i="1"/>
  <c r="I612" i="1"/>
  <c r="F612" i="1"/>
  <c r="D612" i="1"/>
  <c r="I611" i="1"/>
  <c r="F611" i="1"/>
  <c r="D611" i="1"/>
  <c r="I610" i="1"/>
  <c r="F610" i="1"/>
  <c r="D610" i="1"/>
  <c r="I609" i="1"/>
  <c r="F609" i="1"/>
  <c r="D609" i="1"/>
  <c r="I608" i="1"/>
  <c r="F608" i="1"/>
  <c r="D608" i="1"/>
  <c r="I607" i="1"/>
  <c r="F607" i="1"/>
  <c r="D607" i="1"/>
  <c r="I606" i="1"/>
  <c r="F606" i="1"/>
  <c r="D606" i="1"/>
  <c r="I605" i="1"/>
  <c r="F605" i="1"/>
  <c r="D605" i="1"/>
  <c r="I604" i="1"/>
  <c r="F604" i="1"/>
  <c r="D604" i="1"/>
  <c r="I603" i="1"/>
  <c r="F603" i="1"/>
  <c r="D603" i="1"/>
  <c r="I602" i="1"/>
  <c r="F602" i="1"/>
  <c r="D602" i="1"/>
  <c r="I601" i="1"/>
  <c r="F601" i="1"/>
  <c r="D601" i="1"/>
  <c r="I600" i="1"/>
  <c r="F600" i="1"/>
  <c r="D600" i="1"/>
  <c r="I599" i="1"/>
  <c r="F599" i="1"/>
  <c r="D599" i="1"/>
  <c r="I598" i="1"/>
  <c r="F598" i="1"/>
  <c r="D598" i="1"/>
  <c r="I597" i="1"/>
  <c r="F597" i="1"/>
  <c r="D597" i="1"/>
  <c r="I596" i="1"/>
  <c r="F596" i="1"/>
  <c r="D596" i="1"/>
  <c r="I595" i="1"/>
  <c r="F595" i="1"/>
  <c r="D595" i="1"/>
  <c r="I594" i="1"/>
  <c r="F594" i="1"/>
  <c r="D594" i="1"/>
  <c r="I593" i="1"/>
  <c r="F593" i="1"/>
  <c r="D593" i="1"/>
  <c r="I592" i="1"/>
  <c r="F592" i="1"/>
  <c r="D592" i="1"/>
  <c r="I591" i="1"/>
  <c r="F591" i="1"/>
  <c r="D591" i="1"/>
  <c r="I590" i="1"/>
  <c r="F590" i="1"/>
  <c r="D590" i="1"/>
  <c r="I589" i="1"/>
  <c r="F589" i="1"/>
  <c r="D589" i="1"/>
  <c r="W588" i="1"/>
  <c r="I588" i="1"/>
  <c r="H588" i="1"/>
  <c r="F588" i="1"/>
  <c r="D588" i="1"/>
  <c r="W587" i="1"/>
  <c r="I587" i="1"/>
  <c r="H587" i="1"/>
  <c r="F587" i="1"/>
  <c r="D587" i="1"/>
  <c r="W586" i="1"/>
  <c r="I586" i="1"/>
  <c r="H586" i="1"/>
  <c r="F586" i="1"/>
  <c r="D586" i="1"/>
  <c r="W585" i="1"/>
  <c r="I585" i="1"/>
  <c r="H585" i="1"/>
  <c r="F585" i="1"/>
  <c r="D585" i="1"/>
  <c r="W584" i="1"/>
  <c r="I584" i="1"/>
  <c r="H584" i="1"/>
  <c r="F584" i="1"/>
  <c r="D584" i="1"/>
  <c r="I583" i="1"/>
  <c r="F583" i="1"/>
  <c r="D583" i="1"/>
  <c r="I582" i="1"/>
  <c r="F582" i="1"/>
  <c r="D582" i="1"/>
  <c r="I581" i="1"/>
  <c r="F581" i="1"/>
  <c r="D581" i="1"/>
  <c r="I580" i="1"/>
  <c r="F580" i="1"/>
  <c r="D580" i="1"/>
  <c r="I579" i="1"/>
  <c r="F579" i="1"/>
  <c r="D579" i="1"/>
  <c r="I578" i="1"/>
  <c r="F578" i="1"/>
  <c r="D578" i="1"/>
  <c r="I577" i="1"/>
  <c r="F577" i="1"/>
  <c r="D577" i="1"/>
  <c r="I576" i="1"/>
  <c r="F576" i="1"/>
  <c r="D576" i="1"/>
  <c r="I575" i="1"/>
  <c r="F575" i="1"/>
  <c r="D575" i="1"/>
  <c r="I574" i="1"/>
  <c r="F574" i="1"/>
  <c r="D574" i="1"/>
  <c r="I573" i="1"/>
  <c r="F573" i="1"/>
  <c r="D573" i="1"/>
  <c r="I572" i="1"/>
  <c r="F572" i="1"/>
  <c r="D572" i="1"/>
  <c r="I571" i="1"/>
  <c r="F571" i="1"/>
  <c r="D571" i="1"/>
  <c r="I570" i="1"/>
  <c r="F570" i="1"/>
  <c r="D570" i="1"/>
  <c r="I569" i="1"/>
  <c r="F569" i="1"/>
  <c r="D569" i="1"/>
  <c r="I568" i="1"/>
  <c r="F568" i="1"/>
  <c r="D568" i="1"/>
  <c r="I567" i="1"/>
  <c r="F567" i="1"/>
  <c r="D567" i="1"/>
  <c r="I566" i="1"/>
  <c r="F566" i="1"/>
  <c r="D566" i="1"/>
  <c r="I565" i="1"/>
  <c r="F565" i="1"/>
  <c r="D565" i="1"/>
  <c r="I564" i="1"/>
  <c r="F564" i="1"/>
  <c r="D564" i="1"/>
  <c r="I563" i="1"/>
  <c r="F563" i="1"/>
  <c r="D563" i="1"/>
  <c r="I562" i="1"/>
  <c r="F562" i="1"/>
  <c r="D562" i="1"/>
  <c r="I561" i="1"/>
  <c r="F561" i="1"/>
  <c r="D561" i="1"/>
  <c r="I560" i="1"/>
  <c r="F560" i="1"/>
  <c r="D560" i="1"/>
  <c r="I559" i="1"/>
  <c r="F559" i="1"/>
  <c r="D559" i="1"/>
  <c r="I558" i="1"/>
  <c r="F558" i="1"/>
  <c r="D558" i="1"/>
  <c r="I557" i="1"/>
  <c r="F557" i="1"/>
  <c r="D557" i="1"/>
  <c r="I556" i="1"/>
  <c r="F556" i="1"/>
  <c r="D556" i="1"/>
  <c r="I555" i="1"/>
  <c r="F555" i="1"/>
  <c r="D555" i="1"/>
  <c r="I554" i="1"/>
  <c r="F554" i="1"/>
  <c r="D554" i="1"/>
  <c r="I553" i="1"/>
  <c r="F553" i="1"/>
  <c r="D553" i="1"/>
  <c r="I552" i="1"/>
  <c r="F552" i="1"/>
  <c r="D552" i="1"/>
  <c r="I551" i="1"/>
  <c r="F551" i="1"/>
  <c r="D551" i="1"/>
  <c r="I550" i="1"/>
  <c r="F550" i="1"/>
  <c r="D550" i="1"/>
  <c r="I549" i="1"/>
  <c r="F549" i="1"/>
  <c r="D549" i="1"/>
  <c r="I548" i="1"/>
  <c r="F548" i="1"/>
  <c r="D548" i="1"/>
  <c r="I547" i="1"/>
  <c r="F547" i="1"/>
  <c r="D547" i="1"/>
  <c r="I546" i="1"/>
  <c r="F546" i="1"/>
  <c r="D546" i="1"/>
  <c r="I545" i="1"/>
  <c r="F545" i="1"/>
  <c r="D545" i="1"/>
  <c r="I544" i="1"/>
  <c r="F544" i="1"/>
  <c r="D544" i="1"/>
  <c r="I543" i="1"/>
  <c r="F543" i="1"/>
  <c r="D543" i="1"/>
  <c r="I542" i="1"/>
  <c r="F542" i="1"/>
  <c r="D542" i="1"/>
  <c r="I541" i="1"/>
  <c r="F541" i="1"/>
  <c r="D541" i="1"/>
  <c r="I540" i="1"/>
  <c r="F540" i="1"/>
  <c r="D540" i="1"/>
  <c r="I539" i="1"/>
  <c r="F539" i="1"/>
  <c r="D539" i="1"/>
  <c r="I538" i="1"/>
  <c r="F538" i="1"/>
  <c r="D538" i="1"/>
  <c r="I537" i="1"/>
  <c r="F537" i="1"/>
  <c r="D537" i="1"/>
  <c r="I536" i="1"/>
  <c r="F536" i="1"/>
  <c r="D536" i="1"/>
  <c r="I535" i="1"/>
  <c r="F535" i="1"/>
  <c r="D535" i="1"/>
  <c r="I534" i="1"/>
  <c r="F534" i="1"/>
  <c r="D534" i="1"/>
  <c r="I533" i="1"/>
  <c r="F533" i="1"/>
  <c r="D533" i="1"/>
  <c r="I532" i="1"/>
  <c r="F532" i="1"/>
  <c r="D532" i="1"/>
  <c r="I531" i="1"/>
  <c r="F531" i="1"/>
  <c r="D531" i="1"/>
  <c r="I530" i="1"/>
  <c r="F530" i="1"/>
  <c r="D530" i="1"/>
  <c r="I529" i="1"/>
  <c r="F529" i="1"/>
  <c r="D529" i="1"/>
  <c r="I528" i="1"/>
  <c r="F528" i="1"/>
  <c r="D528" i="1"/>
  <c r="I527" i="1"/>
  <c r="F527" i="1"/>
  <c r="D527" i="1"/>
  <c r="I526" i="1"/>
  <c r="F526" i="1"/>
  <c r="D526" i="1"/>
  <c r="I525" i="1"/>
  <c r="F525" i="1"/>
  <c r="D525" i="1"/>
  <c r="I524" i="1"/>
  <c r="F524" i="1"/>
  <c r="D524" i="1"/>
  <c r="I523" i="1"/>
  <c r="F523" i="1"/>
  <c r="D523" i="1"/>
  <c r="I522" i="1"/>
  <c r="F522" i="1"/>
  <c r="D522" i="1"/>
  <c r="I521" i="1"/>
  <c r="F521" i="1"/>
  <c r="D521" i="1"/>
  <c r="I520" i="1"/>
  <c r="F520" i="1"/>
  <c r="D520" i="1"/>
  <c r="I519" i="1"/>
  <c r="F519" i="1"/>
  <c r="D519" i="1"/>
  <c r="I518" i="1"/>
  <c r="F518" i="1"/>
  <c r="D518" i="1"/>
  <c r="I517" i="1"/>
  <c r="F517" i="1"/>
  <c r="D517" i="1"/>
  <c r="I516" i="1"/>
  <c r="F516" i="1"/>
  <c r="D516" i="1"/>
  <c r="I515" i="1"/>
  <c r="F515" i="1"/>
  <c r="D515" i="1"/>
  <c r="I514" i="1"/>
  <c r="F514" i="1"/>
  <c r="D514" i="1"/>
  <c r="I513" i="1"/>
  <c r="F513" i="1"/>
  <c r="D513" i="1"/>
  <c r="I512" i="1"/>
  <c r="F512" i="1"/>
  <c r="D512" i="1"/>
  <c r="I511" i="1"/>
  <c r="F511" i="1"/>
  <c r="D511" i="1"/>
  <c r="I510" i="1"/>
  <c r="F510" i="1"/>
  <c r="D510" i="1"/>
  <c r="I509" i="1"/>
  <c r="F509" i="1"/>
  <c r="D509" i="1"/>
  <c r="I508" i="1"/>
  <c r="F508" i="1"/>
  <c r="D508" i="1"/>
  <c r="I507" i="1"/>
  <c r="F507" i="1"/>
  <c r="D507" i="1"/>
  <c r="I506" i="1"/>
  <c r="F506" i="1"/>
  <c r="D506" i="1"/>
  <c r="I505" i="1"/>
  <c r="F505" i="1"/>
  <c r="D505" i="1"/>
  <c r="I504" i="1"/>
  <c r="F504" i="1"/>
  <c r="D504" i="1"/>
  <c r="I503" i="1"/>
  <c r="F503" i="1"/>
  <c r="D503" i="1"/>
  <c r="I502" i="1"/>
  <c r="F502" i="1"/>
  <c r="D502" i="1"/>
  <c r="I501" i="1"/>
  <c r="F501" i="1"/>
  <c r="D501" i="1"/>
  <c r="I500" i="1"/>
  <c r="F500" i="1"/>
  <c r="D500" i="1"/>
  <c r="I499" i="1"/>
  <c r="F499" i="1"/>
  <c r="D499" i="1"/>
  <c r="I498" i="1"/>
  <c r="F498" i="1"/>
  <c r="D498" i="1"/>
  <c r="I497" i="1"/>
  <c r="F497" i="1"/>
  <c r="D497" i="1"/>
  <c r="I496" i="1"/>
  <c r="F496" i="1"/>
  <c r="D496" i="1"/>
  <c r="I495" i="1"/>
  <c r="F495" i="1"/>
  <c r="D495" i="1"/>
  <c r="I494" i="1"/>
  <c r="F494" i="1"/>
  <c r="D494" i="1"/>
  <c r="I493" i="1"/>
  <c r="F493" i="1"/>
  <c r="D493" i="1"/>
  <c r="I492" i="1"/>
  <c r="F492" i="1"/>
  <c r="D492" i="1"/>
  <c r="I491" i="1"/>
  <c r="F491" i="1"/>
  <c r="D491" i="1"/>
  <c r="I490" i="1"/>
  <c r="F490" i="1"/>
  <c r="D490" i="1"/>
  <c r="I489" i="1"/>
  <c r="F489" i="1"/>
  <c r="D489" i="1"/>
  <c r="I488" i="1"/>
  <c r="F488" i="1"/>
  <c r="D488" i="1"/>
  <c r="I487" i="1"/>
  <c r="F487" i="1"/>
  <c r="D487" i="1"/>
  <c r="I486" i="1"/>
  <c r="F486" i="1"/>
  <c r="D486" i="1"/>
  <c r="I485" i="1"/>
  <c r="F485" i="1"/>
  <c r="D485" i="1"/>
  <c r="I484" i="1"/>
  <c r="F484" i="1"/>
  <c r="D484" i="1"/>
  <c r="I483" i="1"/>
  <c r="F483" i="1"/>
  <c r="D483" i="1"/>
  <c r="I482" i="1"/>
  <c r="F482" i="1"/>
  <c r="D482" i="1"/>
  <c r="I481" i="1"/>
  <c r="F481" i="1"/>
  <c r="D481" i="1"/>
  <c r="I480" i="1"/>
  <c r="F480" i="1"/>
  <c r="D480" i="1"/>
  <c r="I479" i="1"/>
  <c r="F479" i="1"/>
  <c r="D479" i="1"/>
  <c r="I478" i="1"/>
  <c r="F478" i="1"/>
  <c r="D478" i="1"/>
  <c r="I477" i="1"/>
  <c r="F477" i="1"/>
  <c r="D477" i="1"/>
  <c r="I476" i="1"/>
  <c r="F476" i="1"/>
  <c r="D476" i="1"/>
  <c r="I475" i="1"/>
  <c r="F475" i="1"/>
  <c r="D475" i="1"/>
  <c r="I474" i="1"/>
  <c r="F474" i="1"/>
  <c r="D474" i="1"/>
  <c r="I473" i="1"/>
  <c r="F473" i="1"/>
  <c r="D473" i="1"/>
  <c r="I472" i="1"/>
  <c r="F472" i="1"/>
  <c r="D472" i="1"/>
  <c r="I471" i="1"/>
  <c r="F471" i="1"/>
  <c r="D471" i="1"/>
  <c r="I470" i="1"/>
  <c r="F470" i="1"/>
  <c r="D470" i="1"/>
  <c r="I469" i="1"/>
  <c r="F469" i="1"/>
  <c r="D469" i="1"/>
  <c r="I468" i="1"/>
  <c r="F468" i="1"/>
  <c r="D468" i="1"/>
  <c r="I467" i="1"/>
  <c r="F467" i="1"/>
  <c r="D467" i="1"/>
  <c r="I466" i="1"/>
  <c r="F466" i="1"/>
  <c r="D466" i="1"/>
  <c r="I465" i="1"/>
  <c r="F465" i="1"/>
  <c r="D465" i="1"/>
  <c r="I464" i="1"/>
  <c r="F464" i="1"/>
  <c r="D464" i="1"/>
  <c r="I463" i="1"/>
  <c r="F463" i="1"/>
  <c r="D463" i="1"/>
  <c r="I462" i="1"/>
  <c r="F462" i="1"/>
  <c r="D462" i="1"/>
  <c r="I461" i="1"/>
  <c r="F461" i="1"/>
  <c r="D461" i="1"/>
  <c r="I460" i="1"/>
  <c r="F460" i="1"/>
  <c r="D460" i="1"/>
  <c r="I459" i="1"/>
  <c r="F459" i="1"/>
  <c r="D459" i="1"/>
  <c r="I458" i="1"/>
  <c r="F458" i="1"/>
  <c r="D458" i="1"/>
  <c r="I457" i="1"/>
  <c r="F457" i="1"/>
  <c r="D457" i="1"/>
  <c r="I456" i="1"/>
  <c r="F456" i="1"/>
  <c r="D456" i="1"/>
  <c r="I455" i="1"/>
  <c r="F455" i="1"/>
  <c r="D455" i="1"/>
  <c r="I454" i="1"/>
  <c r="F454" i="1"/>
  <c r="D454" i="1"/>
  <c r="I453" i="1"/>
  <c r="F453" i="1"/>
  <c r="D453" i="1"/>
  <c r="I452" i="1"/>
  <c r="F452" i="1"/>
  <c r="D452" i="1"/>
  <c r="I451" i="1"/>
  <c r="F451" i="1"/>
  <c r="D451" i="1"/>
  <c r="I450" i="1"/>
  <c r="F450" i="1"/>
  <c r="D450" i="1"/>
  <c r="I449" i="1"/>
  <c r="F449" i="1"/>
  <c r="D449" i="1"/>
  <c r="I448" i="1"/>
  <c r="F448" i="1"/>
  <c r="D448" i="1"/>
  <c r="I447" i="1"/>
  <c r="F447" i="1"/>
  <c r="D447" i="1"/>
  <c r="I446" i="1"/>
  <c r="F446" i="1"/>
  <c r="D446" i="1"/>
  <c r="I445" i="1"/>
  <c r="F445" i="1"/>
  <c r="D445" i="1"/>
  <c r="I444" i="1"/>
  <c r="F444" i="1"/>
  <c r="D444" i="1"/>
  <c r="I443" i="1"/>
  <c r="F443" i="1"/>
  <c r="D443" i="1"/>
  <c r="I442" i="1"/>
  <c r="F442" i="1"/>
  <c r="D442" i="1"/>
  <c r="I441" i="1"/>
  <c r="F441" i="1"/>
  <c r="D441" i="1"/>
  <c r="I440" i="1"/>
  <c r="F440" i="1"/>
  <c r="D440" i="1"/>
  <c r="I439" i="1"/>
  <c r="F439" i="1"/>
  <c r="D439" i="1"/>
  <c r="I438" i="1"/>
  <c r="F438" i="1"/>
  <c r="D438" i="1"/>
  <c r="W437" i="1"/>
  <c r="I437" i="1"/>
  <c r="H437" i="1"/>
  <c r="F437" i="1"/>
  <c r="D437" i="1"/>
  <c r="W436" i="1"/>
  <c r="I436" i="1"/>
  <c r="H436" i="1"/>
  <c r="F436" i="1"/>
  <c r="D436" i="1"/>
  <c r="W435" i="1"/>
  <c r="I435" i="1"/>
  <c r="H435" i="1"/>
  <c r="F435" i="1"/>
  <c r="D435" i="1"/>
  <c r="W434" i="1"/>
  <c r="I434" i="1"/>
  <c r="H434" i="1"/>
  <c r="F434" i="1"/>
  <c r="D434" i="1"/>
  <c r="W433" i="1"/>
  <c r="I433" i="1"/>
  <c r="H433" i="1"/>
  <c r="F433" i="1"/>
  <c r="D433" i="1"/>
  <c r="W432" i="1"/>
  <c r="I432" i="1"/>
  <c r="H432" i="1"/>
  <c r="F432" i="1"/>
  <c r="D432" i="1"/>
  <c r="W431" i="1"/>
  <c r="I431" i="1"/>
  <c r="H431" i="1"/>
  <c r="F431" i="1"/>
  <c r="D431" i="1"/>
  <c r="I430" i="1"/>
  <c r="F430" i="1"/>
  <c r="D430" i="1"/>
  <c r="I429" i="1"/>
  <c r="F429" i="1"/>
  <c r="D429" i="1"/>
  <c r="I428" i="1"/>
  <c r="F428" i="1"/>
  <c r="D428" i="1"/>
  <c r="I427" i="1"/>
  <c r="F427" i="1"/>
  <c r="D427" i="1"/>
  <c r="I426" i="1"/>
  <c r="F426" i="1"/>
  <c r="D426" i="1"/>
  <c r="I425" i="1"/>
  <c r="F425" i="1"/>
  <c r="D425" i="1"/>
  <c r="I424" i="1"/>
  <c r="F424" i="1"/>
  <c r="D424" i="1"/>
  <c r="I423" i="1"/>
  <c r="F423" i="1"/>
  <c r="D423" i="1"/>
  <c r="I422" i="1"/>
  <c r="F422" i="1"/>
  <c r="D422" i="1"/>
  <c r="I421" i="1"/>
  <c r="F421" i="1"/>
  <c r="D421" i="1"/>
  <c r="I420" i="1"/>
  <c r="F420" i="1"/>
  <c r="D420" i="1"/>
  <c r="I419" i="1"/>
  <c r="F419" i="1"/>
  <c r="D419" i="1"/>
  <c r="I418" i="1"/>
  <c r="F418" i="1"/>
  <c r="D418" i="1"/>
  <c r="I417" i="1"/>
  <c r="F417" i="1"/>
  <c r="D417" i="1"/>
  <c r="I416" i="1"/>
  <c r="F416" i="1"/>
  <c r="D416" i="1"/>
  <c r="I415" i="1"/>
  <c r="F415" i="1"/>
  <c r="D415" i="1"/>
  <c r="I414" i="1"/>
  <c r="F414" i="1"/>
  <c r="D414" i="1"/>
  <c r="I413" i="1"/>
  <c r="F413" i="1"/>
  <c r="D413" i="1"/>
  <c r="I412" i="1"/>
  <c r="F412" i="1"/>
  <c r="D412" i="1"/>
  <c r="I411" i="1"/>
  <c r="F411" i="1"/>
  <c r="D411" i="1"/>
  <c r="I410" i="1"/>
  <c r="F410" i="1"/>
  <c r="D410" i="1"/>
  <c r="I409" i="1"/>
  <c r="F409" i="1"/>
  <c r="D409" i="1"/>
  <c r="I408" i="1"/>
  <c r="F408" i="1"/>
  <c r="D408" i="1"/>
  <c r="I407" i="1"/>
  <c r="F407" i="1"/>
  <c r="D407" i="1"/>
  <c r="I406" i="1"/>
  <c r="F406" i="1"/>
  <c r="D406" i="1"/>
  <c r="I405" i="1"/>
  <c r="F405" i="1"/>
  <c r="D405" i="1"/>
  <c r="I404" i="1"/>
  <c r="F404" i="1"/>
  <c r="D404" i="1"/>
  <c r="I403" i="1"/>
  <c r="F403" i="1"/>
  <c r="D403" i="1"/>
  <c r="I402" i="1"/>
  <c r="F402" i="1"/>
  <c r="D402" i="1"/>
  <c r="I401" i="1"/>
  <c r="F401" i="1"/>
  <c r="D401" i="1"/>
  <c r="I400" i="1"/>
  <c r="F400" i="1"/>
  <c r="D400" i="1"/>
  <c r="I399" i="1"/>
  <c r="F399" i="1"/>
  <c r="D399" i="1"/>
  <c r="I398" i="1"/>
  <c r="F398" i="1"/>
  <c r="D398" i="1"/>
  <c r="I397" i="1"/>
  <c r="F397" i="1"/>
  <c r="D397" i="1"/>
  <c r="I396" i="1"/>
  <c r="F396" i="1"/>
  <c r="D396" i="1"/>
  <c r="I395" i="1"/>
  <c r="F395" i="1"/>
  <c r="D395" i="1"/>
  <c r="I394" i="1"/>
  <c r="F394" i="1"/>
  <c r="D394" i="1"/>
  <c r="I393" i="1"/>
  <c r="F393" i="1"/>
  <c r="D393" i="1"/>
  <c r="I392" i="1"/>
  <c r="F392" i="1"/>
  <c r="D392" i="1"/>
  <c r="I391" i="1"/>
  <c r="F391" i="1"/>
  <c r="D391" i="1"/>
  <c r="I390" i="1"/>
  <c r="F390" i="1"/>
  <c r="D390" i="1"/>
  <c r="I389" i="1"/>
  <c r="F389" i="1"/>
  <c r="D389" i="1"/>
  <c r="I388" i="1"/>
  <c r="F388" i="1"/>
  <c r="D388" i="1"/>
  <c r="I387" i="1"/>
  <c r="F387" i="1"/>
  <c r="D387" i="1"/>
  <c r="I386" i="1"/>
  <c r="F386" i="1"/>
  <c r="D386" i="1"/>
  <c r="I385" i="1"/>
  <c r="F385" i="1"/>
  <c r="D385" i="1"/>
  <c r="I384" i="1"/>
  <c r="F384" i="1"/>
  <c r="D384" i="1"/>
  <c r="I383" i="1"/>
  <c r="F383" i="1"/>
  <c r="D383" i="1"/>
  <c r="I382" i="1"/>
  <c r="F382" i="1"/>
  <c r="D382" i="1"/>
  <c r="I381" i="1"/>
  <c r="F381" i="1"/>
  <c r="D381" i="1"/>
  <c r="I380" i="1"/>
  <c r="F380" i="1"/>
  <c r="D380" i="1"/>
  <c r="I379" i="1"/>
  <c r="F379" i="1"/>
  <c r="D379" i="1"/>
  <c r="I378" i="1"/>
  <c r="F378" i="1"/>
  <c r="D378" i="1"/>
  <c r="I377" i="1"/>
  <c r="F377" i="1"/>
  <c r="D377" i="1"/>
  <c r="I376" i="1"/>
  <c r="F376" i="1"/>
  <c r="D376" i="1"/>
  <c r="I375" i="1"/>
  <c r="F375" i="1"/>
  <c r="D375" i="1"/>
  <c r="I374" i="1"/>
  <c r="F374" i="1"/>
  <c r="D374" i="1"/>
  <c r="I373" i="1"/>
  <c r="F373" i="1"/>
  <c r="D373" i="1"/>
  <c r="I372" i="1"/>
  <c r="F372" i="1"/>
  <c r="D372" i="1"/>
  <c r="I371" i="1"/>
  <c r="F371" i="1"/>
  <c r="D371" i="1"/>
  <c r="I370" i="1"/>
  <c r="F370" i="1"/>
  <c r="D370" i="1"/>
  <c r="I369" i="1"/>
  <c r="F369" i="1"/>
  <c r="D369" i="1"/>
  <c r="I368" i="1"/>
  <c r="F368" i="1"/>
  <c r="D368" i="1"/>
  <c r="I367" i="1"/>
  <c r="F367" i="1"/>
  <c r="D367" i="1"/>
  <c r="I366" i="1"/>
  <c r="F366" i="1"/>
  <c r="D366" i="1"/>
  <c r="I365" i="1"/>
  <c r="F365" i="1"/>
  <c r="D365" i="1"/>
  <c r="I364" i="1"/>
  <c r="F364" i="1"/>
  <c r="D364" i="1"/>
  <c r="I363" i="1"/>
  <c r="F363" i="1"/>
  <c r="D363" i="1"/>
  <c r="I362" i="1"/>
  <c r="F362" i="1"/>
  <c r="D362" i="1"/>
  <c r="I361" i="1"/>
  <c r="F361" i="1"/>
  <c r="D361" i="1"/>
  <c r="I360" i="1"/>
  <c r="F360" i="1"/>
  <c r="D360" i="1"/>
  <c r="I359" i="1"/>
  <c r="F359" i="1"/>
  <c r="D359" i="1"/>
  <c r="I358" i="1"/>
  <c r="F358" i="1"/>
  <c r="D358" i="1"/>
  <c r="I357" i="1"/>
  <c r="F357" i="1"/>
  <c r="D357" i="1"/>
  <c r="I356" i="1"/>
  <c r="F356" i="1"/>
  <c r="D356" i="1"/>
  <c r="I355" i="1"/>
  <c r="F355" i="1"/>
  <c r="D355" i="1"/>
  <c r="I354" i="1"/>
  <c r="F354" i="1"/>
  <c r="D354" i="1"/>
  <c r="I353" i="1"/>
  <c r="F353" i="1"/>
  <c r="D353" i="1"/>
  <c r="I352" i="1"/>
  <c r="F352" i="1"/>
  <c r="D352" i="1"/>
  <c r="I351" i="1"/>
  <c r="F351" i="1"/>
  <c r="D351" i="1"/>
  <c r="I350" i="1"/>
  <c r="F350" i="1"/>
  <c r="D350" i="1"/>
  <c r="I349" i="1"/>
  <c r="F349" i="1"/>
  <c r="D349" i="1"/>
  <c r="I348" i="1"/>
  <c r="F348" i="1"/>
  <c r="D348" i="1"/>
  <c r="I347" i="1"/>
  <c r="F347" i="1"/>
  <c r="D347" i="1"/>
  <c r="I346" i="1"/>
  <c r="F346" i="1"/>
  <c r="D346" i="1"/>
  <c r="I345" i="1"/>
  <c r="F345" i="1"/>
  <c r="D345" i="1"/>
  <c r="I344" i="1"/>
  <c r="F344" i="1"/>
  <c r="D344" i="1"/>
  <c r="I343" i="1"/>
  <c r="F343" i="1"/>
  <c r="D343" i="1"/>
  <c r="I342" i="1"/>
  <c r="F342" i="1"/>
  <c r="D342" i="1"/>
  <c r="I341" i="1"/>
  <c r="F341" i="1"/>
  <c r="D341" i="1"/>
  <c r="I340" i="1"/>
  <c r="F340" i="1"/>
  <c r="D340" i="1"/>
  <c r="I339" i="1"/>
  <c r="F339" i="1"/>
  <c r="D339" i="1"/>
  <c r="I338" i="1"/>
  <c r="F338" i="1"/>
  <c r="D338" i="1"/>
  <c r="I337" i="1"/>
  <c r="F337" i="1"/>
  <c r="D337" i="1"/>
  <c r="I336" i="1"/>
  <c r="F336" i="1"/>
  <c r="D336" i="1"/>
  <c r="I335" i="1"/>
  <c r="F335" i="1"/>
  <c r="D335" i="1"/>
  <c r="I334" i="1"/>
  <c r="F334" i="1"/>
  <c r="D334" i="1"/>
  <c r="I333" i="1"/>
  <c r="F333" i="1"/>
  <c r="D333" i="1"/>
  <c r="I332" i="1"/>
  <c r="F332" i="1"/>
  <c r="D332" i="1"/>
  <c r="I331" i="1"/>
  <c r="F331" i="1"/>
  <c r="D331" i="1"/>
  <c r="I330" i="1"/>
  <c r="F330" i="1"/>
  <c r="D330" i="1"/>
  <c r="I329" i="1"/>
  <c r="F329" i="1"/>
  <c r="D329" i="1"/>
  <c r="I328" i="1"/>
  <c r="F328" i="1"/>
  <c r="D328" i="1"/>
  <c r="I327" i="1"/>
  <c r="F327" i="1"/>
  <c r="D327" i="1"/>
  <c r="I326" i="1"/>
  <c r="F326" i="1"/>
  <c r="D326" i="1"/>
  <c r="I325" i="1"/>
  <c r="F325" i="1"/>
  <c r="D325" i="1"/>
  <c r="I324" i="1"/>
  <c r="F324" i="1"/>
  <c r="D324" i="1"/>
  <c r="I323" i="1"/>
  <c r="F323" i="1"/>
  <c r="D323" i="1"/>
  <c r="I322" i="1"/>
  <c r="F322" i="1"/>
  <c r="D322" i="1"/>
  <c r="I321" i="1"/>
  <c r="F321" i="1"/>
  <c r="D321" i="1"/>
  <c r="I320" i="1"/>
  <c r="F320" i="1"/>
  <c r="D320" i="1"/>
  <c r="I319" i="1"/>
  <c r="F319" i="1"/>
  <c r="D319" i="1"/>
  <c r="I318" i="1"/>
  <c r="F318" i="1"/>
  <c r="D318" i="1"/>
  <c r="I317" i="1"/>
  <c r="F317" i="1"/>
  <c r="D317" i="1"/>
  <c r="I316" i="1"/>
  <c r="F316" i="1"/>
  <c r="D316" i="1"/>
  <c r="I315" i="1"/>
  <c r="F315" i="1"/>
  <c r="D315" i="1"/>
  <c r="I314" i="1"/>
  <c r="F314" i="1"/>
  <c r="D314" i="1"/>
  <c r="I313" i="1"/>
  <c r="F313" i="1"/>
  <c r="D313" i="1"/>
  <c r="I312" i="1"/>
  <c r="F312" i="1"/>
  <c r="D312" i="1"/>
  <c r="I311" i="1"/>
  <c r="F311" i="1"/>
  <c r="D311" i="1"/>
  <c r="I310" i="1"/>
  <c r="F310" i="1"/>
  <c r="D310" i="1"/>
  <c r="I309" i="1"/>
  <c r="F309" i="1"/>
  <c r="D309" i="1"/>
  <c r="I308" i="1"/>
  <c r="F308" i="1"/>
  <c r="D308" i="1"/>
  <c r="I307" i="1"/>
  <c r="F307" i="1"/>
  <c r="D307" i="1"/>
  <c r="I306" i="1"/>
  <c r="F306" i="1"/>
  <c r="D306" i="1"/>
  <c r="I305" i="1"/>
  <c r="F305" i="1"/>
  <c r="D305" i="1"/>
  <c r="I304" i="1"/>
  <c r="F304" i="1"/>
  <c r="D304" i="1"/>
  <c r="I303" i="1"/>
  <c r="F303" i="1"/>
  <c r="D303" i="1"/>
  <c r="I302" i="1"/>
  <c r="F302" i="1"/>
  <c r="D302" i="1"/>
  <c r="I301" i="1"/>
  <c r="F301" i="1"/>
  <c r="D301" i="1"/>
  <c r="I300" i="1"/>
  <c r="F300" i="1"/>
  <c r="D300" i="1"/>
  <c r="I299" i="1"/>
  <c r="F299" i="1"/>
  <c r="D299" i="1"/>
  <c r="I298" i="1"/>
  <c r="F298" i="1"/>
  <c r="D298" i="1"/>
  <c r="I297" i="1"/>
  <c r="F297" i="1"/>
  <c r="D297" i="1"/>
  <c r="I296" i="1"/>
  <c r="F296" i="1"/>
  <c r="D296" i="1"/>
  <c r="I295" i="1"/>
  <c r="F295" i="1"/>
  <c r="D295" i="1"/>
  <c r="I294" i="1"/>
  <c r="F294" i="1"/>
  <c r="D294" i="1"/>
  <c r="I293" i="1"/>
  <c r="F293" i="1"/>
  <c r="D293" i="1"/>
  <c r="I292" i="1"/>
  <c r="F292" i="1"/>
  <c r="D292" i="1"/>
  <c r="I291" i="1"/>
  <c r="F291" i="1"/>
  <c r="D291" i="1"/>
  <c r="I290" i="1"/>
  <c r="F290" i="1"/>
  <c r="D290" i="1"/>
  <c r="I289" i="1"/>
  <c r="F289" i="1"/>
  <c r="D289" i="1"/>
  <c r="I288" i="1"/>
  <c r="F288" i="1"/>
  <c r="D288" i="1"/>
  <c r="I287" i="1"/>
  <c r="F287" i="1"/>
  <c r="D287" i="1"/>
  <c r="I286" i="1"/>
  <c r="F286" i="1"/>
  <c r="D286" i="1"/>
  <c r="I285" i="1"/>
  <c r="F285" i="1"/>
  <c r="D285" i="1"/>
  <c r="I284" i="1"/>
  <c r="F284" i="1"/>
  <c r="D284" i="1"/>
  <c r="I283" i="1"/>
  <c r="F283" i="1"/>
  <c r="D283" i="1"/>
  <c r="I282" i="1"/>
  <c r="F282" i="1"/>
  <c r="D282" i="1"/>
  <c r="I281" i="1"/>
  <c r="F281" i="1"/>
  <c r="D281" i="1"/>
  <c r="I280" i="1"/>
  <c r="F280" i="1"/>
  <c r="D280" i="1"/>
  <c r="I279" i="1"/>
  <c r="F279" i="1"/>
  <c r="D279" i="1"/>
  <c r="I278" i="1"/>
  <c r="F278" i="1"/>
  <c r="D278" i="1"/>
  <c r="I277" i="1"/>
  <c r="F277" i="1"/>
  <c r="D277" i="1"/>
  <c r="I276" i="1"/>
  <c r="F276" i="1"/>
  <c r="D276" i="1"/>
  <c r="I275" i="1"/>
  <c r="F275" i="1"/>
  <c r="D275" i="1"/>
  <c r="I274" i="1"/>
  <c r="F274" i="1"/>
  <c r="D274" i="1"/>
  <c r="I273" i="1"/>
  <c r="F273" i="1"/>
  <c r="D273" i="1"/>
  <c r="I272" i="1"/>
  <c r="F272" i="1"/>
  <c r="D272" i="1"/>
  <c r="I271" i="1"/>
  <c r="F271" i="1"/>
  <c r="D271" i="1"/>
  <c r="I270" i="1"/>
  <c r="F270" i="1"/>
  <c r="D270" i="1"/>
  <c r="I269" i="1"/>
  <c r="F269" i="1"/>
  <c r="D269" i="1"/>
  <c r="I268" i="1"/>
  <c r="F268" i="1"/>
  <c r="D268" i="1"/>
  <c r="I267" i="1"/>
  <c r="F267" i="1"/>
  <c r="D267" i="1"/>
  <c r="I266" i="1"/>
  <c r="F266" i="1"/>
  <c r="D266" i="1"/>
  <c r="I265" i="1"/>
  <c r="F265" i="1"/>
  <c r="D265" i="1"/>
  <c r="I264" i="1"/>
  <c r="F264" i="1"/>
  <c r="D264" i="1"/>
  <c r="I263" i="1"/>
  <c r="F263" i="1"/>
  <c r="D263" i="1"/>
  <c r="I262" i="1"/>
  <c r="F262" i="1"/>
  <c r="D262" i="1"/>
  <c r="I261" i="1"/>
  <c r="F261" i="1"/>
  <c r="D261" i="1"/>
  <c r="I260" i="1"/>
  <c r="F260" i="1"/>
  <c r="D260" i="1"/>
  <c r="I259" i="1"/>
  <c r="F259" i="1"/>
  <c r="D259" i="1"/>
  <c r="I258" i="1"/>
  <c r="F258" i="1"/>
  <c r="D258" i="1"/>
  <c r="I257" i="1"/>
  <c r="F257" i="1"/>
  <c r="D257" i="1"/>
  <c r="I256" i="1"/>
  <c r="F256" i="1"/>
  <c r="D256" i="1"/>
  <c r="I255" i="1"/>
  <c r="F255" i="1"/>
  <c r="D255" i="1"/>
  <c r="I254" i="1"/>
  <c r="F254" i="1"/>
  <c r="D254" i="1"/>
  <c r="I253" i="1"/>
  <c r="F253" i="1"/>
  <c r="D253" i="1"/>
  <c r="I252" i="1"/>
  <c r="F252" i="1"/>
  <c r="D252" i="1"/>
  <c r="I251" i="1"/>
  <c r="F251" i="1"/>
  <c r="D251" i="1"/>
  <c r="I250" i="1"/>
  <c r="F250" i="1"/>
  <c r="D250" i="1"/>
  <c r="I249" i="1"/>
  <c r="F249" i="1"/>
  <c r="D249" i="1"/>
  <c r="I248" i="1"/>
  <c r="F248" i="1"/>
  <c r="D248" i="1"/>
  <c r="I247" i="1"/>
  <c r="F247" i="1"/>
  <c r="D247" i="1"/>
  <c r="I246" i="1"/>
  <c r="F246" i="1"/>
  <c r="D246" i="1"/>
  <c r="I245" i="1"/>
  <c r="F245" i="1"/>
  <c r="D245" i="1"/>
  <c r="I244" i="1"/>
  <c r="F244" i="1"/>
  <c r="D244" i="1"/>
  <c r="I243" i="1"/>
  <c r="F243" i="1"/>
  <c r="D243" i="1"/>
  <c r="I242" i="1"/>
  <c r="F242" i="1"/>
  <c r="D242" i="1"/>
  <c r="I241" i="1"/>
  <c r="F241" i="1"/>
  <c r="D241" i="1"/>
  <c r="I240" i="1"/>
  <c r="F240" i="1"/>
  <c r="D240" i="1"/>
  <c r="I239" i="1"/>
  <c r="F239" i="1"/>
  <c r="D239" i="1"/>
  <c r="I238" i="1"/>
  <c r="F238" i="1"/>
  <c r="D238" i="1"/>
  <c r="I237" i="1"/>
  <c r="F237" i="1"/>
  <c r="D237" i="1"/>
  <c r="I236" i="1"/>
  <c r="F236" i="1"/>
  <c r="D236" i="1"/>
  <c r="I235" i="1"/>
  <c r="F235" i="1"/>
  <c r="D235" i="1"/>
  <c r="I234" i="1"/>
  <c r="F234" i="1"/>
  <c r="D234" i="1"/>
  <c r="I233" i="1"/>
  <c r="F233" i="1"/>
  <c r="D233" i="1"/>
  <c r="I232" i="1"/>
  <c r="F232" i="1"/>
  <c r="D232" i="1"/>
  <c r="I231" i="1"/>
  <c r="F231" i="1"/>
  <c r="D231" i="1"/>
  <c r="I230" i="1"/>
  <c r="F230" i="1"/>
  <c r="D230" i="1"/>
  <c r="I229" i="1"/>
  <c r="F229" i="1"/>
  <c r="D229" i="1"/>
  <c r="I228" i="1"/>
  <c r="F228" i="1"/>
  <c r="D228" i="1"/>
  <c r="I227" i="1"/>
  <c r="F227" i="1"/>
  <c r="D227" i="1"/>
  <c r="I226" i="1"/>
  <c r="F226" i="1"/>
  <c r="D226" i="1"/>
  <c r="I225" i="1"/>
  <c r="F225" i="1"/>
  <c r="D225" i="1"/>
  <c r="I224" i="1"/>
  <c r="F224" i="1"/>
  <c r="D224" i="1"/>
  <c r="I223" i="1"/>
  <c r="F223" i="1"/>
  <c r="D223" i="1"/>
  <c r="I222" i="1"/>
  <c r="F222" i="1"/>
  <c r="D222" i="1"/>
  <c r="I221" i="1"/>
  <c r="F221" i="1"/>
  <c r="D221" i="1"/>
  <c r="I220" i="1"/>
  <c r="F220" i="1"/>
  <c r="D220" i="1"/>
  <c r="I219" i="1"/>
  <c r="F219" i="1"/>
  <c r="D219" i="1"/>
  <c r="I218" i="1"/>
  <c r="F218" i="1"/>
  <c r="D218" i="1"/>
  <c r="I217" i="1"/>
  <c r="F217" i="1"/>
  <c r="D217" i="1"/>
  <c r="I216" i="1"/>
  <c r="F216" i="1"/>
  <c r="D216" i="1"/>
  <c r="I215" i="1"/>
  <c r="F215" i="1"/>
  <c r="D215" i="1"/>
  <c r="I214" i="1"/>
  <c r="F214" i="1"/>
  <c r="D214" i="1"/>
  <c r="I213" i="1"/>
  <c r="F213" i="1"/>
  <c r="D213" i="1"/>
  <c r="I212" i="1"/>
  <c r="F212" i="1"/>
  <c r="D212" i="1"/>
  <c r="W211" i="1"/>
  <c r="I211" i="1"/>
  <c r="H211" i="1"/>
  <c r="F211" i="1"/>
  <c r="D211" i="1"/>
  <c r="W210" i="1"/>
  <c r="I210" i="1"/>
  <c r="H210" i="1"/>
  <c r="F210" i="1"/>
  <c r="D210" i="1"/>
  <c r="W209" i="1"/>
  <c r="I209" i="1"/>
  <c r="H209" i="1"/>
  <c r="F209" i="1"/>
  <c r="D209" i="1"/>
  <c r="W208" i="1"/>
  <c r="I208" i="1"/>
  <c r="H208" i="1"/>
  <c r="F208" i="1"/>
  <c r="D208" i="1"/>
  <c r="W207" i="1"/>
  <c r="I207" i="1"/>
  <c r="H207" i="1"/>
  <c r="F207" i="1"/>
  <c r="D207" i="1"/>
  <c r="W206" i="1"/>
  <c r="I206" i="1"/>
  <c r="H206" i="1"/>
  <c r="F206" i="1"/>
  <c r="D206" i="1"/>
  <c r="W205" i="1"/>
  <c r="I205" i="1"/>
  <c r="H205" i="1"/>
  <c r="F205" i="1"/>
  <c r="D205" i="1"/>
  <c r="W204" i="1"/>
  <c r="I204" i="1"/>
  <c r="H204" i="1"/>
  <c r="F204" i="1"/>
  <c r="D204" i="1"/>
  <c r="W203" i="1"/>
  <c r="I203" i="1"/>
  <c r="H203" i="1"/>
  <c r="F203" i="1"/>
  <c r="D203" i="1"/>
  <c r="W202" i="1"/>
  <c r="I202" i="1"/>
  <c r="H202" i="1"/>
  <c r="F202" i="1"/>
  <c r="D202" i="1"/>
  <c r="W201" i="1"/>
  <c r="I201" i="1"/>
  <c r="H201" i="1"/>
  <c r="F201" i="1"/>
  <c r="D201" i="1"/>
  <c r="W200" i="1"/>
  <c r="I200" i="1"/>
  <c r="H200" i="1"/>
  <c r="F200" i="1"/>
  <c r="D200" i="1"/>
  <c r="W199" i="1"/>
  <c r="I199" i="1"/>
  <c r="H199" i="1"/>
  <c r="F199" i="1"/>
  <c r="D199" i="1"/>
  <c r="W198" i="1"/>
  <c r="I198" i="1"/>
  <c r="H198" i="1"/>
  <c r="F198" i="1"/>
  <c r="D198" i="1"/>
  <c r="W197" i="1"/>
  <c r="I197" i="1"/>
  <c r="H197" i="1"/>
  <c r="F197" i="1"/>
  <c r="D197" i="1"/>
  <c r="W196" i="1"/>
  <c r="I196" i="1"/>
  <c r="H196" i="1"/>
  <c r="F196" i="1"/>
  <c r="D196" i="1"/>
  <c r="W195" i="1"/>
  <c r="I195" i="1"/>
  <c r="H195" i="1"/>
  <c r="F195" i="1"/>
  <c r="D195" i="1"/>
  <c r="W194" i="1"/>
  <c r="I194" i="1"/>
  <c r="H194" i="1"/>
  <c r="F194" i="1"/>
  <c r="D194" i="1"/>
  <c r="I193" i="1"/>
  <c r="F193" i="1"/>
  <c r="D193" i="1"/>
  <c r="I192" i="1"/>
  <c r="F192" i="1"/>
  <c r="D192" i="1"/>
  <c r="I191" i="1"/>
  <c r="F191" i="1"/>
  <c r="D191" i="1"/>
  <c r="I190" i="1"/>
  <c r="F190" i="1"/>
  <c r="D190" i="1"/>
  <c r="I189" i="1"/>
  <c r="F189" i="1"/>
  <c r="D189" i="1"/>
  <c r="I188" i="1"/>
  <c r="F188" i="1"/>
  <c r="D188" i="1"/>
  <c r="I187" i="1"/>
  <c r="F187" i="1"/>
  <c r="D187" i="1"/>
  <c r="I186" i="1"/>
  <c r="F186" i="1"/>
  <c r="D186" i="1"/>
  <c r="I185" i="1"/>
  <c r="F185" i="1"/>
  <c r="D185" i="1"/>
  <c r="I184" i="1"/>
  <c r="F184" i="1"/>
  <c r="D184" i="1"/>
  <c r="I183" i="1"/>
  <c r="F183" i="1"/>
  <c r="D183" i="1"/>
  <c r="I182" i="1"/>
  <c r="F182" i="1"/>
  <c r="D182" i="1"/>
  <c r="I181" i="1"/>
  <c r="F181" i="1"/>
  <c r="D181" i="1"/>
  <c r="I180" i="1"/>
  <c r="F180" i="1"/>
  <c r="D180" i="1"/>
  <c r="I179" i="1"/>
  <c r="F179" i="1"/>
  <c r="D179" i="1"/>
  <c r="I178" i="1"/>
  <c r="F178" i="1"/>
  <c r="D178" i="1"/>
  <c r="I177" i="1"/>
  <c r="F177" i="1"/>
  <c r="D177" i="1"/>
  <c r="I176" i="1"/>
  <c r="F176" i="1"/>
  <c r="D176" i="1"/>
  <c r="I175" i="1"/>
  <c r="F175" i="1"/>
  <c r="D175" i="1"/>
  <c r="I174" i="1"/>
  <c r="F174" i="1"/>
  <c r="D174" i="1"/>
  <c r="I173" i="1"/>
  <c r="F173" i="1"/>
  <c r="D173" i="1"/>
  <c r="I172" i="1"/>
  <c r="F172" i="1"/>
  <c r="D172" i="1"/>
  <c r="I171" i="1"/>
  <c r="F171" i="1"/>
  <c r="D171" i="1"/>
  <c r="I170" i="1"/>
  <c r="F170" i="1"/>
  <c r="D170" i="1"/>
  <c r="I169" i="1"/>
  <c r="F169" i="1"/>
  <c r="D169" i="1"/>
  <c r="I168" i="1"/>
  <c r="F168" i="1"/>
  <c r="D168" i="1"/>
  <c r="I167" i="1"/>
  <c r="F167" i="1"/>
  <c r="D167" i="1"/>
  <c r="I166" i="1"/>
  <c r="F166" i="1"/>
  <c r="D166" i="1"/>
  <c r="I165" i="1"/>
  <c r="F165" i="1"/>
  <c r="D165" i="1"/>
  <c r="I164" i="1"/>
  <c r="F164" i="1"/>
  <c r="D164" i="1"/>
  <c r="I163" i="1"/>
  <c r="F163" i="1"/>
  <c r="D163" i="1"/>
  <c r="I162" i="1"/>
  <c r="F162" i="1"/>
  <c r="D162" i="1"/>
  <c r="W161" i="1"/>
  <c r="I161" i="1"/>
  <c r="H161" i="1"/>
  <c r="F161" i="1"/>
  <c r="D161" i="1"/>
  <c r="I160" i="1"/>
  <c r="F160" i="1"/>
  <c r="D160" i="1"/>
  <c r="I159" i="1"/>
  <c r="F159" i="1"/>
  <c r="D159" i="1"/>
  <c r="I158" i="1"/>
  <c r="F158" i="1"/>
  <c r="D158" i="1"/>
  <c r="I157" i="1"/>
  <c r="F157" i="1"/>
  <c r="D157" i="1"/>
  <c r="I156" i="1"/>
  <c r="F156" i="1"/>
  <c r="D156" i="1"/>
  <c r="I155" i="1"/>
  <c r="F155" i="1"/>
  <c r="D155" i="1"/>
  <c r="I154" i="1"/>
  <c r="F154" i="1"/>
  <c r="D154" i="1"/>
  <c r="I153" i="1"/>
  <c r="F153" i="1"/>
  <c r="D153" i="1"/>
  <c r="I152" i="1"/>
  <c r="F152" i="1"/>
  <c r="D152" i="1"/>
  <c r="I151" i="1"/>
  <c r="F151" i="1"/>
  <c r="D151" i="1"/>
  <c r="I150" i="1"/>
  <c r="F150" i="1"/>
  <c r="D150" i="1"/>
  <c r="I149" i="1"/>
  <c r="F149" i="1"/>
  <c r="D149" i="1"/>
  <c r="I148" i="1"/>
  <c r="F148" i="1"/>
  <c r="D148" i="1"/>
  <c r="I147" i="1"/>
  <c r="F147" i="1"/>
  <c r="D147" i="1"/>
  <c r="I146" i="1"/>
  <c r="F146" i="1"/>
  <c r="D146" i="1"/>
  <c r="I145" i="1"/>
  <c r="F145" i="1"/>
  <c r="D145" i="1"/>
  <c r="I144" i="1"/>
  <c r="F144" i="1"/>
  <c r="D144" i="1"/>
  <c r="I143" i="1"/>
  <c r="F143" i="1"/>
  <c r="D143" i="1"/>
  <c r="I142" i="1"/>
  <c r="F142" i="1"/>
  <c r="D142" i="1"/>
  <c r="I141" i="1"/>
  <c r="F141" i="1"/>
  <c r="D141" i="1"/>
  <c r="I140" i="1"/>
  <c r="F140" i="1"/>
  <c r="D140" i="1"/>
  <c r="I139" i="1"/>
  <c r="F139" i="1"/>
  <c r="D139" i="1"/>
  <c r="I138" i="1"/>
  <c r="F138" i="1"/>
  <c r="D138" i="1"/>
  <c r="I137" i="1"/>
  <c r="F137" i="1"/>
  <c r="D137" i="1"/>
  <c r="I136" i="1"/>
  <c r="F136" i="1"/>
  <c r="D136" i="1"/>
  <c r="I135" i="1"/>
  <c r="F135" i="1"/>
  <c r="D135" i="1"/>
  <c r="I134" i="1"/>
  <c r="F134" i="1"/>
  <c r="D134" i="1"/>
  <c r="I133" i="1"/>
  <c r="F133" i="1"/>
  <c r="D133" i="1"/>
  <c r="I132" i="1"/>
  <c r="F132" i="1"/>
  <c r="D132" i="1"/>
  <c r="I131" i="1"/>
  <c r="F131" i="1"/>
  <c r="D131" i="1"/>
  <c r="I130" i="1"/>
  <c r="F130" i="1"/>
  <c r="D130" i="1"/>
  <c r="I129" i="1"/>
  <c r="F129" i="1"/>
  <c r="D129" i="1"/>
  <c r="I128" i="1"/>
  <c r="F128" i="1"/>
  <c r="D128" i="1"/>
  <c r="I127" i="1"/>
  <c r="F127" i="1"/>
  <c r="D127" i="1"/>
  <c r="I126" i="1"/>
  <c r="F126" i="1"/>
  <c r="D126" i="1"/>
  <c r="I125" i="1"/>
  <c r="F125" i="1"/>
  <c r="D125" i="1"/>
  <c r="I124" i="1"/>
  <c r="F124" i="1"/>
  <c r="D124" i="1"/>
  <c r="I123" i="1"/>
  <c r="F123" i="1"/>
  <c r="D123" i="1"/>
  <c r="I122" i="1"/>
  <c r="F122" i="1"/>
  <c r="D122" i="1"/>
  <c r="I121" i="1"/>
  <c r="F121" i="1"/>
  <c r="D121" i="1"/>
  <c r="I120" i="1"/>
  <c r="F120" i="1"/>
  <c r="D120" i="1"/>
  <c r="I119" i="1"/>
  <c r="F119" i="1"/>
  <c r="D119" i="1"/>
  <c r="I118" i="1"/>
  <c r="F118" i="1"/>
  <c r="D118" i="1"/>
  <c r="I117" i="1"/>
  <c r="F117" i="1"/>
  <c r="D117" i="1"/>
  <c r="I116" i="1"/>
  <c r="F116" i="1"/>
  <c r="D116" i="1"/>
  <c r="I115" i="1"/>
  <c r="F115" i="1"/>
  <c r="D115" i="1"/>
  <c r="I114" i="1"/>
  <c r="F114" i="1"/>
  <c r="D114" i="1"/>
  <c r="I113" i="1"/>
  <c r="F113" i="1"/>
  <c r="D113" i="1"/>
  <c r="I112" i="1"/>
  <c r="F112" i="1"/>
  <c r="D112" i="1"/>
  <c r="I111" i="1"/>
  <c r="F111" i="1"/>
  <c r="D111" i="1"/>
  <c r="I110" i="1"/>
  <c r="F110" i="1"/>
  <c r="D110" i="1"/>
  <c r="I109" i="1"/>
  <c r="F109" i="1"/>
  <c r="D109" i="1"/>
  <c r="I108" i="1"/>
  <c r="F108" i="1"/>
  <c r="D108" i="1"/>
  <c r="I107" i="1"/>
  <c r="F107" i="1"/>
  <c r="D107" i="1"/>
  <c r="I106" i="1"/>
  <c r="F106" i="1"/>
  <c r="D106" i="1"/>
  <c r="I105" i="1"/>
  <c r="F105" i="1"/>
  <c r="D105" i="1"/>
  <c r="I104" i="1"/>
  <c r="F104" i="1"/>
  <c r="D104" i="1"/>
  <c r="I103" i="1"/>
  <c r="F103" i="1"/>
  <c r="D103" i="1"/>
  <c r="I102" i="1"/>
  <c r="F102" i="1"/>
  <c r="D102" i="1"/>
  <c r="I101" i="1"/>
  <c r="F101" i="1"/>
  <c r="D101" i="1"/>
  <c r="I100" i="1"/>
  <c r="F100" i="1"/>
  <c r="D100" i="1"/>
  <c r="I99" i="1"/>
  <c r="F99" i="1"/>
  <c r="D99" i="1"/>
  <c r="I98" i="1"/>
  <c r="F98" i="1"/>
  <c r="D98" i="1"/>
  <c r="I97" i="1"/>
  <c r="F97" i="1"/>
  <c r="D97" i="1"/>
  <c r="I96" i="1"/>
  <c r="F96" i="1"/>
  <c r="D96" i="1"/>
  <c r="I95" i="1"/>
  <c r="F95" i="1"/>
  <c r="D95" i="1"/>
  <c r="I94" i="1"/>
  <c r="F94" i="1"/>
  <c r="D94" i="1"/>
  <c r="I93" i="1"/>
  <c r="F93" i="1"/>
  <c r="D93" i="1"/>
  <c r="I92" i="1"/>
  <c r="F92" i="1"/>
  <c r="D92" i="1"/>
  <c r="I91" i="1"/>
  <c r="F91" i="1"/>
  <c r="D91" i="1"/>
  <c r="I90" i="1"/>
  <c r="F90" i="1"/>
  <c r="D90" i="1"/>
  <c r="I89" i="1"/>
  <c r="F89" i="1"/>
  <c r="D89" i="1"/>
  <c r="I88" i="1"/>
  <c r="F88" i="1"/>
  <c r="D88" i="1"/>
  <c r="I87" i="1"/>
  <c r="F87" i="1"/>
  <c r="D87" i="1"/>
  <c r="I86" i="1"/>
  <c r="F86" i="1"/>
  <c r="D86" i="1"/>
  <c r="I85" i="1"/>
  <c r="F85" i="1"/>
  <c r="D85" i="1"/>
  <c r="I84" i="1"/>
  <c r="F84" i="1"/>
  <c r="D84" i="1"/>
  <c r="I83" i="1"/>
  <c r="F83" i="1"/>
  <c r="D83" i="1"/>
  <c r="I82" i="1"/>
  <c r="F82" i="1"/>
  <c r="D82" i="1"/>
  <c r="I81" i="1"/>
  <c r="F81" i="1"/>
  <c r="D81" i="1"/>
  <c r="I80" i="1"/>
  <c r="F80" i="1"/>
  <c r="D80" i="1"/>
  <c r="I79" i="1"/>
  <c r="F79" i="1"/>
  <c r="D79" i="1"/>
  <c r="I78" i="1"/>
  <c r="F78" i="1"/>
  <c r="D78" i="1"/>
  <c r="I77" i="1"/>
  <c r="F77" i="1"/>
  <c r="D77" i="1"/>
  <c r="I76" i="1"/>
  <c r="F76" i="1"/>
  <c r="D76" i="1"/>
  <c r="I75" i="1"/>
  <c r="F75" i="1"/>
  <c r="D75" i="1"/>
  <c r="I74" i="1"/>
  <c r="F74" i="1"/>
  <c r="D74" i="1"/>
  <c r="I73" i="1"/>
  <c r="F73" i="1"/>
  <c r="D73" i="1"/>
  <c r="I72" i="1"/>
  <c r="F72" i="1"/>
  <c r="D72" i="1"/>
  <c r="I71" i="1"/>
  <c r="F71" i="1"/>
  <c r="D71" i="1"/>
  <c r="I70" i="1"/>
  <c r="F70" i="1"/>
  <c r="D70" i="1"/>
  <c r="I69" i="1"/>
  <c r="F69" i="1"/>
  <c r="D69" i="1"/>
  <c r="I68" i="1"/>
  <c r="F68" i="1"/>
  <c r="D68" i="1"/>
  <c r="I67" i="1"/>
  <c r="F67" i="1"/>
  <c r="D67" i="1"/>
  <c r="I66" i="1"/>
  <c r="F66" i="1"/>
  <c r="D66" i="1"/>
  <c r="I65" i="1"/>
  <c r="F65" i="1"/>
  <c r="D65" i="1"/>
  <c r="W64" i="1"/>
  <c r="I64" i="1"/>
  <c r="H64" i="1"/>
  <c r="F64" i="1"/>
  <c r="D64" i="1"/>
  <c r="W63" i="1"/>
  <c r="I63" i="1"/>
  <c r="H63" i="1"/>
  <c r="F63" i="1"/>
  <c r="D63" i="1"/>
  <c r="W62" i="1"/>
  <c r="I62" i="1"/>
  <c r="H62" i="1"/>
  <c r="F62" i="1"/>
  <c r="D62" i="1"/>
  <c r="W61" i="1"/>
  <c r="I61" i="1"/>
  <c r="H61" i="1"/>
  <c r="F61" i="1"/>
  <c r="D61" i="1"/>
  <c r="W60" i="1"/>
  <c r="I60" i="1"/>
  <c r="H60" i="1"/>
  <c r="F60" i="1"/>
  <c r="D60" i="1"/>
  <c r="W59" i="1"/>
  <c r="I59" i="1"/>
  <c r="H59" i="1"/>
  <c r="F59" i="1"/>
  <c r="D59" i="1"/>
  <c r="W58" i="1"/>
  <c r="I58" i="1"/>
  <c r="H58" i="1"/>
  <c r="F58" i="1"/>
  <c r="D58" i="1"/>
  <c r="I57" i="1"/>
  <c r="F57" i="1"/>
  <c r="D57" i="1"/>
  <c r="I56" i="1"/>
  <c r="F56" i="1"/>
  <c r="D56" i="1"/>
  <c r="I55" i="1"/>
  <c r="F55" i="1"/>
  <c r="D55" i="1"/>
  <c r="I54" i="1"/>
  <c r="F54" i="1"/>
  <c r="D54" i="1"/>
  <c r="I53" i="1"/>
  <c r="F53" i="1"/>
  <c r="D53" i="1"/>
  <c r="I52" i="1"/>
  <c r="F52" i="1"/>
  <c r="D52" i="1"/>
  <c r="I51" i="1"/>
  <c r="F51" i="1"/>
  <c r="D51" i="1"/>
  <c r="I50" i="1"/>
  <c r="F50" i="1"/>
  <c r="D50" i="1"/>
  <c r="I49" i="1"/>
  <c r="F49" i="1"/>
  <c r="D49" i="1"/>
  <c r="I48" i="1"/>
  <c r="F48" i="1"/>
  <c r="D48" i="1"/>
  <c r="I47" i="1"/>
  <c r="F47" i="1"/>
  <c r="D47" i="1"/>
  <c r="I46" i="1"/>
  <c r="F46" i="1"/>
  <c r="D46" i="1"/>
  <c r="I45" i="1"/>
  <c r="F45" i="1"/>
  <c r="D45" i="1"/>
  <c r="I44" i="1"/>
  <c r="F44" i="1"/>
  <c r="D44" i="1"/>
  <c r="I43" i="1"/>
  <c r="F43" i="1"/>
  <c r="D43" i="1"/>
  <c r="I42" i="1"/>
  <c r="F42" i="1"/>
  <c r="D42" i="1"/>
  <c r="I41" i="1"/>
  <c r="F41" i="1"/>
  <c r="D41" i="1"/>
  <c r="I40" i="1"/>
  <c r="F40" i="1"/>
  <c r="D40" i="1"/>
  <c r="I39" i="1"/>
  <c r="F39" i="1"/>
  <c r="D39" i="1"/>
  <c r="I38" i="1"/>
  <c r="F38" i="1"/>
  <c r="D38" i="1"/>
  <c r="I37" i="1"/>
  <c r="F37" i="1"/>
  <c r="D37" i="1"/>
  <c r="I36" i="1"/>
  <c r="F36" i="1"/>
  <c r="D36" i="1"/>
  <c r="I35" i="1"/>
  <c r="F35" i="1"/>
  <c r="D35" i="1"/>
  <c r="I34" i="1"/>
  <c r="F34" i="1"/>
  <c r="D34" i="1"/>
  <c r="I33" i="1"/>
  <c r="F33" i="1"/>
  <c r="D33" i="1"/>
  <c r="I32" i="1"/>
  <c r="F32" i="1"/>
  <c r="D32" i="1"/>
  <c r="I31" i="1"/>
  <c r="F31" i="1"/>
  <c r="D31" i="1"/>
  <c r="I30" i="1"/>
  <c r="F30" i="1"/>
  <c r="D30" i="1"/>
  <c r="I29" i="1"/>
  <c r="F29" i="1"/>
  <c r="D29" i="1"/>
  <c r="I28" i="1"/>
  <c r="F28" i="1"/>
  <c r="D28" i="1"/>
  <c r="I27" i="1"/>
  <c r="F27" i="1"/>
  <c r="D27" i="1"/>
  <c r="I26" i="1"/>
  <c r="F26" i="1"/>
  <c r="D26" i="1"/>
  <c r="I25" i="1"/>
  <c r="F25" i="1"/>
  <c r="D25" i="1"/>
  <c r="I24" i="1"/>
  <c r="F24" i="1"/>
  <c r="D24" i="1"/>
  <c r="I23" i="1"/>
  <c r="F23" i="1"/>
  <c r="D23" i="1"/>
  <c r="I22" i="1"/>
  <c r="F22" i="1"/>
  <c r="D22" i="1"/>
  <c r="I21" i="1"/>
  <c r="F21" i="1"/>
  <c r="D21" i="1"/>
  <c r="I20" i="1"/>
  <c r="F20" i="1"/>
  <c r="D20" i="1"/>
  <c r="I19" i="1"/>
  <c r="F19" i="1"/>
  <c r="D19" i="1"/>
  <c r="I18" i="1"/>
  <c r="F18" i="1"/>
  <c r="D18" i="1"/>
  <c r="I17" i="1"/>
  <c r="F17" i="1"/>
  <c r="D17" i="1"/>
  <c r="I16" i="1"/>
  <c r="F16" i="1"/>
  <c r="D16" i="1"/>
  <c r="I15" i="1"/>
  <c r="F15" i="1"/>
  <c r="D15" i="1"/>
  <c r="I14" i="1"/>
  <c r="F14" i="1"/>
  <c r="D14" i="1"/>
  <c r="I13" i="1"/>
  <c r="F13" i="1"/>
  <c r="D13" i="1"/>
  <c r="I12" i="1"/>
  <c r="F12" i="1"/>
  <c r="D12" i="1"/>
  <c r="I11" i="1"/>
  <c r="F11" i="1"/>
  <c r="D11" i="1"/>
  <c r="I10" i="1"/>
  <c r="F10" i="1"/>
  <c r="D10" i="1"/>
  <c r="I9" i="1"/>
  <c r="F9" i="1"/>
  <c r="D9" i="1"/>
  <c r="I8" i="1"/>
  <c r="F8" i="1"/>
  <c r="D8" i="1"/>
  <c r="I7" i="1"/>
  <c r="F7" i="1"/>
  <c r="D7" i="1"/>
  <c r="I6" i="1"/>
  <c r="F6" i="1"/>
  <c r="D6" i="1"/>
  <c r="I5" i="1"/>
  <c r="F5" i="1"/>
  <c r="D5" i="1"/>
  <c r="I4" i="1"/>
  <c r="F4" i="1"/>
  <c r="D4" i="1"/>
  <c r="I3" i="1"/>
  <c r="F3" i="1"/>
  <c r="D3" i="1"/>
  <c r="W2" i="1"/>
  <c r="I2" i="1"/>
  <c r="H2" i="1"/>
  <c r="F2" i="1"/>
  <c r="D2" i="1"/>
  <c r="C7" i="7" l="1"/>
  <c r="U4" i="13"/>
  <c r="O9" i="13"/>
  <c r="S11" i="13"/>
  <c r="Q18" i="13"/>
  <c r="U20" i="13"/>
  <c r="O25" i="13"/>
  <c r="S27" i="13"/>
  <c r="Q34" i="13"/>
  <c r="U36" i="13"/>
  <c r="O41" i="13"/>
  <c r="S43" i="13"/>
  <c r="Q50" i="13"/>
  <c r="U52" i="13"/>
  <c r="O57" i="13"/>
  <c r="S59" i="13"/>
  <c r="Q66" i="13"/>
  <c r="U68" i="13"/>
  <c r="O73" i="13"/>
  <c r="S75" i="13"/>
  <c r="Q82" i="13"/>
  <c r="U84" i="13"/>
  <c r="O89" i="13"/>
  <c r="S91" i="13"/>
  <c r="Q98" i="13"/>
  <c r="U100" i="13"/>
  <c r="O105" i="13"/>
  <c r="S107" i="13"/>
  <c r="Q114" i="13"/>
  <c r="U116" i="13"/>
  <c r="O121" i="13"/>
  <c r="S123" i="13"/>
  <c r="Q130" i="13"/>
  <c r="U132" i="13"/>
  <c r="O137" i="13"/>
  <c r="S139" i="13"/>
  <c r="Q146" i="13"/>
  <c r="O151" i="13"/>
  <c r="U153" i="13"/>
  <c r="U158" i="13"/>
  <c r="Q163" i="13"/>
  <c r="S168" i="13"/>
  <c r="O173" i="13"/>
  <c r="O178" i="13"/>
  <c r="U180" i="13"/>
  <c r="O183" i="13"/>
  <c r="U185" i="13"/>
  <c r="U190" i="13"/>
  <c r="O193" i="13"/>
  <c r="S195" i="13"/>
  <c r="S203" i="13"/>
  <c r="O206" i="13"/>
  <c r="Q211" i="13"/>
  <c r="S219" i="13"/>
  <c r="Q225" i="13"/>
  <c r="U233" i="13"/>
  <c r="S236" i="13"/>
  <c r="S242" i="13"/>
  <c r="O255" i="13"/>
  <c r="O262" i="13"/>
  <c r="O287" i="13"/>
  <c r="Q9" i="13"/>
  <c r="U11" i="13"/>
  <c r="O16" i="13"/>
  <c r="S18" i="13"/>
  <c r="Q25" i="13"/>
  <c r="U27" i="13"/>
  <c r="O32" i="13"/>
  <c r="S34" i="13"/>
  <c r="Q41" i="13"/>
  <c r="U43" i="13"/>
  <c r="O48" i="13"/>
  <c r="S50" i="13"/>
  <c r="Q57" i="13"/>
  <c r="U59" i="13"/>
  <c r="O64" i="13"/>
  <c r="S66" i="13"/>
  <c r="Q73" i="13"/>
  <c r="U75" i="13"/>
  <c r="O80" i="13"/>
  <c r="S82" i="13"/>
  <c r="Q89" i="13"/>
  <c r="U91" i="13"/>
  <c r="O96" i="13"/>
  <c r="S98" i="13"/>
  <c r="Q105" i="13"/>
  <c r="U107" i="13"/>
  <c r="O112" i="13"/>
  <c r="S114" i="13"/>
  <c r="Q121" i="13"/>
  <c r="U123" i="13"/>
  <c r="O128" i="13"/>
  <c r="S130" i="13"/>
  <c r="Q137" i="13"/>
  <c r="U139" i="13"/>
  <c r="O144" i="13"/>
  <c r="S146" i="13"/>
  <c r="Q151" i="13"/>
  <c r="O156" i="13"/>
  <c r="O161" i="13"/>
  <c r="S163" i="13"/>
  <c r="U168" i="13"/>
  <c r="Q173" i="13"/>
  <c r="Q178" i="13"/>
  <c r="Q183" i="13"/>
  <c r="O188" i="13"/>
  <c r="Q193" i="13"/>
  <c r="U195" i="13"/>
  <c r="O198" i="13"/>
  <c r="O201" i="13"/>
  <c r="U203" i="13"/>
  <c r="U206" i="13"/>
  <c r="O209" i="13"/>
  <c r="S211" i="13"/>
  <c r="O214" i="13"/>
  <c r="O217" i="13"/>
  <c r="U219" i="13"/>
  <c r="S225" i="13"/>
  <c r="U242" i="13"/>
  <c r="Q255" i="13"/>
  <c r="U266" i="13"/>
  <c r="O274" i="13"/>
  <c r="Q287" i="13"/>
  <c r="O7" i="13"/>
  <c r="S9" i="13"/>
  <c r="Q16" i="13"/>
  <c r="U18" i="13"/>
  <c r="O23" i="13"/>
  <c r="S25" i="13"/>
  <c r="Q32" i="13"/>
  <c r="U34" i="13"/>
  <c r="O39" i="13"/>
  <c r="S41" i="13"/>
  <c r="Q48" i="13"/>
  <c r="U50" i="13"/>
  <c r="O55" i="13"/>
  <c r="S57" i="13"/>
  <c r="Q64" i="13"/>
  <c r="U66" i="13"/>
  <c r="O71" i="13"/>
  <c r="S73" i="13"/>
  <c r="Q80" i="13"/>
  <c r="U82" i="13"/>
  <c r="O87" i="13"/>
  <c r="S89" i="13"/>
  <c r="Q96" i="13"/>
  <c r="U98" i="13"/>
  <c r="O103" i="13"/>
  <c r="S105" i="13"/>
  <c r="Q112" i="13"/>
  <c r="U114" i="13"/>
  <c r="O119" i="13"/>
  <c r="S121" i="13"/>
  <c r="Q128" i="13"/>
  <c r="U130" i="13"/>
  <c r="O135" i="13"/>
  <c r="S137" i="13"/>
  <c r="Q144" i="13"/>
  <c r="U146" i="13"/>
  <c r="U151" i="13"/>
  <c r="Q156" i="13"/>
  <c r="Q161" i="13"/>
  <c r="U163" i="13"/>
  <c r="O166" i="13"/>
  <c r="U173" i="13"/>
  <c r="S178" i="13"/>
  <c r="U183" i="13"/>
  <c r="Q188" i="13"/>
  <c r="S193" i="13"/>
  <c r="S198" i="13"/>
  <c r="Q201" i="13"/>
  <c r="Q209" i="13"/>
  <c r="U211" i="13"/>
  <c r="S214" i="13"/>
  <c r="Q217" i="13"/>
  <c r="U225" i="13"/>
  <c r="O231" i="13"/>
  <c r="O249" i="13"/>
  <c r="Q283" i="13"/>
  <c r="U301" i="13"/>
  <c r="O306" i="13"/>
  <c r="U1038" i="13"/>
  <c r="Q1038" i="13"/>
  <c r="Q7" i="13"/>
  <c r="U9" i="13"/>
  <c r="O14" i="13"/>
  <c r="S16" i="13"/>
  <c r="Q23" i="13"/>
  <c r="U25" i="13"/>
  <c r="O30" i="13"/>
  <c r="S32" i="13"/>
  <c r="Q39" i="13"/>
  <c r="U41" i="13"/>
  <c r="O46" i="13"/>
  <c r="S48" i="13"/>
  <c r="Q55" i="13"/>
  <c r="U57" i="13"/>
  <c r="O62" i="13"/>
  <c r="S64" i="13"/>
  <c r="Q71" i="13"/>
  <c r="U73" i="13"/>
  <c r="O78" i="13"/>
  <c r="S80" i="13"/>
  <c r="Q87" i="13"/>
  <c r="U89" i="13"/>
  <c r="O94" i="13"/>
  <c r="S96" i="13"/>
  <c r="Q103" i="13"/>
  <c r="U105" i="13"/>
  <c r="O110" i="13"/>
  <c r="S112" i="13"/>
  <c r="Q119" i="13"/>
  <c r="U121" i="13"/>
  <c r="O126" i="13"/>
  <c r="S128" i="13"/>
  <c r="Q135" i="13"/>
  <c r="U137" i="13"/>
  <c r="O142" i="13"/>
  <c r="S144" i="13"/>
  <c r="O149" i="13"/>
  <c r="S156" i="13"/>
  <c r="S161" i="13"/>
  <c r="Q166" i="13"/>
  <c r="Q171" i="13"/>
  <c r="O176" i="13"/>
  <c r="U178" i="13"/>
  <c r="S188" i="13"/>
  <c r="U193" i="13"/>
  <c r="S201" i="13"/>
  <c r="S209" i="13"/>
  <c r="S217" i="13"/>
  <c r="O223" i="13"/>
  <c r="O228" i="13"/>
  <c r="Q231" i="13"/>
  <c r="O240" i="13"/>
  <c r="O246" i="13"/>
  <c r="Q249" i="13"/>
  <c r="S252" i="13"/>
  <c r="Q259" i="13"/>
  <c r="O5" i="13"/>
  <c r="S7" i="13"/>
  <c r="Q14" i="13"/>
  <c r="U16" i="13"/>
  <c r="O21" i="13"/>
  <c r="S23" i="13"/>
  <c r="Q30" i="13"/>
  <c r="U32" i="13"/>
  <c r="O37" i="13"/>
  <c r="S39" i="13"/>
  <c r="Q46" i="13"/>
  <c r="U48" i="13"/>
  <c r="O53" i="13"/>
  <c r="S55" i="13"/>
  <c r="Q62" i="13"/>
  <c r="U64" i="13"/>
  <c r="O69" i="13"/>
  <c r="S71" i="13"/>
  <c r="Q78" i="13"/>
  <c r="U80" i="13"/>
  <c r="O85" i="13"/>
  <c r="S87" i="13"/>
  <c r="Q94" i="13"/>
  <c r="U96" i="13"/>
  <c r="O101" i="13"/>
  <c r="S103" i="13"/>
  <c r="Q110" i="13"/>
  <c r="U112" i="13"/>
  <c r="O117" i="13"/>
  <c r="S119" i="13"/>
  <c r="Q126" i="13"/>
  <c r="U128" i="13"/>
  <c r="O133" i="13"/>
  <c r="S135" i="13"/>
  <c r="Q142" i="13"/>
  <c r="U144" i="13"/>
  <c r="Q149" i="13"/>
  <c r="O154" i="13"/>
  <c r="U156" i="13"/>
  <c r="O159" i="13"/>
  <c r="U161" i="13"/>
  <c r="S166" i="13"/>
  <c r="S171" i="13"/>
  <c r="Q176" i="13"/>
  <c r="Q181" i="13"/>
  <c r="O186" i="13"/>
  <c r="U188" i="13"/>
  <c r="O191" i="13"/>
  <c r="U201" i="13"/>
  <c r="U209" i="13"/>
  <c r="U217" i="13"/>
  <c r="Q223" i="13"/>
  <c r="S228" i="13"/>
  <c r="O234" i="13"/>
  <c r="Q237" i="13"/>
  <c r="Q240" i="13"/>
  <c r="S246" i="13"/>
  <c r="U249" i="13"/>
  <c r="Q263" i="13"/>
  <c r="O271" i="13"/>
  <c r="U1205" i="13"/>
  <c r="Q1203" i="13"/>
  <c r="S1196" i="13"/>
  <c r="O1194" i="13"/>
  <c r="U1189" i="13"/>
  <c r="Q1187" i="13"/>
  <c r="S1180" i="13"/>
  <c r="O1178" i="13"/>
  <c r="U1173" i="13"/>
  <c r="Q1171" i="13"/>
  <c r="S1164" i="13"/>
  <c r="O1162" i="13"/>
  <c r="U1157" i="13"/>
  <c r="Q1155" i="13"/>
  <c r="S1148" i="13"/>
  <c r="O1146" i="13"/>
  <c r="U1141" i="13"/>
  <c r="Q1139" i="13"/>
  <c r="S1132" i="13"/>
  <c r="O1130" i="13"/>
  <c r="U1125" i="13"/>
  <c r="Q1123" i="13"/>
  <c r="S1116" i="13"/>
  <c r="O1114" i="13"/>
  <c r="U1109" i="13"/>
  <c r="Q1107" i="13"/>
  <c r="S1100" i="13"/>
  <c r="O1098" i="13"/>
  <c r="U1093" i="13"/>
  <c r="Q1091" i="13"/>
  <c r="S1084" i="13"/>
  <c r="O1082" i="13"/>
  <c r="U1077" i="13"/>
  <c r="Q1075" i="13"/>
  <c r="S1068" i="13"/>
  <c r="O1066" i="13"/>
  <c r="U1061" i="13"/>
  <c r="Q1059" i="13"/>
  <c r="S1052" i="13"/>
  <c r="O1050" i="13"/>
  <c r="U1045" i="13"/>
  <c r="Q1043" i="13"/>
  <c r="S1036" i="13"/>
  <c r="O1034" i="13"/>
  <c r="U1029" i="13"/>
  <c r="Q1027" i="13"/>
  <c r="S1020" i="13"/>
  <c r="O1018" i="13"/>
  <c r="U1013" i="13"/>
  <c r="Q1011" i="13"/>
  <c r="S1004" i="13"/>
  <c r="O1002" i="13"/>
  <c r="U997" i="13"/>
  <c r="Q995" i="13"/>
  <c r="S988" i="13"/>
  <c r="O986" i="13"/>
  <c r="U981" i="13"/>
  <c r="S1205" i="13"/>
  <c r="O1203" i="13"/>
  <c r="U1198" i="13"/>
  <c r="Q1196" i="13"/>
  <c r="S1189" i="13"/>
  <c r="O1187" i="13"/>
  <c r="U1182" i="13"/>
  <c r="Q1180" i="13"/>
  <c r="S1173" i="13"/>
  <c r="O1171" i="13"/>
  <c r="U1166" i="13"/>
  <c r="Q1164" i="13"/>
  <c r="S1157" i="13"/>
  <c r="O1155" i="13"/>
  <c r="U1150" i="13"/>
  <c r="Q1148" i="13"/>
  <c r="S1141" i="13"/>
  <c r="O1139" i="13"/>
  <c r="U1134" i="13"/>
  <c r="Q1132" i="13"/>
  <c r="S1125" i="13"/>
  <c r="O1123" i="13"/>
  <c r="U1118" i="13"/>
  <c r="Q1116" i="13"/>
  <c r="S1109" i="13"/>
  <c r="O1107" i="13"/>
  <c r="U1102" i="13"/>
  <c r="Q1100" i="13"/>
  <c r="S1093" i="13"/>
  <c r="O1091" i="13"/>
  <c r="U1086" i="13"/>
  <c r="Q1084" i="13"/>
  <c r="S1077" i="13"/>
  <c r="O1075" i="13"/>
  <c r="U1070" i="13"/>
  <c r="Q1068" i="13"/>
  <c r="S1061" i="13"/>
  <c r="O1059" i="13"/>
  <c r="U1054" i="13"/>
  <c r="Q1052" i="13"/>
  <c r="S1045" i="13"/>
  <c r="O1043" i="13"/>
  <c r="Q1036" i="13"/>
  <c r="S1029" i="13"/>
  <c r="O1027" i="13"/>
  <c r="U1022" i="13"/>
  <c r="Q1020" i="13"/>
  <c r="S1013" i="13"/>
  <c r="O1011" i="13"/>
  <c r="U1006" i="13"/>
  <c r="Q1004" i="13"/>
  <c r="S997" i="13"/>
  <c r="O995" i="13"/>
  <c r="U990" i="13"/>
  <c r="Q988" i="13"/>
  <c r="S981" i="13"/>
  <c r="O979" i="13"/>
  <c r="U974" i="13"/>
  <c r="Q972" i="13"/>
  <c r="S965" i="13"/>
  <c r="O963" i="13"/>
  <c r="U958" i="13"/>
  <c r="Q956" i="13"/>
  <c r="S949" i="13"/>
  <c r="O947" i="13"/>
  <c r="Q1205" i="13"/>
  <c r="S1198" i="13"/>
  <c r="O1196" i="13"/>
  <c r="U1191" i="13"/>
  <c r="Q1189" i="13"/>
  <c r="S1182" i="13"/>
  <c r="O1180" i="13"/>
  <c r="U1175" i="13"/>
  <c r="Q1173" i="13"/>
  <c r="S1166" i="13"/>
  <c r="O1164" i="13"/>
  <c r="U1159" i="13"/>
  <c r="Q1157" i="13"/>
  <c r="S1150" i="13"/>
  <c r="O1148" i="13"/>
  <c r="U1143" i="13"/>
  <c r="Q1141" i="13"/>
  <c r="S1134" i="13"/>
  <c r="O1132" i="13"/>
  <c r="U1127" i="13"/>
  <c r="Q1125" i="13"/>
  <c r="S1118" i="13"/>
  <c r="O1116" i="13"/>
  <c r="U1111" i="13"/>
  <c r="Q1109" i="13"/>
  <c r="S1102" i="13"/>
  <c r="O1100" i="13"/>
  <c r="U1095" i="13"/>
  <c r="Q1093" i="13"/>
  <c r="S1086" i="13"/>
  <c r="O1084" i="13"/>
  <c r="U1079" i="13"/>
  <c r="Q1077" i="13"/>
  <c r="S1070" i="13"/>
  <c r="O1068" i="13"/>
  <c r="U1063" i="13"/>
  <c r="Q1061" i="13"/>
  <c r="S1054" i="13"/>
  <c r="O1052" i="13"/>
  <c r="U1047" i="13"/>
  <c r="Q1045" i="13"/>
  <c r="S1038" i="13"/>
  <c r="O1036" i="13"/>
  <c r="U1031" i="13"/>
  <c r="Q1029" i="13"/>
  <c r="S1022" i="13"/>
  <c r="O1020" i="13"/>
  <c r="U1015" i="13"/>
  <c r="Q1013" i="13"/>
  <c r="S1006" i="13"/>
  <c r="O1004" i="13"/>
  <c r="U999" i="13"/>
  <c r="Q997" i="13"/>
  <c r="S990" i="13"/>
  <c r="O988" i="13"/>
  <c r="U983" i="13"/>
  <c r="Q981" i="13"/>
  <c r="S974" i="13"/>
  <c r="O1205" i="13"/>
  <c r="U1200" i="13"/>
  <c r="Q1198" i="13"/>
  <c r="S1191" i="13"/>
  <c r="O1189" i="13"/>
  <c r="U1184" i="13"/>
  <c r="Q1182" i="13"/>
  <c r="S1175" i="13"/>
  <c r="O1173" i="13"/>
  <c r="U1168" i="13"/>
  <c r="Q1166" i="13"/>
  <c r="S1159" i="13"/>
  <c r="O1157" i="13"/>
  <c r="U1152" i="13"/>
  <c r="Q1150" i="13"/>
  <c r="S1143" i="13"/>
  <c r="O1141" i="13"/>
  <c r="U1136" i="13"/>
  <c r="Q1134" i="13"/>
  <c r="S1127" i="13"/>
  <c r="O1125" i="13"/>
  <c r="U1120" i="13"/>
  <c r="Q1118" i="13"/>
  <c r="S1111" i="13"/>
  <c r="O1109" i="13"/>
  <c r="U1104" i="13"/>
  <c r="Q1102" i="13"/>
  <c r="S1095" i="13"/>
  <c r="O1093" i="13"/>
  <c r="U1088" i="13"/>
  <c r="Q1086" i="13"/>
  <c r="S1079" i="13"/>
  <c r="O1077" i="13"/>
  <c r="U1072" i="13"/>
  <c r="Q1070" i="13"/>
  <c r="S1063" i="13"/>
  <c r="O1061" i="13"/>
  <c r="U1056" i="13"/>
  <c r="Q1054" i="13"/>
  <c r="S1047" i="13"/>
  <c r="O1045" i="13"/>
  <c r="U1040" i="13"/>
  <c r="S1031" i="13"/>
  <c r="O1029" i="13"/>
  <c r="U1024" i="13"/>
  <c r="Q1022" i="13"/>
  <c r="S1015" i="13"/>
  <c r="O1013" i="13"/>
  <c r="U1008" i="13"/>
  <c r="S1200" i="13"/>
  <c r="O1198" i="13"/>
  <c r="U1193" i="13"/>
  <c r="Q1191" i="13"/>
  <c r="S1184" i="13"/>
  <c r="O1182" i="13"/>
  <c r="U1177" i="13"/>
  <c r="Q1175" i="13"/>
  <c r="S1168" i="13"/>
  <c r="O1166" i="13"/>
  <c r="U1161" i="13"/>
  <c r="Q1159" i="13"/>
  <c r="S1152" i="13"/>
  <c r="O1150" i="13"/>
  <c r="U1145" i="13"/>
  <c r="Q1143" i="13"/>
  <c r="S1136" i="13"/>
  <c r="O1134" i="13"/>
  <c r="U1129" i="13"/>
  <c r="Q1127" i="13"/>
  <c r="S1120" i="13"/>
  <c r="O1118" i="13"/>
  <c r="U1113" i="13"/>
  <c r="Q1111" i="13"/>
  <c r="S1104" i="13"/>
  <c r="O1102" i="13"/>
  <c r="U1097" i="13"/>
  <c r="Q1095" i="13"/>
  <c r="S1088" i="13"/>
  <c r="O1086" i="13"/>
  <c r="U1081" i="13"/>
  <c r="Q1079" i="13"/>
  <c r="S1072" i="13"/>
  <c r="O1070" i="13"/>
  <c r="U1065" i="13"/>
  <c r="Q1063" i="13"/>
  <c r="S1056" i="13"/>
  <c r="O1054" i="13"/>
  <c r="U1049" i="13"/>
  <c r="Q1047" i="13"/>
  <c r="S1040" i="13"/>
  <c r="O1038" i="13"/>
  <c r="U1033" i="13"/>
  <c r="Q1031" i="13"/>
  <c r="S1024" i="13"/>
  <c r="O1022" i="13"/>
  <c r="U1017" i="13"/>
  <c r="Q1015" i="13"/>
  <c r="S1008" i="13"/>
  <c r="O1006" i="13"/>
  <c r="U1202" i="13"/>
  <c r="Q1200" i="13"/>
  <c r="S1193" i="13"/>
  <c r="O1191" i="13"/>
  <c r="U1186" i="13"/>
  <c r="Q1184" i="13"/>
  <c r="S1177" i="13"/>
  <c r="O1175" i="13"/>
  <c r="U1170" i="13"/>
  <c r="Q1168" i="13"/>
  <c r="S1161" i="13"/>
  <c r="O1159" i="13"/>
  <c r="U1154" i="13"/>
  <c r="Q1152" i="13"/>
  <c r="S1145" i="13"/>
  <c r="O1143" i="13"/>
  <c r="U1138" i="13"/>
  <c r="Q1136" i="13"/>
  <c r="S1129" i="13"/>
  <c r="O1127" i="13"/>
  <c r="U1122" i="13"/>
  <c r="Q1120" i="13"/>
  <c r="S1113" i="13"/>
  <c r="O1111" i="13"/>
  <c r="U1106" i="13"/>
  <c r="Q1104" i="13"/>
  <c r="S1097" i="13"/>
  <c r="O1095" i="13"/>
  <c r="U1090" i="13"/>
  <c r="Q1088" i="13"/>
  <c r="S1081" i="13"/>
  <c r="O1079" i="13"/>
  <c r="U1074" i="13"/>
  <c r="Q1072" i="13"/>
  <c r="S1065" i="13"/>
  <c r="O1063" i="13"/>
  <c r="U1058" i="13"/>
  <c r="Q1056" i="13"/>
  <c r="S1049" i="13"/>
  <c r="O1047" i="13"/>
  <c r="U1042" i="13"/>
  <c r="Q1040" i="13"/>
  <c r="S1033" i="13"/>
  <c r="O1031" i="13"/>
  <c r="U1026" i="13"/>
  <c r="Q1024" i="13"/>
  <c r="S1017" i="13"/>
  <c r="O1015" i="13"/>
  <c r="U1010" i="13"/>
  <c r="Q1008" i="13"/>
  <c r="S1001" i="13"/>
  <c r="O999" i="13"/>
  <c r="U994" i="13"/>
  <c r="Q992" i="13"/>
  <c r="S985" i="13"/>
  <c r="O983" i="13"/>
  <c r="U978" i="13"/>
  <c r="Q976" i="13"/>
  <c r="S969" i="13"/>
  <c r="O967" i="13"/>
  <c r="U962" i="13"/>
  <c r="Q960" i="13"/>
  <c r="S953" i="13"/>
  <c r="O951" i="13"/>
  <c r="U946" i="13"/>
  <c r="Q944" i="13"/>
  <c r="S937" i="13"/>
  <c r="S1202" i="13"/>
  <c r="O1200" i="13"/>
  <c r="U1195" i="13"/>
  <c r="Q1193" i="13"/>
  <c r="S1186" i="13"/>
  <c r="O1184" i="13"/>
  <c r="U1179" i="13"/>
  <c r="Q1177" i="13"/>
  <c r="S1170" i="13"/>
  <c r="O1168" i="13"/>
  <c r="U1163" i="13"/>
  <c r="Q1161" i="13"/>
  <c r="S1154" i="13"/>
  <c r="O1152" i="13"/>
  <c r="U1147" i="13"/>
  <c r="Q1145" i="13"/>
  <c r="S1138" i="13"/>
  <c r="O1136" i="13"/>
  <c r="U1131" i="13"/>
  <c r="Q1129" i="13"/>
  <c r="S1122" i="13"/>
  <c r="O1120" i="13"/>
  <c r="U1115" i="13"/>
  <c r="Q1113" i="13"/>
  <c r="S1106" i="13"/>
  <c r="O1104" i="13"/>
  <c r="U1099" i="13"/>
  <c r="Q1097" i="13"/>
  <c r="S1090" i="13"/>
  <c r="O1088" i="13"/>
  <c r="U1083" i="13"/>
  <c r="Q1081" i="13"/>
  <c r="S1074" i="13"/>
  <c r="O1072" i="13"/>
  <c r="U1067" i="13"/>
  <c r="Q1065" i="13"/>
  <c r="S1058" i="13"/>
  <c r="O1056" i="13"/>
  <c r="U1051" i="13"/>
  <c r="Q1049" i="13"/>
  <c r="S1042" i="13"/>
  <c r="O1040" i="13"/>
  <c r="U1035" i="13"/>
  <c r="Q1033" i="13"/>
  <c r="S1026" i="13"/>
  <c r="O1024" i="13"/>
  <c r="U1019" i="13"/>
  <c r="Q1017" i="13"/>
  <c r="S1010" i="13"/>
  <c r="O1008" i="13"/>
  <c r="U1003" i="13"/>
  <c r="U1204" i="13"/>
  <c r="Q1202" i="13"/>
  <c r="S1195" i="13"/>
  <c r="O1193" i="13"/>
  <c r="U1188" i="13"/>
  <c r="Q1186" i="13"/>
  <c r="S1179" i="13"/>
  <c r="O1177" i="13"/>
  <c r="U1172" i="13"/>
  <c r="Q1170" i="13"/>
  <c r="S1163" i="13"/>
  <c r="O1161" i="13"/>
  <c r="U1156" i="13"/>
  <c r="Q1154" i="13"/>
  <c r="S1147" i="13"/>
  <c r="O1145" i="13"/>
  <c r="U1140" i="13"/>
  <c r="Q1138" i="13"/>
  <c r="S1131" i="13"/>
  <c r="O1129" i="13"/>
  <c r="U1124" i="13"/>
  <c r="Q1122" i="13"/>
  <c r="S1115" i="13"/>
  <c r="O1113" i="13"/>
  <c r="U1108" i="13"/>
  <c r="Q1106" i="13"/>
  <c r="S1099" i="13"/>
  <c r="O1097" i="13"/>
  <c r="U1092" i="13"/>
  <c r="Q1090" i="13"/>
  <c r="S1083" i="13"/>
  <c r="O1081" i="13"/>
  <c r="U1076" i="13"/>
  <c r="Q1074" i="13"/>
  <c r="S1067" i="13"/>
  <c r="O1065" i="13"/>
  <c r="U1060" i="13"/>
  <c r="Q1058" i="13"/>
  <c r="S1051" i="13"/>
  <c r="O1049" i="13"/>
  <c r="U1044" i="13"/>
  <c r="Q1042" i="13"/>
  <c r="S1035" i="13"/>
  <c r="O1033" i="13"/>
  <c r="U1028" i="13"/>
  <c r="Q1026" i="13"/>
  <c r="S1019" i="13"/>
  <c r="O1017" i="13"/>
  <c r="U1012" i="13"/>
  <c r="Q1010" i="13"/>
  <c r="S1003" i="13"/>
  <c r="O1001" i="13"/>
  <c r="U996" i="13"/>
  <c r="Q994" i="13"/>
  <c r="S987" i="13"/>
  <c r="O985" i="13"/>
  <c r="U980" i="13"/>
  <c r="Q978" i="13"/>
  <c r="S971" i="13"/>
  <c r="O969" i="13"/>
  <c r="U964" i="13"/>
  <c r="Q962" i="13"/>
  <c r="S955" i="13"/>
  <c r="O953" i="13"/>
  <c r="U948" i="13"/>
  <c r="Q946" i="13"/>
  <c r="S939" i="13"/>
  <c r="O937" i="13"/>
  <c r="U932" i="13"/>
  <c r="Q930" i="13"/>
  <c r="S923" i="13"/>
  <c r="O921" i="13"/>
  <c r="U916" i="13"/>
  <c r="Q914" i="13"/>
  <c r="S907" i="13"/>
  <c r="O905" i="13"/>
  <c r="U900" i="13"/>
  <c r="Q898" i="13"/>
  <c r="S891" i="13"/>
  <c r="O889" i="13"/>
  <c r="U884" i="13"/>
  <c r="Q882" i="13"/>
  <c r="S875" i="13"/>
  <c r="O873" i="13"/>
  <c r="U868" i="13"/>
  <c r="S1204" i="13"/>
  <c r="O1202" i="13"/>
  <c r="U1197" i="13"/>
  <c r="Q1195" i="13"/>
  <c r="S1188" i="13"/>
  <c r="O1186" i="13"/>
  <c r="U1181" i="13"/>
  <c r="Q1179" i="13"/>
  <c r="S1172" i="13"/>
  <c r="O1170" i="13"/>
  <c r="U1165" i="13"/>
  <c r="Q1163" i="13"/>
  <c r="S1156" i="13"/>
  <c r="O1154" i="13"/>
  <c r="U1149" i="13"/>
  <c r="Q1147" i="13"/>
  <c r="S1140" i="13"/>
  <c r="O1138" i="13"/>
  <c r="U1133" i="13"/>
  <c r="Q1131" i="13"/>
  <c r="S1124" i="13"/>
  <c r="O1122" i="13"/>
  <c r="U1117" i="13"/>
  <c r="Q1115" i="13"/>
  <c r="S1108" i="13"/>
  <c r="O1106" i="13"/>
  <c r="U1101" i="13"/>
  <c r="Q1099" i="13"/>
  <c r="S1092" i="13"/>
  <c r="O1090" i="13"/>
  <c r="U1085" i="13"/>
  <c r="Q1083" i="13"/>
  <c r="S1076" i="13"/>
  <c r="O1074" i="13"/>
  <c r="Q1204" i="13"/>
  <c r="S1197" i="13"/>
  <c r="O1195" i="13"/>
  <c r="U1190" i="13"/>
  <c r="Q1188" i="13"/>
  <c r="S1181" i="13"/>
  <c r="O1179" i="13"/>
  <c r="U1174" i="13"/>
  <c r="Q1172" i="13"/>
  <c r="S1165" i="13"/>
  <c r="O1163" i="13"/>
  <c r="U1158" i="13"/>
  <c r="Q1156" i="13"/>
  <c r="S1149" i="13"/>
  <c r="O1147" i="13"/>
  <c r="U1142" i="13"/>
  <c r="Q1140" i="13"/>
  <c r="S1133" i="13"/>
  <c r="O1131" i="13"/>
  <c r="U1126" i="13"/>
  <c r="Q1124" i="13"/>
  <c r="S1117" i="13"/>
  <c r="O1115" i="13"/>
  <c r="U1110" i="13"/>
  <c r="Q1108" i="13"/>
  <c r="S1101" i="13"/>
  <c r="O1099" i="13"/>
  <c r="U1094" i="13"/>
  <c r="Q1092" i="13"/>
  <c r="S1085" i="13"/>
  <c r="O1083" i="13"/>
  <c r="U1078" i="13"/>
  <c r="Q1076" i="13"/>
  <c r="S1069" i="13"/>
  <c r="O1067" i="13"/>
  <c r="U1062" i="13"/>
  <c r="Q1060" i="13"/>
  <c r="S1053" i="13"/>
  <c r="O1051" i="13"/>
  <c r="U1046" i="13"/>
  <c r="Q1044" i="13"/>
  <c r="S1037" i="13"/>
  <c r="O1035" i="13"/>
  <c r="U1030" i="13"/>
  <c r="Q1028" i="13"/>
  <c r="S1021" i="13"/>
  <c r="O1019" i="13"/>
  <c r="U1014" i="13"/>
  <c r="Q1012" i="13"/>
  <c r="S1005" i="13"/>
  <c r="O1003" i="13"/>
  <c r="U998" i="13"/>
  <c r="Q996" i="13"/>
  <c r="S989" i="13"/>
  <c r="O987" i="13"/>
  <c r="U982" i="13"/>
  <c r="Q980" i="13"/>
  <c r="S973" i="13"/>
  <c r="O971" i="13"/>
  <c r="U966" i="13"/>
  <c r="Q964" i="13"/>
  <c r="S957" i="13"/>
  <c r="O955" i="13"/>
  <c r="U950" i="13"/>
  <c r="Q948" i="13"/>
  <c r="S941" i="13"/>
  <c r="O939" i="13"/>
  <c r="U934" i="13"/>
  <c r="Q932" i="13"/>
  <c r="S925" i="13"/>
  <c r="O923" i="13"/>
  <c r="U918" i="13"/>
  <c r="Q916" i="13"/>
  <c r="S909" i="13"/>
  <c r="O907" i="13"/>
  <c r="U902" i="13"/>
  <c r="Q900" i="13"/>
  <c r="S893" i="13"/>
  <c r="O891" i="13"/>
  <c r="U886" i="13"/>
  <c r="Q884" i="13"/>
  <c r="S877" i="13"/>
  <c r="O1204" i="13"/>
  <c r="U1199" i="13"/>
  <c r="Q1197" i="13"/>
  <c r="S1190" i="13"/>
  <c r="O1188" i="13"/>
  <c r="U1183" i="13"/>
  <c r="Q1181" i="13"/>
  <c r="S1174" i="13"/>
  <c r="O1172" i="13"/>
  <c r="U1167" i="13"/>
  <c r="Q1165" i="13"/>
  <c r="S1158" i="13"/>
  <c r="O1156" i="13"/>
  <c r="U1151" i="13"/>
  <c r="Q1149" i="13"/>
  <c r="S1142" i="13"/>
  <c r="O1140" i="13"/>
  <c r="U1135" i="13"/>
  <c r="Q1133" i="13"/>
  <c r="S1126" i="13"/>
  <c r="O1124" i="13"/>
  <c r="U1119" i="13"/>
  <c r="Q1117" i="13"/>
  <c r="S1110" i="13"/>
  <c r="O1108" i="13"/>
  <c r="U1103" i="13"/>
  <c r="Q1101" i="13"/>
  <c r="S1094" i="13"/>
  <c r="O1092" i="13"/>
  <c r="U1087" i="13"/>
  <c r="Q1085" i="13"/>
  <c r="S1078" i="13"/>
  <c r="O1076" i="13"/>
  <c r="U1071" i="13"/>
  <c r="Q1069" i="13"/>
  <c r="S1062" i="13"/>
  <c r="O1060" i="13"/>
  <c r="S1199" i="13"/>
  <c r="O1197" i="13"/>
  <c r="U1192" i="13"/>
  <c r="Q1190" i="13"/>
  <c r="S1183" i="13"/>
  <c r="O1181" i="13"/>
  <c r="U1176" i="13"/>
  <c r="Q1174" i="13"/>
  <c r="S1167" i="13"/>
  <c r="O1165" i="13"/>
  <c r="U1160" i="13"/>
  <c r="Q1158" i="13"/>
  <c r="S1151" i="13"/>
  <c r="O1149" i="13"/>
  <c r="U1144" i="13"/>
  <c r="Q1142" i="13"/>
  <c r="S1135" i="13"/>
  <c r="O1133" i="13"/>
  <c r="U1128" i="13"/>
  <c r="Q1126" i="13"/>
  <c r="S1119" i="13"/>
  <c r="O1117" i="13"/>
  <c r="U1112" i="13"/>
  <c r="Q1110" i="13"/>
  <c r="S1103" i="13"/>
  <c r="O1101" i="13"/>
  <c r="U1096" i="13"/>
  <c r="Q1094" i="13"/>
  <c r="S1087" i="13"/>
  <c r="O1085" i="13"/>
  <c r="U1080" i="13"/>
  <c r="Q1078" i="13"/>
  <c r="S1071" i="13"/>
  <c r="O1069" i="13"/>
  <c r="U1064" i="13"/>
  <c r="Q1062" i="13"/>
  <c r="S1055" i="13"/>
  <c r="O1053" i="13"/>
  <c r="U1048" i="13"/>
  <c r="Q1046" i="13"/>
  <c r="S1039" i="13"/>
  <c r="O1037" i="13"/>
  <c r="U1032" i="13"/>
  <c r="Q1030" i="13"/>
  <c r="S1023" i="13"/>
  <c r="O1021" i="13"/>
  <c r="U1016" i="13"/>
  <c r="Q1014" i="13"/>
  <c r="S1007" i="13"/>
  <c r="O1005" i="13"/>
  <c r="U1000" i="13"/>
  <c r="Q998" i="13"/>
  <c r="S991" i="13"/>
  <c r="O989" i="13"/>
  <c r="U984" i="13"/>
  <c r="Q982" i="13"/>
  <c r="S975" i="13"/>
  <c r="U1201" i="13"/>
  <c r="Q1199" i="13"/>
  <c r="S1192" i="13"/>
  <c r="O1190" i="13"/>
  <c r="U1185" i="13"/>
  <c r="Q1183" i="13"/>
  <c r="S1176" i="13"/>
  <c r="O1174" i="13"/>
  <c r="U1169" i="13"/>
  <c r="Q1167" i="13"/>
  <c r="S1160" i="13"/>
  <c r="O1158" i="13"/>
  <c r="U1153" i="13"/>
  <c r="Q1151" i="13"/>
  <c r="S1144" i="13"/>
  <c r="O1142" i="13"/>
  <c r="U1137" i="13"/>
  <c r="Q1135" i="13"/>
  <c r="S1128" i="13"/>
  <c r="O1126" i="13"/>
  <c r="U1121" i="13"/>
  <c r="Q1119" i="13"/>
  <c r="S1112" i="13"/>
  <c r="O1110" i="13"/>
  <c r="U1105" i="13"/>
  <c r="Q1103" i="13"/>
  <c r="S1096" i="13"/>
  <c r="O1094" i="13"/>
  <c r="U1089" i="13"/>
  <c r="Q1087" i="13"/>
  <c r="S1080" i="13"/>
  <c r="O1078" i="13"/>
  <c r="U1073" i="13"/>
  <c r="Q1071" i="13"/>
  <c r="S1064" i="13"/>
  <c r="O1062" i="13"/>
  <c r="U1057" i="13"/>
  <c r="Q1055" i="13"/>
  <c r="S1048" i="13"/>
  <c r="S1201" i="13"/>
  <c r="O1199" i="13"/>
  <c r="U1194" i="13"/>
  <c r="Q1192" i="13"/>
  <c r="S1185" i="13"/>
  <c r="O1183" i="13"/>
  <c r="U1178" i="13"/>
  <c r="Q1176" i="13"/>
  <c r="S1169" i="13"/>
  <c r="O1167" i="13"/>
  <c r="U1162" i="13"/>
  <c r="Q1160" i="13"/>
  <c r="S1153" i="13"/>
  <c r="O1151" i="13"/>
  <c r="U1146" i="13"/>
  <c r="Q1144" i="13"/>
  <c r="S1137" i="13"/>
  <c r="O1135" i="13"/>
  <c r="U1130" i="13"/>
  <c r="Q1128" i="13"/>
  <c r="S1121" i="13"/>
  <c r="O1119" i="13"/>
  <c r="U1114" i="13"/>
  <c r="Q1112" i="13"/>
  <c r="S1105" i="13"/>
  <c r="O1103" i="13"/>
  <c r="U1098" i="13"/>
  <c r="Q1096" i="13"/>
  <c r="S1089" i="13"/>
  <c r="O1087" i="13"/>
  <c r="U1082" i="13"/>
  <c r="Q1080" i="13"/>
  <c r="S1073" i="13"/>
  <c r="O1071" i="13"/>
  <c r="U1066" i="13"/>
  <c r="Q1064" i="13"/>
  <c r="S1057" i="13"/>
  <c r="O1055" i="13"/>
  <c r="U1050" i="13"/>
  <c r="Q1048" i="13"/>
  <c r="S1041" i="13"/>
  <c r="O1039" i="13"/>
  <c r="U1034" i="13"/>
  <c r="Q1032" i="13"/>
  <c r="S1025" i="13"/>
  <c r="O1023" i="13"/>
  <c r="U1018" i="13"/>
  <c r="Q1016" i="13"/>
  <c r="S1009" i="13"/>
  <c r="O1007" i="13"/>
  <c r="U1002" i="13"/>
  <c r="Q1000" i="13"/>
  <c r="S993" i="13"/>
  <c r="O991" i="13"/>
  <c r="U986" i="13"/>
  <c r="Q984" i="13"/>
  <c r="S977" i="13"/>
  <c r="O975" i="13"/>
  <c r="U1203" i="13"/>
  <c r="Q1201" i="13"/>
  <c r="S1194" i="13"/>
  <c r="O1192" i="13"/>
  <c r="U1187" i="13"/>
  <c r="Q1185" i="13"/>
  <c r="S1178" i="13"/>
  <c r="O1176" i="13"/>
  <c r="U1171" i="13"/>
  <c r="Q1169" i="13"/>
  <c r="S1162" i="13"/>
  <c r="O1160" i="13"/>
  <c r="U1155" i="13"/>
  <c r="Q1153" i="13"/>
  <c r="S1146" i="13"/>
  <c r="O1144" i="13"/>
  <c r="U1139" i="13"/>
  <c r="Q1137" i="13"/>
  <c r="S1130" i="13"/>
  <c r="O1128" i="13"/>
  <c r="U1123" i="13"/>
  <c r="Q1121" i="13"/>
  <c r="S1114" i="13"/>
  <c r="O1112" i="13"/>
  <c r="U1107" i="13"/>
  <c r="Q1105" i="13"/>
  <c r="S1098" i="13"/>
  <c r="O1096" i="13"/>
  <c r="U1091" i="13"/>
  <c r="Q1089" i="13"/>
  <c r="S1082" i="13"/>
  <c r="O1080" i="13"/>
  <c r="U1075" i="13"/>
  <c r="Q1073" i="13"/>
  <c r="S1066" i="13"/>
  <c r="O1064" i="13"/>
  <c r="U1059" i="13"/>
  <c r="Q1057" i="13"/>
  <c r="S1050" i="13"/>
  <c r="O1048" i="13"/>
  <c r="S1203" i="13"/>
  <c r="O1201" i="13"/>
  <c r="U1196" i="13"/>
  <c r="Q1194" i="13"/>
  <c r="S1187" i="13"/>
  <c r="O1185" i="13"/>
  <c r="U1180" i="13"/>
  <c r="Q1178" i="13"/>
  <c r="S1171" i="13"/>
  <c r="O1169" i="13"/>
  <c r="U1164" i="13"/>
  <c r="Q1162" i="13"/>
  <c r="S1155" i="13"/>
  <c r="O1153" i="13"/>
  <c r="U1148" i="13"/>
  <c r="Q1146" i="13"/>
  <c r="S1139" i="13"/>
  <c r="O1137" i="13"/>
  <c r="U1132" i="13"/>
  <c r="Q1130" i="13"/>
  <c r="S1123" i="13"/>
  <c r="O1121" i="13"/>
  <c r="U1116" i="13"/>
  <c r="Q1114" i="13"/>
  <c r="S1107" i="13"/>
  <c r="O1105" i="13"/>
  <c r="U1100" i="13"/>
  <c r="Q1098" i="13"/>
  <c r="S1091" i="13"/>
  <c r="O1089" i="13"/>
  <c r="U1084" i="13"/>
  <c r="Q1082" i="13"/>
  <c r="S1075" i="13"/>
  <c r="O1073" i="13"/>
  <c r="U1068" i="13"/>
  <c r="Q1066" i="13"/>
  <c r="S1059" i="13"/>
  <c r="O1057" i="13"/>
  <c r="U1052" i="13"/>
  <c r="Q1050" i="13"/>
  <c r="S1043" i="13"/>
  <c r="O1041" i="13"/>
  <c r="U1036" i="13"/>
  <c r="Q1034" i="13"/>
  <c r="S1027" i="13"/>
  <c r="O1025" i="13"/>
  <c r="U1020" i="13"/>
  <c r="Q1018" i="13"/>
  <c r="S1011" i="13"/>
  <c r="O1009" i="13"/>
  <c r="U1004" i="13"/>
  <c r="Q1002" i="13"/>
  <c r="S995" i="13"/>
  <c r="O993" i="13"/>
  <c r="U988" i="13"/>
  <c r="Q986" i="13"/>
  <c r="S979" i="13"/>
  <c r="O977" i="13"/>
  <c r="U972" i="13"/>
  <c r="Q970" i="13"/>
  <c r="S963" i="13"/>
  <c r="O961" i="13"/>
  <c r="U956" i="13"/>
  <c r="Q954" i="13"/>
  <c r="S947" i="13"/>
  <c r="S1000" i="13"/>
  <c r="O980" i="13"/>
  <c r="Q968" i="13"/>
  <c r="Q957" i="13"/>
  <c r="S954" i="13"/>
  <c r="S943" i="13"/>
  <c r="S938" i="13"/>
  <c r="S933" i="13"/>
  <c r="S928" i="13"/>
  <c r="O926" i="13"/>
  <c r="U913" i="13"/>
  <c r="Q911" i="13"/>
  <c r="Q906" i="13"/>
  <c r="S901" i="13"/>
  <c r="S896" i="13"/>
  <c r="O894" i="13"/>
  <c r="U881" i="13"/>
  <c r="Q879" i="13"/>
  <c r="S874" i="13"/>
  <c r="Q867" i="13"/>
  <c r="S860" i="13"/>
  <c r="O858" i="13"/>
  <c r="U853" i="13"/>
  <c r="Q851" i="13"/>
  <c r="S844" i="13"/>
  <c r="O842" i="13"/>
  <c r="U837" i="13"/>
  <c r="Q835" i="13"/>
  <c r="S828" i="13"/>
  <c r="O826" i="13"/>
  <c r="U821" i="13"/>
  <c r="Q819" i="13"/>
  <c r="S812" i="13"/>
  <c r="O810" i="13"/>
  <c r="U805" i="13"/>
  <c r="Q803" i="13"/>
  <c r="S796" i="13"/>
  <c r="O794" i="13"/>
  <c r="U789" i="13"/>
  <c r="Q787" i="13"/>
  <c r="S780" i="13"/>
  <c r="O778" i="13"/>
  <c r="U773" i="13"/>
  <c r="Q771" i="13"/>
  <c r="S764" i="13"/>
  <c r="O762" i="13"/>
  <c r="U757" i="13"/>
  <c r="Q755" i="13"/>
  <c r="S748" i="13"/>
  <c r="O746" i="13"/>
  <c r="U741" i="13"/>
  <c r="Q739" i="13"/>
  <c r="S732" i="13"/>
  <c r="O1000" i="13"/>
  <c r="U993" i="13"/>
  <c r="Q990" i="13"/>
  <c r="S983" i="13"/>
  <c r="O968" i="13"/>
  <c r="U965" i="13"/>
  <c r="S962" i="13"/>
  <c r="O957" i="13"/>
  <c r="O954" i="13"/>
  <c r="U951" i="13"/>
  <c r="Q943" i="13"/>
  <c r="Q938" i="13"/>
  <c r="Q933" i="13"/>
  <c r="Q928" i="13"/>
  <c r="U923" i="13"/>
  <c r="S918" i="13"/>
  <c r="S913" i="13"/>
  <c r="O911" i="13"/>
  <c r="O906" i="13"/>
  <c r="Q901" i="13"/>
  <c r="Q896" i="13"/>
  <c r="U891" i="13"/>
  <c r="S886" i="13"/>
  <c r="S881" i="13"/>
  <c r="O879" i="13"/>
  <c r="Q874" i="13"/>
  <c r="U869" i="13"/>
  <c r="O867" i="13"/>
  <c r="U862" i="13"/>
  <c r="Q860" i="13"/>
  <c r="S853" i="13"/>
  <c r="O851" i="13"/>
  <c r="U846" i="13"/>
  <c r="Q844" i="13"/>
  <c r="S837" i="13"/>
  <c r="O835" i="13"/>
  <c r="U830" i="13"/>
  <c r="Q828" i="13"/>
  <c r="S821" i="13"/>
  <c r="O819" i="13"/>
  <c r="U814" i="13"/>
  <c r="Q812" i="13"/>
  <c r="S805" i="13"/>
  <c r="O803" i="13"/>
  <c r="U798" i="13"/>
  <c r="Q796" i="13"/>
  <c r="S789" i="13"/>
  <c r="O787" i="13"/>
  <c r="U782" i="13"/>
  <c r="Q780" i="13"/>
  <c r="S773" i="13"/>
  <c r="O771" i="13"/>
  <c r="U766" i="13"/>
  <c r="Q764" i="13"/>
  <c r="S757" i="13"/>
  <c r="O755" i="13"/>
  <c r="U750" i="13"/>
  <c r="Q748" i="13"/>
  <c r="S741" i="13"/>
  <c r="O739" i="13"/>
  <c r="U734" i="13"/>
  <c r="Q732" i="13"/>
  <c r="S725" i="13"/>
  <c r="O723" i="13"/>
  <c r="U718" i="13"/>
  <c r="Q716" i="13"/>
  <c r="S709" i="13"/>
  <c r="O707" i="13"/>
  <c r="U702" i="13"/>
  <c r="Q700" i="13"/>
  <c r="S693" i="13"/>
  <c r="O691" i="13"/>
  <c r="U686" i="13"/>
  <c r="Q684" i="13"/>
  <c r="S677" i="13"/>
  <c r="O675" i="13"/>
  <c r="U670" i="13"/>
  <c r="Q668" i="13"/>
  <c r="S661" i="13"/>
  <c r="O659" i="13"/>
  <c r="U1043" i="13"/>
  <c r="U1039" i="13"/>
  <c r="Q1035" i="13"/>
  <c r="U1027" i="13"/>
  <c r="U1023" i="13"/>
  <c r="Q1019" i="13"/>
  <c r="U1011" i="13"/>
  <c r="U1007" i="13"/>
  <c r="Q993" i="13"/>
  <c r="O990" i="13"/>
  <c r="Q983" i="13"/>
  <c r="Q965" i="13"/>
  <c r="O962" i="13"/>
  <c r="U959" i="13"/>
  <c r="S951" i="13"/>
  <c r="U945" i="13"/>
  <c r="O943" i="13"/>
  <c r="O938" i="13"/>
  <c r="U935" i="13"/>
  <c r="O933" i="13"/>
  <c r="U930" i="13"/>
  <c r="O928" i="13"/>
  <c r="Q923" i="13"/>
  <c r="Q918" i="13"/>
  <c r="Q913" i="13"/>
  <c r="U908" i="13"/>
  <c r="U903" i="13"/>
  <c r="O901" i="13"/>
  <c r="U898" i="13"/>
  <c r="O896" i="13"/>
  <c r="Q891" i="13"/>
  <c r="Q886" i="13"/>
  <c r="Q881" i="13"/>
  <c r="U876" i="13"/>
  <c r="O874" i="13"/>
  <c r="S869" i="13"/>
  <c r="S862" i="13"/>
  <c r="O860" i="13"/>
  <c r="U855" i="13"/>
  <c r="Q853" i="13"/>
  <c r="S846" i="13"/>
  <c r="O844" i="13"/>
  <c r="U839" i="13"/>
  <c r="Q837" i="13"/>
  <c r="S830" i="13"/>
  <c r="O828" i="13"/>
  <c r="U823" i="13"/>
  <c r="Q1039" i="13"/>
  <c r="Q1023" i="13"/>
  <c r="Q1007" i="13"/>
  <c r="Q1003" i="13"/>
  <c r="S996" i="13"/>
  <c r="S986" i="13"/>
  <c r="U976" i="13"/>
  <c r="U973" i="13"/>
  <c r="U970" i="13"/>
  <c r="O965" i="13"/>
  <c r="S959" i="13"/>
  <c r="Q951" i="13"/>
  <c r="S948" i="13"/>
  <c r="S945" i="13"/>
  <c r="U940" i="13"/>
  <c r="S935" i="13"/>
  <c r="S930" i="13"/>
  <c r="U920" i="13"/>
  <c r="O918" i="13"/>
  <c r="U915" i="13"/>
  <c r="O913" i="13"/>
  <c r="S908" i="13"/>
  <c r="S903" i="13"/>
  <c r="S898" i="13"/>
  <c r="U888" i="13"/>
  <c r="O886" i="13"/>
  <c r="U883" i="13"/>
  <c r="O881" i="13"/>
  <c r="S876" i="13"/>
  <c r="U871" i="13"/>
  <c r="Q869" i="13"/>
  <c r="U864" i="13"/>
  <c r="Q862" i="13"/>
  <c r="S855" i="13"/>
  <c r="O853" i="13"/>
  <c r="U848" i="13"/>
  <c r="Q846" i="13"/>
  <c r="S839" i="13"/>
  <c r="O837" i="13"/>
  <c r="U832" i="13"/>
  <c r="Q830" i="13"/>
  <c r="S823" i="13"/>
  <c r="O821" i="13"/>
  <c r="U816" i="13"/>
  <c r="Q814" i="13"/>
  <c r="S807" i="13"/>
  <c r="O805" i="13"/>
  <c r="U800" i="13"/>
  <c r="Q798" i="13"/>
  <c r="S791" i="13"/>
  <c r="O789" i="13"/>
  <c r="U784" i="13"/>
  <c r="Q782" i="13"/>
  <c r="S775" i="13"/>
  <c r="O773" i="13"/>
  <c r="U768" i="13"/>
  <c r="Q766" i="13"/>
  <c r="S759" i="13"/>
  <c r="O757" i="13"/>
  <c r="U752" i="13"/>
  <c r="Q750" i="13"/>
  <c r="O996" i="13"/>
  <c r="U979" i="13"/>
  <c r="S976" i="13"/>
  <c r="Q973" i="13"/>
  <c r="S970" i="13"/>
  <c r="Q959" i="13"/>
  <c r="O948" i="13"/>
  <c r="Q945" i="13"/>
  <c r="S940" i="13"/>
  <c r="Q935" i="13"/>
  <c r="O930" i="13"/>
  <c r="U925" i="13"/>
  <c r="S920" i="13"/>
  <c r="S915" i="13"/>
  <c r="Q908" i="13"/>
  <c r="Q903" i="13"/>
  <c r="O898" i="13"/>
  <c r="U893" i="13"/>
  <c r="S888" i="13"/>
  <c r="S883" i="13"/>
  <c r="Q876" i="13"/>
  <c r="S871" i="13"/>
  <c r="O869" i="13"/>
  <c r="S864" i="13"/>
  <c r="O862" i="13"/>
  <c r="U857" i="13"/>
  <c r="Q855" i="13"/>
  <c r="S848" i="13"/>
  <c r="O846" i="13"/>
  <c r="U841" i="13"/>
  <c r="Q839" i="13"/>
  <c r="S832" i="13"/>
  <c r="O830" i="13"/>
  <c r="U825" i="13"/>
  <c r="Q823" i="13"/>
  <c r="S816" i="13"/>
  <c r="O814" i="13"/>
  <c r="U809" i="13"/>
  <c r="Q807" i="13"/>
  <c r="S800" i="13"/>
  <c r="S1060" i="13"/>
  <c r="Q1051" i="13"/>
  <c r="S1046" i="13"/>
  <c r="S1030" i="13"/>
  <c r="S1014" i="13"/>
  <c r="S999" i="13"/>
  <c r="Q979" i="13"/>
  <c r="O976" i="13"/>
  <c r="O973" i="13"/>
  <c r="O970" i="13"/>
  <c r="U967" i="13"/>
  <c r="O959" i="13"/>
  <c r="S956" i="13"/>
  <c r="U953" i="13"/>
  <c r="O945" i="13"/>
  <c r="Q940" i="13"/>
  <c r="O935" i="13"/>
  <c r="Q925" i="13"/>
  <c r="Q920" i="13"/>
  <c r="Q915" i="13"/>
  <c r="U910" i="13"/>
  <c r="O908" i="13"/>
  <c r="U905" i="13"/>
  <c r="O903" i="13"/>
  <c r="Q893" i="13"/>
  <c r="Q888" i="13"/>
  <c r="Q883" i="13"/>
  <c r="U878" i="13"/>
  <c r="O876" i="13"/>
  <c r="Q871" i="13"/>
  <c r="U866" i="13"/>
  <c r="Q864" i="13"/>
  <c r="S857" i="13"/>
  <c r="O855" i="13"/>
  <c r="U850" i="13"/>
  <c r="Q848" i="13"/>
  <c r="S841" i="13"/>
  <c r="O839" i="13"/>
  <c r="U834" i="13"/>
  <c r="Q832" i="13"/>
  <c r="S825" i="13"/>
  <c r="O823" i="13"/>
  <c r="U818" i="13"/>
  <c r="Q816" i="13"/>
  <c r="S809" i="13"/>
  <c r="O807" i="13"/>
  <c r="U802" i="13"/>
  <c r="Q800" i="13"/>
  <c r="S793" i="13"/>
  <c r="O791" i="13"/>
  <c r="U786" i="13"/>
  <c r="Q784" i="13"/>
  <c r="S777" i="13"/>
  <c r="O775" i="13"/>
  <c r="U770" i="13"/>
  <c r="Q768" i="13"/>
  <c r="S761" i="13"/>
  <c r="O759" i="13"/>
  <c r="U754" i="13"/>
  <c r="Q752" i="13"/>
  <c r="S745" i="13"/>
  <c r="O743" i="13"/>
  <c r="U738" i="13"/>
  <c r="Q736" i="13"/>
  <c r="S729" i="13"/>
  <c r="O727" i="13"/>
  <c r="U722" i="13"/>
  <c r="Q720" i="13"/>
  <c r="S713" i="13"/>
  <c r="O711" i="13"/>
  <c r="U706" i="13"/>
  <c r="Q704" i="13"/>
  <c r="S697" i="13"/>
  <c r="O695" i="13"/>
  <c r="U690" i="13"/>
  <c r="Q688" i="13"/>
  <c r="S681" i="13"/>
  <c r="O679" i="13"/>
  <c r="U674" i="13"/>
  <c r="U1055" i="13"/>
  <c r="O1046" i="13"/>
  <c r="O1042" i="13"/>
  <c r="S1034" i="13"/>
  <c r="O1030" i="13"/>
  <c r="O1026" i="13"/>
  <c r="S1018" i="13"/>
  <c r="O1014" i="13"/>
  <c r="O1010" i="13"/>
  <c r="Q999" i="13"/>
  <c r="U992" i="13"/>
  <c r="U989" i="13"/>
  <c r="S982" i="13"/>
  <c r="S967" i="13"/>
  <c r="U961" i="13"/>
  <c r="O956" i="13"/>
  <c r="Q953" i="13"/>
  <c r="U942" i="13"/>
  <c r="O940" i="13"/>
  <c r="U937" i="13"/>
  <c r="S932" i="13"/>
  <c r="U927" i="13"/>
  <c r="O925" i="13"/>
  <c r="U922" i="13"/>
  <c r="O920" i="13"/>
  <c r="O915" i="13"/>
  <c r="S910" i="13"/>
  <c r="S905" i="13"/>
  <c r="S900" i="13"/>
  <c r="U895" i="13"/>
  <c r="O893" i="13"/>
  <c r="U890" i="13"/>
  <c r="Q1006" i="13"/>
  <c r="S1002" i="13"/>
  <c r="S992" i="13"/>
  <c r="Q989" i="13"/>
  <c r="U985" i="13"/>
  <c r="O982" i="13"/>
  <c r="Q967" i="13"/>
  <c r="S964" i="13"/>
  <c r="S961" i="13"/>
  <c r="S950" i="13"/>
  <c r="S942" i="13"/>
  <c r="Q937" i="13"/>
  <c r="O932" i="13"/>
  <c r="S927" i="13"/>
  <c r="S922" i="13"/>
  <c r="U917" i="13"/>
  <c r="U912" i="13"/>
  <c r="Q910" i="13"/>
  <c r="Q905" i="13"/>
  <c r="O900" i="13"/>
  <c r="S895" i="13"/>
  <c r="S890" i="13"/>
  <c r="U885" i="13"/>
  <c r="U880" i="13"/>
  <c r="Q878" i="13"/>
  <c r="S873" i="13"/>
  <c r="Q866" i="13"/>
  <c r="S859" i="13"/>
  <c r="U852" i="13"/>
  <c r="Q850" i="13"/>
  <c r="S843" i="13"/>
  <c r="O841" i="13"/>
  <c r="U836" i="13"/>
  <c r="Q834" i="13"/>
  <c r="S827" i="13"/>
  <c r="O825" i="13"/>
  <c r="U820" i="13"/>
  <c r="Q818" i="13"/>
  <c r="S811" i="13"/>
  <c r="O809" i="13"/>
  <c r="U804" i="13"/>
  <c r="Q802" i="13"/>
  <c r="S795" i="13"/>
  <c r="O793" i="13"/>
  <c r="U788" i="13"/>
  <c r="Q786" i="13"/>
  <c r="S779" i="13"/>
  <c r="O777" i="13"/>
  <c r="U772" i="13"/>
  <c r="Q770" i="13"/>
  <c r="S763" i="13"/>
  <c r="O761" i="13"/>
  <c r="U756" i="13"/>
  <c r="Q754" i="13"/>
  <c r="S747" i="13"/>
  <c r="O745" i="13"/>
  <c r="U740" i="13"/>
  <c r="Q738" i="13"/>
  <c r="S731" i="13"/>
  <c r="O729" i="13"/>
  <c r="U724" i="13"/>
  <c r="Q722" i="13"/>
  <c r="S715" i="13"/>
  <c r="O713" i="13"/>
  <c r="U708" i="13"/>
  <c r="Q706" i="13"/>
  <c r="S699" i="13"/>
  <c r="O697" i="13"/>
  <c r="U692" i="13"/>
  <c r="Q690" i="13"/>
  <c r="S683" i="13"/>
  <c r="O681" i="13"/>
  <c r="U676" i="13"/>
  <c r="Q674" i="13"/>
  <c r="S667" i="13"/>
  <c r="O665" i="13"/>
  <c r="U1069" i="13"/>
  <c r="U995" i="13"/>
  <c r="O992" i="13"/>
  <c r="Q985" i="13"/>
  <c r="O964" i="13"/>
  <c r="Q961" i="13"/>
  <c r="Q950" i="13"/>
  <c r="U947" i="13"/>
  <c r="Q942" i="13"/>
  <c r="U929" i="13"/>
  <c r="Q927" i="13"/>
  <c r="Q922" i="13"/>
  <c r="S917" i="13"/>
  <c r="S912" i="13"/>
  <c r="O910" i="13"/>
  <c r="U897" i="13"/>
  <c r="Q895" i="13"/>
  <c r="Q890" i="13"/>
  <c r="S885" i="13"/>
  <c r="S880" i="13"/>
  <c r="O878" i="13"/>
  <c r="Q873" i="13"/>
  <c r="S868" i="13"/>
  <c r="O866" i="13"/>
  <c r="U861" i="13"/>
  <c r="Q859" i="13"/>
  <c r="S852" i="13"/>
  <c r="O850" i="13"/>
  <c r="U845" i="13"/>
  <c r="Q843" i="13"/>
  <c r="S836" i="13"/>
  <c r="O834" i="13"/>
  <c r="U829" i="13"/>
  <c r="Q827" i="13"/>
  <c r="S820" i="13"/>
  <c r="O818" i="13"/>
  <c r="U813" i="13"/>
  <c r="Q811" i="13"/>
  <c r="S804" i="13"/>
  <c r="O802" i="13"/>
  <c r="U797" i="13"/>
  <c r="Q795" i="13"/>
  <c r="S788" i="13"/>
  <c r="O786" i="13"/>
  <c r="U781" i="13"/>
  <c r="S978" i="13"/>
  <c r="U975" i="13"/>
  <c r="S972" i="13"/>
  <c r="U969" i="13"/>
  <c r="S958" i="13"/>
  <c r="O950" i="13"/>
  <c r="Q947" i="13"/>
  <c r="U944" i="13"/>
  <c r="O942" i="13"/>
  <c r="S934" i="13"/>
  <c r="S929" i="13"/>
  <c r="O927" i="13"/>
  <c r="O922" i="13"/>
  <c r="Q917" i="13"/>
  <c r="Q912" i="13"/>
  <c r="U907" i="13"/>
  <c r="S902" i="13"/>
  <c r="S897" i="13"/>
  <c r="O895" i="13"/>
  <c r="O890" i="13"/>
  <c r="Q885" i="13"/>
  <c r="Q880" i="13"/>
  <c r="U875" i="13"/>
  <c r="Q868" i="13"/>
  <c r="S861" i="13"/>
  <c r="O859" i="13"/>
  <c r="U854" i="13"/>
  <c r="Q852" i="13"/>
  <c r="S845" i="13"/>
  <c r="O843" i="13"/>
  <c r="U838" i="13"/>
  <c r="Q836" i="13"/>
  <c r="S829" i="13"/>
  <c r="O827" i="13"/>
  <c r="U822" i="13"/>
  <c r="Q820" i="13"/>
  <c r="S813" i="13"/>
  <c r="O811" i="13"/>
  <c r="U806" i="13"/>
  <c r="Q804" i="13"/>
  <c r="S797" i="13"/>
  <c r="O795" i="13"/>
  <c r="U790" i="13"/>
  <c r="U1041" i="13"/>
  <c r="U1037" i="13"/>
  <c r="U1025" i="13"/>
  <c r="U1021" i="13"/>
  <c r="U1009" i="13"/>
  <c r="S998" i="13"/>
  <c r="O978" i="13"/>
  <c r="Q975" i="13"/>
  <c r="O972" i="13"/>
  <c r="Q969" i="13"/>
  <c r="Q958" i="13"/>
  <c r="U955" i="13"/>
  <c r="U952" i="13"/>
  <c r="S944" i="13"/>
  <c r="U939" i="13"/>
  <c r="Q934" i="13"/>
  <c r="Q929" i="13"/>
  <c r="U924" i="13"/>
  <c r="U919" i="13"/>
  <c r="O917" i="13"/>
  <c r="U914" i="13"/>
  <c r="O912" i="13"/>
  <c r="Q907" i="13"/>
  <c r="Q902" i="13"/>
  <c r="Q897" i="13"/>
  <c r="U892" i="13"/>
  <c r="U887" i="13"/>
  <c r="O885" i="13"/>
  <c r="U882" i="13"/>
  <c r="O880" i="13"/>
  <c r="Q875" i="13"/>
  <c r="U870" i="13"/>
  <c r="O868" i="13"/>
  <c r="U863" i="13"/>
  <c r="Q861" i="13"/>
  <c r="S854" i="13"/>
  <c r="O852" i="13"/>
  <c r="U847" i="13"/>
  <c r="Q845" i="13"/>
  <c r="S838" i="13"/>
  <c r="O836" i="13"/>
  <c r="U831" i="13"/>
  <c r="Q1041" i="13"/>
  <c r="Q1037" i="13"/>
  <c r="Q1025" i="13"/>
  <c r="Q1021" i="13"/>
  <c r="Q1009" i="13"/>
  <c r="U1005" i="13"/>
  <c r="U1001" i="13"/>
  <c r="O998" i="13"/>
  <c r="O981" i="13"/>
  <c r="S966" i="13"/>
  <c r="O958" i="13"/>
  <c r="Q955" i="13"/>
  <c r="S952" i="13"/>
  <c r="O944" i="13"/>
  <c r="Q939" i="13"/>
  <c r="U936" i="13"/>
  <c r="O934" i="13"/>
  <c r="U931" i="13"/>
  <c r="O929" i="13"/>
  <c r="S924" i="13"/>
  <c r="S919" i="13"/>
  <c r="S914" i="13"/>
  <c r="U904" i="13"/>
  <c r="O902" i="13"/>
  <c r="U899" i="13"/>
  <c r="O897" i="13"/>
  <c r="S892" i="13"/>
  <c r="S887" i="13"/>
  <c r="S882" i="13"/>
  <c r="O875" i="13"/>
  <c r="S870" i="13"/>
  <c r="S863" i="13"/>
  <c r="O861" i="13"/>
  <c r="U856" i="13"/>
  <c r="Q854" i="13"/>
  <c r="S847" i="13"/>
  <c r="O845" i="13"/>
  <c r="U840" i="13"/>
  <c r="Q838" i="13"/>
  <c r="S831" i="13"/>
  <c r="O829" i="13"/>
  <c r="U824" i="13"/>
  <c r="Q822" i="13"/>
  <c r="S815" i="13"/>
  <c r="O813" i="13"/>
  <c r="U808" i="13"/>
  <c r="Q806" i="13"/>
  <c r="S799" i="13"/>
  <c r="O797" i="13"/>
  <c r="U792" i="13"/>
  <c r="Q790" i="13"/>
  <c r="S783" i="13"/>
  <c r="O781" i="13"/>
  <c r="U776" i="13"/>
  <c r="Q774" i="13"/>
  <c r="S767" i="13"/>
  <c r="O765" i="13"/>
  <c r="U760" i="13"/>
  <c r="Q758" i="13"/>
  <c r="S751" i="13"/>
  <c r="O749" i="13"/>
  <c r="U744" i="13"/>
  <c r="Q742" i="13"/>
  <c r="S735" i="13"/>
  <c r="O733" i="13"/>
  <c r="U728" i="13"/>
  <c r="Q726" i="13"/>
  <c r="S719" i="13"/>
  <c r="O717" i="13"/>
  <c r="U712" i="13"/>
  <c r="Q710" i="13"/>
  <c r="S703" i="13"/>
  <c r="O701" i="13"/>
  <c r="U696" i="13"/>
  <c r="O1058" i="13"/>
  <c r="Q1005" i="13"/>
  <c r="Q1001" i="13"/>
  <c r="S994" i="13"/>
  <c r="U991" i="13"/>
  <c r="S984" i="13"/>
  <c r="Q966" i="13"/>
  <c r="U963" i="13"/>
  <c r="U960" i="13"/>
  <c r="Q952" i="13"/>
  <c r="S936" i="13"/>
  <c r="S931" i="13"/>
  <c r="Q924" i="13"/>
  <c r="Q919" i="13"/>
  <c r="O914" i="13"/>
  <c r="U909" i="13"/>
  <c r="S904" i="13"/>
  <c r="S899" i="13"/>
  <c r="Q892" i="13"/>
  <c r="Q887" i="13"/>
  <c r="O882" i="13"/>
  <c r="U877" i="13"/>
  <c r="U872" i="13"/>
  <c r="Q870" i="13"/>
  <c r="U865" i="13"/>
  <c r="Q863" i="13"/>
  <c r="S856" i="13"/>
  <c r="O854" i="13"/>
  <c r="U849" i="13"/>
  <c r="Q847" i="13"/>
  <c r="S840" i="13"/>
  <c r="O838" i="13"/>
  <c r="U833" i="13"/>
  <c r="Q831" i="13"/>
  <c r="S824" i="13"/>
  <c r="O822" i="13"/>
  <c r="U817" i="13"/>
  <c r="Q815" i="13"/>
  <c r="S808" i="13"/>
  <c r="O806" i="13"/>
  <c r="U801" i="13"/>
  <c r="Q799" i="13"/>
  <c r="S792" i="13"/>
  <c r="O790" i="13"/>
  <c r="U785" i="13"/>
  <c r="Q783" i="13"/>
  <c r="S776" i="13"/>
  <c r="O774" i="13"/>
  <c r="U769" i="13"/>
  <c r="Q767" i="13"/>
  <c r="S760" i="13"/>
  <c r="O758" i="13"/>
  <c r="U753" i="13"/>
  <c r="Q751" i="13"/>
  <c r="S744" i="13"/>
  <c r="O742" i="13"/>
  <c r="U737" i="13"/>
  <c r="Q735" i="13"/>
  <c r="S728" i="13"/>
  <c r="O726" i="13"/>
  <c r="U721" i="13"/>
  <c r="Q719" i="13"/>
  <c r="S712" i="13"/>
  <c r="O710" i="13"/>
  <c r="U705" i="13"/>
  <c r="Q703" i="13"/>
  <c r="S696" i="13"/>
  <c r="O694" i="13"/>
  <c r="U689" i="13"/>
  <c r="Q687" i="13"/>
  <c r="S680" i="13"/>
  <c r="O678" i="13"/>
  <c r="U673" i="13"/>
  <c r="Q671" i="13"/>
  <c r="S664" i="13"/>
  <c r="O662" i="13"/>
  <c r="U657" i="13"/>
  <c r="Q655" i="13"/>
  <c r="S648" i="13"/>
  <c r="O646" i="13"/>
  <c r="U641" i="13"/>
  <c r="Q639" i="13"/>
  <c r="S632" i="13"/>
  <c r="O630" i="13"/>
  <c r="U625" i="13"/>
  <c r="U1053" i="13"/>
  <c r="S1044" i="13"/>
  <c r="S1032" i="13"/>
  <c r="S1028" i="13"/>
  <c r="S1016" i="13"/>
  <c r="S1012" i="13"/>
  <c r="O994" i="13"/>
  <c r="Q991" i="13"/>
  <c r="O984" i="13"/>
  <c r="O966" i="13"/>
  <c r="Q963" i="13"/>
  <c r="S960" i="13"/>
  <c r="O952" i="13"/>
  <c r="U949" i="13"/>
  <c r="S946" i="13"/>
  <c r="U941" i="13"/>
  <c r="Q936" i="13"/>
  <c r="Q931" i="13"/>
  <c r="U926" i="13"/>
  <c r="O924" i="13"/>
  <c r="U921" i="13"/>
  <c r="O919" i="13"/>
  <c r="Q909" i="13"/>
  <c r="Q904" i="13"/>
  <c r="Q899" i="13"/>
  <c r="U894" i="13"/>
  <c r="O892" i="13"/>
  <c r="U889" i="13"/>
  <c r="O887" i="13"/>
  <c r="Q877" i="13"/>
  <c r="S872" i="13"/>
  <c r="O870" i="13"/>
  <c r="S865" i="13"/>
  <c r="O863" i="13"/>
  <c r="U858" i="13"/>
  <c r="Q856" i="13"/>
  <c r="S849" i="13"/>
  <c r="O847" i="13"/>
  <c r="U842" i="13"/>
  <c r="Q840" i="13"/>
  <c r="S833" i="13"/>
  <c r="O831" i="13"/>
  <c r="U826" i="13"/>
  <c r="Q824" i="13"/>
  <c r="S817" i="13"/>
  <c r="O815" i="13"/>
  <c r="U810" i="13"/>
  <c r="Q808" i="13"/>
  <c r="S801" i="13"/>
  <c r="O799" i="13"/>
  <c r="U794" i="13"/>
  <c r="Q792" i="13"/>
  <c r="S785" i="13"/>
  <c r="O783" i="13"/>
  <c r="U778" i="13"/>
  <c r="Q776" i="13"/>
  <c r="S769" i="13"/>
  <c r="O767" i="13"/>
  <c r="U762" i="13"/>
  <c r="Q760" i="13"/>
  <c r="S753" i="13"/>
  <c r="O751" i="13"/>
  <c r="U746" i="13"/>
  <c r="Q744" i="13"/>
  <c r="S737" i="13"/>
  <c r="O735" i="13"/>
  <c r="U730" i="13"/>
  <c r="Q728" i="13"/>
  <c r="S721" i="13"/>
  <c r="O719" i="13"/>
  <c r="U714" i="13"/>
  <c r="Q712" i="13"/>
  <c r="S705" i="13"/>
  <c r="O703" i="13"/>
  <c r="U698" i="13"/>
  <c r="Q696" i="13"/>
  <c r="Q1053" i="13"/>
  <c r="O1044" i="13"/>
  <c r="O1032" i="13"/>
  <c r="O1028" i="13"/>
  <c r="O1016" i="13"/>
  <c r="O1012" i="13"/>
  <c r="U987" i="13"/>
  <c r="U977" i="13"/>
  <c r="Q974" i="13"/>
  <c r="U971" i="13"/>
  <c r="U968" i="13"/>
  <c r="O960" i="13"/>
  <c r="Q949" i="13"/>
  <c r="O946" i="13"/>
  <c r="Q941" i="13"/>
  <c r="O936" i="13"/>
  <c r="O931" i="13"/>
  <c r="S926" i="13"/>
  <c r="S921" i="13"/>
  <c r="S916" i="13"/>
  <c r="U911" i="13"/>
  <c r="O909" i="13"/>
  <c r="U906" i="13"/>
  <c r="O904" i="13"/>
  <c r="O899" i="13"/>
  <c r="S894" i="13"/>
  <c r="S889" i="13"/>
  <c r="S884" i="13"/>
  <c r="U879" i="13"/>
  <c r="O877" i="13"/>
  <c r="Q872" i="13"/>
  <c r="U867" i="13"/>
  <c r="Q865" i="13"/>
  <c r="S858" i="13"/>
  <c r="O856" i="13"/>
  <c r="U851" i="13"/>
  <c r="Q849" i="13"/>
  <c r="S842" i="13"/>
  <c r="O840" i="13"/>
  <c r="U835" i="13"/>
  <c r="Q833" i="13"/>
  <c r="S826" i="13"/>
  <c r="O824" i="13"/>
  <c r="U819" i="13"/>
  <c r="Q817" i="13"/>
  <c r="S810" i="13"/>
  <c r="O808" i="13"/>
  <c r="U803" i="13"/>
  <c r="Q801" i="13"/>
  <c r="S794" i="13"/>
  <c r="O792" i="13"/>
  <c r="U787" i="13"/>
  <c r="Q785" i="13"/>
  <c r="S778" i="13"/>
  <c r="O776" i="13"/>
  <c r="U771" i="13"/>
  <c r="Q769" i="13"/>
  <c r="S762" i="13"/>
  <c r="O760" i="13"/>
  <c r="U755" i="13"/>
  <c r="Q753" i="13"/>
  <c r="S746" i="13"/>
  <c r="O744" i="13"/>
  <c r="U739" i="13"/>
  <c r="Q737" i="13"/>
  <c r="S730" i="13"/>
  <c r="O728" i="13"/>
  <c r="U723" i="13"/>
  <c r="Q721" i="13"/>
  <c r="S714" i="13"/>
  <c r="O712" i="13"/>
  <c r="U707" i="13"/>
  <c r="Q705" i="13"/>
  <c r="S698" i="13"/>
  <c r="Q1067" i="13"/>
  <c r="O997" i="13"/>
  <c r="Q987" i="13"/>
  <c r="S980" i="13"/>
  <c r="Q977" i="13"/>
  <c r="O974" i="13"/>
  <c r="Q971" i="13"/>
  <c r="S968" i="13"/>
  <c r="U957" i="13"/>
  <c r="U954" i="13"/>
  <c r="O949" i="13"/>
  <c r="U943" i="13"/>
  <c r="O941" i="13"/>
  <c r="U938" i="13"/>
  <c r="U933" i="13"/>
  <c r="U928" i="13"/>
  <c r="Q926" i="13"/>
  <c r="Q921" i="13"/>
  <c r="O916" i="13"/>
  <c r="S911" i="13"/>
  <c r="S906" i="13"/>
  <c r="U901" i="13"/>
  <c r="U896" i="13"/>
  <c r="Q894" i="13"/>
  <c r="Q889" i="13"/>
  <c r="O884" i="13"/>
  <c r="S879" i="13"/>
  <c r="U874" i="13"/>
  <c r="O872" i="13"/>
  <c r="S867" i="13"/>
  <c r="O865" i="13"/>
  <c r="U860" i="13"/>
  <c r="Q858" i="13"/>
  <c r="S851" i="13"/>
  <c r="O849" i="13"/>
  <c r="U844" i="13"/>
  <c r="Q842" i="13"/>
  <c r="S835" i="13"/>
  <c r="O833" i="13"/>
  <c r="U828" i="13"/>
  <c r="Q826" i="13"/>
  <c r="S819" i="13"/>
  <c r="O817" i="13"/>
  <c r="U812" i="13"/>
  <c r="Q810" i="13"/>
  <c r="S803" i="13"/>
  <c r="O801" i="13"/>
  <c r="U796" i="13"/>
  <c r="Q794" i="13"/>
  <c r="S787" i="13"/>
  <c r="O785" i="13"/>
  <c r="U780" i="13"/>
  <c r="Q778" i="13"/>
  <c r="S771" i="13"/>
  <c r="S822" i="13"/>
  <c r="Q805" i="13"/>
  <c r="S781" i="13"/>
  <c r="S774" i="13"/>
  <c r="O750" i="13"/>
  <c r="Q747" i="13"/>
  <c r="O737" i="13"/>
  <c r="O734" i="13"/>
  <c r="Q731" i="13"/>
  <c r="O689" i="13"/>
  <c r="S686" i="13"/>
  <c r="U681" i="13"/>
  <c r="O673" i="13"/>
  <c r="O668" i="13"/>
  <c r="O663" i="13"/>
  <c r="U660" i="13"/>
  <c r="O658" i="13"/>
  <c r="Q653" i="13"/>
  <c r="Q646" i="13"/>
  <c r="S641" i="13"/>
  <c r="S634" i="13"/>
  <c r="U629" i="13"/>
  <c r="Q627" i="13"/>
  <c r="U622" i="13"/>
  <c r="Q620" i="13"/>
  <c r="S613" i="13"/>
  <c r="O611" i="13"/>
  <c r="U606" i="13"/>
  <c r="Q604" i="13"/>
  <c r="S597" i="13"/>
  <c r="O595" i="13"/>
  <c r="U590" i="13"/>
  <c r="Q588" i="13"/>
  <c r="S581" i="13"/>
  <c r="O579" i="13"/>
  <c r="U574" i="13"/>
  <c r="Q572" i="13"/>
  <c r="S565" i="13"/>
  <c r="O563" i="13"/>
  <c r="U558" i="13"/>
  <c r="Q556" i="13"/>
  <c r="S549" i="13"/>
  <c r="O547" i="13"/>
  <c r="U542" i="13"/>
  <c r="Q540" i="13"/>
  <c r="S533" i="13"/>
  <c r="O531" i="13"/>
  <c r="U526" i="13"/>
  <c r="Q524" i="13"/>
  <c r="S517" i="13"/>
  <c r="O515" i="13"/>
  <c r="U510" i="13"/>
  <c r="Q508" i="13"/>
  <c r="Q841" i="13"/>
  <c r="Q809" i="13"/>
  <c r="Q781" i="13"/>
  <c r="S770" i="13"/>
  <c r="O747" i="13"/>
  <c r="U743" i="13"/>
  <c r="S740" i="13"/>
  <c r="O731" i="13"/>
  <c r="S718" i="13"/>
  <c r="U709" i="13"/>
  <c r="U703" i="13"/>
  <c r="U700" i="13"/>
  <c r="U694" i="13"/>
  <c r="Q686" i="13"/>
  <c r="Q681" i="13"/>
  <c r="U678" i="13"/>
  <c r="S670" i="13"/>
  <c r="U665" i="13"/>
  <c r="S660" i="13"/>
  <c r="U655" i="13"/>
  <c r="O653" i="13"/>
  <c r="U648" i="13"/>
  <c r="Q641" i="13"/>
  <c r="U636" i="13"/>
  <c r="Q634" i="13"/>
  <c r="S629" i="13"/>
  <c r="O627" i="13"/>
  <c r="S622" i="13"/>
  <c r="O620" i="13"/>
  <c r="U615" i="13"/>
  <c r="Q613" i="13"/>
  <c r="S606" i="13"/>
  <c r="O604" i="13"/>
  <c r="U599" i="13"/>
  <c r="Q597" i="13"/>
  <c r="S590" i="13"/>
  <c r="O588" i="13"/>
  <c r="U583" i="13"/>
  <c r="Q581" i="13"/>
  <c r="S574" i="13"/>
  <c r="O572" i="13"/>
  <c r="U567" i="13"/>
  <c r="Q565" i="13"/>
  <c r="S558" i="13"/>
  <c r="O556" i="13"/>
  <c r="U551" i="13"/>
  <c r="Q549" i="13"/>
  <c r="S542" i="13"/>
  <c r="O540" i="13"/>
  <c r="U535" i="13"/>
  <c r="Q533" i="13"/>
  <c r="S526" i="13"/>
  <c r="O524" i="13"/>
  <c r="U519" i="13"/>
  <c r="Q517" i="13"/>
  <c r="S510" i="13"/>
  <c r="O508" i="13"/>
  <c r="U503" i="13"/>
  <c r="Q501" i="13"/>
  <c r="S494" i="13"/>
  <c r="O492" i="13"/>
  <c r="U487" i="13"/>
  <c r="Q485" i="13"/>
  <c r="S478" i="13"/>
  <c r="O476" i="13"/>
  <c r="U471" i="13"/>
  <c r="Q469" i="13"/>
  <c r="S462" i="13"/>
  <c r="O460" i="13"/>
  <c r="U455" i="13"/>
  <c r="Q453" i="13"/>
  <c r="S446" i="13"/>
  <c r="O444" i="13"/>
  <c r="U439" i="13"/>
  <c r="Q437" i="13"/>
  <c r="S430" i="13"/>
  <c r="O428" i="13"/>
  <c r="U423" i="13"/>
  <c r="Q421" i="13"/>
  <c r="S414" i="13"/>
  <c r="O412" i="13"/>
  <c r="U407" i="13"/>
  <c r="Q405" i="13"/>
  <c r="S398" i="13"/>
  <c r="O396" i="13"/>
  <c r="Q813" i="13"/>
  <c r="O800" i="13"/>
  <c r="S784" i="13"/>
  <c r="U777" i="13"/>
  <c r="O770" i="13"/>
  <c r="O753" i="13"/>
  <c r="S743" i="13"/>
  <c r="Q740" i="13"/>
  <c r="U727" i="13"/>
  <c r="Q718" i="13"/>
  <c r="Q709" i="13"/>
  <c r="S706" i="13"/>
  <c r="S700" i="13"/>
  <c r="U697" i="13"/>
  <c r="S694" i="13"/>
  <c r="O686" i="13"/>
  <c r="S678" i="13"/>
  <c r="Q670" i="13"/>
  <c r="S665" i="13"/>
  <c r="Q660" i="13"/>
  <c r="S655" i="13"/>
  <c r="Q648" i="13"/>
  <c r="U643" i="13"/>
  <c r="O641" i="13"/>
  <c r="S636" i="13"/>
  <c r="O634" i="13"/>
  <c r="Q629" i="13"/>
  <c r="U624" i="13"/>
  <c r="Q622" i="13"/>
  <c r="S615" i="13"/>
  <c r="O613" i="13"/>
  <c r="U608" i="13"/>
  <c r="Q606" i="13"/>
  <c r="S599" i="13"/>
  <c r="O597" i="13"/>
  <c r="U592" i="13"/>
  <c r="Q590" i="13"/>
  <c r="S583" i="13"/>
  <c r="O581" i="13"/>
  <c r="U576" i="13"/>
  <c r="Q574" i="13"/>
  <c r="S567" i="13"/>
  <c r="O565" i="13"/>
  <c r="U560" i="13"/>
  <c r="Q558" i="13"/>
  <c r="S551" i="13"/>
  <c r="O549" i="13"/>
  <c r="U544" i="13"/>
  <c r="Q542" i="13"/>
  <c r="S535" i="13"/>
  <c r="O533" i="13"/>
  <c r="U528" i="13"/>
  <c r="Q526" i="13"/>
  <c r="S850" i="13"/>
  <c r="O796" i="13"/>
  <c r="Q788" i="13"/>
  <c r="O784" i="13"/>
  <c r="Q777" i="13"/>
  <c r="S766" i="13"/>
  <c r="U763" i="13"/>
  <c r="S756" i="13"/>
  <c r="Q743" i="13"/>
  <c r="O740" i="13"/>
  <c r="S727" i="13"/>
  <c r="S724" i="13"/>
  <c r="O721" i="13"/>
  <c r="O718" i="13"/>
  <c r="U715" i="13"/>
  <c r="O709" i="13"/>
  <c r="O706" i="13"/>
  <c r="O700" i="13"/>
  <c r="Q697" i="13"/>
  <c r="Q694" i="13"/>
  <c r="U691" i="13"/>
  <c r="U683" i="13"/>
  <c r="Q678" i="13"/>
  <c r="U675" i="13"/>
  <c r="O670" i="13"/>
  <c r="Q665" i="13"/>
  <c r="O660" i="13"/>
  <c r="O655" i="13"/>
  <c r="U650" i="13"/>
  <c r="O648" i="13"/>
  <c r="S643" i="13"/>
  <c r="U638" i="13"/>
  <c r="Q636" i="13"/>
  <c r="U631" i="13"/>
  <c r="O629" i="13"/>
  <c r="S624" i="13"/>
  <c r="O622" i="13"/>
  <c r="U617" i="13"/>
  <c r="Q615" i="13"/>
  <c r="S608" i="13"/>
  <c r="O606" i="13"/>
  <c r="Q821" i="13"/>
  <c r="O804" i="13"/>
  <c r="O788" i="13"/>
  <c r="Q773" i="13"/>
  <c r="O766" i="13"/>
  <c r="Q763" i="13"/>
  <c r="Q756" i="13"/>
  <c r="U749" i="13"/>
  <c r="U736" i="13"/>
  <c r="U733" i="13"/>
  <c r="Q727" i="13"/>
  <c r="Q724" i="13"/>
  <c r="Q715" i="13"/>
  <c r="S691" i="13"/>
  <c r="U688" i="13"/>
  <c r="Q683" i="13"/>
  <c r="S675" i="13"/>
  <c r="U672" i="13"/>
  <c r="U667" i="13"/>
  <c r="U662" i="13"/>
  <c r="S657" i="13"/>
  <c r="S650" i="13"/>
  <c r="U645" i="13"/>
  <c r="Q643" i="13"/>
  <c r="S638" i="13"/>
  <c r="O636" i="13"/>
  <c r="S631" i="13"/>
  <c r="Q624" i="13"/>
  <c r="S617" i="13"/>
  <c r="O615" i="13"/>
  <c r="U610" i="13"/>
  <c r="Q608" i="13"/>
  <c r="S601" i="13"/>
  <c r="O599" i="13"/>
  <c r="U594" i="13"/>
  <c r="Q592" i="13"/>
  <c r="S585" i="13"/>
  <c r="O583" i="13"/>
  <c r="U578" i="13"/>
  <c r="Q576" i="13"/>
  <c r="S569" i="13"/>
  <c r="O567" i="13"/>
  <c r="U562" i="13"/>
  <c r="Q560" i="13"/>
  <c r="S553" i="13"/>
  <c r="O551" i="13"/>
  <c r="U546" i="13"/>
  <c r="Q544" i="13"/>
  <c r="S537" i="13"/>
  <c r="O535" i="13"/>
  <c r="U530" i="13"/>
  <c r="Q528" i="13"/>
  <c r="S521" i="13"/>
  <c r="O519" i="13"/>
  <c r="U514" i="13"/>
  <c r="O864" i="13"/>
  <c r="U859" i="13"/>
  <c r="O780" i="13"/>
  <c r="O763" i="13"/>
  <c r="U759" i="13"/>
  <c r="O756" i="13"/>
  <c r="S749" i="13"/>
  <c r="Q746" i="13"/>
  <c r="S736" i="13"/>
  <c r="S733" i="13"/>
  <c r="Q730" i="13"/>
  <c r="O724" i="13"/>
  <c r="O715" i="13"/>
  <c r="S702" i="13"/>
  <c r="Q691" i="13"/>
  <c r="S688" i="13"/>
  <c r="O683" i="13"/>
  <c r="U680" i="13"/>
  <c r="Q675" i="13"/>
  <c r="S672" i="13"/>
  <c r="Q667" i="13"/>
  <c r="S662" i="13"/>
  <c r="Q657" i="13"/>
  <c r="U652" i="13"/>
  <c r="Q650" i="13"/>
  <c r="S645" i="13"/>
  <c r="O643" i="13"/>
  <c r="Q638" i="13"/>
  <c r="Q631" i="13"/>
  <c r="U626" i="13"/>
  <c r="O624" i="13"/>
  <c r="U619" i="13"/>
  <c r="Q617" i="13"/>
  <c r="S610" i="13"/>
  <c r="O608" i="13"/>
  <c r="U603" i="13"/>
  <c r="Q601" i="13"/>
  <c r="S594" i="13"/>
  <c r="O592" i="13"/>
  <c r="U587" i="13"/>
  <c r="Q585" i="13"/>
  <c r="S578" i="13"/>
  <c r="O576" i="13"/>
  <c r="U571" i="13"/>
  <c r="Q569" i="13"/>
  <c r="S562" i="13"/>
  <c r="O560" i="13"/>
  <c r="U555" i="13"/>
  <c r="Q553" i="13"/>
  <c r="S546" i="13"/>
  <c r="O544" i="13"/>
  <c r="U539" i="13"/>
  <c r="Q537" i="13"/>
  <c r="S530" i="13"/>
  <c r="O528" i="13"/>
  <c r="U523" i="13"/>
  <c r="Q521" i="13"/>
  <c r="S514" i="13"/>
  <c r="O512" i="13"/>
  <c r="U507" i="13"/>
  <c r="Q505" i="13"/>
  <c r="S498" i="13"/>
  <c r="O496" i="13"/>
  <c r="U491" i="13"/>
  <c r="Q489" i="13"/>
  <c r="S482" i="13"/>
  <c r="O480" i="13"/>
  <c r="U475" i="13"/>
  <c r="Q825" i="13"/>
  <c r="O816" i="13"/>
  <c r="O812" i="13"/>
  <c r="U799" i="13"/>
  <c r="U791" i="13"/>
  <c r="O769" i="13"/>
  <c r="Q759" i="13"/>
  <c r="S752" i="13"/>
  <c r="Q749" i="13"/>
  <c r="O736" i="13"/>
  <c r="Q733" i="13"/>
  <c r="O730" i="13"/>
  <c r="U711" i="13"/>
  <c r="Q702" i="13"/>
  <c r="O688" i="13"/>
  <c r="U685" i="13"/>
  <c r="Q680" i="13"/>
  <c r="Q672" i="13"/>
  <c r="O667" i="13"/>
  <c r="Q662" i="13"/>
  <c r="O657" i="13"/>
  <c r="S652" i="13"/>
  <c r="O650" i="13"/>
  <c r="Q645" i="13"/>
  <c r="U640" i="13"/>
  <c r="O638" i="13"/>
  <c r="U633" i="13"/>
  <c r="O631" i="13"/>
  <c r="S626" i="13"/>
  <c r="S619" i="13"/>
  <c r="O617" i="13"/>
  <c r="U612" i="13"/>
  <c r="Q610" i="13"/>
  <c r="S603" i="13"/>
  <c r="O601" i="13"/>
  <c r="U596" i="13"/>
  <c r="Q594" i="13"/>
  <c r="S587" i="13"/>
  <c r="O585" i="13"/>
  <c r="U580" i="13"/>
  <c r="Q578" i="13"/>
  <c r="S571" i="13"/>
  <c r="O569" i="13"/>
  <c r="U564" i="13"/>
  <c r="Q562" i="13"/>
  <c r="S555" i="13"/>
  <c r="O553" i="13"/>
  <c r="U548" i="13"/>
  <c r="Q546" i="13"/>
  <c r="S539" i="13"/>
  <c r="O537" i="13"/>
  <c r="U532" i="13"/>
  <c r="Q530" i="13"/>
  <c r="S523" i="13"/>
  <c r="O521" i="13"/>
  <c r="U516" i="13"/>
  <c r="Q514" i="13"/>
  <c r="S507" i="13"/>
  <c r="O505" i="13"/>
  <c r="U500" i="13"/>
  <c r="Q498" i="13"/>
  <c r="S491" i="13"/>
  <c r="O489" i="13"/>
  <c r="U484" i="13"/>
  <c r="Q482" i="13"/>
  <c r="S475" i="13"/>
  <c r="O473" i="13"/>
  <c r="U468" i="13"/>
  <c r="Q466" i="13"/>
  <c r="S459" i="13"/>
  <c r="O457" i="13"/>
  <c r="U452" i="13"/>
  <c r="Q450" i="13"/>
  <c r="O888" i="13"/>
  <c r="O883" i="13"/>
  <c r="S878" i="13"/>
  <c r="U873" i="13"/>
  <c r="S834" i="13"/>
  <c r="U795" i="13"/>
  <c r="Q791" i="13"/>
  <c r="U783" i="13"/>
  <c r="O752" i="13"/>
  <c r="U742" i="13"/>
  <c r="S739" i="13"/>
  <c r="U720" i="13"/>
  <c r="U717" i="13"/>
  <c r="S711" i="13"/>
  <c r="S708" i="13"/>
  <c r="O705" i="13"/>
  <c r="O702" i="13"/>
  <c r="U699" i="13"/>
  <c r="O696" i="13"/>
  <c r="U693" i="13"/>
  <c r="S685" i="13"/>
  <c r="O680" i="13"/>
  <c r="U677" i="13"/>
  <c r="O672" i="13"/>
  <c r="U669" i="13"/>
  <c r="U664" i="13"/>
  <c r="U659" i="13"/>
  <c r="U654" i="13"/>
  <c r="Q652" i="13"/>
  <c r="U647" i="13"/>
  <c r="O645" i="13"/>
  <c r="S640" i="13"/>
  <c r="S633" i="13"/>
  <c r="U628" i="13"/>
  <c r="Q626" i="13"/>
  <c r="U621" i="13"/>
  <c r="Q619" i="13"/>
  <c r="S612" i="13"/>
  <c r="O610" i="13"/>
  <c r="U605" i="13"/>
  <c r="Q603" i="13"/>
  <c r="S596" i="13"/>
  <c r="O594" i="13"/>
  <c r="U589" i="13"/>
  <c r="Q587" i="13"/>
  <c r="S580" i="13"/>
  <c r="O578" i="13"/>
  <c r="U573" i="13"/>
  <c r="Q571" i="13"/>
  <c r="S564" i="13"/>
  <c r="O562" i="13"/>
  <c r="U557" i="13"/>
  <c r="Q555" i="13"/>
  <c r="S548" i="13"/>
  <c r="O546" i="13"/>
  <c r="U541" i="13"/>
  <c r="Q539" i="13"/>
  <c r="S532" i="13"/>
  <c r="O530" i="13"/>
  <c r="U525" i="13"/>
  <c r="Q523" i="13"/>
  <c r="S516" i="13"/>
  <c r="O514" i="13"/>
  <c r="U509" i="13"/>
  <c r="Q507" i="13"/>
  <c r="S500" i="13"/>
  <c r="O498" i="13"/>
  <c r="U493" i="13"/>
  <c r="Q491" i="13"/>
  <c r="S484" i="13"/>
  <c r="O482" i="13"/>
  <c r="U477" i="13"/>
  <c r="Q475" i="13"/>
  <c r="S468" i="13"/>
  <c r="O466" i="13"/>
  <c r="U461" i="13"/>
  <c r="Q459" i="13"/>
  <c r="S452" i="13"/>
  <c r="O450" i="13"/>
  <c r="U445" i="13"/>
  <c r="Q443" i="13"/>
  <c r="S436" i="13"/>
  <c r="O434" i="13"/>
  <c r="U429" i="13"/>
  <c r="Q427" i="13"/>
  <c r="S420" i="13"/>
  <c r="O418" i="13"/>
  <c r="U413" i="13"/>
  <c r="Q411" i="13"/>
  <c r="S404" i="13"/>
  <c r="O402" i="13"/>
  <c r="U397" i="13"/>
  <c r="Q395" i="13"/>
  <c r="S388" i="13"/>
  <c r="O386" i="13"/>
  <c r="U381" i="13"/>
  <c r="Q379" i="13"/>
  <c r="S372" i="13"/>
  <c r="O370" i="13"/>
  <c r="U365" i="13"/>
  <c r="Q829" i="13"/>
  <c r="O820" i="13"/>
  <c r="U807" i="13"/>
  <c r="S772" i="13"/>
  <c r="U765" i="13"/>
  <c r="S742" i="13"/>
  <c r="U726" i="13"/>
  <c r="S720" i="13"/>
  <c r="S717" i="13"/>
  <c r="Q711" i="13"/>
  <c r="Q708" i="13"/>
  <c r="Q699" i="13"/>
  <c r="Q693" i="13"/>
  <c r="Q685" i="13"/>
  <c r="Q677" i="13"/>
  <c r="S669" i="13"/>
  <c r="Q664" i="13"/>
  <c r="S659" i="13"/>
  <c r="S654" i="13"/>
  <c r="O652" i="13"/>
  <c r="S647" i="13"/>
  <c r="Q640" i="13"/>
  <c r="U635" i="13"/>
  <c r="Q633" i="13"/>
  <c r="S628" i="13"/>
  <c r="O626" i="13"/>
  <c r="S621" i="13"/>
  <c r="O619" i="13"/>
  <c r="U614" i="13"/>
  <c r="Q612" i="13"/>
  <c r="S605" i="13"/>
  <c r="O603" i="13"/>
  <c r="U598" i="13"/>
  <c r="Q596" i="13"/>
  <c r="S589" i="13"/>
  <c r="O587" i="13"/>
  <c r="U582" i="13"/>
  <c r="Q580" i="13"/>
  <c r="S573" i="13"/>
  <c r="O571" i="13"/>
  <c r="U566" i="13"/>
  <c r="Q564" i="13"/>
  <c r="S557" i="13"/>
  <c r="O555" i="13"/>
  <c r="U550" i="13"/>
  <c r="Q548" i="13"/>
  <c r="S541" i="13"/>
  <c r="O539" i="13"/>
  <c r="U534" i="13"/>
  <c r="Q532" i="13"/>
  <c r="S525" i="13"/>
  <c r="O523" i="13"/>
  <c r="U518" i="13"/>
  <c r="Q516" i="13"/>
  <c r="S509" i="13"/>
  <c r="U779" i="13"/>
  <c r="Q772" i="13"/>
  <c r="S765" i="13"/>
  <c r="Q762" i="13"/>
  <c r="S755" i="13"/>
  <c r="U745" i="13"/>
  <c r="S726" i="13"/>
  <c r="S723" i="13"/>
  <c r="O720" i="13"/>
  <c r="Q717" i="13"/>
  <c r="Q714" i="13"/>
  <c r="O708" i="13"/>
  <c r="O699" i="13"/>
  <c r="O693" i="13"/>
  <c r="S690" i="13"/>
  <c r="O685" i="13"/>
  <c r="U682" i="13"/>
  <c r="O677" i="13"/>
  <c r="S674" i="13"/>
  <c r="Q669" i="13"/>
  <c r="O664" i="13"/>
  <c r="Q659" i="13"/>
  <c r="Q654" i="13"/>
  <c r="Q647" i="13"/>
  <c r="U642" i="13"/>
  <c r="O640" i="13"/>
  <c r="S635" i="13"/>
  <c r="O633" i="13"/>
  <c r="Q628" i="13"/>
  <c r="U623" i="13"/>
  <c r="Q621" i="13"/>
  <c r="S614" i="13"/>
  <c r="O612" i="13"/>
  <c r="U607" i="13"/>
  <c r="Q605" i="13"/>
  <c r="S598" i="13"/>
  <c r="O596" i="13"/>
  <c r="U591" i="13"/>
  <c r="Q589" i="13"/>
  <c r="S582" i="13"/>
  <c r="O580" i="13"/>
  <c r="O848" i="13"/>
  <c r="U843" i="13"/>
  <c r="U815" i="13"/>
  <c r="U811" i="13"/>
  <c r="S798" i="13"/>
  <c r="Q779" i="13"/>
  <c r="U775" i="13"/>
  <c r="O772" i="13"/>
  <c r="S768" i="13"/>
  <c r="Q765" i="13"/>
  <c r="U758" i="13"/>
  <c r="U748" i="13"/>
  <c r="Q745" i="13"/>
  <c r="U735" i="13"/>
  <c r="U732" i="13"/>
  <c r="U729" i="13"/>
  <c r="Q723" i="13"/>
  <c r="O714" i="13"/>
  <c r="O690" i="13"/>
  <c r="U687" i="13"/>
  <c r="S682" i="13"/>
  <c r="O674" i="13"/>
  <c r="O669" i="13"/>
  <c r="U666" i="13"/>
  <c r="U661" i="13"/>
  <c r="U656" i="13"/>
  <c r="O654" i="13"/>
  <c r="U649" i="13"/>
  <c r="O647" i="13"/>
  <c r="S642" i="13"/>
  <c r="U637" i="13"/>
  <c r="Q635" i="13"/>
  <c r="U630" i="13"/>
  <c r="O628" i="13"/>
  <c r="S623" i="13"/>
  <c r="O621" i="13"/>
  <c r="U616" i="13"/>
  <c r="Q614" i="13"/>
  <c r="S607" i="13"/>
  <c r="O605" i="13"/>
  <c r="U600" i="13"/>
  <c r="Q598" i="13"/>
  <c r="S591" i="13"/>
  <c r="O589" i="13"/>
  <c r="U584" i="13"/>
  <c r="Q582" i="13"/>
  <c r="S575" i="13"/>
  <c r="O573" i="13"/>
  <c r="U568" i="13"/>
  <c r="Q566" i="13"/>
  <c r="S559" i="13"/>
  <c r="O557" i="13"/>
  <c r="U552" i="13"/>
  <c r="Q550" i="13"/>
  <c r="S543" i="13"/>
  <c r="O541" i="13"/>
  <c r="U536" i="13"/>
  <c r="Q534" i="13"/>
  <c r="S527" i="13"/>
  <c r="O525" i="13"/>
  <c r="U520" i="13"/>
  <c r="Q518" i="13"/>
  <c r="S511" i="13"/>
  <c r="O509" i="13"/>
  <c r="U504" i="13"/>
  <c r="Q502" i="13"/>
  <c r="S802" i="13"/>
  <c r="O798" i="13"/>
  <c r="S790" i="13"/>
  <c r="S786" i="13"/>
  <c r="S782" i="13"/>
  <c r="O779" i="13"/>
  <c r="Q775" i="13"/>
  <c r="O768" i="13"/>
  <c r="S758" i="13"/>
  <c r="U751" i="13"/>
  <c r="O748" i="13"/>
  <c r="S738" i="13"/>
  <c r="O732" i="13"/>
  <c r="Q729" i="13"/>
  <c r="U704" i="13"/>
  <c r="U701" i="13"/>
  <c r="U695" i="13"/>
  <c r="S687" i="13"/>
  <c r="Q682" i="13"/>
  <c r="U679" i="13"/>
  <c r="U671" i="13"/>
  <c r="S666" i="13"/>
  <c r="Q661" i="13"/>
  <c r="S656" i="13"/>
  <c r="S649" i="13"/>
  <c r="U644" i="13"/>
  <c r="Q642" i="13"/>
  <c r="S637" i="13"/>
  <c r="O635" i="13"/>
  <c r="S630" i="13"/>
  <c r="Q623" i="13"/>
  <c r="S616" i="13"/>
  <c r="O614" i="13"/>
  <c r="U609" i="13"/>
  <c r="Q607" i="13"/>
  <c r="S600" i="13"/>
  <c r="O598" i="13"/>
  <c r="U593" i="13"/>
  <c r="Q591" i="13"/>
  <c r="S584" i="13"/>
  <c r="O582" i="13"/>
  <c r="U577" i="13"/>
  <c r="Q575" i="13"/>
  <c r="S568" i="13"/>
  <c r="O566" i="13"/>
  <c r="U561" i="13"/>
  <c r="Q559" i="13"/>
  <c r="S552" i="13"/>
  <c r="O550" i="13"/>
  <c r="U545" i="13"/>
  <c r="Q543" i="13"/>
  <c r="S536" i="13"/>
  <c r="O534" i="13"/>
  <c r="U529" i="13"/>
  <c r="Q527" i="13"/>
  <c r="S520" i="13"/>
  <c r="O518" i="13"/>
  <c r="U513" i="13"/>
  <c r="Q511" i="13"/>
  <c r="S504" i="13"/>
  <c r="O502" i="13"/>
  <c r="U497" i="13"/>
  <c r="Q495" i="13"/>
  <c r="S488" i="13"/>
  <c r="O486" i="13"/>
  <c r="U481" i="13"/>
  <c r="Q479" i="13"/>
  <c r="S472" i="13"/>
  <c r="O470" i="13"/>
  <c r="Q857" i="13"/>
  <c r="S806" i="13"/>
  <c r="O782" i="13"/>
  <c r="Q741" i="13"/>
  <c r="O738" i="13"/>
  <c r="U710" i="13"/>
  <c r="S704" i="13"/>
  <c r="S701" i="13"/>
  <c r="S695" i="13"/>
  <c r="O687" i="13"/>
  <c r="O682" i="13"/>
  <c r="S679" i="13"/>
  <c r="S671" i="13"/>
  <c r="Q666" i="13"/>
  <c r="O661" i="13"/>
  <c r="Q656" i="13"/>
  <c r="U651" i="13"/>
  <c r="Q649" i="13"/>
  <c r="S644" i="13"/>
  <c r="O642" i="13"/>
  <c r="Q637" i="13"/>
  <c r="Q630" i="13"/>
  <c r="S625" i="13"/>
  <c r="O623" i="13"/>
  <c r="U618" i="13"/>
  <c r="Q616" i="13"/>
  <c r="S609" i="13"/>
  <c r="O607" i="13"/>
  <c r="U602" i="13"/>
  <c r="Q600" i="13"/>
  <c r="S593" i="13"/>
  <c r="O591" i="13"/>
  <c r="U586" i="13"/>
  <c r="Q584" i="13"/>
  <c r="S577" i="13"/>
  <c r="O575" i="13"/>
  <c r="U570" i="13"/>
  <c r="Q568" i="13"/>
  <c r="S561" i="13"/>
  <c r="O559" i="13"/>
  <c r="U554" i="13"/>
  <c r="Q552" i="13"/>
  <c r="S545" i="13"/>
  <c r="O543" i="13"/>
  <c r="U538" i="13"/>
  <c r="Q536" i="13"/>
  <c r="S529" i="13"/>
  <c r="O527" i="13"/>
  <c r="U522" i="13"/>
  <c r="Q520" i="13"/>
  <c r="S513" i="13"/>
  <c r="O511" i="13"/>
  <c r="U506" i="13"/>
  <c r="Q504" i="13"/>
  <c r="S497" i="13"/>
  <c r="O495" i="13"/>
  <c r="U490" i="13"/>
  <c r="Q488" i="13"/>
  <c r="S481" i="13"/>
  <c r="O479" i="13"/>
  <c r="U761" i="13"/>
  <c r="S754" i="13"/>
  <c r="O741" i="13"/>
  <c r="U725" i="13"/>
  <c r="U719" i="13"/>
  <c r="U716" i="13"/>
  <c r="S710" i="13"/>
  <c r="S707" i="13"/>
  <c r="O704" i="13"/>
  <c r="Q701" i="13"/>
  <c r="Q698" i="13"/>
  <c r="Q695" i="13"/>
  <c r="S692" i="13"/>
  <c r="U684" i="13"/>
  <c r="Q679" i="13"/>
  <c r="S676" i="13"/>
  <c r="O671" i="13"/>
  <c r="O666" i="13"/>
  <c r="U663" i="13"/>
  <c r="U658" i="13"/>
  <c r="O656" i="13"/>
  <c r="S651" i="13"/>
  <c r="O649" i="13"/>
  <c r="Q644" i="13"/>
  <c r="U639" i="13"/>
  <c r="O637" i="13"/>
  <c r="U632" i="13"/>
  <c r="Q625" i="13"/>
  <c r="S618" i="13"/>
  <c r="O616" i="13"/>
  <c r="U611" i="13"/>
  <c r="Q609" i="13"/>
  <c r="S602" i="13"/>
  <c r="O600" i="13"/>
  <c r="U595" i="13"/>
  <c r="Q593" i="13"/>
  <c r="S586" i="13"/>
  <c r="O584" i="13"/>
  <c r="U579" i="13"/>
  <c r="Q577" i="13"/>
  <c r="S570" i="13"/>
  <c r="O568" i="13"/>
  <c r="U563" i="13"/>
  <c r="Q561" i="13"/>
  <c r="S554" i="13"/>
  <c r="O552" i="13"/>
  <c r="U547" i="13"/>
  <c r="Q545" i="13"/>
  <c r="S538" i="13"/>
  <c r="O536" i="13"/>
  <c r="U531" i="13"/>
  <c r="Q529" i="13"/>
  <c r="S522" i="13"/>
  <c r="O520" i="13"/>
  <c r="U515" i="13"/>
  <c r="Q513" i="13"/>
  <c r="S506" i="13"/>
  <c r="O504" i="13"/>
  <c r="U499" i="13"/>
  <c r="Q497" i="13"/>
  <c r="S490" i="13"/>
  <c r="O488" i="13"/>
  <c r="U483" i="13"/>
  <c r="Q481" i="13"/>
  <c r="S474" i="13"/>
  <c r="O472" i="13"/>
  <c r="U467" i="13"/>
  <c r="O871" i="13"/>
  <c r="S866" i="13"/>
  <c r="O832" i="13"/>
  <c r="S814" i="13"/>
  <c r="U793" i="13"/>
  <c r="U764" i="13"/>
  <c r="Q761" i="13"/>
  <c r="O754" i="13"/>
  <c r="S734" i="13"/>
  <c r="Q725" i="13"/>
  <c r="S722" i="13"/>
  <c r="S716" i="13"/>
  <c r="U713" i="13"/>
  <c r="Q707" i="13"/>
  <c r="O698" i="13"/>
  <c r="Q692" i="13"/>
  <c r="S689" i="13"/>
  <c r="S684" i="13"/>
  <c r="Q676" i="13"/>
  <c r="S673" i="13"/>
  <c r="U668" i="13"/>
  <c r="S663" i="13"/>
  <c r="S658" i="13"/>
  <c r="U653" i="13"/>
  <c r="Q651" i="13"/>
  <c r="U646" i="13"/>
  <c r="O644" i="13"/>
  <c r="S639" i="13"/>
  <c r="Q632" i="13"/>
  <c r="U627" i="13"/>
  <c r="O625" i="13"/>
  <c r="U620" i="13"/>
  <c r="Q618" i="13"/>
  <c r="S611" i="13"/>
  <c r="O609" i="13"/>
  <c r="U604" i="13"/>
  <c r="Q602" i="13"/>
  <c r="S595" i="13"/>
  <c r="O593" i="13"/>
  <c r="U588" i="13"/>
  <c r="Q586" i="13"/>
  <c r="S579" i="13"/>
  <c r="O577" i="13"/>
  <c r="U572" i="13"/>
  <c r="Q570" i="13"/>
  <c r="S563" i="13"/>
  <c r="O561" i="13"/>
  <c r="U556" i="13"/>
  <c r="Q554" i="13"/>
  <c r="S547" i="13"/>
  <c r="O545" i="13"/>
  <c r="U540" i="13"/>
  <c r="Q538" i="13"/>
  <c r="S531" i="13"/>
  <c r="O529" i="13"/>
  <c r="U524" i="13"/>
  <c r="Q522" i="13"/>
  <c r="S515" i="13"/>
  <c r="O513" i="13"/>
  <c r="U508" i="13"/>
  <c r="Q506" i="13"/>
  <c r="S499" i="13"/>
  <c r="O497" i="13"/>
  <c r="U492" i="13"/>
  <c r="Q490" i="13"/>
  <c r="S483" i="13"/>
  <c r="O481" i="13"/>
  <c r="U476" i="13"/>
  <c r="Q474" i="13"/>
  <c r="S467" i="13"/>
  <c r="O465" i="13"/>
  <c r="U460" i="13"/>
  <c r="Q458" i="13"/>
  <c r="S451" i="13"/>
  <c r="U827" i="13"/>
  <c r="S818" i="13"/>
  <c r="Q797" i="13"/>
  <c r="Q793" i="13"/>
  <c r="Q789" i="13"/>
  <c r="U774" i="13"/>
  <c r="U767" i="13"/>
  <c r="O764" i="13"/>
  <c r="Q757" i="13"/>
  <c r="S750" i="13"/>
  <c r="U747" i="13"/>
  <c r="Q734" i="13"/>
  <c r="U731" i="13"/>
  <c r="O725" i="13"/>
  <c r="O722" i="13"/>
  <c r="O716" i="13"/>
  <c r="Q713" i="13"/>
  <c r="O692" i="13"/>
  <c r="Q689" i="13"/>
  <c r="O684" i="13"/>
  <c r="O676" i="13"/>
  <c r="Q673" i="13"/>
  <c r="S668" i="13"/>
  <c r="Q663" i="13"/>
  <c r="Q658" i="13"/>
  <c r="S653" i="13"/>
  <c r="O651" i="13"/>
  <c r="S646" i="13"/>
  <c r="O639" i="13"/>
  <c r="U634" i="13"/>
  <c r="O632" i="13"/>
  <c r="S627" i="13"/>
  <c r="S620" i="13"/>
  <c r="O618" i="13"/>
  <c r="U613" i="13"/>
  <c r="Q611" i="13"/>
  <c r="S604" i="13"/>
  <c r="O602" i="13"/>
  <c r="U597" i="13"/>
  <c r="Q595" i="13"/>
  <c r="S588" i="13"/>
  <c r="O586" i="13"/>
  <c r="U581" i="13"/>
  <c r="Q579" i="13"/>
  <c r="S572" i="13"/>
  <c r="O570" i="13"/>
  <c r="U565" i="13"/>
  <c r="Q563" i="13"/>
  <c r="S556" i="13"/>
  <c r="O554" i="13"/>
  <c r="U549" i="13"/>
  <c r="Q547" i="13"/>
  <c r="S540" i="13"/>
  <c r="O538" i="13"/>
  <c r="U533" i="13"/>
  <c r="Q531" i="13"/>
  <c r="S524" i="13"/>
  <c r="O522" i="13"/>
  <c r="U517" i="13"/>
  <c r="Q515" i="13"/>
  <c r="S508" i="13"/>
  <c r="O506" i="13"/>
  <c r="U501" i="13"/>
  <c r="Q499" i="13"/>
  <c r="S492" i="13"/>
  <c r="O490" i="13"/>
  <c r="U485" i="13"/>
  <c r="Q483" i="13"/>
  <c r="S476" i="13"/>
  <c r="O474" i="13"/>
  <c r="U469" i="13"/>
  <c r="Q467" i="13"/>
  <c r="S460" i="13"/>
  <c r="Q583" i="13"/>
  <c r="O493" i="13"/>
  <c r="S489" i="13"/>
  <c r="Q486" i="13"/>
  <c r="S479" i="13"/>
  <c r="Q476" i="13"/>
  <c r="S461" i="13"/>
  <c r="S458" i="13"/>
  <c r="S453" i="13"/>
  <c r="U450" i="13"/>
  <c r="S445" i="13"/>
  <c r="U440" i="13"/>
  <c r="O438" i="13"/>
  <c r="U435" i="13"/>
  <c r="O433" i="13"/>
  <c r="Q428" i="13"/>
  <c r="Q423" i="13"/>
  <c r="S418" i="13"/>
  <c r="S413" i="13"/>
  <c r="U408" i="13"/>
  <c r="O406" i="13"/>
  <c r="U403" i="13"/>
  <c r="O401" i="13"/>
  <c r="Q396" i="13"/>
  <c r="S391" i="13"/>
  <c r="O389" i="13"/>
  <c r="Q384" i="13"/>
  <c r="U379" i="13"/>
  <c r="O377" i="13"/>
  <c r="U372" i="13"/>
  <c r="Q365" i="13"/>
  <c r="S358" i="13"/>
  <c r="O356" i="13"/>
  <c r="U351" i="13"/>
  <c r="Q349" i="13"/>
  <c r="S342" i="13"/>
  <c r="O340" i="13"/>
  <c r="U335" i="13"/>
  <c r="Q333" i="13"/>
  <c r="S326" i="13"/>
  <c r="O324" i="13"/>
  <c r="U319" i="13"/>
  <c r="Q317" i="13"/>
  <c r="S310" i="13"/>
  <c r="O308" i="13"/>
  <c r="U303" i="13"/>
  <c r="Q301" i="13"/>
  <c r="S294" i="13"/>
  <c r="O292" i="13"/>
  <c r="U287" i="13"/>
  <c r="Q285" i="13"/>
  <c r="S278" i="13"/>
  <c r="O276" i="13"/>
  <c r="U271" i="13"/>
  <c r="Q269" i="13"/>
  <c r="S262" i="13"/>
  <c r="O260" i="13"/>
  <c r="U255" i="13"/>
  <c r="O564" i="13"/>
  <c r="O532" i="13"/>
  <c r="U466" i="13"/>
  <c r="Q461" i="13"/>
  <c r="O458" i="13"/>
  <c r="O453" i="13"/>
  <c r="S450" i="13"/>
  <c r="Q445" i="13"/>
  <c r="S440" i="13"/>
  <c r="S435" i="13"/>
  <c r="U425" i="13"/>
  <c r="O423" i="13"/>
  <c r="Q418" i="13"/>
  <c r="Q413" i="13"/>
  <c r="S408" i="13"/>
  <c r="S403" i="13"/>
  <c r="U393" i="13"/>
  <c r="Q391" i="13"/>
  <c r="U386" i="13"/>
  <c r="O384" i="13"/>
  <c r="S379" i="13"/>
  <c r="Q372" i="13"/>
  <c r="U367" i="13"/>
  <c r="O365" i="13"/>
  <c r="U360" i="13"/>
  <c r="Q358" i="13"/>
  <c r="S351" i="13"/>
  <c r="O349" i="13"/>
  <c r="U344" i="13"/>
  <c r="Q342" i="13"/>
  <c r="S335" i="13"/>
  <c r="O333" i="13"/>
  <c r="U328" i="13"/>
  <c r="Q326" i="13"/>
  <c r="S319" i="13"/>
  <c r="O317" i="13"/>
  <c r="U312" i="13"/>
  <c r="Q310" i="13"/>
  <c r="S303" i="13"/>
  <c r="O301" i="13"/>
  <c r="U296" i="13"/>
  <c r="Q294" i="13"/>
  <c r="S287" i="13"/>
  <c r="O285" i="13"/>
  <c r="U280" i="13"/>
  <c r="Q278" i="13"/>
  <c r="S271" i="13"/>
  <c r="O269" i="13"/>
  <c r="U264" i="13"/>
  <c r="Q262" i="13"/>
  <c r="S255" i="13"/>
  <c r="O253" i="13"/>
  <c r="U248" i="13"/>
  <c r="Q246" i="13"/>
  <c r="S239" i="13"/>
  <c r="O237" i="13"/>
  <c r="U232" i="13"/>
  <c r="Q230" i="13"/>
  <c r="S223" i="13"/>
  <c r="O221" i="13"/>
  <c r="U216" i="13"/>
  <c r="Q214" i="13"/>
  <c r="S207" i="13"/>
  <c r="O205" i="13"/>
  <c r="U200" i="13"/>
  <c r="Q198" i="13"/>
  <c r="S191" i="13"/>
  <c r="S592" i="13"/>
  <c r="Q573" i="13"/>
  <c r="U559" i="13"/>
  <c r="S550" i="13"/>
  <c r="Q541" i="13"/>
  <c r="U527" i="13"/>
  <c r="Q510" i="13"/>
  <c r="O499" i="13"/>
  <c r="U482" i="13"/>
  <c r="U472" i="13"/>
  <c r="S466" i="13"/>
  <c r="O461" i="13"/>
  <c r="S455" i="13"/>
  <c r="O445" i="13"/>
  <c r="U442" i="13"/>
  <c r="Q440" i="13"/>
  <c r="Q435" i="13"/>
  <c r="U430" i="13"/>
  <c r="S425" i="13"/>
  <c r="U420" i="13"/>
  <c r="O413" i="13"/>
  <c r="U410" i="13"/>
  <c r="Q408" i="13"/>
  <c r="Q403" i="13"/>
  <c r="U398" i="13"/>
  <c r="S393" i="13"/>
  <c r="O391" i="13"/>
  <c r="S386" i="13"/>
  <c r="O379" i="13"/>
  <c r="U374" i="13"/>
  <c r="O372" i="13"/>
  <c r="S367" i="13"/>
  <c r="S360" i="13"/>
  <c r="O358" i="13"/>
  <c r="U353" i="13"/>
  <c r="Q351" i="13"/>
  <c r="S344" i="13"/>
  <c r="O342" i="13"/>
  <c r="U337" i="13"/>
  <c r="Q335" i="13"/>
  <c r="S328" i="13"/>
  <c r="O326" i="13"/>
  <c r="U321" i="13"/>
  <c r="Q319" i="13"/>
  <c r="S312" i="13"/>
  <c r="O310" i="13"/>
  <c r="U305" i="13"/>
  <c r="Q303" i="13"/>
  <c r="S296" i="13"/>
  <c r="S518" i="13"/>
  <c r="O510" i="13"/>
  <c r="U502" i="13"/>
  <c r="U495" i="13"/>
  <c r="Q472" i="13"/>
  <c r="S469" i="13"/>
  <c r="U463" i="13"/>
  <c r="Q455" i="13"/>
  <c r="U447" i="13"/>
  <c r="S442" i="13"/>
  <c r="O440" i="13"/>
  <c r="O435" i="13"/>
  <c r="Q430" i="13"/>
  <c r="Q425" i="13"/>
  <c r="Q420" i="13"/>
  <c r="U415" i="13"/>
  <c r="S410" i="13"/>
  <c r="O408" i="13"/>
  <c r="O403" i="13"/>
  <c r="Q398" i="13"/>
  <c r="Q393" i="13"/>
  <c r="Q386" i="13"/>
  <c r="S381" i="13"/>
  <c r="S374" i="13"/>
  <c r="U369" i="13"/>
  <c r="Q367" i="13"/>
  <c r="U362" i="13"/>
  <c r="Q360" i="13"/>
  <c r="S353" i="13"/>
  <c r="O351" i="13"/>
  <c r="U346" i="13"/>
  <c r="Q344" i="13"/>
  <c r="S337" i="13"/>
  <c r="O335" i="13"/>
  <c r="U330" i="13"/>
  <c r="Q328" i="13"/>
  <c r="S321" i="13"/>
  <c r="O319" i="13"/>
  <c r="U314" i="13"/>
  <c r="Q312" i="13"/>
  <c r="S305" i="13"/>
  <c r="O303" i="13"/>
  <c r="U298" i="13"/>
  <c r="Q296" i="13"/>
  <c r="S502" i="13"/>
  <c r="S495" i="13"/>
  <c r="Q492" i="13"/>
  <c r="U488" i="13"/>
  <c r="S485" i="13"/>
  <c r="U478" i="13"/>
  <c r="O475" i="13"/>
  <c r="O469" i="13"/>
  <c r="S463" i="13"/>
  <c r="O455" i="13"/>
  <c r="S447" i="13"/>
  <c r="Q442" i="13"/>
  <c r="U437" i="13"/>
  <c r="U432" i="13"/>
  <c r="O430" i="13"/>
  <c r="U427" i="13"/>
  <c r="O425" i="13"/>
  <c r="O420" i="13"/>
  <c r="S415" i="13"/>
  <c r="Q410" i="13"/>
  <c r="U405" i="13"/>
  <c r="U400" i="13"/>
  <c r="O398" i="13"/>
  <c r="U395" i="13"/>
  <c r="O393" i="13"/>
  <c r="U388" i="13"/>
  <c r="Q381" i="13"/>
  <c r="U376" i="13"/>
  <c r="Q374" i="13"/>
  <c r="S369" i="13"/>
  <c r="O367" i="13"/>
  <c r="S362" i="13"/>
  <c r="O360" i="13"/>
  <c r="U355" i="13"/>
  <c r="Q353" i="13"/>
  <c r="S346" i="13"/>
  <c r="O344" i="13"/>
  <c r="U339" i="13"/>
  <c r="Q337" i="13"/>
  <c r="S330" i="13"/>
  <c r="O328" i="13"/>
  <c r="U323" i="13"/>
  <c r="Q321" i="13"/>
  <c r="S314" i="13"/>
  <c r="O312" i="13"/>
  <c r="U307" i="13"/>
  <c r="Q305" i="13"/>
  <c r="S298" i="13"/>
  <c r="O296" i="13"/>
  <c r="U291" i="13"/>
  <c r="Q289" i="13"/>
  <c r="S282" i="13"/>
  <c r="O280" i="13"/>
  <c r="U275" i="13"/>
  <c r="Q273" i="13"/>
  <c r="S266" i="13"/>
  <c r="O264" i="13"/>
  <c r="U259" i="13"/>
  <c r="Q257" i="13"/>
  <c r="S250" i="13"/>
  <c r="O248" i="13"/>
  <c r="U243" i="13"/>
  <c r="Q241" i="13"/>
  <c r="U601" i="13"/>
  <c r="U505" i="13"/>
  <c r="O485" i="13"/>
  <c r="Q478" i="13"/>
  <c r="Q463" i="13"/>
  <c r="U457" i="13"/>
  <c r="Q452" i="13"/>
  <c r="U449" i="13"/>
  <c r="Q447" i="13"/>
  <c r="O442" i="13"/>
  <c r="S437" i="13"/>
  <c r="S432" i="13"/>
  <c r="S427" i="13"/>
  <c r="U422" i="13"/>
  <c r="U417" i="13"/>
  <c r="Q415" i="13"/>
  <c r="O410" i="13"/>
  <c r="S405" i="13"/>
  <c r="S400" i="13"/>
  <c r="S395" i="13"/>
  <c r="Q388" i="13"/>
  <c r="U383" i="13"/>
  <c r="O381" i="13"/>
  <c r="S376" i="13"/>
  <c r="O374" i="13"/>
  <c r="Q369" i="13"/>
  <c r="U364" i="13"/>
  <c r="Q362" i="13"/>
  <c r="S355" i="13"/>
  <c r="O353" i="13"/>
  <c r="U348" i="13"/>
  <c r="Q346" i="13"/>
  <c r="S339" i="13"/>
  <c r="O337" i="13"/>
  <c r="U332" i="13"/>
  <c r="Q330" i="13"/>
  <c r="S323" i="13"/>
  <c r="O321" i="13"/>
  <c r="U316" i="13"/>
  <c r="Q314" i="13"/>
  <c r="S307" i="13"/>
  <c r="O305" i="13"/>
  <c r="U300" i="13"/>
  <c r="Q298" i="13"/>
  <c r="S291" i="13"/>
  <c r="O289" i="13"/>
  <c r="U284" i="13"/>
  <c r="Q282" i="13"/>
  <c r="S275" i="13"/>
  <c r="O273" i="13"/>
  <c r="U268" i="13"/>
  <c r="Q266" i="13"/>
  <c r="S259" i="13"/>
  <c r="O257" i="13"/>
  <c r="U252" i="13"/>
  <c r="Q250" i="13"/>
  <c r="S243" i="13"/>
  <c r="O241" i="13"/>
  <c r="U236" i="13"/>
  <c r="Q234" i="13"/>
  <c r="S576" i="13"/>
  <c r="Q567" i="13"/>
  <c r="O558" i="13"/>
  <c r="S544" i="13"/>
  <c r="Q535" i="13"/>
  <c r="O526" i="13"/>
  <c r="S505" i="13"/>
  <c r="U498" i="13"/>
  <c r="O478" i="13"/>
  <c r="U465" i="13"/>
  <c r="O463" i="13"/>
  <c r="Q460" i="13"/>
  <c r="S457" i="13"/>
  <c r="O452" i="13"/>
  <c r="S449" i="13"/>
  <c r="O447" i="13"/>
  <c r="U444" i="13"/>
  <c r="O437" i="13"/>
  <c r="Q432" i="13"/>
  <c r="O427" i="13"/>
  <c r="S422" i="13"/>
  <c r="S417" i="13"/>
  <c r="O415" i="13"/>
  <c r="U412" i="13"/>
  <c r="O405" i="13"/>
  <c r="Q400" i="13"/>
  <c r="O395" i="13"/>
  <c r="U390" i="13"/>
  <c r="O388" i="13"/>
  <c r="S383" i="13"/>
  <c r="U378" i="13"/>
  <c r="Q376" i="13"/>
  <c r="U371" i="13"/>
  <c r="O369" i="13"/>
  <c r="S364" i="13"/>
  <c r="O362" i="13"/>
  <c r="U357" i="13"/>
  <c r="Q355" i="13"/>
  <c r="S348" i="13"/>
  <c r="O346" i="13"/>
  <c r="U341" i="13"/>
  <c r="Q339" i="13"/>
  <c r="S332" i="13"/>
  <c r="O330" i="13"/>
  <c r="U325" i="13"/>
  <c r="Q323" i="13"/>
  <c r="S316" i="13"/>
  <c r="O314" i="13"/>
  <c r="U309" i="13"/>
  <c r="Q307" i="13"/>
  <c r="S300" i="13"/>
  <c r="O298" i="13"/>
  <c r="U293" i="13"/>
  <c r="Q291" i="13"/>
  <c r="S284" i="13"/>
  <c r="O282" i="13"/>
  <c r="U277" i="13"/>
  <c r="Q275" i="13"/>
  <c r="S268" i="13"/>
  <c r="O266" i="13"/>
  <c r="U553" i="13"/>
  <c r="U521" i="13"/>
  <c r="O517" i="13"/>
  <c r="Q509" i="13"/>
  <c r="S471" i="13"/>
  <c r="S465" i="13"/>
  <c r="Q457" i="13"/>
  <c r="Q449" i="13"/>
  <c r="S444" i="13"/>
  <c r="S439" i="13"/>
  <c r="U434" i="13"/>
  <c r="O432" i="13"/>
  <c r="Q422" i="13"/>
  <c r="Q417" i="13"/>
  <c r="S412" i="13"/>
  <c r="S407" i="13"/>
  <c r="U402" i="13"/>
  <c r="O400" i="13"/>
  <c r="S390" i="13"/>
  <c r="U385" i="13"/>
  <c r="Q383" i="13"/>
  <c r="S378" i="13"/>
  <c r="O376" i="13"/>
  <c r="S371" i="13"/>
  <c r="Q364" i="13"/>
  <c r="S357" i="13"/>
  <c r="O355" i="13"/>
  <c r="U350" i="13"/>
  <c r="Q348" i="13"/>
  <c r="S341" i="13"/>
  <c r="O339" i="13"/>
  <c r="U334" i="13"/>
  <c r="Q332" i="13"/>
  <c r="S325" i="13"/>
  <c r="O323" i="13"/>
  <c r="U318" i="13"/>
  <c r="Q316" i="13"/>
  <c r="S309" i="13"/>
  <c r="O307" i="13"/>
  <c r="U302" i="13"/>
  <c r="Q300" i="13"/>
  <c r="S293" i="13"/>
  <c r="O291" i="13"/>
  <c r="U286" i="13"/>
  <c r="Q284" i="13"/>
  <c r="S277" i="13"/>
  <c r="O275" i="13"/>
  <c r="U270" i="13"/>
  <c r="Q268" i="13"/>
  <c r="S261" i="13"/>
  <c r="O259" i="13"/>
  <c r="U254" i="13"/>
  <c r="Q252" i="13"/>
  <c r="S245" i="13"/>
  <c r="O243" i="13"/>
  <c r="U238" i="13"/>
  <c r="Q236" i="13"/>
  <c r="S229" i="13"/>
  <c r="O227" i="13"/>
  <c r="U222" i="13"/>
  <c r="Q220" i="13"/>
  <c r="U512" i="13"/>
  <c r="S501" i="13"/>
  <c r="U494" i="13"/>
  <c r="O491" i="13"/>
  <c r="S487" i="13"/>
  <c r="U474" i="13"/>
  <c r="Q471" i="13"/>
  <c r="Q468" i="13"/>
  <c r="Q465" i="13"/>
  <c r="U454" i="13"/>
  <c r="O449" i="13"/>
  <c r="Q444" i="13"/>
  <c r="Q439" i="13"/>
  <c r="S434" i="13"/>
  <c r="S429" i="13"/>
  <c r="U424" i="13"/>
  <c r="O422" i="13"/>
  <c r="U419" i="13"/>
  <c r="O417" i="13"/>
  <c r="Q412" i="13"/>
  <c r="Q407" i="13"/>
  <c r="S402" i="13"/>
  <c r="S397" i="13"/>
  <c r="U392" i="13"/>
  <c r="Q390" i="13"/>
  <c r="S385" i="13"/>
  <c r="O383" i="13"/>
  <c r="Q378" i="13"/>
  <c r="Q371" i="13"/>
  <c r="U366" i="13"/>
  <c r="O364" i="13"/>
  <c r="U359" i="13"/>
  <c r="Q357" i="13"/>
  <c r="S350" i="13"/>
  <c r="O348" i="13"/>
  <c r="U343" i="13"/>
  <c r="Q341" i="13"/>
  <c r="S334" i="13"/>
  <c r="O332" i="13"/>
  <c r="U327" i="13"/>
  <c r="Q325" i="13"/>
  <c r="S318" i="13"/>
  <c r="O316" i="13"/>
  <c r="U311" i="13"/>
  <c r="Q309" i="13"/>
  <c r="S302" i="13"/>
  <c r="O300" i="13"/>
  <c r="U295" i="13"/>
  <c r="Q293" i="13"/>
  <c r="S286" i="13"/>
  <c r="O284" i="13"/>
  <c r="U279" i="13"/>
  <c r="Q277" i="13"/>
  <c r="S270" i="13"/>
  <c r="O268" i="13"/>
  <c r="U263" i="13"/>
  <c r="Q261" i="13"/>
  <c r="S254" i="13"/>
  <c r="O252" i="13"/>
  <c r="U247" i="13"/>
  <c r="Q245" i="13"/>
  <c r="S238" i="13"/>
  <c r="O236" i="13"/>
  <c r="U231" i="13"/>
  <c r="Q229" i="13"/>
  <c r="S222" i="13"/>
  <c r="O220" i="13"/>
  <c r="U215" i="13"/>
  <c r="Q213" i="13"/>
  <c r="S206" i="13"/>
  <c r="O204" i="13"/>
  <c r="U199" i="13"/>
  <c r="O590" i="13"/>
  <c r="U585" i="13"/>
  <c r="O548" i="13"/>
  <c r="S512" i="13"/>
  <c r="O501" i="13"/>
  <c r="Q494" i="13"/>
  <c r="Q487" i="13"/>
  <c r="Q484" i="13"/>
  <c r="U480" i="13"/>
  <c r="O471" i="13"/>
  <c r="O468" i="13"/>
  <c r="S454" i="13"/>
  <c r="U441" i="13"/>
  <c r="O439" i="13"/>
  <c r="Q434" i="13"/>
  <c r="Q429" i="13"/>
  <c r="S424" i="13"/>
  <c r="S419" i="13"/>
  <c r="U409" i="13"/>
  <c r="O407" i="13"/>
  <c r="Q402" i="13"/>
  <c r="Q397" i="13"/>
  <c r="S392" i="13"/>
  <c r="O390" i="13"/>
  <c r="Q385" i="13"/>
  <c r="U380" i="13"/>
  <c r="O378" i="13"/>
  <c r="U373" i="13"/>
  <c r="O371" i="13"/>
  <c r="S366" i="13"/>
  <c r="S359" i="13"/>
  <c r="O357" i="13"/>
  <c r="U352" i="13"/>
  <c r="Q350" i="13"/>
  <c r="S343" i="13"/>
  <c r="O341" i="13"/>
  <c r="U336" i="13"/>
  <c r="Q334" i="13"/>
  <c r="S327" i="13"/>
  <c r="O325" i="13"/>
  <c r="U320" i="13"/>
  <c r="Q318" i="13"/>
  <c r="S311" i="13"/>
  <c r="O309" i="13"/>
  <c r="U304" i="13"/>
  <c r="Q302" i="13"/>
  <c r="S295" i="13"/>
  <c r="O293" i="13"/>
  <c r="U288" i="13"/>
  <c r="Q286" i="13"/>
  <c r="S279" i="13"/>
  <c r="O277" i="13"/>
  <c r="U272" i="13"/>
  <c r="Q270" i="13"/>
  <c r="S263" i="13"/>
  <c r="O261" i="13"/>
  <c r="U256" i="13"/>
  <c r="Q254" i="13"/>
  <c r="S247" i="13"/>
  <c r="O245" i="13"/>
  <c r="U240" i="13"/>
  <c r="Q238" i="13"/>
  <c r="S231" i="13"/>
  <c r="O229" i="13"/>
  <c r="U224" i="13"/>
  <c r="Q222" i="13"/>
  <c r="S215" i="13"/>
  <c r="O213" i="13"/>
  <c r="U208" i="13"/>
  <c r="Q206" i="13"/>
  <c r="S199" i="13"/>
  <c r="O197" i="13"/>
  <c r="U192" i="13"/>
  <c r="Q190" i="13"/>
  <c r="S183" i="13"/>
  <c r="O181" i="13"/>
  <c r="U176" i="13"/>
  <c r="Q174" i="13"/>
  <c r="S167" i="13"/>
  <c r="O165" i="13"/>
  <c r="U160" i="13"/>
  <c r="Q158" i="13"/>
  <c r="S151" i="13"/>
  <c r="U575" i="13"/>
  <c r="S566" i="13"/>
  <c r="Q557" i="13"/>
  <c r="U543" i="13"/>
  <c r="S534" i="13"/>
  <c r="Q525" i="13"/>
  <c r="Q512" i="13"/>
  <c r="O494" i="13"/>
  <c r="O487" i="13"/>
  <c r="O484" i="13"/>
  <c r="S480" i="13"/>
  <c r="S477" i="13"/>
  <c r="U462" i="13"/>
  <c r="U459" i="13"/>
  <c r="Q454" i="13"/>
  <c r="U451" i="13"/>
  <c r="U446" i="13"/>
  <c r="S441" i="13"/>
  <c r="U436" i="13"/>
  <c r="O429" i="13"/>
  <c r="U426" i="13"/>
  <c r="Q424" i="13"/>
  <c r="Q419" i="13"/>
  <c r="U414" i="13"/>
  <c r="S409" i="13"/>
  <c r="U404" i="13"/>
  <c r="O397" i="13"/>
  <c r="U394" i="13"/>
  <c r="Q392" i="13"/>
  <c r="U387" i="13"/>
  <c r="O385" i="13"/>
  <c r="S380" i="13"/>
  <c r="S373" i="13"/>
  <c r="U368" i="13"/>
  <c r="Q366" i="13"/>
  <c r="U361" i="13"/>
  <c r="Q359" i="13"/>
  <c r="S352" i="13"/>
  <c r="O350" i="13"/>
  <c r="U345" i="13"/>
  <c r="Q343" i="13"/>
  <c r="S336" i="13"/>
  <c r="O334" i="13"/>
  <c r="U329" i="13"/>
  <c r="Q327" i="13"/>
  <c r="S320" i="13"/>
  <c r="O318" i="13"/>
  <c r="U313" i="13"/>
  <c r="Q311" i="13"/>
  <c r="S304" i="13"/>
  <c r="O302" i="13"/>
  <c r="U297" i="13"/>
  <c r="Q295" i="13"/>
  <c r="S288" i="13"/>
  <c r="O286" i="13"/>
  <c r="U281" i="13"/>
  <c r="Q279" i="13"/>
  <c r="S272" i="13"/>
  <c r="O270" i="13"/>
  <c r="U265" i="13"/>
  <c r="O516" i="13"/>
  <c r="Q480" i="13"/>
  <c r="Q477" i="13"/>
  <c r="Q462" i="13"/>
  <c r="O459" i="13"/>
  <c r="U456" i="13"/>
  <c r="O454" i="13"/>
  <c r="Q451" i="13"/>
  <c r="Q446" i="13"/>
  <c r="Q441" i="13"/>
  <c r="Q436" i="13"/>
  <c r="U431" i="13"/>
  <c r="S426" i="13"/>
  <c r="O424" i="13"/>
  <c r="O419" i="13"/>
  <c r="Q414" i="13"/>
  <c r="Q409" i="13"/>
  <c r="Q404" i="13"/>
  <c r="U399" i="13"/>
  <c r="S394" i="13"/>
  <c r="O392" i="13"/>
  <c r="S387" i="13"/>
  <c r="Q380" i="13"/>
  <c r="U375" i="13"/>
  <c r="Q373" i="13"/>
  <c r="S368" i="13"/>
  <c r="O366" i="13"/>
  <c r="S361" i="13"/>
  <c r="O359" i="13"/>
  <c r="U354" i="13"/>
  <c r="Q352" i="13"/>
  <c r="S345" i="13"/>
  <c r="O343" i="13"/>
  <c r="U338" i="13"/>
  <c r="Q336" i="13"/>
  <c r="S329" i="13"/>
  <c r="O327" i="13"/>
  <c r="U322" i="13"/>
  <c r="Q320" i="13"/>
  <c r="S313" i="13"/>
  <c r="O311" i="13"/>
  <c r="U306" i="13"/>
  <c r="Q304" i="13"/>
  <c r="S297" i="13"/>
  <c r="O295" i="13"/>
  <c r="U290" i="13"/>
  <c r="Q288" i="13"/>
  <c r="S281" i="13"/>
  <c r="O279" i="13"/>
  <c r="U274" i="13"/>
  <c r="Q272" i="13"/>
  <c r="S265" i="13"/>
  <c r="O263" i="13"/>
  <c r="U258" i="13"/>
  <c r="Q256" i="13"/>
  <c r="S249" i="13"/>
  <c r="Q599" i="13"/>
  <c r="O477" i="13"/>
  <c r="U473" i="13"/>
  <c r="U464" i="13"/>
  <c r="O462" i="13"/>
  <c r="S456" i="13"/>
  <c r="O451" i="13"/>
  <c r="U448" i="13"/>
  <c r="O446" i="13"/>
  <c r="U443" i="13"/>
  <c r="O441" i="13"/>
  <c r="O436" i="13"/>
  <c r="S431" i="13"/>
  <c r="Q426" i="13"/>
  <c r="U421" i="13"/>
  <c r="U416" i="13"/>
  <c r="O414" i="13"/>
  <c r="U411" i="13"/>
  <c r="O409" i="13"/>
  <c r="O404" i="13"/>
  <c r="S399" i="13"/>
  <c r="Q394" i="13"/>
  <c r="Q387" i="13"/>
  <c r="U382" i="13"/>
  <c r="O380" i="13"/>
  <c r="S375" i="13"/>
  <c r="O373" i="13"/>
  <c r="Q368" i="13"/>
  <c r="U363" i="13"/>
  <c r="Q361" i="13"/>
  <c r="S354" i="13"/>
  <c r="O352" i="13"/>
  <c r="U347" i="13"/>
  <c r="Q345" i="13"/>
  <c r="S338" i="13"/>
  <c r="O336" i="13"/>
  <c r="U331" i="13"/>
  <c r="Q329" i="13"/>
  <c r="S322" i="13"/>
  <c r="O320" i="13"/>
  <c r="U315" i="13"/>
  <c r="Q313" i="13"/>
  <c r="S306" i="13"/>
  <c r="O304" i="13"/>
  <c r="U299" i="13"/>
  <c r="Q297" i="13"/>
  <c r="S290" i="13"/>
  <c r="O288" i="13"/>
  <c r="U283" i="13"/>
  <c r="Q281" i="13"/>
  <c r="S274" i="13"/>
  <c r="O272" i="13"/>
  <c r="U267" i="13"/>
  <c r="Q265" i="13"/>
  <c r="S258" i="13"/>
  <c r="O256" i="13"/>
  <c r="S503" i="13"/>
  <c r="Q500" i="13"/>
  <c r="U496" i="13"/>
  <c r="S473" i="13"/>
  <c r="U470" i="13"/>
  <c r="O467" i="13"/>
  <c r="S464" i="13"/>
  <c r="Q456" i="13"/>
  <c r="S448" i="13"/>
  <c r="S443" i="13"/>
  <c r="U438" i="13"/>
  <c r="U433" i="13"/>
  <c r="Q431" i="13"/>
  <c r="O426" i="13"/>
  <c r="S421" i="13"/>
  <c r="S416" i="13"/>
  <c r="S411" i="13"/>
  <c r="U406" i="13"/>
  <c r="U401" i="13"/>
  <c r="Q399" i="13"/>
  <c r="O394" i="13"/>
  <c r="U389" i="13"/>
  <c r="O387" i="13"/>
  <c r="S382" i="13"/>
  <c r="U377" i="13"/>
  <c r="Q375" i="13"/>
  <c r="U370" i="13"/>
  <c r="O368" i="13"/>
  <c r="S363" i="13"/>
  <c r="O361" i="13"/>
  <c r="U356" i="13"/>
  <c r="Q354" i="13"/>
  <c r="S347" i="13"/>
  <c r="O345" i="13"/>
  <c r="U340" i="13"/>
  <c r="Q338" i="13"/>
  <c r="S331" i="13"/>
  <c r="O329" i="13"/>
  <c r="U324" i="13"/>
  <c r="Q322" i="13"/>
  <c r="S315" i="13"/>
  <c r="O313" i="13"/>
  <c r="U308" i="13"/>
  <c r="Q306" i="13"/>
  <c r="S299" i="13"/>
  <c r="O297" i="13"/>
  <c r="U292" i="13"/>
  <c r="Q290" i="13"/>
  <c r="S283" i="13"/>
  <c r="O281" i="13"/>
  <c r="U276" i="13"/>
  <c r="Q274" i="13"/>
  <c r="O574" i="13"/>
  <c r="S560" i="13"/>
  <c r="Q551" i="13"/>
  <c r="O542" i="13"/>
  <c r="S528" i="13"/>
  <c r="S519" i="13"/>
  <c r="U511" i="13"/>
  <c r="O507" i="13"/>
  <c r="Q503" i="13"/>
  <c r="O500" i="13"/>
  <c r="S496" i="13"/>
  <c r="S493" i="13"/>
  <c r="U486" i="13"/>
  <c r="O483" i="13"/>
  <c r="Q473" i="13"/>
  <c r="S470" i="13"/>
  <c r="Q464" i="13"/>
  <c r="O456" i="13"/>
  <c r="Q448" i="13"/>
  <c r="O443" i="13"/>
  <c r="S438" i="13"/>
  <c r="S433" i="13"/>
  <c r="O431" i="13"/>
  <c r="U428" i="13"/>
  <c r="O421" i="13"/>
  <c r="Q416" i="13"/>
  <c r="O411" i="13"/>
  <c r="S406" i="13"/>
  <c r="S401" i="13"/>
  <c r="O399" i="13"/>
  <c r="U396" i="13"/>
  <c r="S389" i="13"/>
  <c r="U384" i="13"/>
  <c r="Q382" i="13"/>
  <c r="S377" i="13"/>
  <c r="O375" i="13"/>
  <c r="S370" i="13"/>
  <c r="Q363" i="13"/>
  <c r="S356" i="13"/>
  <c r="O354" i="13"/>
  <c r="U349" i="13"/>
  <c r="Q347" i="13"/>
  <c r="S340" i="13"/>
  <c r="O338" i="13"/>
  <c r="U333" i="13"/>
  <c r="Q331" i="13"/>
  <c r="S324" i="13"/>
  <c r="O322" i="13"/>
  <c r="U569" i="13"/>
  <c r="U537" i="13"/>
  <c r="Q519" i="13"/>
  <c r="O503" i="13"/>
  <c r="Q496" i="13"/>
  <c r="Q493" i="13"/>
  <c r="U489" i="13"/>
  <c r="S486" i="13"/>
  <c r="U479" i="13"/>
  <c r="Q470" i="13"/>
  <c r="O464" i="13"/>
  <c r="U458" i="13"/>
  <c r="U453" i="13"/>
  <c r="O448" i="13"/>
  <c r="Q438" i="13"/>
  <c r="Q433" i="13"/>
  <c r="S428" i="13"/>
  <c r="S423" i="13"/>
  <c r="U418" i="13"/>
  <c r="O416" i="13"/>
  <c r="Q406" i="13"/>
  <c r="Q401" i="13"/>
  <c r="S396" i="13"/>
  <c r="U391" i="13"/>
  <c r="Q389" i="13"/>
  <c r="S384" i="13"/>
  <c r="O382" i="13"/>
  <c r="Q377" i="13"/>
  <c r="Q370" i="13"/>
  <c r="S365" i="13"/>
  <c r="O363" i="13"/>
  <c r="U358" i="13"/>
  <c r="Q356" i="13"/>
  <c r="S349" i="13"/>
  <c r="O347" i="13"/>
  <c r="U342" i="13"/>
  <c r="Q340" i="13"/>
  <c r="S333" i="13"/>
  <c r="O331" i="13"/>
  <c r="U326" i="13"/>
  <c r="Q324" i="13"/>
  <c r="S317" i="13"/>
  <c r="O315" i="13"/>
  <c r="U310" i="13"/>
  <c r="Q308" i="13"/>
  <c r="S301" i="13"/>
  <c r="O299" i="13"/>
  <c r="U294" i="13"/>
  <c r="Q292" i="13"/>
  <c r="S285" i="13"/>
  <c r="O283" i="13"/>
  <c r="U278" i="13"/>
  <c r="Q276" i="13"/>
  <c r="S269" i="13"/>
  <c r="O267" i="13"/>
  <c r="U262" i="13"/>
  <c r="Q260" i="13"/>
  <c r="S253" i="13"/>
  <c r="O251" i="13"/>
  <c r="U246" i="13"/>
  <c r="Q244" i="13"/>
  <c r="S237" i="13"/>
  <c r="O235" i="13"/>
  <c r="U230" i="13"/>
  <c r="Q228" i="13"/>
  <c r="S221" i="13"/>
  <c r="O219" i="13"/>
  <c r="U214" i="13"/>
  <c r="Q212" i="13"/>
  <c r="S205" i="13"/>
  <c r="O203" i="13"/>
  <c r="U198" i="13"/>
  <c r="Q196" i="13"/>
  <c r="S189" i="13"/>
  <c r="O187" i="13"/>
  <c r="U182" i="13"/>
  <c r="Q180" i="13"/>
  <c r="S173" i="13"/>
  <c r="O171" i="13"/>
  <c r="U166" i="13"/>
  <c r="Q164" i="13"/>
  <c r="S157" i="13"/>
  <c r="O155" i="13"/>
  <c r="U150" i="13"/>
  <c r="Q148" i="13"/>
  <c r="Q5" i="13"/>
  <c r="U7" i="13"/>
  <c r="O12" i="13"/>
  <c r="S14" i="13"/>
  <c r="Q21" i="13"/>
  <c r="U23" i="13"/>
  <c r="O28" i="13"/>
  <c r="S30" i="13"/>
  <c r="Q37" i="13"/>
  <c r="U39" i="13"/>
  <c r="O44" i="13"/>
  <c r="S46" i="13"/>
  <c r="Q53" i="13"/>
  <c r="U55" i="13"/>
  <c r="O60" i="13"/>
  <c r="S62" i="13"/>
  <c r="Q69" i="13"/>
  <c r="U71" i="13"/>
  <c r="O76" i="13"/>
  <c r="S78" i="13"/>
  <c r="Q85" i="13"/>
  <c r="U87" i="13"/>
  <c r="O92" i="13"/>
  <c r="S94" i="13"/>
  <c r="Q101" i="13"/>
  <c r="U103" i="13"/>
  <c r="O108" i="13"/>
  <c r="S110" i="13"/>
  <c r="Q117" i="13"/>
  <c r="U119" i="13"/>
  <c r="O124" i="13"/>
  <c r="S126" i="13"/>
  <c r="Q133" i="13"/>
  <c r="U135" i="13"/>
  <c r="O140" i="13"/>
  <c r="S142" i="13"/>
  <c r="S149" i="13"/>
  <c r="Q154" i="13"/>
  <c r="Q159" i="13"/>
  <c r="O169" i="13"/>
  <c r="U171" i="13"/>
  <c r="S176" i="13"/>
  <c r="S181" i="13"/>
  <c r="Q186" i="13"/>
  <c r="Q191" i="13"/>
  <c r="O196" i="13"/>
  <c r="Q204" i="13"/>
  <c r="O207" i="13"/>
  <c r="S220" i="13"/>
  <c r="U223" i="13"/>
  <c r="U228" i="13"/>
  <c r="S234" i="13"/>
  <c r="U237" i="13"/>
  <c r="S240" i="13"/>
  <c r="Q243" i="13"/>
  <c r="S256" i="13"/>
  <c r="Q267" i="13"/>
  <c r="Q271" i="13"/>
  <c r="S5" i="13"/>
  <c r="Q12" i="13"/>
  <c r="O19" i="13"/>
  <c r="S21" i="13"/>
  <c r="Q28" i="13"/>
  <c r="O35" i="13"/>
  <c r="O51" i="13"/>
  <c r="S53" i="13"/>
  <c r="Q60" i="13"/>
  <c r="O67" i="13"/>
  <c r="Q76" i="13"/>
  <c r="U78" i="13"/>
  <c r="S85" i="13"/>
  <c r="Q92" i="13"/>
  <c r="U94" i="13"/>
  <c r="S101" i="13"/>
  <c r="Q108" i="13"/>
  <c r="U110" i="13"/>
  <c r="O115" i="13"/>
  <c r="S117" i="13"/>
  <c r="Q124" i="13"/>
  <c r="U126" i="13"/>
  <c r="O131" i="13"/>
  <c r="S133" i="13"/>
  <c r="Q140" i="13"/>
  <c r="U142" i="13"/>
  <c r="O147" i="13"/>
  <c r="U149" i="13"/>
  <c r="O152" i="13"/>
  <c r="S154" i="13"/>
  <c r="S159" i="13"/>
  <c r="O164" i="13"/>
  <c r="Q169" i="13"/>
  <c r="O174" i="13"/>
  <c r="U181" i="13"/>
  <c r="O184" i="13"/>
  <c r="S186" i="13"/>
  <c r="U191" i="13"/>
  <c r="S196" i="13"/>
  <c r="O199" i="13"/>
  <c r="S204" i="13"/>
  <c r="Q207" i="13"/>
  <c r="O212" i="13"/>
  <c r="O215" i="13"/>
  <c r="U220" i="13"/>
  <c r="O226" i="13"/>
  <c r="U234" i="13"/>
  <c r="S267" i="13"/>
  <c r="Q280" i="13"/>
  <c r="U317" i="13"/>
  <c r="O3" i="13"/>
  <c r="U14" i="13"/>
  <c r="U30" i="13"/>
  <c r="S37" i="13"/>
  <c r="Q44" i="13"/>
  <c r="U46" i="13"/>
  <c r="U62" i="13"/>
  <c r="S69" i="13"/>
  <c r="O83" i="13"/>
  <c r="O99" i="13"/>
  <c r="Q3" i="13"/>
  <c r="U5" i="13"/>
  <c r="O10" i="13"/>
  <c r="S12" i="13"/>
  <c r="Q19" i="13"/>
  <c r="U21" i="13"/>
  <c r="O26" i="13"/>
  <c r="S28" i="13"/>
  <c r="Q35" i="13"/>
  <c r="U37" i="13"/>
  <c r="O42" i="13"/>
  <c r="S44" i="13"/>
  <c r="Q51" i="13"/>
  <c r="U53" i="13"/>
  <c r="O58" i="13"/>
  <c r="S60" i="13"/>
  <c r="Q67" i="13"/>
  <c r="U69" i="13"/>
  <c r="O74" i="13"/>
  <c r="S76" i="13"/>
  <c r="Q83" i="13"/>
  <c r="U85" i="13"/>
  <c r="O90" i="13"/>
  <c r="S92" i="13"/>
  <c r="Q99" i="13"/>
  <c r="U101" i="13"/>
  <c r="O106" i="13"/>
  <c r="S108" i="13"/>
  <c r="Q115" i="13"/>
  <c r="U117" i="13"/>
  <c r="O122" i="13"/>
  <c r="S124" i="13"/>
  <c r="Q131" i="13"/>
  <c r="U133" i="13"/>
  <c r="O138" i="13"/>
  <c r="S140" i="13"/>
  <c r="Q147" i="13"/>
  <c r="Q152" i="13"/>
  <c r="U154" i="13"/>
  <c r="U159" i="13"/>
  <c r="S164" i="13"/>
  <c r="S169" i="13"/>
  <c r="S174" i="13"/>
  <c r="O179" i="13"/>
  <c r="Q184" i="13"/>
  <c r="U186" i="13"/>
  <c r="O194" i="13"/>
  <c r="U196" i="13"/>
  <c r="Q199" i="13"/>
  <c r="U204" i="13"/>
  <c r="U207" i="13"/>
  <c r="S212" i="13"/>
  <c r="Q215" i="13"/>
  <c r="Q226" i="13"/>
  <c r="O232" i="13"/>
  <c r="Q253" i="13"/>
  <c r="S260" i="13"/>
  <c r="S280" i="13"/>
  <c r="Q10" i="13"/>
  <c r="S19" i="13"/>
  <c r="Q26" i="13"/>
  <c r="U60" i="13"/>
  <c r="O65" i="13"/>
  <c r="S67" i="13"/>
  <c r="Q74" i="13"/>
  <c r="U76" i="13"/>
  <c r="O81" i="13"/>
  <c r="S83" i="13"/>
  <c r="Q90" i="13"/>
  <c r="U92" i="13"/>
  <c r="O97" i="13"/>
  <c r="S99" i="13"/>
  <c r="Q106" i="13"/>
  <c r="U108" i="13"/>
  <c r="O113" i="13"/>
  <c r="S115" i="13"/>
  <c r="Q122" i="13"/>
  <c r="U124" i="13"/>
  <c r="O129" i="13"/>
  <c r="S131" i="13"/>
  <c r="Q138" i="13"/>
  <c r="U140" i="13"/>
  <c r="O145" i="13"/>
  <c r="S147" i="13"/>
  <c r="S152" i="13"/>
  <c r="O157" i="13"/>
  <c r="O162" i="13"/>
  <c r="U164" i="13"/>
  <c r="O167" i="13"/>
  <c r="U169" i="13"/>
  <c r="U174" i="13"/>
  <c r="Q179" i="13"/>
  <c r="S184" i="13"/>
  <c r="O189" i="13"/>
  <c r="Q194" i="13"/>
  <c r="O202" i="13"/>
  <c r="O210" i="13"/>
  <c r="U212" i="13"/>
  <c r="O218" i="13"/>
  <c r="S226" i="13"/>
  <c r="Q232" i="13"/>
  <c r="O247" i="13"/>
  <c r="O250" i="13"/>
  <c r="U253" i="13"/>
  <c r="U260" i="13"/>
  <c r="Q264" i="13"/>
  <c r="S276" i="13"/>
  <c r="S289" i="13"/>
  <c r="U12" i="13"/>
  <c r="O33" i="13"/>
  <c r="S35" i="13"/>
  <c r="Q42" i="13"/>
  <c r="U44" i="13"/>
  <c r="S51" i="13"/>
  <c r="Q58" i="13"/>
  <c r="U3" i="13"/>
  <c r="O8" i="13"/>
  <c r="S10" i="13"/>
  <c r="Q17" i="13"/>
  <c r="U19" i="13"/>
  <c r="O24" i="13"/>
  <c r="S26" i="13"/>
  <c r="Q33" i="13"/>
  <c r="U35" i="13"/>
  <c r="O40" i="13"/>
  <c r="S42" i="13"/>
  <c r="Q49" i="13"/>
  <c r="U51" i="13"/>
  <c r="O56" i="13"/>
  <c r="S58" i="13"/>
  <c r="Q65" i="13"/>
  <c r="U67" i="13"/>
  <c r="O72" i="13"/>
  <c r="S74" i="13"/>
  <c r="Q81" i="13"/>
  <c r="U83" i="13"/>
  <c r="O88" i="13"/>
  <c r="S90" i="13"/>
  <c r="Q97" i="13"/>
  <c r="U99" i="13"/>
  <c r="O104" i="13"/>
  <c r="S106" i="13"/>
  <c r="Q113" i="13"/>
  <c r="U115" i="13"/>
  <c r="O120" i="13"/>
  <c r="S122" i="13"/>
  <c r="Q129" i="13"/>
  <c r="U131" i="13"/>
  <c r="O136" i="13"/>
  <c r="S138" i="13"/>
  <c r="Q145" i="13"/>
  <c r="U147" i="13"/>
  <c r="U152" i="13"/>
  <c r="Q157" i="13"/>
  <c r="Q162" i="13"/>
  <c r="Q167" i="13"/>
  <c r="O172" i="13"/>
  <c r="O177" i="13"/>
  <c r="S179" i="13"/>
  <c r="U184" i="13"/>
  <c r="Q189" i="13"/>
  <c r="S194" i="13"/>
  <c r="Q202" i="13"/>
  <c r="Q210" i="13"/>
  <c r="Q218" i="13"/>
  <c r="O224" i="13"/>
  <c r="U226" i="13"/>
  <c r="U229" i="13"/>
  <c r="S232" i="13"/>
  <c r="O238" i="13"/>
  <c r="S241" i="13"/>
  <c r="O244" i="13"/>
  <c r="Q247" i="13"/>
  <c r="U250" i="13"/>
  <c r="S257" i="13"/>
  <c r="S264" i="13"/>
  <c r="U285" i="13"/>
  <c r="U289" i="13"/>
  <c r="S308" i="13"/>
  <c r="S3" i="13"/>
  <c r="O17" i="13"/>
  <c r="U28" i="13"/>
  <c r="O49" i="13"/>
  <c r="Q8" i="13"/>
  <c r="U10" i="13"/>
  <c r="O15" i="13"/>
  <c r="S17" i="13"/>
  <c r="Q24" i="13"/>
  <c r="U26" i="13"/>
  <c r="O31" i="13"/>
  <c r="S33" i="13"/>
  <c r="Q40" i="13"/>
  <c r="U42" i="13"/>
  <c r="O47" i="13"/>
  <c r="S49" i="13"/>
  <c r="Q56" i="13"/>
  <c r="U58" i="13"/>
  <c r="O63" i="13"/>
  <c r="S65" i="13"/>
  <c r="Q72" i="13"/>
  <c r="U74" i="13"/>
  <c r="O79" i="13"/>
  <c r="S81" i="13"/>
  <c r="Q88" i="13"/>
  <c r="U90" i="13"/>
  <c r="O95" i="13"/>
  <c r="S97" i="13"/>
  <c r="Q104" i="13"/>
  <c r="U106" i="13"/>
  <c r="O111" i="13"/>
  <c r="S113" i="13"/>
  <c r="Q120" i="13"/>
  <c r="U122" i="13"/>
  <c r="O127" i="13"/>
  <c r="S129" i="13"/>
  <c r="Q136" i="13"/>
  <c r="U138" i="13"/>
  <c r="O143" i="13"/>
  <c r="S145" i="13"/>
  <c r="O150" i="13"/>
  <c r="U157" i="13"/>
  <c r="S162" i="13"/>
  <c r="U167" i="13"/>
  <c r="Q172" i="13"/>
  <c r="Q177" i="13"/>
  <c r="U179" i="13"/>
  <c r="O182" i="13"/>
  <c r="U189" i="13"/>
  <c r="O192" i="13"/>
  <c r="U194" i="13"/>
  <c r="S202" i="13"/>
  <c r="S210" i="13"/>
  <c r="S218" i="13"/>
  <c r="Q221" i="13"/>
  <c r="Q224" i="13"/>
  <c r="Q235" i="13"/>
  <c r="U241" i="13"/>
  <c r="S244" i="13"/>
  <c r="U257" i="13"/>
  <c r="O6" i="13"/>
  <c r="S8" i="13"/>
  <c r="Q15" i="13"/>
  <c r="U17" i="13"/>
  <c r="O22" i="13"/>
  <c r="S24" i="13"/>
  <c r="Q31" i="13"/>
  <c r="U33" i="13"/>
  <c r="O38" i="13"/>
  <c r="S40" i="13"/>
  <c r="Q47" i="13"/>
  <c r="U49" i="13"/>
  <c r="O54" i="13"/>
  <c r="S56" i="13"/>
  <c r="Q63" i="13"/>
  <c r="U65" i="13"/>
  <c r="O70" i="13"/>
  <c r="S72" i="13"/>
  <c r="Q79" i="13"/>
  <c r="U81" i="13"/>
  <c r="O86" i="13"/>
  <c r="S88" i="13"/>
  <c r="Q95" i="13"/>
  <c r="U97" i="13"/>
  <c r="O102" i="13"/>
  <c r="S104" i="13"/>
  <c r="Q111" i="13"/>
  <c r="U113" i="13"/>
  <c r="O118" i="13"/>
  <c r="S120" i="13"/>
  <c r="Q127" i="13"/>
  <c r="U129" i="13"/>
  <c r="O134" i="13"/>
  <c r="S136" i="13"/>
  <c r="Q143" i="13"/>
  <c r="U145" i="13"/>
  <c r="Q150" i="13"/>
  <c r="Q155" i="13"/>
  <c r="O160" i="13"/>
  <c r="U162" i="13"/>
  <c r="S172" i="13"/>
  <c r="S177" i="13"/>
  <c r="Q182" i="13"/>
  <c r="Q187" i="13"/>
  <c r="Q192" i="13"/>
  <c r="Q197" i="13"/>
  <c r="O200" i="13"/>
  <c r="U202" i="13"/>
  <c r="Q205" i="13"/>
  <c r="O208" i="13"/>
  <c r="U210" i="13"/>
  <c r="O216" i="13"/>
  <c r="U218" i="13"/>
  <c r="U221" i="13"/>
  <c r="S224" i="13"/>
  <c r="S235" i="13"/>
  <c r="U244" i="13"/>
  <c r="O294" i="13"/>
  <c r="Q299" i="13"/>
  <c r="O13" i="13"/>
  <c r="S15" i="13"/>
  <c r="S31" i="13"/>
  <c r="Q38" i="13"/>
  <c r="U40" i="13"/>
  <c r="S47" i="13"/>
  <c r="Q54" i="13"/>
  <c r="U56" i="13"/>
  <c r="O61" i="13"/>
  <c r="S63" i="13"/>
  <c r="Q70" i="13"/>
  <c r="U72" i="13"/>
  <c r="O77" i="13"/>
  <c r="S79" i="13"/>
  <c r="Q86" i="13"/>
  <c r="U88" i="13"/>
  <c r="O93" i="13"/>
  <c r="S95" i="13"/>
  <c r="Q102" i="13"/>
  <c r="U104" i="13"/>
  <c r="O109" i="13"/>
  <c r="S111" i="13"/>
  <c r="Q118" i="13"/>
  <c r="U120" i="13"/>
  <c r="O125" i="13"/>
  <c r="S127" i="13"/>
  <c r="Q134" i="13"/>
  <c r="U136" i="13"/>
  <c r="O141" i="13"/>
  <c r="S143" i="13"/>
  <c r="S150" i="13"/>
  <c r="S155" i="13"/>
  <c r="Q160" i="13"/>
  <c r="Q165" i="13"/>
  <c r="O170" i="13"/>
  <c r="U172" i="13"/>
  <c r="O175" i="13"/>
  <c r="U177" i="13"/>
  <c r="S182" i="13"/>
  <c r="S187" i="13"/>
  <c r="S192" i="13"/>
  <c r="S197" i="13"/>
  <c r="Q200" i="13"/>
  <c r="U205" i="13"/>
  <c r="Q208" i="13"/>
  <c r="S213" i="13"/>
  <c r="Q216" i="13"/>
  <c r="U235" i="13"/>
  <c r="O254" i="13"/>
  <c r="U261" i="13"/>
  <c r="S273" i="13"/>
  <c r="Q6" i="13"/>
  <c r="U8" i="13"/>
  <c r="Q22" i="13"/>
  <c r="U24" i="13"/>
  <c r="O29" i="13"/>
  <c r="O45" i="13"/>
  <c r="O4" i="13"/>
  <c r="S6" i="13"/>
  <c r="Q13" i="13"/>
  <c r="U15" i="13"/>
  <c r="O20" i="13"/>
  <c r="S22" i="13"/>
  <c r="Q29" i="13"/>
  <c r="U31" i="13"/>
  <c r="O36" i="13"/>
  <c r="S38" i="13"/>
  <c r="Q45" i="13"/>
  <c r="U47" i="13"/>
  <c r="O52" i="13"/>
  <c r="S54" i="13"/>
  <c r="Q61" i="13"/>
  <c r="U63" i="13"/>
  <c r="O68" i="13"/>
  <c r="S70" i="13"/>
  <c r="Q77" i="13"/>
  <c r="U79" i="13"/>
  <c r="O84" i="13"/>
  <c r="S86" i="13"/>
  <c r="Q93" i="13"/>
  <c r="U95" i="13"/>
  <c r="O100" i="13"/>
  <c r="S102" i="13"/>
  <c r="Q109" i="13"/>
  <c r="U111" i="13"/>
  <c r="O116" i="13"/>
  <c r="S118" i="13"/>
  <c r="Q125" i="13"/>
  <c r="U127" i="13"/>
  <c r="O132" i="13"/>
  <c r="S134" i="13"/>
  <c r="Q141" i="13"/>
  <c r="U143" i="13"/>
  <c r="O148" i="13"/>
  <c r="O153" i="13"/>
  <c r="U155" i="13"/>
  <c r="S160" i="13"/>
  <c r="S165" i="13"/>
  <c r="Q170" i="13"/>
  <c r="Q175" i="13"/>
  <c r="O185" i="13"/>
  <c r="U187" i="13"/>
  <c r="U197" i="13"/>
  <c r="S200" i="13"/>
  <c r="S208" i="13"/>
  <c r="U213" i="13"/>
  <c r="S216" i="13"/>
  <c r="Q227" i="13"/>
  <c r="O230" i="13"/>
  <c r="O233" i="13"/>
  <c r="O239" i="13"/>
  <c r="Q248" i="13"/>
  <c r="Q251" i="13"/>
  <c r="O265" i="13"/>
  <c r="U269" i="13"/>
  <c r="U273" i="13"/>
  <c r="O290" i="13"/>
  <c r="Q4" i="13"/>
  <c r="U6" i="13"/>
  <c r="O11" i="13"/>
  <c r="S13" i="13"/>
  <c r="Q20" i="13"/>
  <c r="U22" i="13"/>
  <c r="O27" i="13"/>
  <c r="S29" i="13"/>
  <c r="Q36" i="13"/>
  <c r="U38" i="13"/>
  <c r="O43" i="13"/>
  <c r="S45" i="13"/>
  <c r="Q52" i="13"/>
  <c r="U54" i="13"/>
  <c r="O59" i="13"/>
  <c r="S61" i="13"/>
  <c r="Q68" i="13"/>
  <c r="U70" i="13"/>
  <c r="O75" i="13"/>
  <c r="S77" i="13"/>
  <c r="Q84" i="13"/>
  <c r="U86" i="13"/>
  <c r="O91" i="13"/>
  <c r="S93" i="13"/>
  <c r="Q100" i="13"/>
  <c r="U102" i="13"/>
  <c r="O107" i="13"/>
  <c r="S109" i="13"/>
  <c r="Q116" i="13"/>
  <c r="U118" i="13"/>
  <c r="O123" i="13"/>
  <c r="S125" i="13"/>
  <c r="Q132" i="13"/>
  <c r="U134" i="13"/>
  <c r="O139" i="13"/>
  <c r="S141" i="13"/>
  <c r="S148" i="13"/>
  <c r="Q153" i="13"/>
  <c r="O158" i="13"/>
  <c r="U165" i="13"/>
  <c r="O168" i="13"/>
  <c r="S170" i="13"/>
  <c r="S175" i="13"/>
  <c r="O180" i="13"/>
  <c r="Q185" i="13"/>
  <c r="O190" i="13"/>
  <c r="O195" i="13"/>
  <c r="S227" i="13"/>
  <c r="S230" i="13"/>
  <c r="Q233" i="13"/>
  <c r="Q239" i="13"/>
  <c r="O242" i="13"/>
  <c r="S248" i="13"/>
  <c r="S251" i="13"/>
  <c r="O258" i="13"/>
  <c r="U282" i="13"/>
  <c r="S4" i="13"/>
  <c r="Q11" i="13"/>
  <c r="U13" i="13"/>
  <c r="O18" i="13"/>
  <c r="S20" i="13"/>
  <c r="Q27" i="13"/>
  <c r="U29" i="13"/>
  <c r="O34" i="13"/>
  <c r="S36" i="13"/>
  <c r="Q43" i="13"/>
  <c r="U45" i="13"/>
  <c r="O50" i="13"/>
  <c r="S52" i="13"/>
  <c r="Q59" i="13"/>
  <c r="U61" i="13"/>
  <c r="O66" i="13"/>
  <c r="S68" i="13"/>
  <c r="Q75" i="13"/>
  <c r="U77" i="13"/>
  <c r="O82" i="13"/>
  <c r="S84" i="13"/>
  <c r="Q91" i="13"/>
  <c r="U93" i="13"/>
  <c r="O98" i="13"/>
  <c r="S100" i="13"/>
  <c r="Q107" i="13"/>
  <c r="U109" i="13"/>
  <c r="O114" i="13"/>
  <c r="S116" i="13"/>
  <c r="Q123" i="13"/>
  <c r="U125" i="13"/>
  <c r="O130" i="13"/>
  <c r="S132" i="13"/>
  <c r="Q139" i="13"/>
  <c r="U141" i="13"/>
  <c r="O146" i="13"/>
  <c r="U148" i="13"/>
  <c r="S153" i="13"/>
  <c r="S158" i="13"/>
  <c r="O163" i="13"/>
  <c r="Q168" i="13"/>
  <c r="U170" i="13"/>
  <c r="U175" i="13"/>
  <c r="S180" i="13"/>
  <c r="S185" i="13"/>
  <c r="S190" i="13"/>
  <c r="Q195" i="13"/>
  <c r="Q203" i="13"/>
  <c r="O211" i="13"/>
  <c r="Q219" i="13"/>
  <c r="O222" i="13"/>
  <c r="O225" i="13"/>
  <c r="U227" i="13"/>
  <c r="S233" i="13"/>
  <c r="U239" i="13"/>
  <c r="Q242" i="13"/>
  <c r="U245" i="13"/>
  <c r="U251" i="13"/>
  <c r="Q258" i="13"/>
  <c r="O278" i="13"/>
  <c r="Q315" i="13"/>
  <c r="C48" i="7" l="1"/>
  <c r="D7" i="7"/>
  <c r="D45" i="7" l="1"/>
  <c r="D4" i="7"/>
  <c r="D10" i="7"/>
  <c r="D9" i="7"/>
  <c r="D48" i="7"/>
  <c r="D42" i="7"/>
  <c r="D29" i="7"/>
  <c r="D21" i="7"/>
  <c r="D16" i="7"/>
  <c r="D40" i="7"/>
  <c r="D27" i="7"/>
  <c r="D19" i="7"/>
  <c r="D14" i="7"/>
  <c r="D32" i="7"/>
  <c r="D11" i="7"/>
  <c r="D24" i="7"/>
  <c r="D37" i="7"/>
  <c r="D6" i="7"/>
  <c r="D13" i="7"/>
  <c r="D18" i="7"/>
  <c r="D35" i="7"/>
  <c r="D30" i="7"/>
  <c r="D25" i="7"/>
  <c r="D41" i="7"/>
  <c r="D36" i="7"/>
  <c r="D31" i="7"/>
  <c r="D3" i="7"/>
  <c r="D43" i="7"/>
  <c r="D15" i="7"/>
  <c r="D33" i="7"/>
  <c r="D26" i="7"/>
  <c r="D44" i="7"/>
  <c r="D38" i="7"/>
  <c r="D34" i="7"/>
  <c r="D5" i="7"/>
  <c r="D46" i="7"/>
  <c r="D17" i="7"/>
  <c r="D8" i="7"/>
  <c r="D28" i="7"/>
  <c r="D20" i="7"/>
  <c r="D39" i="7"/>
  <c r="D22" i="7"/>
  <c r="D12" i="7"/>
  <c r="D23" i="7"/>
  <c r="D47" i="7"/>
</calcChain>
</file>

<file path=xl/sharedStrings.xml><?xml version="1.0" encoding="utf-8"?>
<sst xmlns="http://schemas.openxmlformats.org/spreadsheetml/2006/main" count="46266" uniqueCount="5195">
  <si>
    <t>id</t>
  </si>
  <si>
    <t>河流</t>
  </si>
  <si>
    <t>性质</t>
  </si>
  <si>
    <t>信息来源</t>
  </si>
  <si>
    <t>标题</t>
  </si>
  <si>
    <t>内容长度</t>
  </si>
  <si>
    <t>情感整理</t>
  </si>
  <si>
    <t>情感倾向
（原）</t>
  </si>
  <si>
    <t>情感倾向（新）</t>
  </si>
  <si>
    <t>诉求内容情绪</t>
  </si>
  <si>
    <t>回复时滞影响的情绪</t>
  </si>
  <si>
    <t>匿名(1)/实名(0)</t>
  </si>
  <si>
    <t>时间</t>
  </si>
  <si>
    <r>
      <rPr>
        <sz val="11"/>
        <color theme="1"/>
        <rFont val="宋体"/>
        <family val="3"/>
        <charset val="134"/>
      </rPr>
      <t>利己=0，利他=1，</t>
    </r>
    <r>
      <rPr>
        <sz val="11"/>
        <color theme="1"/>
        <rFont val="宋体"/>
        <family val="3"/>
        <charset val="134"/>
      </rPr>
      <t>生态=2</t>
    </r>
  </si>
  <si>
    <t>利己分数</t>
  </si>
  <si>
    <t>利他分数</t>
  </si>
  <si>
    <t>生态分数</t>
  </si>
  <si>
    <t>价值取向个体规范</t>
  </si>
  <si>
    <t>投诉件内容</t>
  </si>
  <si>
    <t>回复1</t>
  </si>
  <si>
    <t>回复长度</t>
  </si>
  <si>
    <t>转处理次数</t>
  </si>
  <si>
    <t>最终回复-投诉事件</t>
  </si>
  <si>
    <t>2016年前已有诉求件数量</t>
  </si>
  <si>
    <t>政治信任程度</t>
  </si>
  <si>
    <t>政府工具</t>
  </si>
  <si>
    <t>行政工具词频</t>
  </si>
  <si>
    <t>行政工具比重</t>
  </si>
  <si>
    <t>信息工具词频</t>
  </si>
  <si>
    <t>信息工具比重</t>
  </si>
  <si>
    <t>合作工具词频</t>
  </si>
  <si>
    <t>合作工具比重</t>
  </si>
  <si>
    <t>法制工具词频</t>
  </si>
  <si>
    <t>法制工具比重</t>
  </si>
  <si>
    <t>助推工具比重</t>
  </si>
  <si>
    <t>结果认同-29</t>
  </si>
  <si>
    <t>结果认同-30</t>
  </si>
  <si>
    <t>结果认同-32</t>
  </si>
  <si>
    <t>结果认同-0~1范围</t>
  </si>
  <si>
    <t>首次转处理-诉求时间</t>
  </si>
  <si>
    <t>首次敷衍-诉求时间</t>
  </si>
  <si>
    <t>首次解释/安慰-诉求时间</t>
  </si>
  <si>
    <t>首次有实质进展-诉求时间</t>
  </si>
  <si>
    <t>结果认同分数</t>
  </si>
  <si>
    <t>梅峰河</t>
  </si>
  <si>
    <t>投诉</t>
  </si>
  <si>
    <t>网站</t>
  </si>
  <si>
    <t>关于梅峰河（左海西门到博物院段）内河治理情况投诉</t>
  </si>
  <si>
    <t>利己</t>
  </si>
  <si>
    <t>本人每天路过的梅峰河（左海西门到博物院段）众所周知治理前很恶臭，经过三年多的治理，建了污水处理设施，原以为能彻底使河水变清、河水不臭，但一年来，梅峰河（左海西门到博物院段）不但不能改变恶臭，反而更臭了，每天经过那里的人都要捂住鼻子，受不了那位味道。这条内河能通过验收吗？请验收部门能否到现场实地看看，连续观察十天半个月，用事实说话。</t>
  </si>
  <si>
    <t>您好，您的诉求已收悉，诉求所诉梅峰河为福州市水务投资发展有限公司承建项目，省博物馆前芳沁园河为我司承建项目，已于18年底至19年初完成清淤工作，经现场观察两天，确认芳沁园河水质干净无黑臭现象。感谢您的理解与支持！</t>
  </si>
  <si>
    <t>xinxi</t>
  </si>
  <si>
    <t>求助</t>
  </si>
  <si>
    <t>求助：两个部门进行对接，谢谢。</t>
  </si>
  <si>
    <t>梅峰污水处理厂从去年7月2日开始施工就把靠近左海西门这里的道路给围挡了。导致88路公交车没办法行驶熊猫世界，双安城，福建博物院这3个站点。如今污水厂修好了，希望施工的主管部门福州市水务投资发展有限公司，下令拆除围挡，还路于民。同时，也请福州市道路运输管理服务中心进行现场查看对接，一旦路况恢复，立刻恢复88路公交恢复原来的3个站点。谢谢，必须2个部门配合联动。这里已经一年多没公交行驶了。百姓出行难。</t>
  </si>
  <si>
    <t>感谢您对梅峰处理站建设情况的关注。在多方努力下，梅峰处理站已完成设备安装及调蓄池通水工作，目前上部景观方案已经过审核，正在实施中。根据施工安排，大部分施工作业将于本月底完成，剩余少量景观收尾工作将于下月内全面完成。我司水系项目部将积极对接现场，待完成大部分施工内容后，及时拆除围挡，并上报市政及公交部门，申请恢复改线公交站点，给您带来不便敬请谅解！</t>
  </si>
  <si>
    <t>关于尽快恢复88路原有线路的投诉</t>
  </si>
  <si>
    <t>88路从两年前梅峰河改造以来，就没有再走湖头街原有的线路了，两年来，附近的居民要坐公交车要走接近一公里的路程，给附近的群众造成了相当大的不便。是什么原因造成停了两年的线路不恢复？为何路上还有公交车站的站台？请政府相关部门到现场看看，能否尽快恢复88路原有的线路，让居民出行方便，不让现有的公交车站成为摆设。</t>
  </si>
  <si>
    <t>经查88路于3月15路恢复原线路行驶，感谢您对公交事业的关注与支持。</t>
  </si>
  <si>
    <t>咨询</t>
  </si>
  <si>
    <t>咨询：梅峰污水处理厂何时彻底完工并退场？</t>
  </si>
  <si>
    <t>这是去年的新闻，如今2018年都快完了，该工程还没完成。
就因为你们这个工程，导致周围公交车也不走了。现在咨询：梅峰污水处理厂工程，什么时候完工退场？你们这里那么多大型设备，如果不退场，公交车根本无法恢复通行。梅峰污水处理厂何时完工退场？尽快答复。不要复制黏贴</t>
  </si>
  <si>
    <t>梅峰污水处理厂因地下处理站施工工艺比较复杂，施工中工序安排复杂，且混凝土凝期要求等因素，导致工期无法达到居民预期。对于该处理厂的施工进度滞后问题，我司深表歉意，现已督促施工单位尽快完成施工，计划于年底完成，恢复路面，退出占道。给您的出行造成不便敬请谅解，也请您理解与支持！</t>
  </si>
  <si>
    <t>关于对在左海边建高层楼房的举报</t>
  </si>
  <si>
    <t>生态</t>
  </si>
  <si>
    <t>半年来，左海景观提升工程西堤兴建，以及梅峰生态走廊建设，令市民闻目一新，赞不绝口，深感福州市政府的亲民举措成效卓越！然而在大家热赞之余，却出现了令人疑惑的不和谐音。当初为了提升左海景观建设西堤，拆除左海湖边的别墅及沿湖房屋，相信政府是下大决心和花大代价的。但据目前实地了解及询问建筑工人，梅峰河污水处理厂南侧要兴建10层高的楼房，如果这样，将对左海西堤、梅峰河生态走廊景观造成严重影响，进而影响附近小区的视野，同时也背离了政府的初衷。梅峰河污水处理厂运行是需要建设运行管理房，但要建10层楼高，似乎不合常理，甚至让人怀疑建楼动机。应该警惕个别部门（或者个别人）追求自身利益，借机在此黄金地段搞房地产建设，而不惜牺牲社会、公众利益和损坏政有府公信力。呼吁媒体介入监督，以期纠正和杜绝个别部门不良行为。期待能公平正义合理处置，最惧推诿！</t>
  </si>
  <si>
    <t>经核查，梅峰河污水处理厂是作为运行管理房使用，不存在建10层高现象。</t>
  </si>
  <si>
    <t>none</t>
  </si>
  <si>
    <t xml:space="preserve">
梅峰污水处理厂工程迟迟不完工，愤怒</t>
  </si>
  <si>
    <t>福建博物院到左海西门公交站这里，搞什么梅峰污水处理厂工程，一搞就是一年。
巨型龙门吊和塔台在这里堵着，导致公交车没办法从这里通行了。这一年多来，福州市区48个串珠公园都修好，三捷河，洋洽河，龙津河等也都修好，
为什么就一个梅峰河水系治理迟迟无法完工？还说要等年底？这是什么进度？
现在正是金秋十月，天气干燥，最有利于施工，还不加快施工吗？
难道非要等到下雨天再施工？特此投诉。如图，图片附件里这样一个大型设备堵在这里，你让公交车怎么通行？</t>
  </si>
  <si>
    <t>诉求位置旁由我司进行鼓台中心区水系综合治理PPP项目建设，目前因梅峰污水处理厂尚未完工，仍在抓紧施工中，根据项目单位福州北控鼓台水环境有限公司的施工进度计划表，计划2018年年底前完成施工,恢复交通。给您的出行造成不便，深表歉意，望予以谅解！</t>
  </si>
  <si>
    <t>hezuo</t>
  </si>
  <si>
    <t>加急咨询：梅峰污水处理厂工程何时拆除大型围挡？</t>
  </si>
  <si>
    <t>利他</t>
  </si>
  <si>
    <t>请智慧福州12345工作人员审批，这是一封咨询件，不是求助件，更不是投诉件。
不要转10个工作日。来不及了。
请用咨询模式，2天回复。谢谢。
您好，诉求位置旁为我司鼓台中心区水系综合治理PPP项目-梅峰河水系治理工程。预计9月底前完成拆除围挡，恢复道路通行。给您的出行造成不便深表歉意，请谅解。
我们是这一带的居民，我们这里因为水系工程施工，导致公交车不走我们这里了。
水务公司说，国庆前会恢复道路，
我们昨天下午刚实地考察了，图片为证明。
图片附件，那么大的巨型围挡，这怎么可能拆除？这样的围挡不拆除，公交车如何恢复这里通行？
立刻回复咨询件，不要等国庆后了。这是咨询件，不是求助，更不是诉求。不要转10个工作日。来不及了。</t>
  </si>
  <si>
    <t>湖头街旁由我司进行鼓台中心城区水系综合治理PPP项目建设，诉求位置的串珠公园已完成施工，目前因梅峰污水处理厂尚未完工，仍在抓紧施工中，计划2018年年底前完成施工,恢复交通。</t>
  </si>
  <si>
    <t>微博</t>
  </si>
  <si>
    <t>恳求相关部门制止深夜施工扰民</t>
  </si>
  <si>
    <t>从96年至今，我家住在福州鼓楼区左海水上别墅，现如今梅峰河水系整治我们作为百姓给予支持。但我家离施工现在就一墙之隔，家里还有老人与孩子，父亲还有高血压，每天施工现场总是要凌晨两点开始施工直至天亮，那种机械噪音大的无法正常生活，就不能白天施工吗？也没有跟我们协商，打电话投诉无门，希望领导能关心一个小小平民的无奈与苦衷，恳请相关领导特事特办</t>
  </si>
  <si>
    <t>经向鼓楼区城建房屋征收工程处了解，征收工程处高度重视要求拆除施工单位，在施工期间尽量做好降噪措施及不扰民，施工期间给您造成不便，敬请谅解。</t>
  </si>
  <si>
    <t>电话</t>
  </si>
  <si>
    <t>护栏和景观墙被拆</t>
  </si>
  <si>
    <t>鼓楼区湖头街省司法局门卫对面的鸟店旁边一排沿街景观墙和梅峰河沿河护栏都被拆了十几米，我怀疑没有经过审批。希望相关部门介入处理。</t>
  </si>
  <si>
    <t>您好，五凤城管中队已前往现场查看，该护栏已修好。</t>
  </si>
  <si>
    <t>梅峰河堵了，臭水到处流</t>
  </si>
  <si>
    <t>梅峰河堵了，臭水到处流，请有关部门处理</t>
  </si>
  <si>
    <t>针对梅峰河黑臭现象，我区已将黑臭整治列入2016年计划，已上报市里审批，待整治完成，梅峰河水质将明显改善。</t>
  </si>
  <si>
    <t>xingzheng</t>
  </si>
  <si>
    <t xml:space="preserve">
梅峰河很臭啊</t>
  </si>
  <si>
    <t>梅峰河一下雨，就堵了，污水到处都是，现在又是凳革热传播，请有关部门及时处理。</t>
  </si>
  <si>
    <t xml:space="preserve">
梅峰河堵了</t>
  </si>
  <si>
    <t xml:space="preserve">
梅峰河一下雨，就堵，污水很脏，容易长蚊子，臭虫，请有关部门及时处理。</t>
  </si>
  <si>
    <t>针对梅峰河上述现象，我区已将梅峰河整治列入2016年计划，已上报市里审批，待整治完成后，梅峰河将显明改善。我区目前以一周为一个周期的内河消杀，除蚊虫的工作。</t>
  </si>
  <si>
    <t>梅峰河又生病了，污水到处</t>
  </si>
  <si>
    <t>一下雨，梅峰河就堵了，污水到处都是，现在又是登革热流行季节，请政府尽快处理。</t>
  </si>
  <si>
    <t>梅峰河又生病了，又堵了，污水到处都是，容易孳生蚊子，请政府处理</t>
  </si>
  <si>
    <t>梅峰河，下雨就涨就路面来</t>
  </si>
  <si>
    <t>本人住在左海公寓，梅峰河一下雨就堵了，容易孳生蚊虫，请有关部门处理。</t>
  </si>
  <si>
    <t xml:space="preserve">
针对梅峰河黑臭现象，我区已将黑臭整治列入2016年计划，已上报市里审批。待整治完成后，梅峰河水质将明显改善。</t>
  </si>
  <si>
    <t>梅峰河逢雨天必堵,异味重</t>
  </si>
  <si>
    <t>本人住在附近小区，梅峰河，下雨就涨就路面，污水到处都是，容易传播蚊虫，请政府处理。</t>
  </si>
  <si>
    <t>该诉求是因瞬间雨量较大，梅峰河河水水位上涨通过雨水管道涨到路面，目前河水已退，该路段已无积水。</t>
  </si>
  <si>
    <t xml:space="preserve">
梅峰河逢雨天必堵,异味重</t>
  </si>
  <si>
    <t>梅峰河逢雨天必堵，异味重</t>
  </si>
  <si>
    <t>针对梅峰河黑臭现象，我区已将黑臭整治列入2016年计划，已上报市里审批。待整治完成后，梅峰河水质将明显改善。</t>
  </si>
  <si>
    <t>河道积水、异味</t>
  </si>
  <si>
    <t>梅峰河一到下雨，就存在积水，异味重，请有关政府进行处理。</t>
  </si>
  <si>
    <t>河流很臭</t>
  </si>
  <si>
    <t>这段时间，梅峰河很臭，请有关部门处理一下。</t>
  </si>
  <si>
    <t xml:space="preserve">
环境治理</t>
  </si>
  <si>
    <t>近期发现梅峰河气味大,雨水排水不顺,希望有关部门能出面处理。</t>
  </si>
  <si>
    <t>河道</t>
  </si>
  <si>
    <t>本人住在天赐良园,常在附近走动,梅峰河近期出现异味,产生蚊子等,希望政府能进行治理</t>
  </si>
  <si>
    <t>梅峰河很脏，异味重</t>
  </si>
  <si>
    <t>本人住在梅峰河附近小区，这个河异味重，请政府给予处理。</t>
  </si>
  <si>
    <t>泮洋河</t>
  </si>
  <si>
    <t>灯光扰民</t>
  </si>
  <si>
    <t xml:space="preserve">
鼓楼区六一中路东光花园附近晋安河景观改造，牌子上写着泮洋河边莲宅社区，景观灯24小时亮着，灯光扰民严重，特此投诉，望部门处理。</t>
  </si>
  <si>
    <t>经核实，泮洋河东光花园河边步道景观灯近期正在进行调试工作，目前该位置白天已关灯，感谢您的关注与监督！</t>
  </si>
  <si>
    <t>建议</t>
  </si>
  <si>
    <t>停建步道</t>
  </si>
  <si>
    <t>我是东光花园2号楼的住房，2号楼靠近泮洋河的部分进行了围挡，是要做步道吗？东光花园2号楼离泮河最近的地方不足2米，如果做步道，靠泮洋河最近的杂物间连电动车都无法进出，而且步道就在卧室下面，早上5点多已经人来人往，会严重影响我们的休息。恳请领导能综合考虑，不要在东光花园2号楼这一侧建步道。</t>
  </si>
  <si>
    <t>泮洋河已列入鼓台中心城区水系综合治理PPP项目由我司负责整治。步道建设方案已与社区负责人协商确认，建设过程社区及街道负责人参与协调并知悉，相关方案已上报区政府相关部门；该处建设栈道，处沿河栏杆外，与小区之间，仍建设高约2.5米栏杆围墙，为小区内的安全提供一定保障。
此外，我司已优化步道建设方案，部分采用悬挑建设，不影响杂物间使用。</t>
  </si>
  <si>
    <t>投诉泮洋河水系改造工程</t>
  </si>
  <si>
    <t xml:space="preserve">
六一中路79号东光花园的泮洋河水系改造工程越治理越臭，污染严重，住户的窗户都没有办法开，一开起来就是猪屎的味道，治理半年多了没有成效，特此投诉，希望有关部门介入处理。</t>
  </si>
  <si>
    <t>泮洋河已列入鼓台中心城区水系综合治理PPP项目由我司负责整治。经查看，目前河道已消除黑臭，取得成效，后续鼓台中心沿河截污系统全面发挥效用后，河道水质还将进一步提升。</t>
  </si>
  <si>
    <t>河道深夜施工扰民</t>
  </si>
  <si>
    <t>东光花园2#楼旁边的泮洋河工地经常深夜施工，严重影响居民休息。环保法规定，超过22点，不能噪音扰民，泮洋河离东光花园２#楼不足2米，最近经常深夜施工，严重影响了我们的休息，给身体健康造成极大损害。现在是法制社会，要依法制国，任何工程，即使是市政工程也不能违法，也不能影响公民的身体健康，切记！切记！切记！请你们及时制止这种违法行为。</t>
  </si>
  <si>
    <t>诉求反映东光花园旁工地施工扰民问题，我局水部中队执法人员至现场查看，经了解，该处为水系综合治理工程，施工单位为中建三局第一建设工程有限公司。根据市委市政府城区水系综合治理百日大会战工作部署，施工单位工期紧任务重，请市民理解支持。我中队已联系该工地施工负责人，要求其文明施工，按规定的时间段施工，避免施工扰民。给您带来不便，敬请谅解，谢谢！</t>
  </si>
  <si>
    <t>泮洋河改造工程严重扰民</t>
  </si>
  <si>
    <t xml:space="preserve">
自从泮洋河2017年11月开始改造以来，不但连续通宵施工、半夜扰民，连打110也无法解决，现在弄一个豆腐渣工程在那边，整天不停的通过大水管排水，到底是在改造了什么？噪音大到让人无法正常入睡，请问是否有政府部门的领导可以关心解决？什么时候才能解决这个泮洋河的改造问题？这不是一个利民的工程，从开始到现在一直都在扰民！！！</t>
  </si>
  <si>
    <t>泮洋河已列入鼓台中心城区水系综合治理PPP项目由我司负责整治，接到诉求后我司已要求施工方加强安全文明施工，并责令其限期整改各项问题、抓紧施工，施工期间给市民带来的不便，我司深表歉意。我司泮洋河沿河永久截污工程预计4月底完工，在最后施工期间，也望市民予以理解支持。</t>
  </si>
  <si>
    <t>请问海底东路及泮洋河的建设进度</t>
  </si>
  <si>
    <t>泮洋河治理工程自从春节后就停了，之前说海底东路春节后动工，现在好像也没有动静，河道治理的施工场地倒是把道路和停车位占用了很久，请问这两个项目何时能够真正开始建设？</t>
  </si>
  <si>
    <t>海底路旁的河道为东西河，目前东西河广达路至高桥支路段、白马路乌山桥段、海底支路段已于3月25日开始围挡施工。泮洋河从春节至今也一直在抓紧施工，开展永久截污工程，预计4月底前完工。</t>
  </si>
  <si>
    <t>改造工程工期拖拉影响群众生活</t>
  </si>
  <si>
    <t>六一中路水部街道泮洋河改造，河道改造我们很支持，但是改造河道占用大面积东光花园内部绿化及停车位已经大半年。直接导致东光花园内原有健身设施、儿童游乐设施无法使用，停车位非常紧张堵塞事故频繁。施工方完全不管不顾小区内群众生活受到的影响，大面积围挡小区施工异常缓慢，每天要么没工人要么就几个工人拖拖拉拉占着围挡位置。一点工作效率都没有！起码加快完成小区位置内施工尽快拆除围挡还原小区原来道路及停车位！！！
请施工单位加派人手尽快完成施工拆除安全隐患巨大的围挡还小区居民安静正常的生活环境！！</t>
  </si>
  <si>
    <t>泮洋河水系治理工程已于2017年年底完成河道黑臭水治理，2018年将开展河道沿河截污、景观整治工作，预计2018年6月底基本完工。目前，我司已加大人力、物力投入，抓紧施工，施工期间给市民造成的不便，我司深表歉意，望市民给予理解支持。</t>
  </si>
  <si>
    <t xml:space="preserve">
泮洋河完工时间</t>
  </si>
  <si>
    <t>泮洋河水治理工期很慢，请问靠近东光花园一侧具体完工时间？？？</t>
  </si>
  <si>
    <t>由我司负责整治的泮洋河已于2017年年底完成河道黑臭水治理，2018年将开展河道沿河截污、景观整治工作，预计2018年年中完工，施工期间给市民造成的不便，我司深表歉意。</t>
  </si>
  <si>
    <t>水系治理</t>
  </si>
  <si>
    <t>六一中路泮洋河水系治理靠东光花园一侧占用小区空地已经几个月了，工程完工了已经看不到工人及施工设备。但是围挡一直不拆除也不恢复河边围栏就这样一直占用小区空地，靠近围挡区还有一个儿童滑梯及健身器材也无法使用。下周寒假即将来临小区内儿童很多这样不拆除留下了许多安全隐患。不论如何请至少把东光花园一侧围挡拆除河边栏杆恢复保证小区内儿童安全！！！</t>
  </si>
  <si>
    <t>我司泮洋河整治尚在施工中，2018年还需对沿河景观进行提升改造。诉求反应的围挡是为保障居民安全，把施工区域与小区分隔开，需施工完成后才可撤除。恳请市民给予支持和理解！</t>
  </si>
  <si>
    <t>水治理工期太长</t>
  </si>
  <si>
    <t>六一中路泮洋河水系治理何时完工？
占用东光花园原停车位置原本公示2017年12月15日完工，现在已经2018年了！草皮已经铺设为何不尽快再铺设草地砖而是这样不停拖延把小区大片公共车位围挡起来。停车紧张也直接影响到许多百姓生活！能否为小区百姓着想尽快完成水系施工，拆除围挡还原车位，还小区居民平静生活环境！</t>
  </si>
  <si>
    <t>东光花园旁的泮洋河已列入鼓台中心城区水系综合治理项目由我司负责整治。我司河道黑臭水整治已于2017年12月底完，河道水质已明显改善。
目前根据建设方案，将河道周边景观一并提升，原有的小区道路及空地部分用于建设栈道及绿化，部分场地待施工完成后予以恢复。我司也将尽快施工，撤除围挡。</t>
  </si>
  <si>
    <t>内河治理施工结束后，东光花园小区内原有道路与空地没有被恢复</t>
  </si>
  <si>
    <t>前些时间为配合城市内河治理，小区靠近泮洋河一侧的道路与空地借与施工单位进行施工，现施工结束了，原来的道路与空地没有被恢复，而是被做成了草地。小区原有停车位就十分紧张，现在这一大块道路与空地被改做绿化地，使小区至少少停了几十部小车。请问该地块为什么在内河治理施工结束后被改做绿化地？</t>
  </si>
  <si>
    <t xml:space="preserve">东光花园旁的泮洋河已列入鼓台中心城区水系综合治理项目由我司负责整治。根据建设方案，原有的小区道路及空地部分用于建设栈道及绿化，部分场地待施工完成后予以恢复，目前仍在建设中，感谢您的关注与理解！
</t>
  </si>
  <si>
    <t>请问六一中路泮洋河治理</t>
  </si>
  <si>
    <t>请问六一中路泮洋河治理东光花园内项目何时完工退场？何时可以整修归还占用的东光小区停车场位置？</t>
  </si>
  <si>
    <t>泮洋河河道黑臭水治理需于2017年底前完成，我司目前正根据目标要求抓紧施工，力争于年底前完成施工，尽快拆除围挡,同时恢复临时征用小区绿化。现给您带来不便敬请谅解！</t>
  </si>
  <si>
    <t>利他（</t>
  </si>
  <si>
    <t>请问六一中路泮洋河治理要到什么时间才完工？</t>
  </si>
  <si>
    <t>泮洋河已列入鼓台中心城区水系综合治理PPP项目内，由我司负责整治。根据市政府下达的“攻坚2017”任务要求，本年我司主要开展黑臭水治理工作，该河道治理工作预计于2018年底完成。感谢您的关注与支持！</t>
  </si>
  <si>
    <t>深夜通霄施工</t>
  </si>
  <si>
    <t>泮洋河距离东光花园１#、２#不足十米，最后连续几个晚上通霄施工，严重影响周边居民的休息。对于河道改造，我们都是赞成的，但不能以牺牲人民群众的健康为代价，即使是政府工程，也不能为所欲为，希望有关部门能及时制止这种违反环保法的恶劣行为。</t>
  </si>
  <si>
    <t>诉求件已收悉，诉求反映东光花园河道施工扰民问题，我局水部中队执法人员已至现场察看，经了解，该处为福州市鼓台中心区水系综合治理项目，已列入福州市PPP项目，由福州市水务集团作为项目业主，中队已联系该工地施工负责人，要求工地按规定施工，避免施工噪音扰民。市民如发现有午间十二时至十四时三十分和夜间二十二时至次日六时施工扰民问题，直接拨打87870892处理。</t>
  </si>
  <si>
    <t>噪音扰民</t>
  </si>
  <si>
    <t>鼓楼区六一中路79号东光花园旁边的泮洋河河道，最近连续几个晚上通宵施工，噪音扰民，希望部门尽快处理。</t>
  </si>
  <si>
    <t>河道改造经常在深夜施工</t>
  </si>
  <si>
    <t>鼓楼区六一中路79号东光花园旁边的泮洋河河道改造经常在深夜施工，严重扰民，</t>
  </si>
  <si>
    <t>诉求件已收悉，诉求反映东光花园河道施工噪音扰民问题，我局水部中队执法人员已至现场察看，经了解，该处为福州市鼓台中心区水系综合治理项目，已列入福州市PPP项目，由福州市水务集团作为项目业主，中队已联系该工地施工负责人，要求工地按规定施工，避免施工噪音扰民。市民如发现有午间十二时至十四时三十分和夜间二十二时至次日六时施工扰民问题，直接拨打87870892处理。</t>
  </si>
  <si>
    <t>六一中路东侧人行道的围栏不合理占道</t>
  </si>
  <si>
    <t>今天路过六一中路东侧泮洋河时，发现正在围栏建设，不知道是仅仅为了遮丑还是另有用途，反正总觉得很不合理，本来就不大的人行道，被割去2/3，剩给人行路面不到800毫米，来往行走的行人务必被挤入机动车车道，将造成极大安全隐患。建议可否将围栏设计方案改改。</t>
  </si>
  <si>
    <t>诉件所述围栏问题，目前该路段是省二建正在进行晋安河清抛石桩机施工出入口，为减少施工时对来往居民造成危险，故对该段进行围挡施工。我司已落实施工单位在每个出入口安排人员进行指挥交通。感谢您的理解与支持。</t>
  </si>
  <si>
    <t>内河污染问题</t>
  </si>
  <si>
    <t>鼓楼区东光花园与福州市妇幼保健院之间的内河（泮洋河）味道刺鼻，周边小区都可以闻到，希望相关部门将源头找出来，清理河道，还居民一个清新的空气。</t>
  </si>
  <si>
    <t>泮洋河属黑臭水体，目前已列入福州市2017年整治，待整治完成，水质将有明显改善。</t>
  </si>
  <si>
    <t>文藻河</t>
  </si>
  <si>
    <t>文藻河鼓西路段河两岸的围栏高度太低</t>
  </si>
  <si>
    <t>文藻河鼓西路段河两岸的围栏高度太低，成人如果不小心，会容易掉下去，建议有关部门加高护栏。
同样，白马河、安泰河沿岸也存在这个问题，尤其是近两年新施工的内河改造河岸都有类似情况，请有关部门统一优化。</t>
  </si>
  <si>
    <t>文藻河已列入鼓台中心城区水系综合治理PPP项目由我司负责整治。我司作为建设单位，严格按设计单位设计、上级部门审议通过的方案进行建设。市民提及的护栏高度问题，我司将请设计单位优化考虑，提升设计，感谢市民的建议。</t>
  </si>
  <si>
    <t>反映灯光污染</t>
  </si>
  <si>
    <t>鼓楼区通湖路文藻河这边内河整治的景观灯都不关，一整夜开着，非常亮，严重影响附近居民休息，也造成光污染，特此投诉，请部门处理。</t>
  </si>
  <si>
    <t>文藻河已列入鼓台中心城区水系综合治理PPP项目由我司负责整治,沿河景观灯问题，我司将协调水系治理设计方及施工方进行更改亮灯模式、合理控制亮灯时间，尽可能不影响周边市民的起居生活。</t>
  </si>
  <si>
    <t>望上级相关部门尽快介入处理</t>
  </si>
  <si>
    <t>对答复不满意，合潮桥底下开了一个暗涵，污水黑臭不堪，夏天蚊虫滋生很多，蚊虫叮咬后容易发生传染病，极其危险，附近生活的居民很多无法在桥上散步，无法在桥上乘凉，为什么文藻河下游没有进行整治？再次投诉，望上级相关部门尽快介入处理。</t>
  </si>
  <si>
    <t>文藻河已列入鼓台中心城区水系综合治理PPP项目由我司负责整治，但我司属于建设单位，仅能根据市委市政府下达任务进行建设，此前诉求提及的元帅路、卧湖路等河段，目前不具备实施条件，暂未列入整治计划，具体整治时间无法确定。此外，通湖路-建筑设计院暗涵我司已完成河道清淤及铺底，具备条件实施的河段我司将督促施工，尽快完成整治。</t>
  </si>
  <si>
    <t>施工扰民</t>
  </si>
  <si>
    <t>通湖路188号文藻河旁边的工地从这周一开始每天中午施工扰民，我还和社区反映也没得到处理。特此投诉，望处理。</t>
  </si>
  <si>
    <t>我局南街中队已派队员至通湖路188号省建筑设计研究院查看，经查，省建筑设计研究院旁的工地为ppp水系治理项目，施工方为中建三局第一建设工程有限公司。根据市委市政府城区水系综合治理百日大会战工作部署，施工单位工期紧、任务重。我队已要求施工方合理安排施工工序，严格遵守《福州市环境保护条例》相关规定，不得在限制时间内施工，在日常施工过程中，尽量降低施工时产生的噪音污染，做好降尘措施，最大化减少对周边居民造成的影响。我队也将加强巡查监管力度，一经发现工地违规施工，立即予以制止。感谢您对城管管理工作的关注与理解。</t>
  </si>
  <si>
    <t>文藻河施工问题</t>
  </si>
  <si>
    <t>对答复不满意，2011年新闻就有报道过文藻河这个项目，现在已经2018年了，已经七年多了，文藻河为何才施工了短短300米？杨桥路合潮桥旁边有个检修口，检修口底下流淌的文藻河河水黑臭不堪，臭味严重扰民。合潮桥底下的文藻河流水经过了元帅路、卧湖路，流至西湖。元帅路这边短短三四百米聚集了很多五十、六十、七十、八十年代的老房子，现在七年多了为何文藻河施工一点规划动静都没有？鼓楼区政府是否存在不作为？特此投诉，望部门尽快处理（我是福州市市民，鼓楼区居民，我很关心文藻河施工建设问题）。</t>
  </si>
  <si>
    <t>文藻河已列入鼓台中心城区水系综合治理PPP项目由我司负责整治。我司属于建设单位，仅能根据市委市政府下达任务进行建设，诉求提及的元帅路、卧湖路等河段，目前仍是暗涵，暂未列入整治计划，具体整治时间无法确定。</t>
  </si>
  <si>
    <t>咨询施工方案问题</t>
  </si>
  <si>
    <t>咨询鼓楼区文藻河下游卧湖路和元帅路是否有根据施工方案改成步行道？道路增设亲水渠道抽取西湖净化水后，至卧湖路柱南汇入双抛桥，是否有该施工方案？何时开始？望解答。</t>
  </si>
  <si>
    <t>文藻河已列入鼓台中心城区水系综合治理PPP项目由我司负责整治。诉求提及的治理方案还需结合周边实际情况进行全面摸排、完善设计并报上级单位审批后才可最终确定。具体实施时间无法确定，暂无实施计划。</t>
  </si>
  <si>
    <t>咨询内河改造问题</t>
  </si>
  <si>
    <t>近期福州市文藻河内河改造，公告栏上写起点是宏杨新城终点是观风亭，为何在宏杨新城这边才开工就停工了？另外，文藻河内河改造的具体线路是什么样的？具体是怎么规划的？望部门答复。</t>
  </si>
  <si>
    <t>文藻河已列入鼓台中心城区水系综合治理PPP项目由我司负责整治，河道整治工程起点是宏杨新城，终点是观风亭，主要进行沿河截污施工及河道景观提升改造，目前仍在施工中，预计2018年4月底完工。</t>
  </si>
  <si>
    <t>文藻河两侧景观灯，太亮了！！！。半夜没开灯情况下房间都像早上6点时候的亮度，严重影响休息</t>
  </si>
  <si>
    <t>文藻河两侧景观灯太亮了！！！半夜时候没开灯的情况下，房间的亮度都像早上6点时候的亮度，严重影响休息！！！
而且两侧的景观灯是24小时都亮的！！！！严重浪费电！！！</t>
  </si>
  <si>
    <t>文藻河已列入鼓台中心区水系综合治理PPP项目由我司负责整治。文藻河两侧景观灯目前处于安装试用阶段，故需要长时间亮灯进行测试，测试阶段预计本周内将完成，届时亮灯时间将恢复正常。测试期间给市民造成的影响我司深表歉意。</t>
  </si>
  <si>
    <t>房子倒塌</t>
  </si>
  <si>
    <t>杨桥东路118号宏杨新城旁边的市政文藻河河道改造，把我的房子弄倒塌，前两天部门回复说不予维修，这是何原因？该工程马上竣工，请部门尽快处理。</t>
  </si>
  <si>
    <t>杨桥东路旁的文藻河已列入鼓台中心城区水系综合治理项目由我司负责整治。接到诉求后，我司已请检测单位介入查看房屋问题，将尽快修复因施工而影响的周边房屋。对于修复进展，诉求人员后期也可直接询问我司具体负责人。（联系人：闫工，联系电话：13708826890），给您带来不便敬请谅解！</t>
  </si>
  <si>
    <t>文藻河内河治理，晚上都做下下半夜早上5，6点就开始施工噪音非常大</t>
  </si>
  <si>
    <t>接到举报，我局执法中队已及时约谈该工地施工负责人，要求对方采用先进施工工艺，并按规定施工及管控好工地车辆，最大限度避免施工扰民。市民如果有发现有午间时间十二时至十四时三十分和夜间二十二时至次日六时施工扰民问题，直接拨打87870892处理，谢谢！给您带来不便，敬请谅解。</t>
  </si>
  <si>
    <t>施工噪音扰民</t>
  </si>
  <si>
    <t>鼓楼区文藻河施工工地，每天24小时的不停施工，噪音严重扰民，而且该施工方非常野蛮，跟他们协商也不听。特此投诉，望处理。</t>
  </si>
  <si>
    <t>文藻河河底淤泥、垃圾堆积，水质极差</t>
  </si>
  <si>
    <t>2016年年底有关部门有对文藻河进行过几天的简单整改，只是把河底以前遗留下的少量建筑垃圾处理，效果几近于无。做个面子工程，刷个开工数，愚弄百姓，水质根本无好转，更谈不上从根本解决文藻河长期存在的问题。直至今日，河底依然淤泥堆积，河水臭味难闻。不仅长期影响周边居民的健康，而且因其地理位置靠近三坊七巷景区，来往游客众多，严重影响到福州的城市形象，阻碍福州旅游经济的发展。
倪书记提出2017攻坚计划是要求政府部门有所作为，而不是徒劳无益。作为福州市的市民，再次投诉有关部门，要求尽快将河底淤泥清除，还文藻河一个干净，清澈的面目。本人今后还将持续关注此事，监督河水整治的进展。</t>
  </si>
  <si>
    <t>2016年底，我局组织对文藻河进行清淤工作，由于文藻河淤积量十分大，因此必须对文藻河进行清淤方进行下一步工作整治。现文藻河圉臭水体整治已列入市里计划，将于2017年开始实施，待整治完成，文藻河黑臭情况将有所好转。</t>
  </si>
  <si>
    <t>污水排放问题</t>
  </si>
  <si>
    <t>鼓楼区杨桥东路文藻河河道旁边，旁边设计院食堂把污水直接排到河里面，现在把管直接通到石缝里面很隐蔽。河水满一点就看不到污水流出来，昨天水很浅，就看到污水排出来了，请有关部门尽快处理。</t>
  </si>
  <si>
    <t>经现场巡查，设计院食堂污水已接入市政管网，未发现有污水排入文藻河。</t>
  </si>
  <si>
    <t>文藻河水质状况极差，影响周边居民健康，有损城市形象</t>
  </si>
  <si>
    <t>鼓楼区文藻河污水横流，淤泥和建筑垃圾堵塞河道，臭气冲天。希望有关部门尽快清淤。</t>
  </si>
  <si>
    <t>针对文藻河的现象，市里已将文藻河列入2017年整治项目，现在该项目已启动，待整治完成，水质将明显改善。</t>
  </si>
  <si>
    <t>文藻河水质有改善黑臭仍难去</t>
  </si>
  <si>
    <t>“这条河这么短，问题却不少。”昨日上午，家住鼓楼区天盛小区的居民向记者抱怨，文藻河截污后，每天仍有脏东西从上游飘下来，污染了东段的安泰河，进而影响白马河。
昨日中午，记者在杨桥路向南拐入文藻河，只见这段河水呈深绿色，河面上不时漂下一些黑乎乎的脏东西。沿着文藻河一路南行，在观音桥处，文藻河汇入安泰河东段，最后汇流到白马河西关段。
天盛小区居民陈大爷指着驳岸上黑黑的水痕对记者说：“看看，这都是污水留下来的。”陈大爷说，一旦白马河涨潮，上游的污水就被阻隔在观音桥下的汇水处，恶臭不堪。
陈大爷回忆，上世纪五六十年代，安泰河和文藻河是福州最主要的内河，沿着文藻河可一路通到西湖，每逢端午，河里还能容纳龙舟竞渡。后来河上修了路，盖了楼，明河变成了涵洞。
记者了解到，目前文藻河北接林则徐出生地故居，南至安泰河，是一条断头河，河长约330米，途径多座建筑物，包括杨桥大厦、侨雄大厦等。文藻河的明河段曾经整治过，经过清淤、末端截污，河底还铺设了青石板。整治后水质改善不少，但上游的暗涵段仍时有污水流出。</t>
  </si>
  <si>
    <t>针对文藻河黑臭现象，我区已将黑臭整治列入2017年计划，计划在2017年底前完成文藻河黑臭水体整治，待整治完成，文藻河水质将明显改善。</t>
  </si>
  <si>
    <t>天盛小区附近的文藻河近期水体水质差，臭气熏天，影响小区居民生活</t>
  </si>
  <si>
    <t>天盛小区5号楼附近的文藻河和安泰河（西水关段）近期水体水质差，经常漂浮着黑色的异物，特别是晚上，臭气熏天，靠河边的小区住户有时都无法开窗，影响小区居民生活，望政府相关部门能够查明原因，给出短期和长远解决方案。</t>
  </si>
  <si>
    <t>对于文藻河黑臭现象，我区已列入计划，计划对文藻河进行清淤，截污整治。2016年底前开始动工，2017年底完成整治。</t>
  </si>
  <si>
    <t>金港河</t>
  </si>
  <si>
    <t>关于投诉金港河问题</t>
  </si>
  <si>
    <t>仓山区金榕南路金港公园旁边金港河，河道异味重。</t>
  </si>
  <si>
    <t>我司工作人员到达金港河查看，金港河未见黑臭（附图），建议您提供相关证据材料或联系现场负责人林工（联系电话：15060196816）进行确认后再行协调处置。</t>
  </si>
  <si>
    <t>e福州app</t>
  </si>
  <si>
    <t>仓山区金港河水质情况了解</t>
  </si>
  <si>
    <t>1</t>
  </si>
  <si>
    <t>当初新闻报道，金山水系会引进闽江水源促进水的流动。
1.请问现在是否已经引入闽江水源？
2.多少天水系内河的水会更换一次？
3.目前仓山区金港河目前是否是死水没有流动？</t>
  </si>
  <si>
    <t>1、金山水系每日引入乌龙江水源大约50万立方入金山片区河道（闽江水源）。
2、河道水体每天补水置换两次，每次6小时。
3、金港河金港公园段河道弯度较大影响水流动力感观上看水流绶慢，在外江退潮洋洽排涝站开闸时流速就会加快。</t>
  </si>
  <si>
    <t>仓山区金港河金刚公园污水处理什么时候开始使用？</t>
  </si>
  <si>
    <t>1.仓山区金港河金刚公园污水处理什么时候开始使用？
2.市民是否有渠道查询金港河每日水质情况？</t>
  </si>
  <si>
    <t xml:space="preserve">经核实，1、金港河再生水处理站目前已在试运行阶段，试运行期3个月，计划12月底正式投入运行；
2、暂未提供渠道查询金港河每日水质情况。
</t>
  </si>
  <si>
    <t>仓山区金港河摩卡生活馆和融信西班牙段发黑发臭</t>
  </si>
  <si>
    <t>1.仓山区金港河摩卡生活馆和融信西班牙段发黑发臭，什么原因？
2，金港河污水处理厂是否开始使用</t>
  </si>
  <si>
    <t>1、关于金港河发黑发臭原因为：近期降雨较多，初期雨水排入河道导致金港河水质变差，目前正在加大补水，河道水质正在逐渐恢复。
2、金港河再生水处理站目前正在试运行，计划9月30日正式投入使用。</t>
  </si>
  <si>
    <t>垃圾堆放的问题</t>
  </si>
  <si>
    <t xml:space="preserve">
仓山区建新镇金港公园河道附近堆放大量垃圾，没有人来定期清理。特此投诉！望相关部门定期来进行清理。</t>
  </si>
  <si>
    <t>您所反映的建新镇金港公园河道附近垃圾现己派保洁人员清扫干净。我镇会加强对周边环境卫生的巡查力度。感谢您对环境卫生的监督和支持。</t>
  </si>
  <si>
    <t>金港河污水处理站何时开始使用？</t>
  </si>
  <si>
    <t>经核实，金港河污水处理站计划9月30日前投入使用。感谢您对水系工作的关心与支持。</t>
  </si>
  <si>
    <t>仓山区金港公园金港河附近偶尔还会有臭味？</t>
  </si>
  <si>
    <t>仓山区金港河附近偶尔还会有臭味？金港公园的污水处理厂开始运行了吗</t>
  </si>
  <si>
    <t>经核实，金港河再生水处理站暂时未投入使用，正常生产后也不会产生异味，河道偶尔有臭味的主要原因是：根据市联排联调中心统一部署，在市区降雨量达到一定高度时需要启动城区排水防涝应急响应，打开沿河排口将管网内初期雨水排入河道，将对水质造成影响。河道水质在雨后48小时内恢复，近期气温较高，气味散发较快，雨后偶尔会产生少量异味。由此带来不便，敬请谅解！</t>
  </si>
  <si>
    <t>金港公园金港河沿岸旁边有个监控，一直在报放高频背景音乐，24小时不间断提示您已经进入金港河水质监控区域，噪音扰民。我们小区是摩卡生活馆，窗户关上还是可以听得到音乐，最好可以关闭背景音乐仅保留提示音。特此投诉！望处理。</t>
  </si>
  <si>
    <t>经核实，为保证学生高考，现已将该水质监控设备关闭，高考期间不予以开启。同时，我司水系项目部已要求水系项目公司（中国水环境）对该设备进行调试，调试后监控声音日常播放时间为早上8点半到晚上9点半，音量调小至原音量的45%。由此带来不便，敬请谅解！</t>
  </si>
  <si>
    <t>河水非常黑</t>
  </si>
  <si>
    <t>仓山区建新中路翠榕苑旁边桥下的金港河交汇处的河水非常黑，对面就是新华社驻福建分社，周边还有一个建新金山大道口公交车站台，旁边还有个公示01030905，刚才还有个人想打我，我报警，警察说打12345，特此投诉，望处理。</t>
  </si>
  <si>
    <t>该问题经过水环境，联排联调中心和城区管网扩建项目组核定形成问题整改清单，上报市建设局，并根据排查情况进行整治，预计八月底前完成整改。以上诉求件市建设局已经对接多部门联动介入，查勘查找原因后集中整治到位，目前横江渡金河社区段已经在整改。</t>
  </si>
  <si>
    <t>仓山区金港河（金港公园附近）为什么还是经常发臭？</t>
  </si>
  <si>
    <t>我司工作人员到达金港公园附近核实，金港河金港公园段因前几天下雨水质偏黄，但不黑不臭，现场未闻到河道臭味（附图）。若有异议，诉求人可联系河道运维人员陈工13617528888一同现场查看。</t>
  </si>
  <si>
    <t>河边护栏问题</t>
  </si>
  <si>
    <t>仓山区金港公园河边没有设置护栏，存在安全隐患。特此投诉，望部门处理。</t>
  </si>
  <si>
    <t>金港河金港公园景观绿化正在进行收尾施工，河边驳岸采用生态式驳岸，种植灌木等植物（附图）。经现场查看，并无安全隐患，同时在坡底设计绿网护栏，起到防护作用，坡底绿网计划于6月底前完成，由此带来不便，敬请谅解！</t>
  </si>
  <si>
    <t>建议景观内河放养鸭鹅</t>
  </si>
  <si>
    <t>仓山区金港河上看见二只野鸭子，单调了点，建议放养几只鸭鹅。推广开来，福州内河和左海西湖都可少量放养鹅。东南亚很多国家景点水域都有鸭鹅，增加美。</t>
  </si>
  <si>
    <t>根据《福州市城市内河管理办法》第二十一条“在城市内河管理范围内，禁止下列行为：（一）擅自放养动物、打捞鱼虫、电鱼”，金港河不得擅自放养鸭鹅等动物，感谢您对内河管理工作的关心和支持。</t>
  </si>
  <si>
    <t>金港公园内违章搭盖</t>
  </si>
  <si>
    <t>金港公园内建设的为下沉式再生水处理站，项目包含在金港河河道治理工程内，正在建设的再生水站主体结构全部位于地下，地上将全部恢复成高品质公园，只留公园管理用房，那么请问项目内那么密集那么高（至少2-3米）钢筋预留在公园做什么，违章建筑的称重墙？公园管理用房需要4间店面吗？乱来了，各位领导，请公开公园的整体规划。违章搭盖不可取。</t>
  </si>
  <si>
    <t>金港河综合治理工程金港公园目前地面上建设的仅有一座管理用房，面积为500平方米，其他突出地面的部分矮墙为设备吊装孔，作为地下建筑通光孔，后期建设会对金港公园地面进行整体覆土并种植树木，地面只留有管理用房。我司将督促施工单位加大投入，尽快还市民一个高品质的生态公园，希望广大市民予以支持和理解！</t>
  </si>
  <si>
    <t>金港河管理不善</t>
  </si>
  <si>
    <t>仓山区金港河之前已改造好，水清岸美，但近几个月融信西班牙附近河水污染严重，水面飘浮黑色不明物体，河水臭气熏天，严重影响市民身体健康，政府治河花了不少资金，希望金港河能保持水清岸美，造福周边居民，不要花钱办坏事，务必加强管理！！！难道下雨天就得臭？没有解决办法？</t>
  </si>
  <si>
    <t>目前金港河综合治理工程尚处于建设阶段，金港河金港公园再生水处理站正在建设，待再生水站建设完成后可有效提升河道水质，减少因雨天导致河道水质变化的影响，计划今年9月30日前完成，建设期间给您带来不便敬请谅解！</t>
  </si>
  <si>
    <t>金港河管理不善，一河水污染，臭气熏天，危害市民身体健康</t>
  </si>
  <si>
    <t>近几个月融信西班牙附近河水污染严重，水面飘浮黑色不明物体，河水臭气熏天，严重影响市民身体健康，政府治河花了不少资金，希望金港河能保持水清岸美，造福周边居民，不要花钱办坏事，务必加强管理！！！</t>
  </si>
  <si>
    <t>经了解，近期河道黑臭是由于近期段持续降雨，为防积水内涝，需沿河雨污混流排口打开排洪，致河水视觉感官较差。雨停后将在48小时内恢复河道水质，由此带来的不便敬请谅解，谢谢！</t>
  </si>
  <si>
    <t>反映施工和执法局未处理问题</t>
  </si>
  <si>
    <t>仓山区金港公园河道改造工程每天中午时间都在施工，多次反映执法局都没有介入处理，特此投诉，望处理。</t>
  </si>
  <si>
    <t>针对反映金港公园河道改造工程施工扰民问题，我镇已派执法人员前往查看，已责令停工，后期我镇将加强该工地的巡查。</t>
  </si>
  <si>
    <t>店面油污直排</t>
  </si>
  <si>
    <t>投诉仓山区金港路和园小区靠金港河边的店面。店面炒菜之后的油污没有净化，直接往小区和金港河内排放，小区路面上都是油污，特此投诉，望及时处理。</t>
  </si>
  <si>
    <t>经查该处产生油烟的餐饮店，店内均已安装油烟净化器，产生的油烟经净化后排放。该处餐饮店均已由市政府出资安装隔油池，污水均经隔油隔渣后排入市政污水管网。现场未发现投诉者所谓的油污直排现象，请投诉者依事实反映问题。</t>
  </si>
  <si>
    <t>河水污染</t>
  </si>
  <si>
    <t>仓山万达门口金港河河面都是油污（仓山万达流经融信西班牙的这条河），严重污染河水，天气炎热，河水非常臭，导致苍蝇乱飞，严重影响周边居民的生活环境，我们融信西班牙的业主窗户都不敢打开，特此投诉，望相关部门尽快处理。</t>
  </si>
  <si>
    <t>近期城区持续降雨，为防积水内涝，需沿河雨污混流排口打开排洪，致河水视觉感官较差。雨停后将在48小时内恢复河道水质，感谢您关注与监督！</t>
  </si>
  <si>
    <t>金港公园施工何时结束</t>
  </si>
  <si>
    <t>金港公园河道改造有没有修了两年了，这样不分时间的施工，噪音扰民还要多久，一整天从睁眼到午休到晚上，所谓的文明施工就是这样吗……</t>
  </si>
  <si>
    <t>港公园内正在进行金港河综合治理工程再生水处理站施工，于2017年10月进场，工期2年，计划2019年9月底完成建设，为早日还大家一个水清岸绿的生态河道，目前正在加快施工进度，正常施工时间为6:00-22:00，已督促施工单位宏润建设公司做好安全文明施工，尽量避开休息时间，避免在休息时间产生噪音扰民，在此期间给周边居民带来不便，望请谅解！</t>
  </si>
  <si>
    <t>仓山区金港河发黑发臭熏人</t>
  </si>
  <si>
    <t xml:space="preserve">
请有关部门回复金港河水质发臭原因，并回复整改时间</t>
  </si>
  <si>
    <t>我司工作人员已于12月24日15时到达现场，经查看由于金港河与台屿北交汇处钢坝桩拆除施工搅动底泥与外江大潮倒流至金港河，造成金港河部分河段短时间水质受到影响，目前金港河水质已恢复正常。</t>
  </si>
  <si>
    <t>投诉污水排出</t>
  </si>
  <si>
    <t>仓山区金山联建新苑后面的金港河有污水排出，污染了河道，每天都有臭味发出来。特此投诉，望处理。</t>
  </si>
  <si>
    <t>您所反映的河道为台屿北河。已联系台屿河河道负责人去现场查看处理。给您造成的不便，请谅解</t>
  </si>
  <si>
    <t>景园西侧新建金港河段清淤除臭工作完成没?</t>
  </si>
  <si>
    <t>请问景园西侧新建金港河段清淤除臭工作完成没?目前岸边已开始绿化了，但走过河边河水还是臭，河底淤泥多，还泛绿苔，原来这段没有河的，新建的河段就这样臭，长期怎么生活?恳请相关部门处理好。</t>
  </si>
  <si>
    <t>目前金港河金港公园内的分散式再生水站尚未建设完成，下雨天为防止周边道路产生内涝，将水排入金港河中再进行抽排，对于河水经常反黑反臭的情况我们将会在最短时间内恢复水质，待2019年3月30日后再生水站建成后金港河将不会出现此类情况，由此带来的不便请广大市民谅解。</t>
  </si>
  <si>
    <t>仓山区金港河污水严重，周边施工严重污染河水</t>
  </si>
  <si>
    <t>在仓山区榕港路附近的金港河，近半年来周边有围挡施工，不知道是在做什么，严重污染河水，施工环境也破坏了周边绿地公园和道路，并且时有夜间施工，影响周边居民休息（详见附件中拍摄的图）。因此，代表海润尊品和金辉风尚业主向政府有关部分咨询：1.目前金港河周边的围挡施工到底是做什么工程，是否有正规批文，要什么时候才能结束。2.如果是正规市政内河治理工程，为什么水越治理越差。3.如果是正规工程，建议在工地附近及金港居委会张贴相关文件和施工内容，方便群众理解和支持。4.强烈要求夜间停止施工，不影响周边居民休息。感谢便民服务平台帮忙解答。</t>
  </si>
  <si>
    <t>1、目前金港河正在进行河道综合整治工程施工，是惠民工程，并已取得施工许可证，计划2018年9月30日施工完成（除金港公园段），金港公园段计划2019年4月30日前完成；2、目前金港河综合治理工程正处于施工阶段，因受暴雨影响，为做好防汛工作，截流井堰门打开雨污水混流入河，导致河道水质不稳定，现水质已恢复正常；3、施工单位已在工地围挡张贴相关施工公告；4、为尽快完成河道治理，还市民一个青山绿水，施工单位为加快施工进度，偶尔会进行夜间施工，施工期间给周边居民带来不便，敬请谅解。</t>
  </si>
  <si>
    <t>投诉仓山区金港河项目延期无通告</t>
  </si>
  <si>
    <t>利他（参照同类关于工期咨询）</t>
  </si>
  <si>
    <t>仓山区金港河项目从2017年4月开工，通告上显示工期为一年，应于2018年5月1号完工，实际工期与通告不符。现今已8月，无限期延期无通告，特此向上级部门反应，望上级部门督促。</t>
  </si>
  <si>
    <t>金港河建设因多种原因导致工期滞后，现已督促施工单位更换新的施工公告并加快施工进度，计划年底完成，河道综合治理是惠民工程，望周边居民谅解。</t>
  </si>
  <si>
    <t>投诉仓山区金港河施工工期不明确</t>
  </si>
  <si>
    <t>仓山区万达1号门正对面的金港河施工工地到底什么时候能完工？第一次咨询的时候跟我回复说是6月底完工，上次在咨询的时候给我回复说要8月底，我这几天发现这个工地都没去施工，8月底到底能不能完工？请有关部门给一个明确的答复。特此投诉，请部门处理。</t>
  </si>
  <si>
    <t>金港河万达段仅剩景观绿化工程，目前正在施工，计划8月底前全部能够完工，由此带来的不便，请广大市民谅解。</t>
  </si>
  <si>
    <t>噪音严重扰民</t>
  </si>
  <si>
    <t>仓山区金港路金港河治理工程凌晨十二点多还在施工，噪音严重扰民，附近居民无法正常休息。特此投诉，望处理。</t>
  </si>
  <si>
    <t>关于仓山区金港路金港河治理工程凌晨施工噪音扰民问题，我镇已安排工作人员到现场查看。该处为水系治理工地施工，我镇已责令其停工，不得超时施工扰民，同时安排执法人员加强该路段巡查。</t>
  </si>
  <si>
    <t>河道施工噪音扰民</t>
  </si>
  <si>
    <t>摩卡生活馆旁边的金港河工地现在已经晚上十一点多还在施工，噪音影响周边居民休息，请有关部门处理。</t>
  </si>
  <si>
    <t>关于摩卡生活馆旁边的金港河工地夜间施工噪音扰民问题，我镇已安排工作人员到现场查看，对该处工地超时施工行为已责令其停工，同时我镇将安排执法人员加强该路段巡查。</t>
  </si>
  <si>
    <t>投诉工地施工</t>
  </si>
  <si>
    <t>仓山区杨周东路258号金港河施工，人行道被围起来了，给周边的居民和学生出行造成不便，我们都只能走机动车道，存在安全隐患。水雾应该往工地喷，但该工地水雾往外面喷，我们衣服都湿了。特此投诉，希望相关部门对这种不文明施工的行为进行惩罚与整治。</t>
  </si>
  <si>
    <t>该处施工为水系金融南路箱涵施工，施工前已进行合理规范的交通导改，设置了人行专用道；导致喷雾会吹到围挡外是由于最近风大的原因，收到投诉后，施工单位立即对喷头进行重新部署，避免再次出现类似问题</t>
  </si>
  <si>
    <t>投诉仓山区万达1号门正对面的金港河施工工地</t>
  </si>
  <si>
    <t>对部门答复很不满意，福州市水务投资发展有限公司答复说预计6月底可以完工，但至今还未施工完毕，也没有公告说什么时候会完工。另外，请问金港河施工工地是归哪个部门监管？继续投诉！望部门再次介入处理。</t>
  </si>
  <si>
    <t>金港河万达段施工由于前阶段逢雨期，导致施工时间拖延，现预计8月份全部完成。金港河水系治理项目由福州市城乡建设委员会监管。</t>
  </si>
  <si>
    <t>河道施工扰民</t>
  </si>
  <si>
    <t>仓山区摩卡生活馆门口的金港河施工工地凌晨0点14分还在施工，噪音严重扰民。特此投诉，望处理。</t>
  </si>
  <si>
    <t>关于您反映的“仓山区摩卡生活馆门口金港河工地夜间施工噪音扰民”问题，我局接到投诉后已第一时间调派执法人员前往现场查看。经查，现场已停止施工。</t>
  </si>
  <si>
    <t>投诉金港公园河道工地</t>
  </si>
  <si>
    <t>仓山区金港公园河道工地在施工，将人行道都围挡起来，导致附近学校的学生都要从机动道走，存在安全隐患。如何发生意外是建设局负责还是施工方负责？希望转批到建设局。特此投诉，望处理。</t>
  </si>
  <si>
    <t>我司已责令施工单位及时整改，增设安全护栏，预计6月3日前完成。给您带来不便敬请谅解！</t>
  </si>
  <si>
    <t>投诉金港河项目施工方</t>
  </si>
  <si>
    <t>仓山区万达对面的金港河项目施工造成周边的自来水管一周断掉两次，给附近居民生活带来极大的不便。特此投诉，希望有关部门能够加强监管。</t>
  </si>
  <si>
    <t>经核实，以上停水是由于施工单位宏润建设不文明施工造成，我司已对施工单位发出罚款通知并责令施工单位加强施工现场管理，施工前做好地下管线探测及保护，安全文明施工，避免此类事件再次发生。同时要求市自来水公司加强该片区给水管线巡视，期间给您带来不便敬请谅解！</t>
  </si>
  <si>
    <t>投诉停水问题</t>
  </si>
  <si>
    <t>仓山区万达对面的金港河项目施工导致和园小区经常停水，这么热的天突然停水，市民根本没办法正常生活。请部门告知为什么无故停水？特此投诉！望处理。</t>
  </si>
  <si>
    <t>经落实5月16日11：20位于仓山区浦上大道中茵加洲花城小区附近供水管线被水系治理施工单位破坏，导致区域出现供水异常现象，对此我司管线部门积极抢修，已于下午16：05修复受损管线，周边区域供水逐步恢复正常。于17：10位于仓山区浦上大道正祥一品新筑的供水管道被该小区内部排水管道施工破坏，经我司积极抢修，已于20：15修复。周边区域供水逐步恢复正常。由此给广大市民用户造成的不便，我司深表歉意。在此我司也呼吁各类项目施工单位加强施工监管，避免对我司供水管线以及居民正常生活造成不必要的影响。谢谢！</t>
  </si>
  <si>
    <t>金港公园河道整治，到底是做什么</t>
  </si>
  <si>
    <t>金港公园河道整治，近来一直在打桩，我们想咨询一下，到底是建设什么项目？是不是建设污水处理厂，我作为周边群众，想了解一下，是建设什么项目，如果是污水处理厂，是采用什么工艺，是否对周边有环境影响，是否经过环境评估认证？到哪里能够查询到相关工程资料</t>
  </si>
  <si>
    <t>金港公园内部正在建设的是福州市金山片区水系综合治理PPP项目中金港河分散式再生水处理站工程，水站采用的是HBR工艺，建设采取全地下式构筑模式，建成后地上部分仍为景观公园，对周边环境无任何影响，福建省环保厅也已明确福州市水系治理项目本身属于环保项目，具有环评豁免权。</t>
  </si>
  <si>
    <t>内河整治工期延误给居民生活造成不便</t>
  </si>
  <si>
    <t>仓山区金港河内河整治工程的工期是2017年4月28日至2018年5月1日，可是至今施工现场还被围挡围着无人在现场施工，为何工期延误了却没有通知？这样会影响政府公信力，也给周边居民造成不便。特此投诉，望相关部门介入处理。</t>
  </si>
  <si>
    <t>金港河水系治理工程在施工期间，因该区域地质结构复杂等原因导致工期滞后，现预计于6月底完成水系治理改造工程，河道综合治理是政府惠民工程，届时将全面改善周边生活环境，望周边居民支持与谅解。</t>
  </si>
  <si>
    <t>投诉仓山区万达1号门正对面的金港河施工工地，施工公告上显示2017年4月28号开工，到2018年5月1号完工，但是到现在围挡都还没有被拆掉，还没有完工，公告与实际情况不符，而且一直无法如期完工，影响周边居民生活跟正常通行。特此投诉。</t>
  </si>
  <si>
    <t>金港河水系治理，因在施工建设中周边地形复杂，导致工期滞后，现预计与6月底可完成施工，河道综合治理是惠民工程，望周边居民给予支持与谅解！</t>
  </si>
  <si>
    <t>金港河何时施工完成?</t>
  </si>
  <si>
    <t>利他参照同类关于工期与步道</t>
  </si>
  <si>
    <t>金港河原通知2018.5月完工，但目前明显不能完成，请问何时施工完成?能否建沿金港河的休闲步行道?</t>
  </si>
  <si>
    <t>金港河在治理施工过程中，因河道周边情况复杂导致工期滞后，根据市委市政府统一部署，要求金港河沿河两岸都将建设沿河景观步道。该河道计划于2018年12月底完成施工工程，在此期间给市民带来不便敬请谅解！</t>
  </si>
  <si>
    <t>仓山万达对面的金港河河道工地凌晨01:45还在施工，噪音严重扰民，严重影响周边居民休息。特此投诉，望部门尽快处理。</t>
  </si>
  <si>
    <t>关于您反映的“仓山区万达对面金港河河道工地夜间施工噪音扰民”问题，我局接到投诉后已第一时间调派执法人员前往现场查看。经查，现场为原展恒渣土公司出土。该施工单位有夜间施工许可证，执法人员已责令其尽量降低噪音以减小对周边居民的影响。</t>
  </si>
  <si>
    <t>金港河整治的施工方占用太多公共资源</t>
  </si>
  <si>
    <t>一条不大的金港河整治，施工方把整个金港公园都围起来一年多了，大部分时间围而不建。去年放很多活动房住人。今年元宵过后才有动静，但施工方的水泥拌车，拉钢筋的货车，施工人员的小车都挤在金港路及人行道上。仓山区教师进修校一附小就在附近，每天上学放学学生和家长都无路可走。有关部门能否督促一下，围挡小一点，工期短一点，车辆不要停在人行道上，给学生让出一条通道。</t>
  </si>
  <si>
    <t>关于金港公园的投诉，我司已督促施工单位合理安排施工车辆进出施工场地，尽量避免挤占道路，榕港路箱涵施工已经考虑最小的围挡范围，箱涵施工预计9月份完成，施工完成后会尽快拆除围挡，恢复路面，给您带来不便敬请谅解！</t>
  </si>
  <si>
    <t>餐饮店污水未经净化设备</t>
  </si>
  <si>
    <t>又要联合出拳，排查内河污染源了，仓山区金港路36号和园30座餐饮服务项目，位于金港河旁，属沿内河餐饮店，现餐饮店的隔油池被移除，属未配套污水处理设备，乱排放污水，餐饮服务污水最终流向金港河，让正在建改金港河留下隐患，平谭海鲜，三恭冒菜等餐饮店。</t>
  </si>
  <si>
    <t>经我镇工作人员核查，该处原先有安装隔油池设备，后被人私自移除。我镇已将名单上报区环保局，申请重新安装相关设备。</t>
  </si>
  <si>
    <t>天恩假日酒店前面金港河市政工地已经21:41分还在施工，噪音扰民严重，影响附近居民休息，多次投诉得不到解决。特此投诉！望部门处理。</t>
  </si>
  <si>
    <t>关于仓山区天恩假日酒店前面金港河市政工地施工扰民问题，我局执法人员于2018年4月5日1时55分到现场查看，此处为前内河工地，未发现施工。今后我局将加强对该工地周边的日常巡查，发现违规施工现象将依法予以查处。若市民发现夜间施工扰民行为，请拨打24小时投诉电话12345，我局在收到举报后将第一时间调派执法人员前往查处。</t>
  </si>
  <si>
    <t>仓山区金港公园河道这边在施工，严重的噪音扰民，影响周边居民的休息，我们附近的居民因为无法忍受噪音扰民的情况，下去跟施工方的人协调，让他们不要在施工，可是施工方态度很嚣张，希望有关部门尽快介入处理。</t>
  </si>
  <si>
    <t>关于仓山区金港公园河道施工扰民问题，我局执法人员于2018年3月29日2时58分到现场查看，此处为金港公园旁内河工地，未发现施工。今后我局将加强对该工地周边的日常巡查，发现违规施工现象将依法予以查处。若市民发现夜间施工扰民行为，请拨打24小时投诉电话12345，我局在收到举报后将第一时间调派执法人员前往查处。</t>
  </si>
  <si>
    <t>天恩假日酒店前面金港河市政工地晚上22:24还在施工，噪音扰民，影响附近居民，望部门处理。</t>
  </si>
  <si>
    <t>关于您反映的“天恩假日酒店前面金港河市政工地夜间施工噪音扰民”问题，我局接到投诉后已第一时间调派执法人员前往现场查看。经查，现场为金港河原展恒出土，执法人员已责令施工方立即停止施工。</t>
  </si>
  <si>
    <t>金港公园河道工程整夜挖土机渣土车整夜扰民</t>
  </si>
  <si>
    <t>金港公园河道治理，渣土车，挖土机整夜施工，噪音严重扰民，施工时间是晚上十点以前我们还能理解配合，关键是晚上十点以后了还在施工。施工一直都在持续，等挖土机把渣土车装满，后面一辆渣土车还没来前，这段时间会停一下，停的时间差不多为十分钟左右。希望有人能管一下</t>
  </si>
  <si>
    <t>关于仓山区金港公园施工扰民问题，我局执法人员于2018年3月28日22时49分到现场查看，此处为金港公园内河工地，未发现施工。今后我局将加强对该工地周边的日常巡查，发现违规施工现象将依法予以查处。若市民发现夜间施工扰民行为，请拨打24小时投诉电话12345，我局在收到举报后将第一时间调派执法人员前往查处。</t>
  </si>
  <si>
    <t>关于仓山区金港路金港河治理工程施工扰民问题，我局执法人员于2018年3月27日3时09分到现场查看，此处为金港河水系工程，未发现施工。今后我局将加强对该工地周边的日常巡查，发现违规施工现象将依法予以查处。若市民发现夜间施工扰民行为，请拨打24小时投诉电话12345，我局在收到举报后将第一时间调派执法人员前往查处。</t>
  </si>
  <si>
    <t>福州市仓山区张小姑小吃店无污水处理设施，直排</t>
  </si>
  <si>
    <t>福州市仓山区金港路36号和园29#30#靠近金港河，属沿内河餐饮业，对餐饮业排放放污水需经一定污水处理设施后才能排放，常见污水处理设施就是隔油池。福州市仓山区张小姑小吃店（招牌为朋友圈）位于和园30#1层08店面，该店面无任何餐饮污水处理设施，直接排放，同时该店成立于2017年8月29日，此时工商对此类店成立都签有环保告知书，却不对污水排放做任何处理。属无德无良无诚信商人，同时也突显各职能部门监管缺失。询问，仓山区有无餐饮业隔油池长效管理机制。诉求，对福州市仓山区张小姑小吃店无污水处理设施要进行监管。</t>
  </si>
  <si>
    <t>经查，该店隔油池位于室内，我局督促其正常运行隔油池。</t>
  </si>
  <si>
    <t>无隔油池污水处理设施</t>
  </si>
  <si>
    <t>仓山区金港路36号和园30座餐饮服务项目，位于金港河旁，属沿内河餐饮店，现餐饮店的隔油池被移除，属未配套污水处理设备，乱排放，餐饮服务污水最终流向金港河，让正在建改金港河留下隐患，如朋友圈，平谭海鲜，三恭冒菜等餐饮店</t>
  </si>
  <si>
    <t>内河餐饮店所安装的隔油池设备是政府配套处理污水的设备，经我镇工作人员到现场核查，该处餐饮点的隔油设备，是有人私自将其拆除。我镇已责成企业工作人员到现场解决。</t>
  </si>
  <si>
    <t>河道施工扰民！！</t>
  </si>
  <si>
    <t>工程施工过程严重扰民。中午施工不暂停，严重影响周边群众的休息；使用大噪音，大功率设备，打桩起桩，使得整个周边小区的楼房都在震动，存在安全隐患。   家中的小孩就在仓山区进附一小就读，常常诉苦。工地施工噪音很大，上课都听不清老师讲课；施工单位动静太大，好象发生地震！河道建设，我们支持。但是施工不文明，我们坚决反对。希望有部门领导，不要只为政绩工程服务，而忽略了老百姓的感受！！</t>
  </si>
  <si>
    <t>我局执法人员于2018年3月12日13时49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</si>
  <si>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金港河在洋周东路258号融信西班牙附近的工地中午12点到下午2点之间还在施工，噪音很大，影响休息，望处理。</t>
  </si>
  <si>
    <t>关于融信西班牙附近的工地噪音扰民问题，我局执法人员于2018年1月29日12时57分到现场查看，未发现施工。</t>
  </si>
  <si>
    <t>fazhi</t>
  </si>
  <si>
    <t>深夜施工扰民</t>
  </si>
  <si>
    <t>我是融信西班牙4号楼202业主，我孩子高三了，马上要考试。金港河在洋周东路258号融信西班牙附近的工地晚上10点还在施工，按政府规定施工是早上8点到12点，下午2点到9点。特此投诉。</t>
  </si>
  <si>
    <t>我局执法人员联合建新镇城管中队于2018年1月20日23时33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</si>
  <si>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天恩假日酒店前面金港河市政工地晚上9点46还在施工，之前有在小区公示过告示写早上8点后施工，夜间不施工。现在还在施工扰民，望部门处理。</t>
  </si>
  <si>
    <t>关于件中反映仓山区天恩假日酒店前面金港河市政工地夜间施工噪音扰民的问题,我局执法人员于2017年12月28日23时26分到现场查看，未发现施工。今后我局将加强对该工地的日常巡查，发现违规施工现象将依法予以查处。若市民发现夜间施工扰民行为，请拨打24小时投诉电话12345，我局在收到举报后将第一时间调派执法人员前往查处。</t>
  </si>
  <si>
    <t>噪音扰民（加急）</t>
  </si>
  <si>
    <t>仓山区金港路金港河工程现在已经晚上快十点半还在施工，每晚都通宵施工，噪音扰民，特此投诉，望处理。</t>
  </si>
  <si>
    <t>关于您反映的“金港河工地夜间施工噪音扰民”问题，我局接到投诉后已第一时间调派执法人员前往现场。经查，该处为金港河勾机清淤作业，已超时施工，执法人员责令施工立即停止作业，并要求其合理安排施工时间，不得扰民。</t>
  </si>
  <si>
    <t>执法人员夜间去现场执法施工队也只是执法人员在场时停止一会施工，执法人员走后就又开始，昨晚还施工到凌晨两三点。我是仓山区金港路和园小区的居民，金港河工程夜间通宵施工，噪音严重扰民，影响居民正常生活。特此投诉，望相关部门介入处理。</t>
  </si>
  <si>
    <t>关于件中反映仓山区金港路和园小区金港河工程夜间施工噪音扰民的问题，我局执法人员联合建新镇城管中队于2017年12月20日22时49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</si>
  <si>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仓山区金港公园河道夜间施工，噪音严重扰民</t>
  </si>
  <si>
    <t>金港公园好好的一个公园毁了也就算了，毕竟要挖河道，可是前期围档两个月不施工，现在年底了是要赶进度了吗，整夜整夜施工，严重影响周边民众休息，此问题已有多人投诉，请相关部门尽速处理。</t>
  </si>
  <si>
    <t>我局执法人员于2017年12月18日23时31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</si>
  <si>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金港路金港公园的河道，凌晨三点半还有挖掘机在挖土，噪音扰民，希望部门尽快处理。</t>
  </si>
  <si>
    <t>我是仓山区万达附近金山桔园小区业主，金港河工程白天不施工，夜间通宵施工，噪音严重扰民，影响居民正常生活。特此投诉，望相关部门介入处理。</t>
  </si>
  <si>
    <t>我局执法人员联合建新镇城管中队于2017年12月15日00时56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</si>
  <si>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浦上大道金港河改造工程现在已经快晚上十一点还在施工，噪音影响周边居民休息，请有关部门处理。</t>
  </si>
  <si>
    <t>关于件中反映仓山区浦上大道金港河改造工程夜间施工噪音扰民的问题,我局执法人员于2017年12月8日22时30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</si>
  <si>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金港河道施工单位野蛮施工</t>
  </si>
  <si>
    <t>1、联建新苑之间的河道施工，施工出入口没有设置洗车池，严重污染市政道路；2、履带式挖掘机直接形式在市政道路上，破坏沥青路面；3、水泥罐安放在人行道上，安全隐患突出。4、夜间施工扰民严重。</t>
  </si>
  <si>
    <t>该出内河的施工业主单位为市水务集团，关于其施工设置、破坏路面以及施工扰民的问题，建议请转其答复办理。谢谢。</t>
  </si>
  <si>
    <t>仓山区万达广场北边金港河公园的工地，晚上12点还在施工，噪音扰民，望部门尽快处理。</t>
  </si>
  <si>
    <t>关于件中反映仓山区万达广场北边金港河公园的工地夜间施工噪音扰民的问题,我局执法人员于2017年11月28日22时22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</si>
  <si>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金港公园河道施工扰民</t>
  </si>
  <si>
    <t>金港公园正在进行河道改造。刚刚开工的几天，都是晚上凌晨12点还有在作业，噪音非常大。之后有所改善。但是这几天陆陆续续又出现的晚上11点12点还在施工（上个星期，十一月六号到十二号之间）。而且周末中午十二点一点也在施工，噪音非常大，严重扰民。请有关部门严惩。如果再有发现，请提供快捷的投诉举报方法。谢谢！</t>
  </si>
  <si>
    <t>我局执法人员分别于2017年11月16日01时38分、12时44分到现场查看，均未发现施工。今后我局将加强对该工地周边的日常巡查，发现违规施工现象将依法予以查处。若市民发现夜间施工扰民行为，请拨打24小时投诉电话12345，我局在收到举报后将第一时间调派执法人员前往查处。</t>
  </si>
  <si>
    <t>仓山区万达广场北边金港河公园的工地，晚上十点半还有人施工，噪音扰民，望部门尽快处理。</t>
  </si>
  <si>
    <t>金港公园目前正由福州市水务投资发展有限公司进行围档施工，相关问题建议转福州市水务投资发展有限公司办理。再次感谢您对公园管理工作的关心、理解和支持！</t>
  </si>
  <si>
    <t>半夜施工，大型机械噪音扰民</t>
  </si>
  <si>
    <t>金港公园河道项目每晚11点前后开始施工。大型挖机躁音扰民。通宵施工，有关部门不管吗？</t>
  </si>
  <si>
    <t>关于件中反映仓山区金港路80施工噪音扰民的问题，我局执法人员联合建新镇城管办于2017年10月22日4时05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</si>
  <si>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仓山区建新镇金港路36号金港公园河道改造项目晚上11点17分还在施工，噪音严重扰民。该工地每天都是通宵施工。仓山城管是不是收人家红包？特此投诉，望处理。</t>
  </si>
  <si>
    <t>我局将通知施工方做好文明施工。同时，请转市水务集团进一步加强对施工单位的督促，对作业时间进行调控。</t>
  </si>
  <si>
    <t>金港公园河道工程每天晚上施工，大型机械噪音拢民已经持续一周。望有关部门介入调查</t>
  </si>
  <si>
    <t>我局将通知施工方做好文明施工，同时此件请转市水务集团进一步加强对施工单位的督促，请其对作业时间进行调控，避免扰民。</t>
  </si>
  <si>
    <t>金港公园夜间施工，严重扰民。</t>
  </si>
  <si>
    <t>金港公园河道工程，常常是凌晨12点之后施工，严重扰民。说是渣土车只有晚上才能开入施工地点，但是渣土车这个原因不能凌驾于周围近万户居民晚上休息之上。渣土车可以临时放行，在施工阶段。晚上凌晨12点、1点、2点都在施工，周围居民如何休息，第二天如何工作。本来一个好好的公园，被挖出一条臭水河就已经损害了周围居民的利益了，现在还要为这条河成万户的居民付出晚上无法睡觉的代价，请严惩。</t>
  </si>
  <si>
    <t>关于件中反映仓山区金港公园河道工程问题，我局执法人员联合建新街道城管办于2017年10月13日2时31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</si>
  <si>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金港河附近的工地晚上12点24分还在施工扰民，严重影响附近居民休息。特此投诉。</t>
  </si>
  <si>
    <t>关于您反映的“金港河附近的工地施工噪音扰民”问题，我局接到投诉后已第一时间调派执法人员前往现场查看。经查，该处为原展恒运输公司正在进行向外运输渣土作业，属超时施工行为，执法人员已责令施工方立即停止作业，并要求所有运输车辆驶离现场。</t>
  </si>
  <si>
    <t>金港河扰民声声何时了</t>
  </si>
  <si>
    <t>金港河项目，中午两点前就开始动工，半夜十一点之后还在不停歇的施工，搜索之前的诉求件，仓山区建设局已经给过反馈说是将通知施工队对施工时间进行合理安排，以免扰民。最早的回复时间是9月22日，距今已有20余天，相关问题仍然得不到改善，附近居民苦不堪言。希望有关部门能担负起这个职责，还居民一个优良的居住环境。</t>
  </si>
  <si>
    <t>我局将再次通知施工方做好文明施工。同时，此件也请转市水务集团进一步督促施工单位对作业时间进行调控，以避扰民。</t>
  </si>
  <si>
    <t>政府言而无信，彻夜施工扰民</t>
  </si>
  <si>
    <t>仓山区委区政府在10月9日公告金港河22:00_06:00停止施工，但从9日来，每天彻夜施工，周边群众不堪其扰，那政府公告又是什么意思?政府和群众之间不闹不改，闹了再改的游戏要一直玩下去吗?</t>
  </si>
  <si>
    <t>关于件中反映仓山区金港河噪音扰民的问题，我局执法人员联合金山街道城管办于2017年10月13日2时31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</si>
  <si>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仓山万达对面金港河项目晚上11点36分还在施工，严重扰民，已经投诉至少3次了一点改善都没有。特此投诉，望处理。</t>
  </si>
  <si>
    <t>我局将通知施工方对施工时间进行合理安排，以避免扰民。同时，此件也请转市水务集团进一步督促施工方。谢谢。</t>
  </si>
  <si>
    <t>投诉金港公园夜间施工扰民</t>
  </si>
  <si>
    <t>投诉金港公园夜间施工扰民；10月8日晚9点后开始，至少到凌晨3点还在施工，噪音严重扰民。10月9日晚9点后又开始施工，噪音依旧，周围小区居民作息收到严重影响。金港河规划，本身周遭居民就有意见，并多次向省市政府部门上访。施工方还夜间严重扰民，这是在火上浇油吗？还是要向即将召开的19大致敬的节奏？希望政府部门能够秉持为人民服务的宗旨，严肃处理，谢谢。</t>
  </si>
  <si>
    <t>我局将通知施工方合理安排作业时间，以避免扰民。同时也建议请转市水务集团进一步督促施工单位对作业时间进行调控。给您造成的不便敬请谅解。</t>
  </si>
  <si>
    <t>强烈要求阻止非法施工</t>
  </si>
  <si>
    <t>我是融信西班牙业主，小区旁边要建金港河，没有施工许可证，属于非法施工，施工方打桩对我们小区的影响非常大，我们强烈要求阻止非法施工，望部门尽快介入处理。</t>
  </si>
  <si>
    <t>仓山区金港河是规划河道连接洋洽河和台屿河，是周边片区的排涝通道。金港河开挖施工是水系治理PPP项目，河道全线贯通才能消除黑臭，有利于生态补水改善环境。河道施工给您造成不便，敬请谅解</t>
  </si>
  <si>
    <t>仓山区万达附近有个金港河项目，中午两点之前就开始施工，噪音严重扰民，特此投诉，望尽快处理。</t>
  </si>
  <si>
    <t>我局将通知施工队伍对施工时间进行合理安排，以避免扰民。给您造成的不便敬请谅解。</t>
  </si>
  <si>
    <t>盼金港河早日建成</t>
  </si>
  <si>
    <t>我是西班牙小区业主，小区百分之九十五的业主都非常赞同金港河早日建成，我们都知道政府为了疏通河道下大力气整治，金港河就是这样利国利民的工程，可以美化环境啊，也可以给周围居民提供休闲场所，可是小区个别业主反对，但响应的业主没有多少人，这就说明政府建成金港河是正确的，我们坚决支持。</t>
  </si>
  <si>
    <t>感谢您对我们工作的支持。金港河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谢谢。</t>
  </si>
  <si>
    <t>工地非法施工</t>
  </si>
  <si>
    <t>仓山区融信西班牙小区边上的工地非法施工，他们在建金港河，但是目前这段河道没有施工许可证，特此投诉，希望相关部门介入处理。</t>
  </si>
  <si>
    <t>金港河为市政府统筹同意计划的内河整治项目，项目已纳入仓山金山片区水系PPP项目治理，并已进行施工，预计工期2至3年。同时，对于施工扰民的问题，我局将通知施工队做好文明施工，同时扰民问题也请转市水务集团进一步督促施工单位对作业时间进行调控。给您造成的不便，敬请谅解。</t>
  </si>
  <si>
    <t>仓山区浦上大道金港河改造工程，晚上10点半还在施工，特此投诉，希望有关部门介入处理。</t>
  </si>
  <si>
    <t>我局将通知施工单位合理安排施工作业时间，以避免扰民。谢谢！</t>
  </si>
  <si>
    <t>金港河方案没有确定之前，施工方非法施工</t>
  </si>
  <si>
    <t>我们西班牙和摩卡业主于7月份至今先后多次向仓山区信访办，福州市信访办及福建省信访办提出申诉。金港河方案设计存在不合理性，要求立马停工并且在双方没有达成一致意见之前施工方不能施工。但是就在今天凌晨2点多，施工方还在施工，不仅违背承诺还严重扰民。并且施工方至今未能向我们提供施工所需要的相关正式批文，我们有理由怀疑施工方非法施工，强烈要求政府相关部门出面，制止施工方在未与我们达成一致意见，并且提供不了任何批文的情况下继续施工。望有关部门能真正听取民意，起到监督作用，谢谢！</t>
  </si>
  <si>
    <t>金港河为市政府统筹同意计划的内河整治项目，项目已纳入仓山金山片区水系PPP项目治理，并已进行施工，预计工期2至3年。同时，对于施工扰民的问题，我局将通知施工队做好文明施工，同时扰民问题也请转市水务集团进一步督促施工单位对作业时间进行调控。给您造成的不便，敬请谅解。给您造成的不便，敬请谅解。</t>
  </si>
  <si>
    <t>仓山区金港河项目每天中午1点就开始施工，严重扰民，特此投诉，望处理。</t>
  </si>
  <si>
    <t>我局已通知施工单位合理安排施工作业时间，以避免扰民。给您造成的不便敬请谅解。</t>
  </si>
  <si>
    <t>仓山区和园及景园小区中间正在施工的金港河项目，中午时间段还在打桩，噪音扰民，希望施工方在中午休息时间段能停工，望相关部门介入处理。</t>
  </si>
  <si>
    <t>关于金港河项目中午施工的问题，我局已通知施工单位进行整改，合理安排施工时间，避免扰民。</t>
  </si>
  <si>
    <t>金港河治理方案确定没?是怎么样的?</t>
  </si>
  <si>
    <t>浦上大道金港河现已围档作业，机器轰轰声每天6:30~:9:30，但听说金港河治理方案仍未确定，请问相关部门:1.金港河治理方案究竟如何?能否将现有河段填起，改造成绿地公园?2.周边居民都非常担心金港河“臭水河越挖越长水质后期维持困难，沿途环境污染问题，毕竟福州内河水质大家长期有目共睹，水质保养非常困难3.目前在浦上大道南边动工段造成路面积水(近和园小区)，行人不方便通行，能不能尽快修整改善?工期是很长，大伙不方便为避开积水长期绕道走</t>
  </si>
  <si>
    <t>福州市金山片区水系综合治理PPP项目为福州市水务投资发展有限公司作为政府出资方参与建设，我司对金港河周边居民的投诉件上提出的几点意见，以及给地方居民带来的不便与麻烦，表示非常理解及关注，同时也感谢地方居民及各级相关单位对我司水系综合治理工作的理解和支持。现就投诉件回复如下：1.金港河水系治理项目施工时间严格遵守政府部门制定的施工作业时间规定，不存在违规问题；且施工作业有声音属自然现象，请市民朋友们理智对待。2.金港河总体治理方案已确定，局部河段因规划问题治理方案未确定，但并不影响其他河段施工。3.金港河水系治理项目是福州市人民政府为消除城区河道黑臭而启动的水环境治理民心工程。根据河道实际情况，通过“防洪排涝、截污治污、活水补水、生态修复、景观文化、长效管理”六大系统工程，我司有信心、有能力消除金港河水体黑臭，提升城市“宜居、宜业”的生活品质，造福广大市民朋友。4.浦上大道南侧路面积水问题(近和园小区)，据调查，在我方施工进场前就已普遍存在。若确因施工造成，我方将会按要求整改。希望投诉人继续关心、关注单位的建设和发展，继续监督建设工作，共同推进各项工作的开展。</t>
  </si>
  <si>
    <t>金港河治理规划方案是怎么样的?</t>
  </si>
  <si>
    <t>金港河围档治理，使浦上大道至和园之间路面积水严重，机器噪音每天6:30~9:30，听说治理规划方案还没决定，请问治理方案究竟是怎么样的?如果可以，
1、是否可将目前臭水河填起改造成绿地公园?
2.附近居民都担心臭水河越来越长，越来越臭，后期维护困难，毕竟福州内河情况大家长期有目共睹，维持水质困难重重
3.金港河刚开始建设周边道路就积水，能不能先解决长期通行不便的问题?</t>
  </si>
  <si>
    <t>金港河河道建设工期至2018年12月底，此次建设采用PPP模式，引进全国先进的企业，工程含河道开挖、截污、绿化串珠公园等建设。请市民放心，今年开始福州内河治理都是系统全面的治理，大力度治理，不同于往年，水质达标后才开始付费给施工方。由于内河整治是一项系统全面的工作，需要时间推进，故给您造成的不便敬请谅解。</t>
  </si>
  <si>
    <t>我想了解金港河建设的意义</t>
  </si>
  <si>
    <t>万达广场旁边的小河到融信西班牙之间为本次金港河项目建设的一段。但是众所周知，近年来这个区域从来没有发生内涝，那么为什么还要建设这条河流？如附件所示，直接掩埋万达旁边的死河难道不行？
我的诉求内容是：既然万达旁边的臭水河是死河，那么为什么不能直接填埋？直接放弃这条河。请问这河存在意义是什么？再强调一次，既然万达旁边的臭河是死河，那么直接填埋河流，取消金港河的可行性。我希望规划局的工程师认真认真认真研究下。</t>
  </si>
  <si>
    <t>仓山区金港河开挖是PPP水系治理金港河贯通消除黑臭项目，金港河是规划河道连接洋洽河于台屿河，一；是连通奥体片区水系与金山片区水系，有利于两个区域十几条河道水的流动，使洪塘泵站和阳岐泵站的生态补水能互通增加河水动力改善水质。二；是周边片区的排涝通道。浦上大道万达段地势偏低大雨常涝，金港河将改善该片区的排水，缓解内涝</t>
  </si>
  <si>
    <t>夜间施工</t>
  </si>
  <si>
    <t>2017年6月，福州仓山区建新镇和园至景园间的金港河道开始施工，午休时段及夜间23点均存在施工现象，导致附近居民噪音污染苦不堪言，请相关部门责令整改，还居民一个良好的居住环境。
同时我夜想给相关部门提一个建议，因河道施工需要，河道两岸设起围挡，道路只允许一辆车通行，因此会造成双向单车道的状况，所以，也恳请有关部门设置单向行车导向牌，方便车辆的通行，谢谢。</t>
  </si>
  <si>
    <t>感谢您对福州市公安交通管理的关注，对您的诉求回复如下：您的意见很好，根据福建省实施《道路交通安全法》办法和《福州市区道路交通安全设施管理办法》相关规定，施工区域的道路交通设施由施工单位负责设置，支队相关部门将协调辖区大队进行督导。谢谢！</t>
  </si>
  <si>
    <t>政府为民办实事开挖金港河是一件好事啊，可附近居民说根本不是河是臭水沟。有关部门应该好好解释什么的，不能因为一小部分居民没有理由的反对就停止建设，这不符合大多数居民的利益，我们很多居民坚决支持开挖金港河。</t>
  </si>
  <si>
    <t>金港河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t>
  </si>
  <si>
    <t>金港内河</t>
  </si>
  <si>
    <t>投诉1：金港路177号摩卡生活馆4#和5#前面规划河道是属于摩卡的红线用地范围内，当初规划是河道宽度为5米，离建筑15米，现在施工图设计说离建筑10米，河宽8米，占用了摩卡生活馆的的公共用地。
投诉2：金港河原规划暗涵，现在施工明河？无故变更
投诉3：附近有小学，幼儿园，以及在建的中学，此河暗涵更为合理
投诉4：此河设计部合理，会造成此该区域洪涝</t>
  </si>
  <si>
    <t>金港河河道规划长度1920m，宽度5至20m，河道规划红线早已明确，此次新开挖的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若将金港河改为暗渠，将影响河道整体排洪能力，也不利于河道清淤，容易造成水体堵塞、发臭等。</t>
  </si>
  <si>
    <t>景园西侧金港河治理能不能设地下暗河?</t>
  </si>
  <si>
    <t>景园西侧金港河治理段途经景园和园小区，沿途许多大排档，能不能考虑设地下暗河或不建河道直接铺排涝排污管，方便日后环保维护，避免大量污水排入河内，别让臭水河越来越长”?</t>
  </si>
  <si>
    <t>金港河河道贯通对缓解浦上大道万达周边内涝问题极为重要。今年由市建委牵头将金港河纳入水系PPP项目治理，工程含截污、水质治理等，着重考核水质，强化后期管养，不会出现污水直排内河的现象，工程建设完成后河道水质主要指标将全年保持地表V类水标准。此次河道建设将横穿金港公园，目前先行临时围挡施工，待河道建成后将恢复公园，并进一步提升改造。</t>
  </si>
  <si>
    <t>仓山区PPP水系治理金港河贯通消除黑臭项目规划不合理</t>
  </si>
  <si>
    <t>投诉仓山区PPP水系治理金港河贯通消除黑臭项目，一是公示规划河道距离摩卡生活馆4、5号楼的仅7米退距，对小区建筑物地基造成极大影响，按道路红线规划，河道两侧至少10米绿地，然后建筑物往里面退5米！该项目已严重违反河道红线规范，势必影响房屋安全！二是该河道设计深度很深，对小区的小孩子及老人存在极大的安全隐患！三是该项目规划接引仓山万达臭水沟，严重影响小区住户身体健康！诉求，请政府为群众诚心诚意办实事，尽心竭力解难事，坚持不懈做好事，纠正项目规划，重新设计线路治理或采用暗管铺设，尽量减少对小区住户的影响，谢谢！</t>
  </si>
  <si>
    <t>金港河河河道规划红线早已明确，浦上大道万达广场至洋洽河段早期已初步完成整治。规划上已对金港河河道蓝线及两侧绿化用地进行预留控制，根据河道周边小区建设时期相关规范，金港河两侧需各预留5米以上绿化带。该河道贯通对缓解浦上大道万达周边内涝问题极为重要。今年由市建委牵头将金港河纳入水系PPP项目治理，工程含截污、水质治理等，着重考核水质，强化后期管养，工程建设完成后河道水质主要指标将全年保持地表V类水标准。若将金港河改为暗渠，将影响河道整体排洪能力，也不利于河道清淤，容易造成水体堵塞、发臭等。请市民给予支持和谅解！</t>
  </si>
  <si>
    <t>金港河规划中经小区学校路段要求改为暗河式</t>
  </si>
  <si>
    <t>金港河规划路径中，其中一段贯穿融信西班牙联建新苑。因为此段附近是居民区，并且有好几所学校在附近。其中小学和在建中学直接临河，建议有关部门领导考虑到学生的安全和河道对于附近的环境影响改为暗河式规划，尽可能避免对周边学校和居民的安全及环境造成不必要的影响。此建议是多个小区业主的心声，建议政府部门听取民意，真正为民着想，谢谢！</t>
  </si>
  <si>
    <t>仓山区金港河为我司金山片区水系综合治理PPP项目包内河道，该项目为市委市政府“攻坚2017”行动清单中任务，计划于2017年底完成河道基本消除黑臭的目标。目前该河道还在方案设计阶段，您的诉求所提到的事宜我司会及时提交给专家和设计单位，并建议在项目设计阶段进行综合分析比选、研究论证后再确定具体实施方案。其次若将金港河改为暗渠，将影响河道整体排洪能力，也不利于河道清淤，容易造成水体堵塞、发臭等。本项目预计在今年年底完工，项目建设完成后河岸两侧将修建防护栏和绿地。请市民给予支持和谅解！</t>
  </si>
  <si>
    <t>景园西侧金港河能否设地下河？</t>
  </si>
  <si>
    <t>1、在西班牙和摩卡小区之前的那一段是20米河宽，到我们小区这段变为8米，金港公园又变20米，这样是有问题的，排水截面突然变小，2、离西班牙建筑只有10米的退距，对我们建筑有影响，不符合规范！按河道红线规范，河道两侧要至少10米的绿地，然后建筑要再往里退5米！3、这条河道设计深度很深，周围就是学校，存在极大的安全隐患！</t>
  </si>
  <si>
    <t>金港河河道规划长度1920m，宽度5至20m，河道规划红线早已明确，浦上大道万达广场至洋洽河段早期已初步完成整治，此次新开挖的河道途径浦上大道、金港路、金港公园、融信西班牙、联建新苑，与台屿河衔接。该河道贯通对缓解浦上大道万达周边内涝问题极为重要。今年由市建委牵头将金港河纳入水系PPP项目治理，工程含截污、水质治理等，着重考核水质，强化后期管养，项目总生命周期15年，工程建设完成后河道水质主要指标将全年保持地表V类水标准。此次河道建设将横穿金港公园，目前先行临时围挡施工，待河道建成后将恢复公园，并进一步提升改造。经现场实地察看，目前融信西班牙与仓山教师进修学校附属第一小学两围墙间距仅余15米左右，该段长度约280米，规划河道宽度较窄，对河水流畅确实存在一定影响，我们已将相关情况上报市里，请求市里通过技术等手段解决该段河道宽度问题。</t>
  </si>
  <si>
    <t>投诉仓山区金港河整治规划不合理</t>
  </si>
  <si>
    <t>投诉仓山区金港河整治规划，公示的规划工程涉及严重违规，规划河道直接延着小区外围墙，距离融信西班牙3、4、6、7、9号楼的不到10米退距，严重违反河道红线规范，影响房屋安全，难道政府想见到出现“楼歪歪”现象再次出现吗？这段设计河道太窄，小区与小学宽度才8米，根本不符合规划河道要求，而且，该规划接引仓山万达臭水沟，请政府领导和规划人员夏天到仓山万达去感受一下那臭气熏天的味道吧。诉求，请政府纠正规划，重新设计线路治理或采用暗管铺设，尽量减少对小区和小学建筑的影响。</t>
  </si>
  <si>
    <t>破坏环境为了政绩，绿植公园搞内河臭水沟，对未来附近几所学校学生安全造成威胁</t>
  </si>
  <si>
    <t>在仓山金港路，沿线金港公园到金港河，涉及到附近融信西拔牙、摩卡生活馆、景园等等各个小区，坑挖公园严重破坏环境，乱整治，并且附近沿线一带许多幼儿园、小学、甚至未来的即将建成的中学，严重影响学生未来安全，并且严重破坏环境，建成之后对未来附近业主生活造成严重影响，附近餐饮业旺盛，内河挖成就变成臭水沟现象</t>
  </si>
  <si>
    <t>景园西侧金港河治理能不能设地下河?</t>
  </si>
  <si>
    <t>景园西侧金港河开挖治理能否在景园和园段设置地下河?规划河道边都是大排档小吃店，如果设明河今后肯定有大量污水直接倒入河内，加剧河水脏臭虫多现象，河边能否多做绿化?顺带建成金港河公园步行区?让周边群众多休闲的地方?感恩政府。</t>
  </si>
  <si>
    <t>此次金港河建设采用PPP模式，引进技术先进、实力雄厚的大型企业，工程包含截污工程，不会出现污水直排内河的现象，请市民放心。另，金港河沿线初步规划建设3处串珠公园，含金港公园绿化提升。</t>
  </si>
  <si>
    <t>景园西侧金港河治理规划是怎么样的?</t>
  </si>
  <si>
    <t>景园西侧金港河治理规划是怎么样的?现在围档的大部份土地上都有树木，都要挖掉成河道吗?现在臭水河只有一段，不希望治理后臭水河变长了，原来的绿化会不会被破坏?破坏后会修复吗?</t>
  </si>
  <si>
    <t>金港河此次治理将全线贯通河道，头尾分别与洋洽河、台屿河连通，景园西侧围挡部分本身就是规划河道，河道周边有规划绿化带。</t>
  </si>
  <si>
    <t>仓山万达旁边金港河河水黑臭！</t>
  </si>
  <si>
    <t xml:space="preserve">
仓山万达旁边金港河河水黑臭已经很久了！对附近生活居民影响很大！这问题请告知哪个部门负责？何时能解决？！谢谢！</t>
  </si>
  <si>
    <t>根据市水系治理最新安排，金港河纳入仓山金山片区水系PPP项目治理，已于4月7日开标，目前万达背后段已进场施工，全线安排2017年底前打通并消除黑臭。</t>
  </si>
  <si>
    <t>金港河存在黑、臭等问题</t>
  </si>
  <si>
    <t>利他（参照同类关于黑臭味）</t>
  </si>
  <si>
    <t>仓山区浦上大道金港河存在黑、臭等问题，已经持续三、四年了，特此投诉，希望有关部门介入处理。</t>
  </si>
  <si>
    <t>仓山区万达旁边内河系金港河，已列入今年水治理工程，业主单位是仓山建发，计划年底完成整治</t>
  </si>
  <si>
    <t>请问福州市建设局：金港河整治启动招标否？</t>
  </si>
  <si>
    <t>利他参照同类关于工期</t>
  </si>
  <si>
    <t>10月市建设局表示：12月启动金港河整治招标，请问已启动否？</t>
  </si>
  <si>
    <t>根据市里的安排，金港河已列入2017年重点整治项目，我区已指定区建设开发公司作为业主单位负责实施，目前正在着手办理立项准备材料，按照计划安排2017年4月份进场施工，2017年底前完工。</t>
  </si>
  <si>
    <t>河水黑如墨</t>
  </si>
  <si>
    <t>昨日下午，记者来到仓山万达C区旁的金港河，只见两岸花岗岩栏杆和游步道建设得十分美观，河道内的水却像墨汁一样黑，并散发出阵阵臭味。河边一家饮品店的店主刘先生说：“万达广场一落成，这条河就是这样，比酱油还黑，因为两端都被堵住了。”
记者沿着河道一路前行，臭味始终萦绕鼻端，往红星国际广场方向，金港河和洋洽河已经连通，但往东走，过了浦上大道，河道由五六米宽瞬间变成约1米宽的暗河，时隐时现。
“这里来过好几拨记者，环保部门也来过，但都没多大用，夏天一到，那臭味能把人熏晕。为了除臭，以前水上还种了许多水浮莲。”河边一家茶叶店老板李先生希望尽快启动金港河整治，还市民美好环境。</t>
  </si>
  <si>
    <t>仓山万达C区旁的金港河已列入金港河及龙津河流域等内河黑臭水体治理PPP项目，目前该实施方案在市政府审定“城区内河水系综合整治计划”后，再行研究审核，预计年底启动招标工作</t>
  </si>
  <si>
    <t>尽快动工治理黑臭金港河及万达边小河</t>
  </si>
  <si>
    <t>利他参照同类督促工期</t>
  </si>
  <si>
    <t>尽快动工，疏通治理万达旁黑臭小河</t>
  </si>
  <si>
    <t>尽快动工治理黑臭金港河及万达边小河诉求编号：FZ16082600608诉求内容：金港河和金港河支流(万达边小河)河水又黑又臭，希望尽快动工治理</t>
  </si>
  <si>
    <t>金港河及龙津河流域等内河黑臭水体治理PPP项目实施方案须在市政府审定“城区内河水系综合整治计划”后，再行研究，预计年底启动招标工作。</t>
  </si>
  <si>
    <t>请问福州市建委金港河疏通治理要何时才能启动？</t>
  </si>
  <si>
    <t>福州市建委“百日攻坚行动”简报（9月20日）表示“金港河及龙津河流域等内河黑臭水体治理PPP项目实施方案经8月26日市政府常务会议研究要求暂缓”，请问金港河疏通治理要何时才能启动？</t>
  </si>
  <si>
    <t>金港河及龙津河流域等内河黑臭水体治理PPP项目实施方案须在市政府审定“城区内河水系综合整治计划”后，再行研究，预计年底启动招标工作</t>
  </si>
  <si>
    <t>金港河和金港河支流(万达边小河)河水又黑又臭，希望尽快动工治理</t>
  </si>
  <si>
    <t>仓山万达边的金港河，由于上游河段尚未开挖截污，生活污水较多，影响水质。目前，该河道已列入金港河及龙津河流域综合整治PPP试建项目，计划今年年底启动工程整治</t>
  </si>
  <si>
    <t>尽快动工治理脏臭金港河</t>
  </si>
  <si>
    <t>请尽快动工，治理脏臭金港河，河边还需设垃圾桶</t>
  </si>
  <si>
    <t>仓山区金港河，由于上游尚未挖通，属断头河，水流不畅水质较差。该河已列入今年内河整治计划，目前正在进行项目前期审批工作，预计下半年入场施工，上游贯通后，水质将得到改善</t>
  </si>
  <si>
    <t>仓山万达金港河如臭水沟</t>
  </si>
  <si>
    <t>仓山区金山街道金港河仓山万达段如同臭水沟，已经持续好多年。相关部门多次表示要开始治理，疏通上下游河道，最近一次为2015年3月份福州市城乡建设委员会回复说，已经开始施工，预计年内（2015年）完成。但是目前（2016年3月）的现状是仍然是臭水沟一条。请问有关部门到底有没有采取切实措施？什么时候完成？不要年年口头敷衍。</t>
  </si>
  <si>
    <t>金港河与洋洽河、台屿河连通。共有三段河道，仓山万达段（中间段）最先开挖，于2011年底完成施工；连通洋洽河的是金港河上游段，于2015年10月完成施工，至此万达段与洋洽河水流相通，水质有所缓解。但连接台屿河的金港河下游段尚未开始整治。要想进一步提升金港河整体水质，还有待后续与台屿河连通，目前金港河已由市建委作为业主单位列入海绵城市行动计划，作为水环境PPP试点项目实施，明年有望动工。</t>
  </si>
  <si>
    <t>浦上河</t>
  </si>
  <si>
    <t>金山绿轴河边公园开放</t>
  </si>
  <si>
    <t>中庚城边上浦上支河金山绿轴的小公园看都已完工，请尽快组织验收，打开围挡，晚上亮灯，增加老百姓的获得感和安全感</t>
  </si>
  <si>
    <t>经核实，浦上支河金洲南路段景观绿化施工已完成，现已上报市建设局进行竣工验收。该段河道水系围挡均已拆除完毕，现该处围挡为地铁公司地铁5号线施工围挡（附图）。公园景观灯目前正在进行箱变申请，待箱变施工完成即进行景观灯通电，计划10月底完成亮灯。给您造成不便，敬请谅解！</t>
  </si>
  <si>
    <t>中庚城边上浦上支河金山绿轴电灯是是谁控制的</t>
  </si>
  <si>
    <t>中庚城边上浦上支河金山绿轴电灯是是谁控制的，非常的任性，晚上想不开就不开，想几点关就几点关，非常任性，完全没规律</t>
  </si>
  <si>
    <t>我司洪榕路金山绿轴段道路未进场建设，且尚未进行路灯施工，不存在路灯开关问题。感谢您的理解与支持！</t>
  </si>
  <si>
    <t>金山中庚城隔壁金山绿轴是由哪个单位维护的？</t>
  </si>
  <si>
    <t>利他关于路灯管理</t>
  </si>
  <si>
    <t>金山中庚城隔壁，新修了一条路和浦上支河，请问是由哪个单位维护的，开关灯比较任性，有些晚上没开，有些晚上10点就关？</t>
  </si>
  <si>
    <t>这样整治内河吗三天两天就这样臭</t>
  </si>
  <si>
    <t>金山浦上河又臭又黑</t>
  </si>
  <si>
    <t>经查看，浦上河百花洲路段水质良好，水体不黑不臭（已附图）。现场未发现诉求中描述的病害情况，望诉求人留下联系方式或存留现场照片联系片区负责人（郑片长：18305982167）以便现场确认核查处理。</t>
  </si>
  <si>
    <t>浦上河水质问题</t>
  </si>
  <si>
    <t>浦上河作为去年政府花巨资内河治理样板工程，现在去疏于管理，水质乌黑，呼吁相关部门重视管理，只建不管只是在浪费政府公共资源。</t>
  </si>
  <si>
    <t>因近期下雨，导致管道内水位增高，根据防涝需要，部份排口打开排涝，水质受到影响，现已进行补换水置换水体，水质已慢慢恢复，给您带来不便，敬请谅解。</t>
  </si>
  <si>
    <t>前几天还有小鱼，今天开始大鱼都死了。希望尽快治理污染环境。</t>
  </si>
  <si>
    <t>经排查因浦上河综合治理工程尚未竣工，且近期下雨管道内水位增高，根据防涝需要部份排口打开排涝水质受到影响，已在制定方案进行补换水置换水体，预计水质将在5月底前恢复。</t>
  </si>
  <si>
    <t>新挖的内河，现在又变成了臭水沟。政府投入巨资打造公园，是为民办好事，却变成臭水沟这是什么原因？？</t>
  </si>
  <si>
    <t>经排查因浦上河综合治理工程尚未竣工，且近期下雨管道内水位增高，根据防涝需要部份排口打开排涝，才使得水质受到影响，已在制定方案进行补换水置换水体，预计水质将在5月底前恢复，感谢您关注与监督！</t>
  </si>
  <si>
    <t>短信</t>
  </si>
  <si>
    <t>来自短信诉求</t>
  </si>
  <si>
    <t>影响市容市貌，影响飞凤河与浦上河绿化效果的城中村，红江新村这个零星地块，政府部门打算什么时候开始整治，政府部门打算如何开发这个零星地块，有无具体时间表！请相关部门解答一下！</t>
  </si>
  <si>
    <t>经核对，该地块规划为居住用地，目前我局尚未收到收储该小区的相关规划选址申请。</t>
  </si>
  <si>
    <t>福州市浦上河整治再过两三个月马上就要竣工验收了，但是在浦上河与飞凤河交汇处，沿河绿化带还是老样子，不见有提升，改进的迹象！问一下市政府相关职能部门，这个地方是不是就是这个样子，跟台屿河，流花溪河，比一比，差了太多了！望相关部门积极协调，改进！</t>
  </si>
  <si>
    <t>经核实浦上河沿河景观绿化已基本完成扫尾工作，因场地受限导致景观整治达不到台屿河和流花溪河效果，望市民理解与支持！</t>
  </si>
  <si>
    <t>福州金山公园开挖河道建议保留两棵近百年大树</t>
  </si>
  <si>
    <t>在工棚旁边有两棵大树，尤其其中一棵树高近20米，树龄无百年，也有八、九十年左右，树种不知，这两棵树应在河道边上，或并不在计划的河道中，现其它树木已基本移除完毕，这两棵大树也当在移除计划当中，因为树上画了红圈，应是移除的标志。
当地人对这些树有感情，守了几辈人了，这两棵近百年大树砍了太可惜了，“绿水青山就是金山银山”，这两棵大树多少钱也买不到，移栽它处也没办法成活，因为树太大了。
不知道河道是否完全修直成水坝那种的直线型，其实稍微自然弯曲些更好看，符合园林需要，能否辟让半米，甚至不要半米，以保留下这两棵古树，这对公园、对市民百姓、对以后的河道绿化都是有极大好处的，是所有人共赢的事，也属功德无量之事。
所以，强烈建议保留下这两棵树，不甚感念！</t>
  </si>
  <si>
    <t>经排查这两颗大树位于规划河道内，且不规则排列，河道底仅宽5米，难以避让这两颗树，我司已申报园林局移植，由专业人员进行移植后的管养，施工带来不便，敬请谅解。</t>
  </si>
  <si>
    <t>浦上河治理存在安全隐患。</t>
  </si>
  <si>
    <t>红江新村浦上河建议做石头栏杆，内河边上租户很多，小孩子很多建议做栏杆，这样会安全。希望政府为百姓多做好事。</t>
  </si>
  <si>
    <t>目前浦上河正在进行红江村绿化景观施工扫尾工作，待步道、苗木及草坪铺设完成后进行沿河栏杆施工，期间给市民带来不便，敬请谅解。</t>
  </si>
  <si>
    <t>浦上河治理，存在安全隐患！</t>
  </si>
  <si>
    <t>仓山区浦上河，红江新村段，沿河住着很多小孩，为何施工方不修建拦杆，存在严重安全隐患！</t>
  </si>
  <si>
    <t>浦上河步道建设，水泥杆添堵</t>
  </si>
  <si>
    <t>浦上河红江新村段，步道当中有两根水泥杆，为何施工方不想办法拆除，是好看，还是路好走？，希望相关部门介入监管！</t>
  </si>
  <si>
    <t>关于您反映的诉求，我司已派工作人员现场处理好，给您带来不便敬请谅解！</t>
  </si>
  <si>
    <t>浦上河治理</t>
  </si>
  <si>
    <t>浦上河红江新村段电线杆挡住步道，难看，路难走！望部门介入监管，拆除电线杆！！</t>
  </si>
  <si>
    <t>您反映仓山区红江路3号红江新村附近的问题立杆为无主电杆，杆上有在用线缆无法拆除。福建广电网络福州分公司已将立杆上废弃设备拆除。给您造成的不便，敬请谅解。</t>
  </si>
  <si>
    <t>内河治理</t>
  </si>
  <si>
    <t>浦上河与飞凤河交界处，驳岸建造，沿河绿化，步道建设。不够美观，漂亮！福州有句俗语，不像葫瓜，也不像丝瓜！这句话形容比较恰当！建议整改！</t>
  </si>
  <si>
    <t>感谢您对内河工作的关心，您的建议意见我们将转项目设计单位，参考整改</t>
  </si>
  <si>
    <t>浦上河绿化</t>
  </si>
  <si>
    <t>仓山区浦上河红江新村段，内河施工人员都在说，沿河还要征迁六米，做为绿化用地和步道建设，请问相关部门，有没有这回事，如果有这回事，何时启动征迁，谢谢！</t>
  </si>
  <si>
    <t>经核实由于红江村段拆迁存在一定困难，故暂不列入本次金山水系治理拆迁计划。</t>
  </si>
  <si>
    <t>市政工程强占小区绿地</t>
  </si>
  <si>
    <t>昨日见到浦上河驳岸工程施工图，里边的工程涉及到红树林小区围墙内绿地，为何一个市政工程竟然在未征得业主同意的情况下强行征用小区绿地，这跟强盗行径有何区别？</t>
  </si>
  <si>
    <t>该项目为浦上河水系综合治理工程，是惠民工程，诉求人提及的驳岸施工，需借用小区地块作为施工作业面使用，驳岸施工完毕，将修复地面上的绿化，并作一定提升改造，施工单位会征得业主同意后再行实施，施工期间给小区居民带来不便，敬请谅解。</t>
  </si>
  <si>
    <t>仓山区建新镇浦上河红江小区串珠公园对面一侧的河道驳岸正在俢建，河道两侧驳岸建设不一致，不协调，不对称！整体看上去格格不入，太难看了！希望市政府把好事做好！希望相关领导，到现场看一看，指导一下！</t>
  </si>
  <si>
    <t>建新镇浦上河红江小区串珠公园对面一侧的河道驳岸因红江村段涉及红江村拆迁，导致两侧驳岸不一致,待施工完成尽快修复，请广大市民支持与谅解！</t>
  </si>
  <si>
    <t>建议市政府将杨周旁的红江新村纳入本年度旧改项目，彻底解决浦上河沿线居民，乱丢扔垃圾入内河里，以及部分村民有烧木柴做饭，严重影响空气质量，望政府巩固内河治理成果和福州好空气！谢谢</t>
  </si>
  <si>
    <t>浦上河沿线乱丢扔垃圾行为，我们将加大巡查力度及时制止，同时加强水面保洁确保垃圾及时清理</t>
  </si>
  <si>
    <t>仓山区建新镇浦上河红江小区串珠公园做得不错，可是对面红江新村民房一侧的河道，去年河道边八月份，河道边违建都拆了，到现在都没看见施工，也不见作永久截污管道，也不见作绿化！问一下相关部门，是什么原因迟迟不见施工，是不是征迁场地太小！施工会影响到河道边民房结构安全！希望相关部门，尽快施工，拆掉围档，好让居民出行方便！***的马上就办精神，要体现出来！</t>
  </si>
  <si>
    <t>工作人员已于3月23日16时到达现场，红江村去年未进场施工是因为去年重点任务是消除河道黑臭，现根据施工计划安排，此段截污建设将在4月初进场施工，绿化建设也会后续建设。施工前，我司各单位将充分考虑，优化截污方案，并做好防护措施，不影响旁边民房结构。目前处于建设期间，为保证各位居民安全，请勿出入施工场地内，待截污，绿化及步道施工结束后，我司将会立即拆除围挡，感谢您们的支持和配合。</t>
  </si>
  <si>
    <t>在仓山区建新镇建新南路旁的红江村的出租户，晚上会有人将垃圾往浦上河里扔，垃圾有的会沉在河里，有的会随风飘到乌龙江。希望政府加大征迁力度，拆掉整个红江村，真正治好浦上河！你不拆掉红江村的民房永远治不好浦上河，反正都要旧房改造，晚拆不如早拆！下决心治好黑臭水体！</t>
  </si>
  <si>
    <t>该段浦上河列入拆迁范围的部分均已完成拆迁工作，沿线6米用于截污管道的埋设，并无其余需要拆迁的部分。关于有人乱扔垃圾影响河道环境的问题请转辖区镇街加强巡查力度，并做好宣传，加强村民爱护内河环境的意识。谢谢。</t>
  </si>
  <si>
    <t>了解内河清污整治有关事宜</t>
  </si>
  <si>
    <t>流花溪正在整治中，取得了一定成效，感谢各级政府实实在在为民办实事，流花溪周边河道纵横交错，在整治过程中将在河道两侧布设截污管，是否包括浦上河至乌龙江水闸的这一段河道（图片画圈处河段）</t>
  </si>
  <si>
    <t>该段已纳入水系PPP治理，为正常施工。其中有新开挖河道、新建驳岸。同时，两侧小区的污水管已接到市政管网中，周边不存在污水排口，故不存在截污管道的施工。谢谢。</t>
  </si>
  <si>
    <t>内河整治施工扰民</t>
  </si>
  <si>
    <t>浦上河内河整治（浦上大道加油站旁边、浦上汽车站旁边），都是通宵施工，有时做到晚上十二点多或者一点多，施工的发电机跟钩机等机器很吵，我有心脏病，都吵的晚上没办法休息，也影响到学生休息。施工方围墙围着，大门锁着，我们进不去，也没有办法跟他们沟通，而且白天不施工，都是晚上时间施工。特此投诉，请部门尽快处理。</t>
  </si>
  <si>
    <t>关于件中反映仓山区浦上河内河整治夜间施工噪音扰民的问题，我局执法人员联合金山街道城管中队于2017年11月14日02时34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</si>
  <si>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内河整问题</t>
  </si>
  <si>
    <t>仓山区建新南路的浦上河在清淤整治，清淤的时候河底的垃圾都没有清理，这样怎么能算彻底整治？国家花这么多的钱整治河道，起码要整治干净，垃圾都没有拉上来怎么行？特此投诉，希望相关部门介入处理。</t>
  </si>
  <si>
    <t>目前该处内河已列入整治计划，部分段已安排进场。预计工期在2至3年左右，届时将对内河里的垃圾将会通过固化处理。给您造成的不便敬请谅解。</t>
  </si>
  <si>
    <t>福州仓山区金山街道浦上河项目，房屋征拆完毕没？何时开工建设！</t>
  </si>
  <si>
    <t>福州金山街道浦上河项目房屋征拆是否完毕！另外浦上河何时开工建设！</t>
  </si>
  <si>
    <t>经了解，浦上河项目正在启动中。</t>
  </si>
  <si>
    <t>浦上河项目将预计在年内动工。关于征迁问题请转辖区建新镇答复咨询。</t>
  </si>
  <si>
    <t>为了方便市民通行建议不要把人行道围起来</t>
  </si>
  <si>
    <t>金山浦上大道刘宅路旁边计划做浦上河景观改造，围挡时间从2017年7月10日到2018年12月31日，围挡一年半时间，连人行道都围起来，而刘宅路附近小区居民都把车停在刘宅路道路两边，导致行人通行困难，每次通行都要走到路中间，存在很大安全隐患，而且围挡的地方处于三叉路口，指挥部是属于金山片区内河综合治理指挥部，围挡地方比较大，为了方便市民通行建议不要把人行道围起来。</t>
  </si>
  <si>
    <t>仓山交警大队高度重视金山区域的交通秩序，采取探头抓拍与不定时巡查相结合的方式，严处车辆占道停车违法行为。针对金山浦上大道刘宅路机动车违法停车的行为，我队将加大查处力度，以维护道路交通秩序。我市交警支队已开通微信公众号“福州交警微发布”随手拍交通违法行为，诉求者如现场发现违法现象，可通过随手拍进行举报。谢谢</t>
  </si>
  <si>
    <t>浦上河的问题</t>
  </si>
  <si>
    <t>仓山区建新镇红江小区背后的浦上河何时才能整治？征迁工作几月会进场施工？现在这条河又脏又臭，请部门处理。</t>
  </si>
  <si>
    <t>红江小区背后的浦上河河道已初步成型，行洪通畅。根据市里水系治理安排，纳入福州市金山片区水系综合治理PPP项目，中标单位中国水环境集团投资有限公司，预计安排在上半年开工，项目合作期15年，含建设期和运营期。2017年底先行消除黑臭。红江小区周边今年暂无拆迁计划。</t>
  </si>
  <si>
    <t>金洲南路浦上河道项目施工范围？</t>
  </si>
  <si>
    <t>金洲南路浦上河道项目施工范围？是否结合金环路（金洲南路～建新中路）同步施工？
麒麟苑、水口苑、金闽小区一直到万达的河道简直就是臭水沟！如果修一段臭一段，建议政府不要浪费纳税人的钱搞这
种**工程！</t>
  </si>
  <si>
    <t>浦上河此次河道建设范围为浦上河与洋洽河约788米连接段（金洲南路金闽小区三区附近至阿弥陀福大酒店段）工程建设及洋洽河约2555米河道清淤，工程内容包括河道开挖、驳岸、绿化及清淤工程。河道建设目前未与金环路同步施工。</t>
  </si>
  <si>
    <t>河水黑臭，望处理</t>
  </si>
  <si>
    <t>仓山区建新镇高宅路与百花洲路交接处的浦上河，河水黑臭，淤泥都堆积在河道里，都没有人处理。请问市政府何时可以解决？</t>
  </si>
  <si>
    <t>浦上河的整治工作，目前已完成立项并进场实施拆迁。</t>
  </si>
  <si>
    <t>仓山区建新南路浦上河为什么只治理上游段</t>
  </si>
  <si>
    <t>仓山区建新南路浦上河为什么只治理上游段？下游段那么脏为什么不治理？</t>
  </si>
  <si>
    <t>浦上河下游段驳岸等都已经建好，同时下游段届时将会进行黑臭水体治理，改善水质，预计2017年年底前完成。</t>
  </si>
  <si>
    <t>高宅路108号好景城南侧内河浦上河何时整治？</t>
  </si>
  <si>
    <t>奥体飞凤山内河已经整治完成，试问高宅路108号好景城南侧内河浦上河何时整治？
年年回复说着手整治然道都是空话大话笑话么？</t>
  </si>
  <si>
    <t>高宅路108号好景城南侧内河段：该段浦上河早期已整治过，算下游段。而今年启动整治的浦上河是指与洋洽河连接段，算上游段，主要是指金洲南路至浦上大道段。待该段打通后，浦上河上接洋洽河，下接流花溪，届时浦上河河水将全流域流通，改善水质。</t>
  </si>
  <si>
    <t>请问浦上河什么时候治理？</t>
  </si>
  <si>
    <t>浦上河目前正在进行前期工作，预计今年年内有望动工。</t>
  </si>
  <si>
    <t>龙津河</t>
  </si>
  <si>
    <t>榕信南苑物业将垃圾分类屋建在（龙津河）河道旁边，离河道太近，冲洗垃圾污水无排污管道，直接流向河道。</t>
  </si>
  <si>
    <t>六一南路328号榕信南苑物业违规将垃圾分类屋建在（龙津河）河道旁边，离河道距离太近，给正在治理的龙津河造成严重二次污染。没有设置排污管道，每天清洗垃圾分类屋污水、黑臭水、废水恶意横流地面，直接排放渗透流向河道。小区分类屋和河道之间周边堆放成山的生活垃圾和废物，对河道和内河治理以及河道水源造成严重污染。请相关部门严查！让垃圾分类远离河道！请相关部门进行查处！</t>
  </si>
  <si>
    <t>我街道垃分办工作人员已到现场查看处理，我街道已协调社区和物业将垃圾屋至河道堆放生活垃圾清除，同时对垃圾屋排污问题已介入处理中。</t>
  </si>
  <si>
    <t>内河整治堵排污口</t>
  </si>
  <si>
    <t>龙津河内河整治堵了体校里的排污口致使我们里面的居民住户污水倒灌无法正常生活臭味扑鼻这样的污水倒灌的卫生环境我们这里的居民如何生活？而且是倒灌的水涨的很快马上就要淹没我们一层楼。现在还在疫情防控的非常时期这样的污水横流的生活环境病菌会有多少？治理内河是应该的但是不能损害我们居民的生活环境。恳请各级领导予以重视尽早处理。</t>
  </si>
  <si>
    <t>诉求位置仓山区体校在我司仓山龙津阳歧水系治理工程龙津河旁，经现场核实，该处污水冒溢系上三路污水系统整体水位高，造成的龙津河截污系统管道溢流。经过与泵站、连坂厂的调度，水位现已恢复正常，污水无冒溢（附图）。给您带来的不便敬请谅解，感谢您对水系治理的关注与监督！经核实，上三路污水干管修复工程由连坂改扩建项目实施，预计完成工期1月20日。因夜间施工需用气囊封堵，造成倒灌。我司已督促现场施工期间关注干管水位，避免施工期间导致周边排水户污水倒灌问题（附件：每日白天气囊拆除照片），给您带来的不便敬请谅解。</t>
  </si>
  <si>
    <t>福杰苑门口龙津河治理成效甚微</t>
  </si>
  <si>
    <t>福杰苑门口龙津河只是做了栈道（而且还只是做了一边），河水还是一样很黑很脏。我想问下我们纳税人的钱交了那么多，就给我们居民看这个？根本没有改善，原来多黑现在还是一样黑，原来多脏现在有过之而无不及。这个叫做治理内河？你工期拖了N年就不说了，现在的脏黑臭的模样你们敢说是治理好了???你们的良心呢?相关部门给一个说法。内河没有治理，你建一个栈道有什么用？把你们那种敷衍了事的作风收起来。</t>
  </si>
  <si>
    <t>诉求内容涉及我司水系龙津河治理工程。经我司派驻管理员至现场查看，该处河段截污系统整体正常运行，水质正常，不存在返黑臭现象（详见附图）。福杰苑南侧美伦雅居一侧景观未施工，是涉及到美伦雅居消防通道桥梁班组未进场施工，故暂时搁置。我司已于2020年11月22日发函催促施工单位抓紧深化图纸，并及时安排施工班组进场。预计施工单位于12月31日前会安排进场。给您带来的困扰，敬请谅解。</t>
  </si>
  <si>
    <t>关于展进路20号兴元花园5#6#背后内河施工扰民问题</t>
  </si>
  <si>
    <t xml:space="preserve">
龙津内河改造多年，这是个利民的好事情，但是否也考虑一下周边民众的作息问题？现在马上凌晨1点了，不知是挖掘机还是货车在倒土填埋，声音哄哄的没停，有时候一早就开始挖，中午也在挖，一段时间下来我们的神经都衰弱了，是否请有关部门妥善安排一下具体的施工时间？</t>
  </si>
  <si>
    <r>
      <rPr>
        <sz val="10.5"/>
        <color rgb="FF222222"/>
        <rFont val="宋体"/>
        <family val="3"/>
        <charset val="134"/>
      </rPr>
      <t>经核实，龙津一支河桥梁迁建工程，由于原桥梁为土堆桥梁，施工过程中需要退出大量土方，导致噪音较大，项目目前已处于收尾阶段，计划</t>
    </r>
    <r>
      <rPr>
        <sz val="10.5"/>
        <color rgb="FF222222"/>
        <rFont val="Arial"/>
        <family val="2"/>
      </rPr>
      <t>12</t>
    </r>
    <r>
      <rPr>
        <sz val="10.5"/>
        <color rgb="FF222222"/>
        <rFont val="宋体"/>
        <family val="3"/>
        <charset val="134"/>
      </rPr>
      <t>月中旬完成建设工作，给您造成的不便，敬请谅解。我街道执法人员已前往现场查看，现场为内河治理改造产生噪音（附现场照片）。投诉者发现如有违规超时施工现象可以拨打12345热线或者打我街道城管中队投诉电话（联系电话0591-63503357），我街道执法人员将第一时间前往现场制止其扰民行为。</t>
    </r>
  </si>
  <si>
    <t>关于投诉公园问题</t>
  </si>
  <si>
    <t>仓山区下藤路龙津河旁公园改造完毕，公园路口有8根左右的电线安装过低，高度在成年人胸口位置，存在安全隐患。公园里植被有半个月没人浇水，好几棵树都枯萎了，草地也发黄了。特此投诉，望有关部门介入处理。</t>
  </si>
  <si>
    <t>、因龙津河临近验收移交，施工养护人员相应减少，现我司已督促施工单位及时安排人员对景观绿化进行养护（详见附图）。给您造成的不便，敬请谅解。关于您反映的诉求我司已收悉，经我司工作人员实地堪查，未找到您所说的电杆，因您未提供图片信息，且未留下联系电话，我司无法联系到您核实具体情况，如有疑问可使用中国联通号码呼入免费客服热线10010咨询，感谢您的支持！</t>
  </si>
  <si>
    <t>福州市仓山区龙津河一支河河水依然发臭，沟侧还有污水流出。</t>
  </si>
  <si>
    <t>福州市仓山区龙津河一支河河水依然发臭，一支河沟在怡美花园侧（从江南名居小区看过去）还有污水流出（如图），河水没有改善，依然时常发臭。</t>
  </si>
  <si>
    <t>诉求位置位于龙津一支河怡美家园侧驳岸渗水，经核实，该处为小区内部管道破损，导致污水沿驳岸渗入河道内，我司已安排施工单位进行现场封堵（附图），预计10月30日完成修复工作。在此期间造成的不便，望请谅解。</t>
  </si>
  <si>
    <t>龙津河残余护岸未建设导致严重安全隐患</t>
  </si>
  <si>
    <t>龙津河流域治理己取得初步成效，但是在美伦雅居福伟苑北面，残余二十余米护栏未安装，三百余米绿化未完善，未装护栏处离河底有五米深，小区内老人小孩非常多，有严重的安全隐患，希望政府部门能够尽快处理解决扫尾问题，给市民一个安全放心的居住环境！</t>
  </si>
  <si>
    <t>诉求位置在我司仓山龙津阳歧水系治理工程龙津河美伦雅居段。经核实，该段河道因涉及由美伦雅居北面3#楼至下藤路消防通道桥梁建设，待图纸会审等相关程序完成后，尽快进场施工，预计消防通道施工完工期限为3个半月。待消防通道完成，即对剩余绿化，栏杆进行修复。针对未完工的施工场地，我司已要求施工单位将施工区域进行暂时关闭，避免行人误入，消除安全隐患。给您造成的不便敬请谅解，感谢您关注与监督。</t>
  </si>
  <si>
    <t>仓山区朝阳路原废弃水匣桥梁何时完工？</t>
  </si>
  <si>
    <t>原水匣处桥梁施工影响龙津支河引水，每日水质奇差，恶臭！</t>
  </si>
  <si>
    <t>诉求位置位于龙津一支河废弃水闸，目前该处桥梁施工已完成80%，由于边上涉及驳岸建设，需与桥梁收尾工作同步进行，导致进展缓慢，我司将督促施工单位加快施工进度，计划12月底前完成该段建设工作。为您造成的不便敬请谅解。</t>
  </si>
  <si>
    <t>内河沿岸串珠公园“断了线”，敢问路在何方？</t>
  </si>
  <si>
    <t>北至上三路福建省团校，南至北园路福建警察学院，龙津河水清岸绿，沿河休闲道却被不同单位分隔，多处铁门阻断，据为自己领地，串珠公园变成断了线的珠子。走在牛眠山巷，所谓公园只能远远看看就好，那只是空中一块饼，与我们有何关系？沿途设置铁门或栅栏的从北到南包括福建省团校、东方幼儿园、珈蓝庙、鸿辰小区（二期）、福建警察学院等。
福州市分管副市长在公开场合回应市民关于内河整治的关切时，曾经就工程完成的时间节点表达明确的态度，请市民放心。国务院曾经挂牌督办的内河工程现在已经成为福州市政府着力对外宣传的形象工程了，但现在作为普通百姓，我们看到的确实另外一番场景。
恳请相关部门到现场巡查协调处理，让休闲道真正通起来，让我们也可以骄傲地说我家边上有串珠公园。</t>
  </si>
  <si>
    <t>诉求位置在我司仓山龙津阳歧水系治理工程龙津河万升小区段。经核实，该段步道通行因涉及到与警察学院交叉施工，（目前警察学院拟在本处河道建仓库改造），为了消除行人通行所造成的安全隐患，对河道进行了暂时封闭围挡施工。经过沟通，警察学院已经在隔离大门上张贴开门联系人电话。该处施工完工工期预计为半年，待施工完毕后方可对外开放。针对有关场地内的相关施工事宜，可联系警察学院邱处长，联系电话：13178115085。给您造成的不便，敬请谅解。</t>
  </si>
  <si>
    <t>龙津支河恶臭何时能完？</t>
  </si>
  <si>
    <t>仓山区龙津支河福盛苑段一天到晚恶臭，居民窗户不敢开，小区内走路都要飞奔，就怕被熏死！内河整治就整成这个结果吗？只能靠潮夕换水？有解决方案了吗？政府花钱就弄个半垃子工程了？</t>
  </si>
  <si>
    <t>诉求位置位于龙津一支治理项目施工范围内，大坪路段河道水下治理内容均已按照设计要求清淤到位，并已通过第三方测量单位进行收方工作，水系治理项目需通过潮汐换水，方可达到治理效果。由于朝阳路废弃水闸处原为土堆道路阻水严重且考虑到百姓出行安全，故对桥梁进行改造(计划10月30前完工)，提升水系治理效果，由于桥梁主体施工，目前河道仅能采取临时过水措施，待桥梁主体结构施工完成后方可体现治理后的效果。水系治理项目需先对河底部进行清淤并对驳岸两侧进行截污管道铺设，对原有直接排入河道的污水进行截污，再结合整体治理方案进行潮汐补换水，才可达到最终的治理效果。</t>
  </si>
  <si>
    <t>关于投诉龙津河改造施工问题</t>
  </si>
  <si>
    <t>我们是仓山区下渡街道下藤路342号龙津花园12幢的居民，因龙津河改造施工导致小区下水道堵塞，污水全部排放在小区地面上，特此投诉，望部门尽快介入处理。</t>
  </si>
  <si>
    <t>经现场核实，我司水系在仓山区下渡街道下藤路342号龙津花园段施工仅对应河道驳岸边管道接驳。位于龙津花园12座第三梯位下水道检查井溢流液体无色无味（详见附图），检查井溢流经初步判断为小区内部自来水地下管道破损引起。诉求问题非水系施工造成，建议诉求用户将相关情况反馈给小区业委会相关情况或街道办事处，对小区整体内部管道进行破损排查。</t>
  </si>
  <si>
    <t>龙津河福盛苑段何时整治完成？</t>
  </si>
  <si>
    <t>之前也咨询了多次，七月中旬，八月底，如今九月了河水依旧黑臭！这就走算是正常水质了？水系治理的结果就是这样的吗？</t>
  </si>
  <si>
    <t>经核实，诉求位置位于龙津一支河，目前水下施工及治理工作已经完成，但由于朝阳路导改桥施工，需保持低水位，导致出现水质不佳的情况。我司水系项目部已通知施工单位加快桥梁的建设工作，预计于10月30日将恢复正常水质。给您带来不便，敬请谅解！</t>
  </si>
  <si>
    <t>龙津河内河整治（穿过展进路）</t>
  </si>
  <si>
    <t>全市内河改造卓有成效。但是，龙津河依然干涸、臭气熏天，此状况已经历时20周年。何时能见清流与正常空气？万望有关领导予以根治。感谢！</t>
  </si>
  <si>
    <t>诉求内容涉及我司仓山龙津阳岐片区水系龙津河治理工程。目前龙津河治理工程基本完成。同时经现场查看，龙津河展进巷段截污系统正常运行，大排口无溢流现象（附图）。因近期上游阳岐河施工需要，存在间歇性断水导致龙津河无法正常补水，故偶尔发生低水位、黒臭等现象。预计待上游9月底全面完工，届时河道将恢复正常。给您带来困扰,敬请谅解！</t>
  </si>
  <si>
    <t>经过几年治理福州市内河都治理得相当不错，唯独仓山区的龙津河仍然是一江污水向前流，臭气冲天。请问这是为什么？</t>
  </si>
  <si>
    <t>经核实，诉求内容涉及我司水系龙津河治理工程。目前龙津河治理工程基本完成，截污系统正常运行。因上游阳岐河施工需要，存在间歇性断水导致龙津河未能正常补水，故偶尔发生水位低、黒臭等现象。8月18日晚已经开始恢复补水，龙津河水质已经逐步恢复中，预计待上游9月底全面完工，河道将会恢复正常水质（附图）。在此期间造成的不便，敬请谅解！</t>
  </si>
  <si>
    <t>龙津河水系治理工程进度？</t>
  </si>
  <si>
    <t>龙津河水系治理工程何时完成？目前水黑恶臭，蚊虫滋生，希望加快工程进度！</t>
  </si>
  <si>
    <t>经核实，诉求位置位于水系龙津一支河治理项目，由于7月中旬治理项目中下河段施工需保持河道低水位，导致河道无法正常补水。目前水下部分已完工，8月底即可恢复正常水质，给您带来的不便，敬请谅解！</t>
  </si>
  <si>
    <t>气味扰民</t>
  </si>
  <si>
    <t>仓山区福盛苑附近的龙津河整治了二十多年还都是污水，气味扰民，严重影响附近居民，特此投诉，望处理。</t>
  </si>
  <si>
    <t>该投诉地点位于水系龙津一支河治理项目，由于7月初治理项目中下河段施工保持低水位，导致河道无法正常换水，目前水下部分已完工，现在正在恢复正常调水，10天内可恢复正常水质，给您带来不便，敬请谅解。</t>
  </si>
  <si>
    <t>龙津河及一支河施工已几年，未完工，河水很臭，没改善。</t>
  </si>
  <si>
    <t xml:space="preserve">
1、龙津河及一支河施工已几年，未完工，河水很臭，没改善。请教何时能完工，河水能变清吗？
2、河两岸施工未完成，且未保护，存在乱停车，破坏了完成面，建议设档车设施；请教河两岸施工何时能完成投入使用？</t>
  </si>
  <si>
    <t>经核实，1.目前由于龙津河上游阳岐河三环外景观提升驳岸工程需低水位施工，且主河道施工已经进入尾声，上游安排补水，收尾期补水可能造成水质波动。展进巷178号弄南侧截流井边步道因施工原材料阻车墩等未到位，故暂时停工。材料预计7月31日进场，计划8月31日完成该段扫尾，并投入使用。龙津河及一支河治理整体工程预计9月30日结束，届时河道水质将逐渐恢复正常。由此带来不便，敬请谅解！</t>
  </si>
  <si>
    <t>扬尘的问题</t>
  </si>
  <si>
    <t>仓山区三叉街龙津河改造工地工人切割石头的时候没有任何降尘措施，导致扬尘严重。特此投诉！要求环保部门到现场责令施工方整改。</t>
  </si>
  <si>
    <t>经核实，诉求内容涉及我司水系龙津河治理工程。目前三叉街段龙津河改造主要集中在美伦雅居小区附近，该段施工主要是进行驳岸栏杆安装。目前现场施工已暂停，待围墙还建方案确定后再进场施工，我司水系项目部已要求施工人员在下次施工过程中做好防尘降噪措施。给您带来不便，敬请谅解！</t>
  </si>
  <si>
    <t>龙津河下渡街道段很臭</t>
  </si>
  <si>
    <t>因市政工程改造，部门把污水抽到了龙津河内，我是龙津河附近的居民，每天恶臭扑鼻。特此投诉，望处理。</t>
  </si>
  <si>
    <t>经核实，目前水系主河道已进入扫尾阶段。龙津河上游调蓄池管道接驳等工序需要进行低水位施工，造成龙津河河道水位较低，同时阳岐河施工需断水，河道无法及时补水导致黑臭，待收尾工作完成，预计于8月30日将恢复河道正常水质。给您带来不便，敬请谅解！</t>
  </si>
  <si>
    <t>投诉河面脏气味大</t>
  </si>
  <si>
    <t>仓山区上山路牛眠山巷这边的龙津河一直都是干枯的状态，河面特别脏，夏日天气热就发出阵阵臭味。特此投诉，望部门尽快处理。</t>
  </si>
  <si>
    <t>经核实，目前水系主河道已进入扫尾阶段。现龙津河上游调蓄池管道接驳等工序需进行低水位施工，同时阳岐河施工需断水，未能对河道进行及时补水导致黑臭。待收尾工作完成，预计于8月30日将恢复河道正常水质。给您带来不便，敬请谅解！</t>
  </si>
  <si>
    <t>龙津支河福盛苑段每日恶臭</t>
  </si>
  <si>
    <t>近日龙津支河福盛苑段日日恶臭，内河整治呢？？就烂尾了？</t>
  </si>
  <si>
    <t>经核实，诉求位置在龙津一支河治理项目范围内，由于该小区对面先锋幼儿园河道旁正在进行管道清疏及工程收尾工作。现河道需进行低水位施工，施工期间停止调水，待施工完成后将恢复补水，届时水质将恢复正常。清疏工作计划于7月15日前完成，给您造成不便，敬请谅解！</t>
  </si>
  <si>
    <t>龙津支河整治何时完工？</t>
  </si>
  <si>
    <t>内河整治两年了，河道依旧淤泥黑水，恶臭难忍。如今盛夏，更是蚊虫恶臭齐出？什么时候才能整治好？盼了两年多了没啥动静！</t>
  </si>
  <si>
    <t>经核实，展进巷10号诉求内容涉及我司水系龙津河治理工程。目前水系主河道已进入扫尾阶段。龙津河上游调蓄池管道接驳等工序需要低水位施工，是造成龙津河河道水位低的主要原因。同时阳岐河施工需断水，无法及时补水导致黑臭。目前展进巷段施工已经进入路缘石以及瓷砖铺贴等扫尾工作。待收尾工作完成，预计于8月30日将恢复河道正常水质。给您造成不便，敬请谅解！</t>
  </si>
  <si>
    <t>福州水务公司龙津河拆迁我们小区围墙、占用小区用地三年多，拆迁费至今一分未给。</t>
  </si>
  <si>
    <t>怡美嘉园一期无公共维修基金，小区维修急需资金。望领导帮我们尽快解决。</t>
  </si>
  <si>
    <t>经了解，怡美嘉园一期是由弘德物业管理，针对诉求人反映的怡美嘉园一期无公共维修资金，小区维修急需资金的情况的问题，建议在所属社区三高社区的监督下，由弘德物业组织召开全体业主大会，征询业主意见是否同意表决通过业主重新归集维修资金的事宜，或自筹资金进行维修。</t>
  </si>
  <si>
    <t>咨询龙津河整治问题</t>
  </si>
  <si>
    <t>请问仓山区牛眠山巷的龙津河什么时候整治？望答复。</t>
  </si>
  <si>
    <t>经核实，诉求内容涉及我司水系龙津河治理工程。目前水系主河道已进入扫尾阶段。龙津河牛眠山巷剩余工程包括河道栏杆修复和部分绿化景观施工，预计于6月30日完成扫尾工作。给您带来不便，敬请谅解！</t>
  </si>
  <si>
    <t>反映内河改造问题</t>
  </si>
  <si>
    <t>龙津内河改造占用了仓山区首山路39号福州职业技术学院仓山校区教工住宅楼的地，占用三年了，内河已经改造好，没有恢复的迹象。我之前反映过部门答复说六月底会整改，现在已经过了一个月，至今还未看见整改。到底什么时候能把墙砌好把地面做好？特此投诉，望处理。</t>
  </si>
  <si>
    <t>经核实，首山路39号小区围墙边为龙津河一号支流。因原河道较窄，经填埋换管施工后既要作为施工场地，又要作为施工便道，无法在绿化施工的同时进行围墙还建。现水系项目部已要求施工单位尽快安排绿化苗木进场，预计于6月20日苗木进场，待绿化施工完成后即进行围墙还建和路面修复，扫尾工作预计于6月30日完成。给您造成不便敬请谅解。也请理解和支持水系治理工作！</t>
  </si>
  <si>
    <t>12345app</t>
  </si>
  <si>
    <t>龙津河改造工程何时能完成？</t>
  </si>
  <si>
    <t>仓山区港头路边的海通广场和怡美嘉园二期小区之间的那条河是叫龙津河吗？该河的改造工程历时二三年了吧，至今未完工。不但河两岸的工程未完工，河水更是又脏又黑又臭，老百姓实在是受不了了！恳请相关部门抓紧施工，早日造就一条好河道一个好环境给老百姓。</t>
  </si>
  <si>
    <t>经核实，目前水系主河道已进入扫尾阶段。龙津河上游阳岐河阳岐路至三环外景观绿化，以及调蓄池管道接驳等工序需要低水位进行施工，是造成龙津河河道水位低的主要原因。且近期正处于汛期，按要求需开放排口，开启排口导致部分污水入河造成黑臭，待收尾工作完成，将恢复河道正常水质。龙津河整治预计将于6月30日完成收尾。给您造成不便，敬请谅解！</t>
  </si>
  <si>
    <t>仓山区龙津河鸿城小区段黑臭问题</t>
  </si>
  <si>
    <t>我是仓山区鸿城小区居民，两三年前政府承诺开展龙津河整治，当时我们抱有很大希望，结果两三年后整治不了了之，黑臭仍在。盼望有关部门能取信于民。</t>
  </si>
  <si>
    <t>经核实，目前水系主河道已进入扫尾阶段。龙津河上游阳岐河阳岐路至三环外景观绿化，以及调蓄池管道接驳等工序需要进行低水位施工，是造成龙津河河道水位低的主要原因。因目前福州正处于汛期，按要求开放排口导致部分污水入河，导致黑臭。待收尾工作完成，届时将恢复河道正常水质，预计于6月30日完工。给您带来不便敬请谅解！</t>
  </si>
  <si>
    <t>内河整治根本没有落实，只是虚有其表，豆腐渣工程</t>
  </si>
  <si>
    <t>福杰苑门口那条龙津河是福州一条重要内河，更是仓山核心地带的一条重要内河，其面貌是仓山的面貌，福州的面貌。2020年6月1日福州内和管理办法开始实施!但是，这条内河数次整修治理却根本没有达到预期。主要是几个方面的问题：1.治标不治本，所有的施工都只是围绕内河旁边的木栈道，只是把路铺好，做个栈道而已，根本没有去治理内河。河水还是如往常一样脏臭不堪，河道底部依然赃物泥土淤积，完全不是治理内河，只是做个面子工程，搞了个栈道。让附近居民苦不堪言，夏添蚊虫增加，增加传染病风险！你们觉得市民有心情在这样脏臭的内河边游玩散步吗?!!!2，木栈道也没有做护栏，附近居民小孩子很多，怎么可能在这种危险又没护栏的内河边玩耍?如果出了问题出了危险怎么办？这样的工程也能通过验收？3.工程进度极其缓慢，期间更是因为所谓的经费问题暂停了将近一年之久，河边的野草都已经长到一个高！现在也是三天打鱼两天晒网，做几天休几天，完全没有进度表，有人来做就做，没有人就停在那几天不在话下。这是浪费纳税人的钱。
现在几个要求：
1.必须进行内河治理，而不是只做个栈道工程。必须让内河不再恶臭，而且底下的淤泥要清理掉。内河这么臭，严重影响福州市容市貌，更是对人体健康极其不利。现在新冠肺炎疫情期间，更应该做好基本的防疫工作。
2.栈道要加装护栏，不要图省事，如果出了危险事故，你们也是有责任。</t>
  </si>
  <si>
    <t>经核实1.龙津河六一南路治理因涉及到龙首保护施工，进行专家论证后，需加设拉森钢板桩等附属工序，是造成施工缓慢的主要原因。龙津河因沿线经大多数城区居民区溢流井带进淤泥造成河道返淤，为此施工单位已经进行多次降水位清淤，现已完成。龙津河降水位清淤后补水需数日，现已补水到位，水质将逐渐恢复正常。2.因该段原驳岸整段存在驳岸整体标高不一致，需要进行重新修整。在统一标高的基础上加装护栏，因为工序问题，现在暂时采取临时防护，护栏等扫尾工序于6月30日完工。给您造成不便，敬请谅解！也请理解和支持水系治理工作！</t>
  </si>
  <si>
    <t>龙津河步道问题</t>
  </si>
  <si>
    <t>我们是仓山区鸿城小区的住户，每天都会在龙津河散步，龙津河河边的步道只修建了两百米左右就停工了，本来这里可以直接通往高盖山公园，今天早上发现这里砌墙进行封堵，市民根本无法通行，河沟还有臭味，特此投诉，望处理。</t>
  </si>
  <si>
    <t>经核实，鸿城小区步道未施工部分，需还建围墙后并开口设置大门供小区业主出入，不存在封堵情况。由于河道治理已经进入扫尾阶段，需要低水位进行施工，且上游未对河道整体进行补水流通。现我司水系项目部已经恢复上游供水，保持河道正常水质（附图）。给您造成不便，敬请谅解！</t>
  </si>
  <si>
    <t>投诉东升街道</t>
  </si>
  <si>
    <t>仓山区东升街道龙津河从我们小区东盛花园里经过，该河道多年整治不善，臭味严重，一直未整治完毕，比之前更严重了。特此投诉！望部门处理。</t>
  </si>
  <si>
    <t>诉求位置属于水系治理跃进河道管理范围。由于河道需低水位进行施工，河道整体无法进行补水流通导致黑臭，待6月30日收尾工作完成后，河道水质将恢复正常，给您造成不便敬请谅解！</t>
  </si>
  <si>
    <t>仓山区龙津河</t>
  </si>
  <si>
    <t>龙津河严重污染黑臭脏乱</t>
  </si>
  <si>
    <t>诉求内容属于水系治理龙津河河道管理范围，由于河道治理已经进入扫尾阶段，需低水位进行施工，且上游河道无法进行补水流通导致黑臭，预计于6月4日恢复正常水质。给您造成不便敬请谅解！</t>
  </si>
  <si>
    <t>关于市政施工占用小区用地及地面恢复问题</t>
  </si>
  <si>
    <t>因龙津河支流埋管及河岸景观改造施工，工程车辆进出需要，拆除首山路39号临河沟一面的围墙并占用了部分小区用地，作为施工车辆进出道路。施工工期长，渣土砂石料车经常半夜进出，扰民严重，这些问题住户因市政建设需要均已忍耐克服，现据观察工程已基本结束，不再有工程车辆进出需求。且上次施工到现在已经有一个月了，没有任何动静。现在该路段变成了居民扔废弃物和外来车辆的临时停车场，对小区居民造成严重干扰。本人想咨询一下，我们小区的围墙和地面的硬化的还原何时能进行，由哪个部门负责？</t>
  </si>
  <si>
    <t>经核实，诉求位置为我司水系项目部仓山龙津阳岐片区龙津河一号支流治理工程。师大公寓确已进入施工收尾阶段，现我司水系项目部已协调对湖街道（朱主任：13799957427）在本周内牵头施工单位与公寓业主进行沟通，在原样修复的大原则下协商还建围墙修复款式，待方案确定后进场修复围墙、路面修复以及绿化收尾相关工程，预计于6月底完成。在此期间造成的不便，敬请谅解！</t>
  </si>
  <si>
    <t>龙津河岸边工地联系几天半夜施工打地基，严重扰民</t>
  </si>
  <si>
    <t>龙津河岸边，万乐新村对岸工地连续几天半夜施工打地基，严重扰民，还望相关部门予以处理，还老百姓一个安静的休息环境</t>
  </si>
  <si>
    <t>我镇工作人员经现场查看，已责令施工单位停止施工（附图），并要求其不得深夜超时施工，避免扰民。</t>
  </si>
  <si>
    <t>因龙津河改造新建围墙太难看、且不安全。</t>
  </si>
  <si>
    <t>为了支持龙津河改造，他们承诺建更好围墙，至少要恢复原样（社区、仓山镇、小区业委会相关人员都在场），如今建不但难看，且质量不行。附图如下。</t>
  </si>
  <si>
    <t>诉求内容涉及仓山龙津阳岐水系龙津河治理工程。经镇街牵头与小区物业陈主任（15377935738）协商还建后的围墙修复方案，现物业已同意该方案，目前初步方案是将封闭式围墙改为镂空模式，并将围墙重新进行粉刷。在天气允许的情况下，五月底之内即进场施工，给您造成不便，敬请谅解！</t>
  </si>
  <si>
    <t>仓山区电信局后面龙津浦河道在南台路旁边有两辆挖掘机在施工，噪音扰民严重影响到周边居民的日常休息。特此投诉，望处理。</t>
  </si>
  <si>
    <t>我街已派人到现场查看，并制止施工扰民的行为，责令施工负责人合理安排施工时间，严格按照规定施工。</t>
  </si>
  <si>
    <t>房屋存在安全隐患</t>
  </si>
  <si>
    <t>1、我们是仓山区展进路192怡美嘉园的业主。去年与小区一墙之隔的龙津河进行河道改造，造成小区路面下水土流失，造成6号楼的路面下陷，多处开裂，业主曾多次要求物业联系河道施工方予以勘察，对下陷的路面采取措施改造，但至今没有人管，望相关部门能提供帮助，业主住的放心。
2、该小区长期以来消防栓是形同虚设，没有水源，存在极大的安全隐患。</t>
  </si>
  <si>
    <t>经现场核实，诉求位置为我司龙津河水系治理在建工程项目。1、先前因水系施工需要，故临时拆除小区围墙，施工完成后已于2019年11月重新修建小区部分被拆除的围墙。经现场勘察，我司水系项目部修复的围墙位置并未出现下陷、开裂的现象，且围墙距离诉求的下陷、开裂位置约有10来米远，我司在修建小区围墙时并未对小区路面造成任何破坏，因此我司建议小区内部进行检查路面下陷原因（具体详现场核查附件）。</t>
  </si>
  <si>
    <t>墙和路何时能建好</t>
  </si>
  <si>
    <t>由于龙津内河工程改造需要，去年内河指挥部和对湖街道负责人组织我们小区代表开会，先占用我们小区2/3的用地做为改造内河工程的通道使用。如今，过去一年多快两年了。我们小区居民看不到工程何时能完工。原先做为内河改造施工用的通道如今却成为外来车辆的临时停车场了。严重影响了我们小区住户的日常生活和休息，我们多次向对湖街道反映但都没有得到解决。为此，强烈要求：
（1）请相关部门能明确告知关系到我们这一段内河何时能完工的时间；
（2）在施工过程除了施工需要一切外来车辆禁止出入和停在通道上；
（3）工程未完工时请施工单位派员随时关闭通道围挡不能随意让外来车辆停在通道内。</t>
  </si>
  <si>
    <t>诉求位置目前正在进行管网清淤工作，初步预计河道施工将于2020年4月完工。目前诉求位置社会车辆已清场（附件），已要求施工单位在施工完成前会做好围挡，避免社会车辆随意停放,同时也要求施工单位在施工时做好抑尘措施，感谢您对我们工作的监督与支持。</t>
  </si>
  <si>
    <t>淤泥臭气熏天</t>
  </si>
  <si>
    <t>仓山区牛眠山巷58号鸿城小区内的龙津河改造时工人把河底的淤泥堆在岸边，至今无人清理，淤泥臭气熏天，附近居民无法开窗，特此投诉，望相关部门尽快介入处理。</t>
  </si>
  <si>
    <t>鸿城小区前期因过河管修复，需进行河道截流，导致水质有所影响，现已完工，剩余部分垃圾于1月10日前安排机械扫尾。水系施工给您造成的不便，敬请谅解！</t>
  </si>
  <si>
    <t>龙津河水系治理近两年成效低</t>
  </si>
  <si>
    <t>怡美嘉园，海通广场边的内河已治理两年，现在看看，任然黑乎乎，天一热，晒晒就会发臭，这两天水基本抽干，仍现黑淤泥，风吹过，依然臭味，马上要跨年了，希望明年有好的成效，让我们可以看到一条干净清新的内河。</t>
  </si>
  <si>
    <t>经核实，龙津河展进巷由于六一南路进行龙首u型槽保护施工，需对上游河道进行导流，造成下游水位下降。目前河道在加紧施工中，预计节前完成，待施工结束后即可恢复龙津河正常水位。感谢您对我们工作的监督与理解！</t>
  </si>
  <si>
    <t>麦德龙与四十中间龙津河这段时间又发臭</t>
  </si>
  <si>
    <t>为什么这几天麦德龙与四十中间龙津河好臭？特别到晚上21点左右更臭？不是整好了吗？</t>
  </si>
  <si>
    <t>经查看，诉求位置四十中到麦德龙现场水质正常，未发现排口溢流（附件），感谢您对水系治理工作的关注与监督！</t>
  </si>
  <si>
    <t>一条龙津河，修了几年还没弄好，依旧臭水横流，严重影响居住在附近的人员？</t>
  </si>
  <si>
    <t>仓山区的龙津河，已经挖了几年，还没有弄好，现在河道都是土，依然臭水横流，根本就没有复工的迹象，到底什么时候能弄好？没有复工，为什么福杰苑小区门口有几个活动房，里面住的都是什么人？没想到河道治理项目都能烂尾。</t>
  </si>
  <si>
    <t>1.龙津河福杰苑段因为涉及明代龙首需要进行文物保护，现已通过专家论证，进场施打拉森(拉森钢板桩)，预计年前可以将该段拉森施打完成。2.针对河水异味问题，近日水系正在进行水质改善施工，给您带来不便敬请谅解！3.活动房内的工人系现场施工人员。感谢您对我们水系治理工作的监督与支持！</t>
  </si>
  <si>
    <t>仓山区龙津支河恶臭！</t>
  </si>
  <si>
    <t>龙津支河恶臭多日，河水黑如墨汁，什么时候内河整治才能完成！</t>
  </si>
  <si>
    <t>龙津一支河主河道目前施工单位已经根据设计标高进行清淤工作，因河道需分段围堰进行整治，河道内河无法畅通才导致水质发黑发臭，预计在12月30日前完成调水后即可消除该现象。我司代表市政府对福州市区的水质环境进行整治，就是为全面改善市民的生活环境，整治期间给您带来不便请您谅解，也请市民理解与支持！</t>
  </si>
  <si>
    <t>龙津河一支河西侧（江南名居小区东侧）存在大量垃圾</t>
  </si>
  <si>
    <t>仓山区龙津河一支河西侧（江南名居小区东侧）存在大量垃圾，下雨可能流入河内，盼尽快清理。谢谢！</t>
  </si>
  <si>
    <t>银桥社区工作人员已到江南名居了解情况。社区工作人员通过江南名居临时管委会成员了解到,江南名居沿河的垃圾有部分是业主倾到的,有部分是内河改造施工遗留下来的,江南名居临时管委会负责人表示近期会与内河施工方协商如何将垃圾尽快清理,社区将持续关注此事的进展。谢谢。</t>
  </si>
  <si>
    <t>施工没有做任何防尘措施</t>
  </si>
  <si>
    <t>仓山区雁头路龙津河改造渣土车进出和挖掘机施工时没有做任何防尘措施，粉尘满天飞，望相关部门尽快介入处理。</t>
  </si>
  <si>
    <t>您所反映的问题，经了解，为加快河道治理这一民生工程，工程队日夜兼程，无周末无节假日，加班加点难免产生新的问题，关于噪音扰民问题，我们尽最大能力把控要求作业时间，要求工程队不得在居民休息时间作业扰民，并采取有效措施实施降噪处理，望理解与支持。</t>
  </si>
  <si>
    <t>加快龙津河两岸绿化美化进度</t>
  </si>
  <si>
    <t>龙津河启动治理以来，进度严重迟于同期开始内河治理的其他河道，围挡施工导致附近居民出行极其不便，且有很大安全隐患，仓山步行街附近人口密度大，且多为老仓山居民，年龄偏大，极其渴望周边有一个散步休闲的场所，望有关部门尽快了解滞后原因，督促落实，周边居民等了十几年了，希望早日看到遍地洋房十里花街的老仓山风貌，让周边居民安居乐业，构建和谐生态的文明环境。</t>
  </si>
  <si>
    <t>龙津河因周边施工条件差，沿河经过多条主干道、小区，地下管线居多，施工场地有限等限制因素，导致施工进展缓慢。2018年底截污系统已基本建成，现正在开展沿线的绿化施工，我司水系项目部会督促施工单位加快施工进度，预计11月份左右完成，争取早日还周围居民一个舒适宜居的生活环境！</t>
  </si>
  <si>
    <t>建议晚上不要钩机</t>
  </si>
  <si>
    <t>仓山区龙津河施工，导致万乐新村断电断了两次，建议晚上不要钩机，希望相关部门介入处理。</t>
  </si>
  <si>
    <t>现场已及时抢修恢复通电，我司水系项目部也会调整施工时间，尽量不影响到周围居民的正常生活。由于现场施工影响周围居民正常生活，我司深表歉意！</t>
  </si>
  <si>
    <t>反映龙津河整治项目的诉求</t>
  </si>
  <si>
    <t>仓山区仓山镇龙津河整治项目，河里面的水流到旁边的田地里。导致万升小区通往到南台大道的便道被淹，行人和车辆无法通行。特此投诉，望部门处理。</t>
  </si>
  <si>
    <t>水系施工方已安排清退积水，预计于9月25日完成整改。给市民的出行造成不便深表歉意，敬请谅解！</t>
  </si>
  <si>
    <t>福建省团校后面龙津河的施工工地0:50分还在施工，噪音扰民，每天都施工到凌晨1-2点，严重影响周边居民正常生活，望有关部门尽快处理，</t>
  </si>
  <si>
    <t>该处工地为北京市市政二建工程公司正在进行龙津阳岐水系综合治理及运营维护PPP项目，根据市政府部署要求，为确保城区主干河道全面、快速的扫尾工作，从8月1日起至9月30日特开展为期60天的全面攻坚行动，因龙津河桥下淤泥过高，河水流通不畅，影响闸外调水，为了保障顺利调水，因而进行加班清理，我镇城管队员已与施工方沟通，要求其减少施工噪音，尽量避免扰民。给广大市民带来的不便，敬请谅解。</t>
  </si>
  <si>
    <t>龙津河夜间施工扰民</t>
  </si>
  <si>
    <t>家住榕南礼居，龙津河每天夜间施工到凌晨12点多还在施工，白天要上班上学，晚上不能正常的睡觉休息，严重影响了我们的生活学习。</t>
  </si>
  <si>
    <t>仓山区龙津河靠近榕南礼居的工地24小时施工，噪音影响周边居民休息。特此投诉，望处理。</t>
  </si>
  <si>
    <t>经了解，该处工地为北京市市政二建工程公司正在进行龙津阳岐水系综合治理及运营维护PPP项目，根据省政府部署要求，为确保城区主干河道全面、快速的扫尾工作，从8月1日起至9月30日特开展为期60天的全面攻坚行动，因龙津河桥下淤泥过高，河水流通不畅，影响闸外调水，为了保障顺利调水，因而进行加班清理。我镇城管队员已与施工单位沟通，要求其减少施工噪音，尽量避免扰民。给广大市民带来的不便，敬请谅解。</t>
  </si>
  <si>
    <t>工期一拖再拖，臭气熏天</t>
  </si>
  <si>
    <t xml:space="preserve">仓山步行街到江边村龙津河河道清淤，河道堤岸恢复歪歪扭扭，验收怎么过的，这条河臭了几年了，什么时候完工阿，盼回复
</t>
  </si>
  <si>
    <t>当前遵照市建设局意见先进行水下工程建设及管网清疏、检测、修复等工作，需降低水位才能确保施工。我司水系项目部将持续督促施工单位加快施工进度，预计9月中旬后进行补水换水，届时河道水质将得到改善。龙津河现已开始局部绿化施工，管道现已开始验收工作，全河道计划年底开始正式验收工作，给市民的生活造成不便深表歉意，望予以谅解！</t>
  </si>
  <si>
    <t>通宵施工</t>
  </si>
  <si>
    <t>位于仓山区的福建省团校附近龙津河工地每天晚上通宵施工，噪音严重扰民，滴洒漏严重，且偷卸淤泥到河里，特此投诉。</t>
  </si>
  <si>
    <t>对于您反映的省团校内河夜间施工扰民问题，我街道执法人员到现场进行核实，未发现工地施工，并已责令工地相关人员，要求其按照规定时间施工，严禁扰民，今后我街道执法人员将加强对该工地的巡查监管工作，保障周边居民夜间休息。</t>
  </si>
  <si>
    <t>仓山区福建省团校龙津河工地凌晨0:10分还在施工扰民，希望政府不要和施工单位勾结，望部门尽快介入处理。</t>
  </si>
  <si>
    <t>我街道执法人员已到现场查看，系钩机作业，已责令立即停工，并通知施工方严格按照时间施工，严禁噪音扰民，今后加强对该地的巡查监管工作。</t>
  </si>
  <si>
    <t>投诉施工扰民</t>
  </si>
  <si>
    <t>仓山区龙津河工地23:47存在施工扰民现象，我觉得你市政府这边在配合施工单位行动，搞了好几天了，我认为你行政部门收了施工单位的钱，让他们胡作非为，特此投诉。</t>
  </si>
  <si>
    <t>关于诉求件反映的龙津河工地施工扰民的问题，我街道执法人员已前往现场查看，现将情况答复如下：该处现场是龙津河水系工程施工产生的噪音源，依市委、市政府城区水系综合治理百日大会战工作部署，已责令施工方立即停止施工并合理安排施工时间，禁止在午间十二时至十四时和夜间二十二时至次日六时施工，最大限度减少对周边群众的影响。投诉者发现如有违规施工现象可以拨打12345热线或者打我街道城管中队投诉电话（联系电话0591-63503356）。谢谢。</t>
  </si>
  <si>
    <t>市体校段龙津河内河改造施工没有降尘措施，尘土飞扬！污染环境！</t>
  </si>
  <si>
    <t>内河改造施工最近在建围栏，切割石块噪音极大且尘土飞扬，没有任何防尘降尘措施，造成极大环境污染，周边居民不堪其扰！！！已经连续施工3天了，粉尘特别大，严重超标！！！</t>
  </si>
  <si>
    <t>经我司水系项目部现场排查，目前诉求位置为管道清疏及CCTV检测施工，未进行围栏施工，烦请市民提供现场照片或周边明显建筑以便我司进一步核实或联系水系现场负责人（黄工：137-7458-4410）现场查看。</t>
  </si>
  <si>
    <t>龙津河系内河整治一年多无改善</t>
  </si>
  <si>
    <t>横穿美伦雅居，怡美嘉园等多个小区的内河，属龙津水系，整改一年多无改善，近日又发出阵阵恶臭，水是乌泱乌泱的，我们小区的阳台临近内河，根本无法走出阳台，整日关着门，无法踏出半步，望相关水务部门加大力度，改善内河水质，给附近居民以呼吸的空间，内河污染給老百姓带来身心的伤害不容小觑。</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</si>
  <si>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</si>
  <si>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龙津支河近日河水臭味越来越大！</t>
  </si>
  <si>
    <t>仓山区龙津支河海通广场至大坪路段为什么还没整治，黑水污泥，近来臭味越来越大了！</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</si>
  <si>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</si>
  <si>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龙津支河恶臭！！</t>
  </si>
  <si>
    <t>8月17日一整天，龙津支河恶臭难忍，到底有没有部门管了，说好的内河整治呢</t>
  </si>
  <si>
    <t>龙津河一号调蓄池工地夜间施工扰民</t>
  </si>
  <si>
    <t>仓山区利民路榕南礼居旁边的龙津河一号调蓄池工地晚上十一点多还在施工扰民。特此投诉！</t>
  </si>
  <si>
    <t>我镇城管队员经现场查看，已责令施工方应按规定时间施工，注意降低施工噪音，减少对周边居民的影响（附图）。</t>
  </si>
  <si>
    <t>未公示小区居民违建扰民龙津河污水处理厂</t>
  </si>
  <si>
    <t>未公示小区居民违建扰民龙津河污水处理厂 地址在仓山区利民路榕南礼居南面直线距离不足50米。小区正组织上访国家环境督查组，请立即停止违规建设</t>
  </si>
  <si>
    <t>经查，我局未受理或审批该项目环评</t>
  </si>
  <si>
    <t>绿化改造问题</t>
  </si>
  <si>
    <t>仓山海通广场2号楼入户大堂门前的龙津河改造什么时候可以完全，边上的绿化什么时候可以做好，天气热都是脏臭味？</t>
  </si>
  <si>
    <t>当前遵照市建设局意见先进行水下工程建设及管网清疏、检测、修复等工作，待管网检测完成后开始实施剩余段绿化（计划年底完工）；关于臭味熏天事宜，近期都在积极的调水补水换水（见附件），河道水质已不存在异味，也将加强日常巡查及时整改，感谢您的关注与监督！</t>
  </si>
  <si>
    <t>龙津河臭气熏天</t>
  </si>
  <si>
    <t>仓山区龙津河什么时候可以完工？臭味熏天，影响周边居民生活，特此投诉，望部门尽快介入处理，</t>
  </si>
  <si>
    <t>经核查，龙津河前期的新建截污系统已完成，现由于施工工序安排存在交叉施工导致河道沿线绿化施工暂时停滞，现已开始调水补水恢复水质，龙津河整治预计于下半年完成。水系治理给您带来不便敬请谅解，也请理解与支持水系治理工作。</t>
  </si>
  <si>
    <t>龙津河整治问题</t>
  </si>
  <si>
    <t>我们是仓山区展进路151号江南名居的住户，本小区是沿着龙津河建的，先前龙津河是臭水河，臭得无法形容，前两年中央专项拨款整治内河，听说内河已整治完成，如今内河状况是有所好转，但是时时还是非常恶臭，水质是黑的，这个内河整治完成了吗？我们提出疑议。仓山区内河整治是由谁领导负责的？是否亲临检查过？是否来小区查访过？是否在不同时间段进行取样报验？心中是否有数？尤其是最近试运行阶段，应该要形成常态化，实时查看水质污染情况，水质污染也影响到空气质量，像这样国家拨款整治内河，却草草了事，没有达标，这是为什么？市政府、区政府管理的人职责在哪里？是无能吗？还是贪官？老百姓讨压这样的人。我们希望能将问题反映上级部门，希望相关部门派专人落实查看，看看内河整治是否达标？如果达标，请将不同时间段的内河水质报告公布出来，给我们小区居民一个交代，不然我们过段时间还要向市政府反映，希望政府造福百姓。特此投诉，望处理。</t>
  </si>
  <si>
    <t>关于水质是黑，由于近期连续暴雨天气，我司响应福州市联排联调暴雨天气防洪排涝，故把截流井溢流排口打开泄洪，防止内涝，待福州市灾害性天气预警信号解除后，会及时安排关闭溢流排口，防止雨水直流河道。同时也会及时启动调水补水换水工作，保证河道的水质情况；关于内河整治，当前遵照市建设局意见先进行水下工程建设及管网清疏、检测、修复等工作，待管网检测完成后开始实施剩余段绿化。</t>
  </si>
  <si>
    <t>投诉龙津河生态环境不好</t>
  </si>
  <si>
    <t>龙津河从福盛苑到江南名居这一段快1000米左右的距离，始终没有人来治理内河，河水非常的臭，河流巡视员只是来看一眼就走了。近期龙津河的整治要验收了，可是这段龙津河生态环境依旧不好。希望相关部门来治理整治这段龙津河。</t>
  </si>
  <si>
    <t>经核查，该段已基本整治完成，由于河道长期调水补水回淤严重，目前相关单位正在制定该段回淤清理方案，待方案确认后会再次展开治理工作。</t>
  </si>
  <si>
    <t>仓山区大坪路先锋幼儿园后面的龙津河工程现在6月25日23:30分还在施工，昨晚已经通宵施工，今晚还在继续，噪音严重扰民，特此投诉，望有关部门26日早上加急处理，避免周边居民受到骚扰。</t>
  </si>
  <si>
    <t>我镇城管队员接到投诉后第一时间到现场查看，并责令施工方停止施工，同时要求施工方按规定时间施工，后期会加强巡查（附图）。</t>
  </si>
  <si>
    <t>河道治理工程扰民</t>
  </si>
  <si>
    <t>山区大坪路先锋幼儿园后面的龙津河治理工程晚上11点多还在施工，昨晚通宵施工，噪音严重扰民。特此投诉，望处理。</t>
  </si>
  <si>
    <t>我镇城管队员到现场查看，已责令施工方停止施工，并要求施工方按规定时间施工，后期会加强巡查（附图）。</t>
  </si>
  <si>
    <t>河水非常臭，非常黑</t>
  </si>
  <si>
    <t>龙津河治理污水整治了一两年，周边居民也反映了一两年扰民问题，也花了很多钱，但是法院宿舍附近的河水还是非常臭，非常黑，并没有得到改善。特此投诉。</t>
  </si>
  <si>
    <t>内河整治，日夜扰民，中考学子，不堪甚扰</t>
  </si>
  <si>
    <t>这几天马上就中考了，可是昨天下午开始龙津河又突然开始施工，这条内河已经整治了2年了，翻来覆去，动不动施工，却一直没有结果，周边的居民深受其害，边上的居民楼都已经出现裂缝。昨天晚上到十二点半了还是巨大的噪音，无法入睡，后来迷迷糊糊睡了，但是一早五点又被吵醒，那机器是开一会儿关一会儿，这样更加可怕。。。关键我们这楼里好几个中考的孩子，这几天温书和睡眠都深受其害。请相关领导怜悯百姓疾苦，延期一周，放过孩子们吧，都拖延几年，要么歇半年没有动静，要么突然又开始，昨天突然又抽风，求放过孩子们，求尽快解决！！！！谢谢青天大老爷了</t>
  </si>
  <si>
    <t>我镇城管队员经现场查看，已责令施工方停止施工，要求施工方在中考期间暂停施工（附图）。</t>
  </si>
  <si>
    <t>龙津河治理工程扰民</t>
  </si>
  <si>
    <t>仓山区利民路榕南利居旁边的龙津河治理工程凌晨1点多还在施工，噪音严重扰民。特此投诉，望处理。</t>
  </si>
  <si>
    <t>我局执法人员于2019年6月22日03时38分到现场查看，未发现施工，今后将进一步加强巡查。</t>
  </si>
  <si>
    <t>仓山区上三路鸿城小区9号楼旁边的龙津河治理工程晚上11点多还在施工，噪音严重扰民。特此投诉，望处理。</t>
  </si>
  <si>
    <t>接指挥中心转投诉，榕南礼居施工扰民，仓山镇中队到达现场查看为水系调蓄池施工，已责令停工，后期将加强巡查（附图）。</t>
  </si>
  <si>
    <t>福建省福州市仓山区龙津河（及一支河）的整治工程为何停止？河水有时还会发臭。</t>
  </si>
  <si>
    <t>福州市的内河整治已取得突破，市区的好多内河已完成整治，是为民办实事的大好事，老百姓点赞。仓山区龙津河（及一支河）在2018年的整治改造后，河水也明显改善，但在今年春节后到现在，整治工程停止了，工程尚未完工，为何不施工，不知道何原因？希望政府有关部门继续推进。还有：此段内河河水有时还会发臭。</t>
  </si>
  <si>
    <t>由于河道回淤严重，近期正在清理回淤，待回淤清理完成后，重新开始恢复调水补水换水，恢复水质。在这期间河水还无法全面改善，请您理解与支持！</t>
  </si>
  <si>
    <t>龙津支河一到晚上就恶臭难忍！</t>
  </si>
  <si>
    <t>龙津支河一到晚上就恶臭！边上的污水处理厂没有工作吗？还是白天工作晚上停工？？</t>
  </si>
  <si>
    <t>由于河道回淤严重，最近在进行河道清淤，因此暂时停滞补水，预计6月25日前完成，待完成后立即恢复调水补水换水，恢复河道水质。由于现场施工影响到您及周围居民，我司深表歉意！</t>
  </si>
  <si>
    <t>投诉福州水务公司</t>
  </si>
  <si>
    <t>福州水务公司原来在我诉求件FZ19060401683中说在6月份会解决龙津河提升改造而占用我小区绿化带和车位的问题，然而到目前为止迟迟没有动静，本人反问，政府的公信力何在，请问福州水务公司是国企吗？是代表政府的吗？</t>
  </si>
  <si>
    <t>根据现场反馈已恢复停车场用地，绿地由于驳岸与周围绿化用地存在高差，方案暂时未定，带后续方案敲定，立即组织进场施工。相关事宜也可咨询水系项目部现场负责人（李工：13581640491）。</t>
  </si>
  <si>
    <t>龙津河改造占用鸿城小区绿地和停车位</t>
  </si>
  <si>
    <t>仓山区龙津河鸿城小区段改造，占用鸿城小区绿地和停车位，水务公司迟迟不处理，上次投诉答复说是六月前处理好，现在已经六月份了还未处理清楚，政府公信力在哪？特此投诉，望处理。</t>
  </si>
  <si>
    <t>经核查，停车场已恢复，绿地未恢复是因为该段的驳岸与周围绿化地有较大高差，目前正在和设计单位积极沟通，待确定方案后积极组织进场施工。给您带来不便敬请谅解。</t>
  </si>
  <si>
    <t>福州仓山区龙津河治理</t>
  </si>
  <si>
    <t>你好，由于本人的房子就在仓山区龙津河边上，在这想问一下龙津治理怎么停工了？最近天气一热又发臭了，所以想了解一下，是什么原因停工，要什么时候才能治理完成？谢谢</t>
  </si>
  <si>
    <t>经核查，龙津河前期的新建截污系统已完成，现由于施工工序安排存在交叉施工导致河道沿线绿化施工暂时停滞，现已开始调水补水恢复水质。目前因天气逐渐转向炎热，树木不容易存活，水系项目部已根据现场实际情况，安排绿化景观班组陆续进场进行施工前期准备。龙津河整治预计于下半年完成。</t>
  </si>
  <si>
    <t>龙津支河恶臭难忍</t>
  </si>
  <si>
    <t>龙津支河什么时候可以整治好，现在每天恶臭，门窗全都不敢开</t>
  </si>
  <si>
    <t>当前龙津河整治施工已完成了沿岸截污工程，正在开展河底清淤工程，在完成清淤工程后再养护提升内河水质。</t>
  </si>
  <si>
    <t>龙津河变臭水沟</t>
  </si>
  <si>
    <t>近一个月，靠近高湖桥南新村附近的龙津河改造，河水变得奇臭无比，严重影响周围居民</t>
  </si>
  <si>
    <t>由于水系近期采取低水位施工，调水补水的水位较低，导致河水出现异味。目前计划于5月30日开始恢复正常的调水换水，届时河水臭味问题将得到解决。由于水系现场施工影响您及周围居民，我司深表歉意！</t>
  </si>
  <si>
    <t>龙津河内河整治后周围村庄污水管道如何处理？</t>
  </si>
  <si>
    <t>首山路龙津河近两年一直在治理之中，可能是施工需要将周围污水管道截流。周边万安路，延安路，施埔后支路现有很多餐饮店和流动摊位将油污未经过处理排到下水道。现这里管道已经是大面积堵塞。每逢下雨就造成严重内涝。请问等内河改造后这些污水管道会接到市政污水官网吗？这里现有的污水管道会有部门出来清理疏通吗？</t>
  </si>
  <si>
    <t>万安路污水管网目前已接入市政污水管网，雨水管网已接入龙津二支河；延安路即为施埔后支路，我局将定期对雨污水管网进行清疏处理。同时，也请仓山镇城管办对该处道路夜间摆摊位进行清理，杜绝油污私排入管网的现象。谢谢。</t>
  </si>
  <si>
    <t>龙津支河水系治理何时完成</t>
  </si>
  <si>
    <t>仓山区福盛苑旁龙津支河整治何时完成？至今河水还是乌黑，时常散发恶臭。内河整治已经很久了，为什么污水还是依旧？</t>
  </si>
  <si>
    <t>经核实，目前河道正在进行低水位作业，待施工完成后，立即恢复补水换水，预计5月19日开始恢复。给您带来不便敬请谅解！</t>
  </si>
  <si>
    <t>仓山区双湖新城龙津河脏且臭，影响居民健康</t>
  </si>
  <si>
    <t xml:space="preserve">
仓山区龙津河阳岐河双湖新城二区与四区之间路段，河道施工已久，到现在二区沥青路面未完成，四区绿化、路面及景点还未施工。河道流水未畅通，臭气冲天，严重影响双湖新城小区居民呼吸空气。
感谢***心系民生，指示“让天更蓝山更绿水更清”，福州市领导对福州生态文明建设高度重视。
希望相关部门领导对此引起重视，督促该项目对存在问题整改，快点完成双湖新城河道两岸的河、道及绿化、景观工程，请告知市民完成时间点。</t>
  </si>
  <si>
    <t>龙津河河道治理目前尚未全部完成，部分河道还在截污治理，因此河道流水还无法全部畅通，请您理解与支持</t>
  </si>
  <si>
    <t>龙津河（仓山步行街段）改造进度严重滞后</t>
  </si>
  <si>
    <t>龙津河（仓山步行街段）改造至今已经建设了18个月以上，但2019年后就一直未建设，工程处于完全停滞状态。这与之前政府宣传改造的竣工时间相比已经严重滞后，请问是什么原因，并何时能竣工？</t>
  </si>
  <si>
    <t>由于现场施工条件及施工方案等制约因素，导致近期施工缓慢，目前正在加快相关事宜的协调与推进，待协调完成后立即安排现场加快施工，相关进展事宜可联系现场负责人（李工：135-8164-0491）进行咨询。水系施工给您带来不便敬请谅解，也请市民理解与支持！</t>
  </si>
  <si>
    <t>龙津河治理咨询</t>
  </si>
  <si>
    <t>仓山区麦德龙华威客运站与闽冶花园四十中之间的龙津河岸边，靠闽冶花园这边有很多废弃房子现己被人重新使用，同时又违章搭盖了很多仓库，目前这块地被大量挖掘机和私自盖的仓库占用着，后面是否有规划拆除掉成为绿地？如果有，预计什么时候拆掉？</t>
  </si>
  <si>
    <t>您所反映麦德龙华威客运站与闽冶花园四十中之间龙津河岸旁违章的问题，我街道执法人员已到现场查看，现区执法局已依法对其下发《询问调查通知书》，要求户主携带相关材料到执法局接受调查处理，后续如执法局认定其是违建，下一步我街道将根据《福州市城区“两违”查处规程》（榕政办〔2015〕131号）相关规定予以进行查处。谢谢。</t>
  </si>
  <si>
    <t>内河治理进展慢，脏臭臭臭</t>
  </si>
  <si>
    <t>内河治理是国家十分重视的一件民生工程，当国家提出治理时我们是高兴的，然而这近一年了，我家附近这条龙津河依然没有什么改变，我也看着工人对旁边进行了倒水泥做栈道，我也进去看到河旁边从地底下建起了二层多的类似房子的东西（不太明白为什么要这样，其他内河都是漂亮的小公园），过年时还有工人住在里面，现在运了一大堆泥土，这两天下雷雨就更臭了！！我想问问我们这河什么时候到头？希望市领导下来看看</t>
  </si>
  <si>
    <t>经核查，文苑精舍周边属于龙津一支河，诉求人反馈的问题是指小区对面的调蓄池施工，目前调蓄池已经下沉到位，正在进行设备安装及内部装修，待施工完毕后会对周围的园林绿化进行提升，改善用户的居住环境。施工预计9月底完成。</t>
  </si>
  <si>
    <t>河道边的绿化没做的问题</t>
  </si>
  <si>
    <t>仓山区下藤仓山步行街路段龙津河去年下半年截污已经结束了，至今围挡没有撤掉，河道边的绿化还没有做，造成道路拥堵，粉尘到处飞，雨天路面泥泞等，给周边居民的生活带来影响，希望有关部门尽快前来处理。</t>
  </si>
  <si>
    <t>目前该段的箱涵和绿化方案暂时未定，因此暂未开始该段的相关施工，待后期设计院方案确认下发施工图纸后，将立即组织进场施工，施工完成后立即拆除围挡，还周围居民一个舒适的生活环境。由于水系施工给您及周围居民造成生活上的不便，我司深表歉意，还望您谅解！</t>
  </si>
  <si>
    <t>qq</t>
  </si>
  <si>
    <t>牛眠山龙津河水系治理问题</t>
  </si>
  <si>
    <t>牛眠山巷旁龙津河水系治理自2018年开始施工，对周边居民造成极大影响。施工过程直接截断排污管网，污水不入河，但是道路周边荒地污水横流，长期积水。现在周边小区及单位仍还有部分污水管网没有对接，552电台内污水长期堵塞，家属区居民怨声载道。多次跟施工单位、水务公司沟通，但是至今仍然没有解决问题。请问这里以后是规划要做鱼塘还是人工湖？已经几个月了，水位都涨到跟马路齐平，前段时间还有货车因为看不清楚掉进去，这样是否存在安全问题？周边近万户居民如何保证安全？河道治理倒是污水不入河，但是污水流其他地方就不管了吗？治标不治本？头疼医头脚疼医脚？特此反映，望相关部门尽快介入处理。</t>
  </si>
  <si>
    <t>经查看，关于荒地积水问题，不是水系施工导致的，而是荒菜地雨天积水并非污水，盖山镇于11日联系水系项目部协调帮忙抽水，目前该处已无积水；552电台内污水因近日降雨量大，待天晴后于三日内处理完成。</t>
  </si>
  <si>
    <t>牛眠山巷旁龙津河水系治理自2018年开始施工，对周边居民造成极大影响。施工过程直接截断排污管网，污水不入河，但是道路周边荒地污水横流，长期积水。现在周边小区及单位仍还有部分污水管网没有对接，553电台内污水长期堵塞，家属区居民怨声载道。多次跟施工单位、水务公司沟通，但是至今仍然没有解决问题。请问这里以后是规划要做鱼塘还是人工湖？已经几个月了，水位都涨到跟马路齐平，前段时间还有货车因为看不清楚掉进去，这样是否存在安全问题？周边近万户居民如何保证安全？河道治理倒是污水不入河，但是污水流其他地方就不管了吗？治标不治本？头疼医头脚疼医脚？特此反映，望相关部门尽快介入处理。</t>
  </si>
  <si>
    <t>经查看，关于荒地积水问题，不是水系施工导致的，而是荒菜地雨天积水并非污水，盖山镇于11日联系水系项目部协调帮忙抽水，目前该处已无积水；553电台内污水因近日降雨量大，待天晴后于三日内处理完成。</t>
  </si>
  <si>
    <t>龙津河道改造施工不合理导致积水内涝严重</t>
  </si>
  <si>
    <t>去年龙津河道施工，填河改造，施工方没考虑到内河沿岸居民所处地段为低洼地带，所设排水管道太小，无法及时排水，导致现今下雨严重积水，积水倒灌居民住宅，严重影响居民生活，请相关部门及时派人处理积水问题。</t>
  </si>
  <si>
    <t>经核查，该处内涝积水问题已处理。若再出现相关情况也可联系我司现场负责人（丁工:138-1134-8209）。</t>
  </si>
  <si>
    <t>咨询龙津河改造项目为什么停工好几个月不动工</t>
  </si>
  <si>
    <t>仓山区龙津河改造项目承诺2018年完工的，咨询为什么停工好几个月不动工？望答复。</t>
  </si>
  <si>
    <t>龙津河的截污工程已完工，后期的配套绿化景观施工计划6月底左右完成。感谢您对水系施工的监督和支持！</t>
  </si>
  <si>
    <t>龙津河高湖棋杆段，要求把附近堵塞的下水道开通</t>
  </si>
  <si>
    <t>龙津河高湖村棋杆段变电站旁，施工单位把附近的通往河道的下水管道封堵，现在周边的污水，污水均无法排放，一点小雨就导致雨水污水倒流住宅，今年以来已发生过多次，今天又是如此，接下去要是下个大雨不是整个宅子都被水淹，这严重影响了我们当地居民的生活，请政府有关部门能够监督这种不负责任的胡乱施工，还当地居民的稳定生活，谢谢</t>
  </si>
  <si>
    <t>水系项目方已于3月11日安排现场排查，立即疏通管道排水，尽量避免道路积水。目前现场管道已疏通，道路无积水。由于现场施工给您及周围的通行人员造成出行上的不便，我司深表歉意！若还有类似情况发生可联系现场负责人（李工：135-8164-0491）。</t>
  </si>
  <si>
    <t>邮件</t>
  </si>
  <si>
    <t>福州市仓山区下渡街道龙津河一支河改造时造成周边房屋严重倾斜</t>
  </si>
  <si>
    <t>2018年仓山区下渡街道展进路小巷的龙津河一支河开始内河改造，同时征收了河道旁第一排的几户自建房（民房）。在内河改造和拆除征收的自建房过程时，周边的几栋未被征收拆除的自建房受到影响，出现不同程度倾斜现象，严重的几乎已经挨到隔壁的房屋外墙上，严重影响房屋安全问题。由于前段时间福州仓山区盖山镇叶夏村房屋倒塌事件放生后，我们住在这里的住户十分担心自己的的房屋会出现同样问题，但是相关部门和村领导却没有及时出面给出相应的处理方案，现在还是任由倾斜的问题房屋放在那边，现在居住在这些问题房屋居民的人身安全无法得到保障，随时担心悲剧重演。此投诉邮件希望相关部门领导及时到现场排查，给出解决方案，保障居住在这里的居民的人身财产安全。</t>
  </si>
  <si>
    <t>下渡街道及下藤社区高度重视，该区域属于仓山镇先锋村和下渡街道下藤社区交错地带，从2017年福州市水系治理开始，该区域房屋部分纳入红线范围内并予以拆除，仓山镇和下渡街道先后对各自辖区内涉及红线范围内的房屋予以拆除，目前倾斜较为严重的这两栋房屋（仓山区展进路178号弄14号、15号）属于仓山镇先锋村房屋，目前已搬已迁，房屋认定表已由先锋村和仓山镇盖章确认并上报，现区东部指挥部也已督促仓山镇尽快对该两栋房屋予以拆除，感谢对我们工作的支持。</t>
  </si>
  <si>
    <t>龙津河河道面临堵塞还要再修多少年</t>
  </si>
  <si>
    <t>渣土还大量倾倒在龙津河沿岸，容易造成新修的河道拥堵，望龙津河江边段监管责任人到现场勘查处理，特此投诉，望处理。</t>
  </si>
  <si>
    <t>江边小学旁边的水泥路为辖区村道，同时该处路段受渣土车渣土泄漏与渣土车倾倒的行为引起泥泞的问题以及河道不畅的问题请转城管局进行办理查处。</t>
  </si>
  <si>
    <t>房屋倾斜严重，安全隐患严重</t>
  </si>
  <si>
    <t>仓山区下度这边龙津河整改拆迁把后面几户没有征迁的房子全弄斜了。有的甚至都快倒在隔壁房子上了</t>
  </si>
  <si>
    <t>投诉环保局和施工单位</t>
  </si>
  <si>
    <t>仓山区则徐大道龙津内河整治施工单位没有任何防护，居民房间每天都是灰尘，特此投诉，请环保局严查此事。</t>
  </si>
  <si>
    <t>诉求位置已列入仓山龙津阳岐水系综合治理及运营维护PPP项目，已安排现场晒水作业。由于水系现场施工影响到您及周围居民，我司深表歉意，还望您谅解！</t>
  </si>
  <si>
    <t>仓山区首山路43号2栋师大万里小区龙津河支流施工现场，没有资质的不知道名字的施工单位把沙土倒在马路上，占道施工，没有围垱施工，噪音扰民，已经违反了安全生产法、环保法、治安管理处罚法、公司法的相关规定，一而再再而三的在午休和休息期间无数次的施工噪音扰民，侵害当地居民的人权，希望公安、安全生产机关、工商部门还有环保部门对其进行严厉处罚处理，特此投诉，望处理。</t>
  </si>
  <si>
    <t>该河道施工单位为北京市政路桥股份有限公司，其完全具备施工资质，并已通知施工单位严格按照规定时间施工，严禁扰民。另施工期间产生的影响，请予以谅解与支持。</t>
  </si>
  <si>
    <t>投诉龙津河支流施工工地</t>
  </si>
  <si>
    <t>仓山区首山路43号2栋前面有个龙津河支流有个施工工地没有资质，不知道什么单位的施工人员，在工地里将泥沙石子倒在马路上，并且没有围挡施工，并且噪音扰民，已经违反了《安全生产法》、《治安管理处罚法》和《环保法》的相关规定，要求有权行政机关依法对他们严厉处理，而且噪音扰民已经很久了，我也已经反映多次，一直没有得到整改，望尽快处理。</t>
  </si>
  <si>
    <t>龙津河的整治的项目名称为仓山龙津阳岐水系综合治理及运营维护PPP项目，施工单位为北京市政路桥股份有限公司（附件附后）。负责龙津河的整治施工的施工单位是经过政府单位的严格招投标手续的，并且资质也是绝对符合要求的，中标后政府单位有进行公示。对于您所说水系施工的影响周围居民休息，已要求现场施工适当的调整施工时间，尽量避免影响周围居民。由于水系施工影响到您及周围居民深表歉意，还望您谅解！</t>
  </si>
  <si>
    <t>仓山区首山路43号门口的龙津河整治工地在施工，这是没有资质的企业，现在是13点10分他们在占道施工，没有任何围挡，噪音扰民严重。违反了《安全生产法》、《治安管理处罚法》和《环保法》的相关规定，多次故意违法。特此投诉！望处理。</t>
  </si>
  <si>
    <t>该河道管理施工方为北京市市政二建设工程有限责任公司，其完全具备施工资质，施工过程可能会产生影响，请予以谅解与支持。另我街道执法人员已到现场进行核实，系星语学校工地施工，已责令停工，并已通知工地相关人员，要求其按照规定时间施工，严禁扰民，今后我街道执法人员将加强对该工地的巡查监管工作。</t>
  </si>
  <si>
    <t>投诉占道施工和施工扰民问题</t>
  </si>
  <si>
    <t>投诉仓山区首山路43号师大万里小区旁边龙津河内河整治工程占道施工，没有围挡，存在严重的安全隐患，还噪音扰民，从昨天晚上10点挖掘机就开始作业了，我多次反映这个问题，一直没有得到解决，请有关部门尽快介入处理。</t>
  </si>
  <si>
    <t>诉求位置已列入仓山龙津阳岐水系综合治理PPP项目。目前已通知现场施工立即整改，做好安全防护，并且要求适当的调整施工时间。由于水系现场施工给您及周边的居民造成生活上的不便深表歉意，还望您谅解！</t>
  </si>
  <si>
    <t>龙津河整治</t>
  </si>
  <si>
    <t>美仑雅居北侧龙津河整治已施工很久，何时完工</t>
  </si>
  <si>
    <t>龙津河根据项目建设方的计划安排，预计于2019年下半年完成全线整治工作。</t>
  </si>
  <si>
    <t>没有资质的单位在龙津河施工</t>
  </si>
  <si>
    <t>仓山区首山路43号师大万里小区没有资质的单位在龙津河施工，没有按照安全生产法的规定，占道施工，要求安全生产部门对其依法处罚处理。</t>
  </si>
  <si>
    <t>龙津河一#支流管网施工系水系综合治理新增支流，施工单位系北京市市政二建设工程有限责任公司，完全具备施工资质，施工过程可能会对居民产生影响，请予谅解、支持。</t>
  </si>
  <si>
    <t>关于福州市仓山区首山路43号业主财物被河道改造施工噪音扰民的投诉</t>
  </si>
  <si>
    <t>福州市仓山区首山路43号二号楼前有一条河从前面穿过。这是龙津河的一条支流。福州市仓山区政府组织整治该河道，在施工当中经常存在噪音扰民的情形。2019年1月5日中午13点30分钟开始，该施工现场一直在施工，没有停止施工。主要是用挖掘机挖掘和打桩的噪音。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</si>
  <si>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对于您反映的首山路43号河道施工扰民问题，我街道执法人员到现场进行核实，未发现工地施工，并已通知工地相关人员，要求其按照规定时间施工，严禁扰民，今后我街道执法人员将加强对该工地的巡查监管工作，保障周边居民休息。</t>
  </si>
  <si>
    <t>关于福州市仓山区首山路43号河道改造施工噪音扰民的投诉</t>
  </si>
  <si>
    <t>福州市仓山区首山路43号二号楼前有一条河从前面穿过。这是龙津河的一条支流。
福州市仓山区政府组织整治该河道，在施工当中经常存在噪音扰民的情形。
2019年1月3日中午12点40开始，该施工现场一直在施工，没有停止施工。主要是用挖掘机挖掘和打桩的噪音。
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</si>
  <si>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对于您反映的首山路43号河道施工扰民问题，我街道执法人员到现场进行核实，系钩机作业，并已责令工地相关人员，要求其按照规定时间施工，严禁扰民，今后我街道执法人员将加强对该工地的巡查监管工作，保障周边居民休息。</t>
  </si>
  <si>
    <t>福州市仓山区首山路43号二号楼前有一条河从前面穿过。这是龙津河的一条支流。福州市仓山区政府组织整治该河道，在施工当中经常存在噪音扰民的情形。2019年1月2日中午12点开始，该施工现场一直在施工，没有停止施工。主要是用挖掘机挖掘和打桩的噪音。我认为，治安管理处罚法对噪音扰民的违法行为有特别的规定，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特此投诉，望处理。</t>
  </si>
  <si>
    <t>关于福州市仓山区首山路43号河道改造施工单位损毁我栽种的石榴树的投诉举报</t>
  </si>
  <si>
    <t>福州市仓山区首山路43号二号楼前有一条河从前面穿过。这是龙津河的一条支流。福州市仓山区政府组织整治该河道，在施工当中施工单位没有摆设隔离墙，擅自让没有车牌的施工工程车进入43小区。造成我栽种的有10树龄，大约有三四米高的石榴树，被施工单位损毁，现在，仅仅留下一个方形的水泥坑和该树的树根头作证。2019年1月2日中午，我向福州市110指挥中心报警。接处警警察到现场查看了被损坏的现场。由于无法确定该施工单位到底是哪个施工单位。该工地的工人也没配合警察调查。警察也仅仅陈述可以依法提起救济的途径，留下一份接处警单，就离开现场。</t>
  </si>
  <si>
    <t>诉求问题建议市民留下联系方式，或联系水系现场负责人（李总：135-8164-0491）现场核实，若确是因水系施工破坏，定会赔偿。</t>
  </si>
  <si>
    <t>关于福州市仓山区首山路43号河道改造施工噪音扰民向福州市110报警不予接警的投诉</t>
  </si>
  <si>
    <t>福州市仓山区首山路43号二号楼前有一条河从前面穿过。这是龙津河的一条支流。福州市仓山区政府组织整治该河道，在施工当中经常存在噪音扰民的情形。2018年12月30日中午12点13开始，该施工现场一直在施工，没有停止施工。主要是用挖掘机挖掘和打桩的噪音。我向福州市110指挥中心报警，该中心接线员告诉我，噪音扰民的案件应当向福州市12345投诉举报，他们中心不予接警。我要求她依法依规予以登记，她也不同意。我认为，治安管理处罚法对噪音扰民的违法行为有特别的规定，该案件应当属于福州市110指挥中心接处警的案件。该中心工作人员不予接警登记，显然是违反上述法律规定，存在敷衍塞责报警人的嫌疑。应当指出，噪音扰民是违法行为，不管是工地噪音还是生活小区噪音，都属于噪音，都存在扰民的违法行为。行政机关不管是110还是12345对于违法的案件，都应当责无旁贷地依法依规予以登记处理。否则，拖延办理或者不予办理，都是失职渎职的行为。</t>
  </si>
  <si>
    <t>福州市仓山区首山路43号二号楼前有一条河从前面穿过，这是龙津河的一条支流。福州市仓山区政府组织整治该河道，在施工当中经常存在噪音扰民的情形。2018年12月29日晚上22点13开始，该施工现场一直在施工，没有停止施工，大约到2018年12月30日早上6点半才停工，主要是用挖掘机挖掘和打桩的噪音。我今晚一个晚上要不能睡觉了！特此投诉，望部门处理。</t>
  </si>
  <si>
    <t>对于您反映的首山路43号河道夜间施工扰民问题，我街道执法人员到现场进行核实，系钩机作业，并已责令工地相关人员，要求其按照规定时间施工，严禁扰民，今后我街道执法人员将加强对该工地的巡查监管工作，保障周边居民夜间休息。</t>
  </si>
  <si>
    <t>福州市仓山区首山路43号二号楼前有一条河从前面穿过，这是龙津河的一条支流。福州市仓山区政府组织整治该河道，在施工当中经常存在噪音扰民的情形。2018年12月29日晚上22点13开始，该施工现场一直在施工，没有停止施工，主要是用挖掘机挖掘和打桩的噪音。我向福州市110指挥中心报警，该中心接线员告诉我，噪音扰民的案件应当向福州市12345投诉举报，他们中心不予接警。我要求她依法依规予以登记，她也不同意。我认为，治安管理处罚法对噪音扰民的违法行为有特别的规定，</t>
  </si>
  <si>
    <t>对于您反映的首山路43号河道施工扰民问题，我街道执法人员到现场进行核实，未发现工地施工，并已责令工地相关人员，要求其按照规定时间施工，严禁扰民，今后我街道执法人员将加强对该工地的巡查监管工作，保障周边居民休息。</t>
  </si>
  <si>
    <t>福州市仓山区首山路43号二号楼前有一条河从前面穿过，这是龙津河的一条支流。福州市仓山区政府组织整治该河道，在施工当中经常存在噪音扰民的情形。2018年12月29日晚上22点43分开始，该施工现场一直在施工，没有停止施工，主要是用挖掘机挖掘和打桩的噪音。我今晚一个晚上要不能睡觉了！特此投诉，望部门处理。</t>
  </si>
  <si>
    <t xml:space="preserve">对于您反映的首山路43号河道夜间施工扰民问题，我街道执法人员到现场进行核实，系钩机作业，并已责令工地相关人员，要求其按照规定时间施工，严禁扰民，今后我街道执法人员将加强对该工地的巡查监管工作，保障周边居民夜间休息。
</t>
  </si>
  <si>
    <t>仓山区首山路43号2栋前面龙津河支流夜间施工，另外一个工段在仓山区警察学院，严重噪音扰民，施工单位没有施工资质，违反河道管理条例规定，要求有权执法单位依法予以查处，特此投诉，望处理。</t>
  </si>
  <si>
    <t>施工单位拥有相应的施工资质，相关的施工也是得到相关单位的审批才开展的。对于夜间施工问题，水系施工方已通知现场施工调整作业时间。由于水系现场施工，影响到您及周围居民，我司深表歉意，还望您谅解！</t>
  </si>
  <si>
    <t>关于福州市仓山区首山路43号河道改造施工噪音扰民的再投诉举报</t>
  </si>
  <si>
    <t>福州市仓山区首山路43号二号楼前有一条河从前面穿过。这是龙津河的一条支流。
福州市仓山区组织整治该河道，在施工当中经常存在噪音扰民的情形。
2018年12月29日中午12点43分钟，该施工现场一直在施工，没有停止施工。主要是放水和把钢架移动的噪音。</t>
  </si>
  <si>
    <t>诉求问题已通知现场施工调整作业时间。因水系现场施工，影响到您及周围居民的生活深表歉意，还望您谅解！</t>
  </si>
  <si>
    <t>关于福州市仓山区首山路43号龙津河道改造施工过程中违反施工安全规定的投诉举报</t>
  </si>
  <si>
    <t>福州市仓山区首山路43号二号楼前有一条河从前面穿过。这是龙津河的一条支流。
福州市仓山区组织整治该河道的施工。在施工现场，在首山路43号这边没有摆放施工隔离设施。造成施工安全隐患频现。
应当指出，师大万里小区是有许多儿童的小区，不摆放隔离设施，是有可能造成儿童生命安全事故的！
中共中央一直强调安全生产无小事，要求当地仓山区党政机关一把手负起安全的责任，监督施工单位做好施工安全工作。但是，该施工单位从在43号小区施工开始，就没有做好施工安全工作，仓山区也没有尽到监督职责。</t>
  </si>
  <si>
    <t>诉求问题已安排现场立即整改，相应的现场问题可联系水系现场负责人（李总：135-8164-0491）反馈。感谢您对水系施工的支持与监督！</t>
  </si>
  <si>
    <t>关于福州市仓山区首山路43号河道改造施工噪音扰民的投诉举报</t>
  </si>
  <si>
    <t>福州市仓山区首山路43号二号楼前有一条河从前面穿过。这是龙津河的一条支流。
福州市仓山区组织整治该河道，在施工当中经常存在噪音扰民的情形。
2018年12月28日晚上10之后至2018年12月29日凌晨三点，该施工现场一直在施工，没有停止施工。
我向福建省12369环保投诉举报热线投诉举报。福建省的当班接线员推脱我的投诉举报，认为这个施工噪音案件应当由福州市12345予以受理。我说，福州市12345的受理方式是10到15天才予以解决，你们是看着该施工单位存在噪音扰民的情形，故意不管。让他们继续伤害当地居民吗？
在我的投诉陈述之下，该工作人员大约是做做样子，予以登记</t>
  </si>
  <si>
    <t>关于福州市仓山区首山路43号河道改造违法违规的投诉举报</t>
  </si>
  <si>
    <t>福州市仓山区首山路43号二号楼前有一条河从前面穿过。这是龙津河的一条支流。由于常年没有人员维护，周边的居民和学生又经常把垃圾倾倒在河水里，造成水体发黑发臭。福州市仓山区组织整治该河道，但是，整治的方式是违法违规的！应当指出，龙津河河道是天然的河道，在未经国家水利部门依法确定整治规划之前，福州市仓山区擅自把龙津河河道进行管网改造，显然是变更了该河道的原始形态。这是违反河道管理条例的违法行为。希望有权机关福州市水利局依法对福州市仓山区的违法违规行为，予以制止。让美丽的龙津河在依法依规治理中，重新焕发美丽动人的容颜。</t>
  </si>
  <si>
    <t>诉求位置已列入仓山龙津阳岐水系综合治理PPP项目。该段支流治理是严格按照设计图纸及治理方针进行施工，设计、施工均有经过审核，且现场也有监理负责监督作业，并没有您所说的违法违规治理的行为。感谢您对水系施工的支持和监督，谢谢！</t>
  </si>
  <si>
    <t>政府整治的内河还是又脏又臭</t>
  </si>
  <si>
    <t>仓山展进路镇海楼旁边这条龙津支河镇府投了那么多钱进去改造改了还是老样子污水管道做了也是偷工减料  水退下去到处都是渗漏的地方  旁边围栏也弄了拆了装装了拆  一到检查这边内河里水都是满满的看上去比较干净  到检查的人一过水放掉 里面又脏又臭这都是在忽悠谁呢电视上还报多干净多干净 请你们领导能抽空过来看看了解下民声   图片怎么上传不了</t>
  </si>
  <si>
    <t>目前该处内河在进行沿线截污系统升级改造，近期没有补水，故河水出现暂时的黑臭现象，待改造结束进行补水可缓解黑臭现象。给您造成的不便敬请谅解。谢谢。</t>
  </si>
  <si>
    <t>仓山区南台路38号龙津河整治，工地都是晚上十一点多开始施工到凌晨两点多，噪音严重扰民。前一段时间多次举报有停了了一段时间，这段时间又开始夜间施工扰民，我们都要上班上学，这样严重影响了我们白天的工作。我们也都知道该处是重点工程，但是工地为何都是白天不施工，晚上施工？特此投诉，请部门尽快处理。</t>
  </si>
  <si>
    <t>接局指挥中心转投诉，城南名苑旁施工扰民，仓山中队到现场查看系龙津河内河施工，已责令停工。</t>
  </si>
  <si>
    <t>深夜施工扰民难以休息</t>
  </si>
  <si>
    <t>我们是居住在南台路航兴的居民，最近半个月以来，在龙津河进行河道改造施工的工程队，每天晚上9至下半夜进行河道施工，作业机械马达轰鸣，巨大的声响使我们无法入睡。我们这里大部分都是上白班的人，也有八九十岁的老人和婴幼儿。如此长期这样施工扰民，是否刻意安排？我们强烈要求改变施工时间，还我们一个宁静的可以让我们入睡的夜晚！！！这样安排施工时间，是不是太缺德？换位思考一下，如果你们也是居住在此的住户，如果你们深夜被马达轰鸣声所包围无法入睡，你们会怎样？</t>
  </si>
  <si>
    <t>关于你反映的南台路河道施工扰民的诉求，我街城管中队到现场查看，经了解该项目已进入扫尾阶段，同时责令现场负责人合理安排施工时间，不得扰民。谢谢您的支持和理解！</t>
  </si>
  <si>
    <t>福州市水务投资发展有限公司 不作为！</t>
  </si>
  <si>
    <t>首山路43号师大万里公寓小区居民受首山路43号和39号之间的龙津河支流黑臭滋扰多年，要求治理，未经调研就说我们小区居民不愿拆围墙治理，未实事求是歪曲事实，要求该公司到小区与业委会或小区居民调查，以证非实，实施治理，还小区居民美好环境！</t>
  </si>
  <si>
    <t>1、仓山龙津阳岐水系综合治理及运营维护PPP项目目前正在进行一期工程即主河道治理，龙津河主河道已完成清淤及截污管道施工，目前通过引水补水让龙津河水清河畅。2、龙津河1号支流西起福建第二轻工业学院，途经师大万里宿舍、过星语学校南侧、福建警察学院新建综合楼北侧汇入龙津河。为首先解决支流对主河道的影响，已完成末端截污抽排。龙津河1号支流治理属于二期工程，与仓山区政府对接后，计划12月份完成拆迁交地后，对支流进行综合治理。以上情况，请周边市民理解并支持！</t>
  </si>
  <si>
    <t>黑臭河整治仅靠一块遮羞板</t>
  </si>
  <si>
    <t>福建省福州市仓山区对湖街道首山路43号和39号之间的臭水沟是龙津河支流。
内河水系整治已进入尾声，周六上午相关部门已来察看，下午就用彩钢板遮挡。
政府花费了那么大的财力物力，但是个别部门和单位熟视无睹，堂而皇之的用一块彩钢板遮挡。真是用心良苦！</t>
  </si>
  <si>
    <t>我司依据您反馈的地址，派人至现场查看确认，该点位为龙津一号支流。经排查，主要排口污染源主要为支流边二轻学校和师大公寓生活污水排放，原设计整改方案需要拆除师大公寓以及星语学校围墙后，改明沟排水为填埋换管，杜绝污水露天排放，即彻底解决内河黑臭。但因师大公寓居民和星语学校不同意该方案，造成拆除围墙填埋换管截污方案无法确定实施。因围墙无法拆除，造成施工机械设备等无法进场，即无施工便道。目前我司只能根据现有施工条件，利用原有河道作为明渠排水，并于星语学校末端设置截流井以及提升泵设备，将污水已经提升至首山路污水市政管网系统完成接驳，围挡只作为过度临时措施，待河道整治完毕，即行拆除。因原有河道无法按埋管施工，露天排放有臭味在所难免，恳请市民理解与支持！</t>
  </si>
  <si>
    <t>仓山区复园路多处小区臭水沟严重溢出，经投诉，区政府至今不作为</t>
  </si>
  <si>
    <t>从上周日开始，仓山区复园路的多个小区：东山里、公安干校宿舍等地的臭水沟溢出，沟水横流，臭气扑鼻，小区里的老人和孩子都困住无法出行，或者要趟过臭沟的污水冒险出行。经过多次向社区、街道、仓山区反映后，至今无所作为，水沟越溢越高，严重干扰影响群众生活，民怨沸腾。经了解，听说是龙津河改造，不顾居民死活直接把污水口堵上，假如这是真的，那么为了自己内河改造的形象工程，就可以弃民生于不顾吗？政府的面子就比老百姓的正常生活更加重要吗？为此，我强烈建议市政府立即停止这种没有周密计划严重干扰民生的虚假内河改造，待制定严密计划不会扰民后继续进行，同时追究这种不顾民生只抓形象的相关官员和工程人员予以追责，予以公开，以平民愤。如非此原因，也请责成区政府立即为百姓排忧解难，以解百姓生活之忧，十万火急，感谢党和政府！</t>
  </si>
  <si>
    <t>关于复园里多处小区臭水沟严重溢出堵塞的诉求，我街接到居民反映后，立即与水系施工方对接，并到现场核实情况，经过各方的共同努力，该处目前水位已经下降，内涝险情已排除，社区已组织人员到积水小区进行卫生大扫除及消杀工作。居民生活正在逐步恢复正常状态。谢谢您的支持和理解！</t>
  </si>
  <si>
    <t>2018年10月17日22:30-2018年10月18日03:30福建团校到牛眠山巷龙津河河道治理半夜施工扰民，夜晚十二点到凌晨三点还在施工，本来是利民工程变成扰民工程，搞得老人小孩都不要睡，这个河段经常扰民施工，本人睡眠质量不来就不好，影响第二天上班，政府好好处罚这种不良施工单位还人民安宁。再次谢谢政府啦！一定要严惩，</t>
  </si>
  <si>
    <t>诉求位置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</si>
  <si>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龙津河河道治理半夜施工扰民</t>
  </si>
  <si>
    <t>福建团校到牛眠山巷龙津河河道治理半夜施工扰民，夜晚十二点到凌晨二点还在施工，要不要人活了，本来是利民工程变成扰民工程，搞得老人小孩都不要睡，政府好好处罚这种不良施工单位还人民安宁。再次谢谢政府啦！一定要严惩，这个河段经常扰民施工</t>
  </si>
  <si>
    <t>您所反映的仓山区牛眠山巷与程厝东路交叉口东南150米问题，我局执法人员于2018年10月18日22时49分到现场查看，未发现施工。</t>
  </si>
  <si>
    <t>龙津河内河治理夜间施工扰民</t>
  </si>
  <si>
    <t>仓山区航兴花园小区旁边龙津河施工工地近一年来，夜间施工到凌晨，噪音扰民，施工声音非常大，晚上根本睡不着觉，影响正常作息。</t>
  </si>
  <si>
    <t>关于您反映的龙津河内河夜间施工扰民的问题，经查该施工队因赶工期而加夜班施工，我街道执法人员已告知施工负责人半夜施工扰民情况，并责令其按规定时段施工。我街道将加强夜间巡查整治。</t>
  </si>
  <si>
    <t>龙津河改造工程施工扰民</t>
  </si>
  <si>
    <t>投诉仓山区南台路38号航兴花园旁边的市体育中心门口的龙津河改造工程施工扰民，现在已经凌晨2点33分挖土机还在作业，非常吵，严重影响休息，情况已经持续两三个月了，请有关部门尽快介入处理。</t>
  </si>
  <si>
    <t>诉求位置旁的龙津河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</si>
  <si>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投诉龙津河改造工程噪音扰民</t>
  </si>
  <si>
    <t>投诉仓山区龙津河改造工程噪音扰民，每天晚上9点之后还在施工，非常吵，经常通宵施工，严重影响居民休息，我多次和工程队交涉未果，请有关部门尽快介入处理。</t>
  </si>
  <si>
    <t>针对您诉求件中提到仓山区龙津河改造工程施工扰民的问题，我街道执法人员已前往现场查看，现将情况答复如下：该处现场是龙津河美伦雅居路段水系综合治理工程，依市委、市政府城区水系综合治理百日大会战工作部署，已责令施工方合理安排施工时间，禁止在午间十二时至十四时和夜间二十二时至次日六时施工，最大限度减少对周边群众的影响。投诉者发现如有违规施工现象可以拨打12345热线或者打我街道城管中队投诉电话（联系电话0591-63503356），我街道城管中队将第一时间前往现场查处并制止其扰民行为。谢谢。</t>
  </si>
  <si>
    <t>投诉夜间施工</t>
  </si>
  <si>
    <t>仓山区展进路法院宿舍对面龙津河改造工地晚上10点22分还在施工，每次都是晚上施工，仓山镇执法的到底有没有来执法？投诉有没有用？特此投诉。</t>
  </si>
  <si>
    <t>我镇城管队员到现场查看，责令其停工，并开单处罚，要求施工方按规定时间施工，禁止扰民。后期将加强对该处的巡查。</t>
  </si>
  <si>
    <t>仓山区南台路龙津河在0：02分还在施工，严重的噪音扰民，影响居民的休息，希望有关部门尽快处理。</t>
  </si>
  <si>
    <t>我镇城管队员到现场查看，责令其停工，要求施工方按规定时间施工，禁止扰民。后期将加强对该处的巡查。</t>
  </si>
  <si>
    <t>仓山区展进路法院宿舍龙津河改造工地凌晨2点15分还在施工，影响居民休息。多次投诉反映都是这样，到底有没有人管？望处理。</t>
  </si>
  <si>
    <t>反映一个问题</t>
  </si>
  <si>
    <t>仓山区南台路航兴花园旁边龙津河有进行改造，导致很多载重的车辆从龙津巷走，龙津巷这边都是自建房，车子经过的时候房子都会震动，现在房子很多地方都已经开裂，如果房子塌陷由谁负责？并且施工方把渣土和石块堆在我们龙津巷，把路都堵住一半了，让老人家怎么出行。龙津河改造都是晚上施工，家里老人晚上被吵的都睡不着觉，去医院检查，医生也说了是睡眠不好导致生病，特此投诉，请部门处理。</t>
  </si>
  <si>
    <t>关于诉求者诉求的问题，我街道已派人到现场查看，责令当事人合理安排施工时间，不得扰民。目前龙津河治理工作已进入扫尾阶段，因市体校对学校路面破土施工，水系施工方为确保限定时限完成项目施工，需经龙津巷运送施工材料，造成不便，敬请谅解，谢谢您的理解与支持。</t>
  </si>
  <si>
    <t>朝阳南路附近龙津河彻夜施工是否有批夜间施工许可证？</t>
  </si>
  <si>
    <t>朝阳南路附近龙津河彻夜施工，福州市水务投资发展有限公司于2018-09-2617:29在（FZ18092300048
）中回复说不得不开展夜间施工。请问这个项目取得夜间施工许可证了吗？如有，请予以公布。</t>
  </si>
  <si>
    <t>首先给您带来不便敬请谅解！因混凝土施工需要连续性，不可避免夜间施工，施工单位有向相关部门报批夜间施工手续。我司会督促施工单位做好文明施工，合理安排作业时间，尽量白天施工。</t>
  </si>
  <si>
    <t>仓山龙津河治理进展缓慢，管理混乱</t>
  </si>
  <si>
    <t>福州去年对40多条内河开展治理工程，广大市民积极支持。但是，仓山龙津河治理进展缓慢，管理混乱！按照要求2017年12月31日完工通水。时间已经过了9个月，治理尚未完成，而且恶臭熏天，蚊蝇增多。环境混乱。特别是在先锋村至朝阳路河段，比原先更臭了！严重损害沿河边居民的身体健康，及正常生活！</t>
  </si>
  <si>
    <t>龙津河已列入仓山龙津阳岐片区水系综合治理PPP项目由我司负责整治。2017年年底我司只是达到第一个治理的目标，目前正在紧张的截污阶段。由于现场施工条件的局限及复杂，我司施工困难极大，都是克服种种困难在顺利推进，还望您多多支持！因近期河道截污系统转化升级造成水质波动，我司会加快施工进度，尽量给周围居民营造一个良好的生活环境。由于我司施工影响到您及周围居民的生活，深表歉意！</t>
  </si>
  <si>
    <t>展进路133号仓山区法院宿舍门口龙津支河旁边的污水处理池工地晚上11点多还在施工，该工地最近4、5个月经常通宵施工，噪音严重扰民。特此投诉，望处理。</t>
  </si>
  <si>
    <t>我镇城管队员到现场查看，对施工方下发告知书，将对违规施工进行处罚，后期将继续加强巡查。</t>
  </si>
  <si>
    <t>六一南路电信旁边龙津河工地晚上12点58分还有车在装卸钢板，噪音很大，望部门处理。</t>
  </si>
  <si>
    <t>关于您诉求的问题，我街道已派人到现场查看，责令负责人合理安排施工时间，不得扰民。因龙津河治理工程已进入扫尾阶段，为确保限定时限完成项目施工，造成不便，敬请谅解，谢谢您的理解和支持！</t>
  </si>
  <si>
    <t>仓山区展金路法院宿舍龙津河改造工地，夜间00:03分还在施工扰民，影响居民休息，望处理。</t>
  </si>
  <si>
    <t>龙津内河黑水污染，臭气熏天</t>
  </si>
  <si>
    <t>上三路牛眠山巷龙津内河污染严重，河水黑脏臭，臭气熏天，己严重影响到附近的居民，希望有关部门尽快解决！</t>
  </si>
  <si>
    <t>龙津河已列入仓山龙津阳岐片区水系综合治理PPP项目，目前在进行河道截污施工，施工过程会对水质造成波动。待施工结束可缓解黑臭问题。谢谢。</t>
  </si>
  <si>
    <t>停水问题</t>
  </si>
  <si>
    <t>仓山区盖山镇江边村龙津河改造工地经常因为河道施工挖爆水管，导致周边停水，也没人处理，最近一次又是从昨天下午停到现在水还没来，给市民造成不便，特此投诉，望处理。</t>
  </si>
  <si>
    <t>诉求位置旁已列入仓山龙津阳岐片区水系综合治理PPP项目由我司负责整治。由于施工条件及工作面有限，若发生相关的损坏，我司会第一时间报相关部门抢修。给您及周围的居民造成生活上的不便，我司深表歉意，同时也希望谅解与支持!</t>
  </si>
  <si>
    <t>工地噪音扰民</t>
  </si>
  <si>
    <t>仓山区展进路法院宿舍旁边的龙津河工地晚上十点多才开始倒水泥，噪音严重扰民。特此投诉，望处理。</t>
  </si>
  <si>
    <t>投诉仓山区龙津河阳岐水系综合治理项目部</t>
  </si>
  <si>
    <t>投诉仓山区龙津河阳岐水系综合治理项目何时施工结束？牛眠山巷71号552电台西侧河道施工非常扰民，晚上八点到十一点多以及凌晨三点到第二天早上八点都在施工，导致附近居民无法休息，我们从7月开始投诉，对湖街道每次都是过去有施工就制止，但是最终问题还是没有解决，要部门介入，让龙津河阳岐水系综合治理项目部作出承诺夜间不施工，望处理。</t>
  </si>
  <si>
    <t>诉求位置已列入仓山龙津阳岐水系综合PPP治理项目由我司负责整治，由于时间紧，任务重，近期赶工，所以晚上得适当加班，还望谅解，我司已要求施工方合理控制夜间作业时间，避免影响周围的居民的休息，我司也督促施工方采取临时措施进行整改。后续施工期间，我司也将采取有效措施，并尽量减少施工对周边居民的影响，给市民带来的不便，我司深表歉意。</t>
  </si>
  <si>
    <t>救救孩子们</t>
  </si>
  <si>
    <t>请庙堂之上的官老爷们救救孩子们。雁头路是江边村盖山镇很多老百姓进出必经之路，每天都有大量的中小学生上下学从此经过，自从龙津河改造项目开始，这条路就成了沙尘漫天，污染严重的“有毒之路”，龙津河的水污染治好治不好我们说不好，但是在给龙津河治病的时候把江边村的空气弄成毒气是老百姓不可接受的。就好比你给病人开刀治胃病的时候把人家肝脏又弄坏了，谁能忍受得了？你们可以派人在早上来体验一下，保证你们终生难忘。更要命的是，这个问题很多人在12345投诉了很多次，竟然一点没有得到解决，我很怀疑这个平台的有效性。如果说是水务公司的责任，那么相关监管单位有没有尽到监管责任？水务公司没有进行防尘处理，有没有得到严厉的处罚？没有处罚他们怎么会进行整改？这是不是严重的行政不作为？还有水务公司，你们为了抓紧时间完成任务我们也理解，但是造成环境严重污染，周边居民苦不堪言，你们难道就没有一点愧疚感？如果有人引起呼吸道严重疾病，有人因为能见度差出了交通事故，给人民生命财产安全造成损失，你们负得起这个责任吗？谁又来负这个责任？希望相关人员都能从老百姓的角度出发，多替老百姓想一想，当官不与民做主，不如回家卖红薯。希望水务公司尽快拿出防尘解决方案，监管单位多监督，让孩子们能呼吸一口干净的空气，这个要求不高吧？</t>
  </si>
  <si>
    <t>诉求位置旁的龙津河已列入仓山龙津阳岐片区水系综合治理PPP项目由我司负责整治。接到诉求后，我司已要求施工方立即整改，施工期间会安排定期降尘，同时也会安排工人定期打扫，必要的时候安排洒水车作业。后续我司也将持续督促其做好抑尘管理，强化抑尘措施。</t>
  </si>
  <si>
    <t>投诉仓山区步行街龙津河改造工程队</t>
  </si>
  <si>
    <t>投诉仓山区步行街龙津河改造工程队，仓山区的公安治安探头是我们代为维护的，工程队将8个探头的缆线全部抽掉。我们从4月份协商至今，他们一直没都有帮我们修复，造成仓山区步行街周边治安盲区，公安一直督促我们，我们一直与他们协商，他们很不负责任一拖再拖就是不维修。特此投诉！望处理。</t>
  </si>
  <si>
    <t>诉求位置已列入仓山龙津阳岐片区水系综合治理PPP项目由我司负责整治。因前期对接存在异议，烦请与我司现场总负责李工对接（李工：135-8164-0491），若是我方破坏，我司会对接相关单位进行维修。</t>
  </si>
  <si>
    <t>黑臭水体的治理</t>
  </si>
  <si>
    <t>在福建省福州市仓山区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希望有关部门将此处黑臭水体尽快纳入治理范围。前已投诉，市城乡建设局回复说建议转仓山区政府处理。我不满意这个回答。希望有更好的实际的处理效果。</t>
  </si>
  <si>
    <t>据了解，此次黑臭水体治理因项目多，难度大，主要针对主河道水体治理，后期再完善支流治理。我街道已将福州市体育运动学校与上三路127号之间的一段黑臭水体情况上报上级相关部门，请求纳入治理范围。关于其日常维护的问题，我街道已安排人员定期对该处的垃圾进行清理。谢谢您的理解与支持！</t>
  </si>
  <si>
    <t>在福建省福州市仓山区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t>
  </si>
  <si>
    <t>仓山区展进路龙津河施工工地晚上11点多还在施工，噪音严重扰民，该工地最近几天都在通宵施工。特此投诉，望处理。</t>
  </si>
  <si>
    <t>我镇城管队员到现场查看，责令其停工，并开单处罚。后期将加强对该处的巡查。</t>
  </si>
  <si>
    <t>仓山区展进路龙津河河道治理工程凌晨2:09还在施工，噪音扰民，已经连续几个晚上都是通宵施工，我们投诉完城管到达现场，河道就会停止施工，可是城管一走，河道就又开始施工，望部门采取措施制止夜间施工扰民。</t>
  </si>
  <si>
    <t>河道治理施工</t>
  </si>
  <si>
    <t>仓山区展进路龙津河河道治理施工，已经连续几个晚上通宵施工，严重噪音扰民，多次投诉没有解决，每次投诉城管到现场制止，城管一走又恢复施工，特此投诉，希望彻底解决。</t>
  </si>
  <si>
    <t>仓山区展进路龙津河道施工工地23:40分还在施工，噪音扰民，多次投诉，均在夜间施工，司机还经常按喇叭，并且白天不施工。特此投诉，望处理。</t>
  </si>
  <si>
    <t>我镇城管队员到现场查看，对施工方的违规施工行为，已经责令停工，并开单处罚（附图），后期会加强对该处的巡查。</t>
  </si>
  <si>
    <t>龙津河改造施工扰民</t>
  </si>
  <si>
    <t>仓山区展进路法院宿舍门口龙津河改造施工，每天都是晚上9点施工到凌晨2点，噪音严重扰民，望相关部门尽快介入处理。</t>
  </si>
  <si>
    <t>我镇城管队员到现场查看，对施工方下发告知书（附图），将对违规施工进行处罚，后期将继续加强巡查。</t>
  </si>
  <si>
    <t>仓山区法院宿舍门前的龙津河河道工地凌晨1：26分还是施工，噪音严重扰民，天天夜间施工，请有关部门尽快处理。</t>
  </si>
  <si>
    <t>关于您诉求件中反映的法院宿舍龙津河河道工地施工扰民的问题，我街道已派执法人员前往现场查看，同时经执法人员现场询问了解，现场为市政河道清理整治工程，依市委、市政府城区水系综合治理百日大会战工作部署，已责令施工方合理安排施工时间和严格遵守施工要求，最大限度减少对周边居民的影响。谢谢。</t>
  </si>
  <si>
    <t>仓山区下渡街道下藤路旁的龙津河施工，白天偶尔作业，晚上都施工到很迟，已经持续三个星期了，严重影响附近居民正常休息，特此投诉，望及时处理。</t>
  </si>
  <si>
    <t>经核查，诉求位置是我司仓山龙津阳岐片区水系综合治理PPP项目-龙津河整治施工，预计2018年9月底完成截污施工。接到诉求后，我司已要求施工方合理安排作业时间，尽量采取临时措施降低声响，较小影响，对于施工期间给您带来的不便望谅解。</t>
  </si>
  <si>
    <t>投诉施工把我店的水管弄破了</t>
  </si>
  <si>
    <t>盖山镇雁头路龙津河旁边在施工，把我店的水管弄破了，已经没水三天了，都没有人处理。特此投诉，望处理。</t>
  </si>
  <si>
    <t>所反映的问题已协调施工单位，现场核实情况，若确为施工造成的将予以修复。</t>
  </si>
  <si>
    <t>投诉龙津河内河改造项目（加急）</t>
  </si>
  <si>
    <t>仓山区盖山镇江边村龙津河内河改造项目施工方在施工的时候没有采取任何的安全保障措施，严重威胁到附近居民的人身财产安全，今天下午4点30分施工的机器油管爆裂，机油飞溅到附近居民身上和房子上，特此投诉，请部门处理。</t>
  </si>
  <si>
    <t>龙津河已列入仓山龙津阳岐片区水系综合治理PPP项目由我司负责整治,此前受影响的房屋我司已安排修复到位。后续我司将加强安全文明施工监管力度，做好安全文明施工维护措施，尽量减小施工对周边市民的影响，避免该问题再次出现。</t>
  </si>
  <si>
    <t>龙津河黑臭水体污染治理结束时间</t>
  </si>
  <si>
    <t>天气炎热，龙津河泛起股股恶臭，围挡处严重影响车辆和行人通行。按照路旁立牌显示，治理结束日期为6月30日，但现在看效果和进度估计推后不少。请问具体结束日期？还有龙津河和南台路交叉口处的垃圾中转站怎么处理，是继续保留还是拆除？</t>
  </si>
  <si>
    <t>经核查，上山路旁的龙津河已列入仓山龙津阳岐片区水系综合治理PPP项目由我司负责整治，目前河道黑臭问题已基本消除，现场还在进行河道永久截污施工，预计2018年9月底前完工，我司将争取尽快形成全套截污系统。此外，垃圾中转站在后期会予以保留。</t>
  </si>
  <si>
    <t>关于加快推进我校“内沟”脏臭工程进度的诉求</t>
  </si>
  <si>
    <t>今年福州市委、市政府及仓山区加大了整治内河，福州市城区黑臭水体治理工程建设指挥部也将我校校区内河道部分列入治理范围，属于仓山龙津阳岐水系综合治理PPP项目，龙津河1#支流截污管道工程，工程施工方北京市市政二建设工程有限责任公司于2018年4月份进入我校校园开始施工，让我们也看到治理的希望。我校积极配合，腾空施工场地，协助做好各项安全工作。但目前工程施工时间已过去2个多月了，从5月下旬至今一直停工，期间多次下雨，造成河道污水倒灌，校园严重积水，水面过膝，存在严重的安全隐患，学校也因此不得不多次停课，严重影响了正常的教学、生活和工作秩序。且停工现场设备、电箱等散落四处，无人管理;施工部分路段未填埋完整，学生穿行其间，危险重重。这可怎么办？天气越来越热，污水黑臭时时危害师生的身心健康与校园卫生，我们心系学校，心系师生，心急如焚，只好向您诉求，请您帮帮我们，帮帮我们学校吧，请协调加快推进工程施工进度。</t>
  </si>
  <si>
    <t>您好,学校位置旁的龙津河已列入仓山龙津阳岐片区水系综合治理PPP项目由我司负责整治，首先感谢贵校对我司施工的大力支持。目前河道施工进度受到影响，是由于2018年6月初，为更好更快完成河道建设，我司将此前效率不足的施工班组全部清退，寻找更好的施工班组进行施工。后续，我司也将加强安全文明施工监管力度，督促施工，尽量不影响贵校的正常教学、生活秩序。 此外，施工期间若下大雨，我司也建立的了相应的防汛机制，有相应的防汛方案和应急救援小组，尽量避免给贵校造成积水。下雨天如有相关问题，麻烦贵校联系我司现场负责人李工，联系电话：135-8164-0491，他会及时安排处理。再次感谢贵校对我司的施工支持，也希望在施工期间再继续支持，谢谢！</t>
  </si>
  <si>
    <t>要求施工方作出赔偿（加急）</t>
  </si>
  <si>
    <t>我的植物大棚在仓山区牛眠山巷19号往里走的桥边右侧的龙津河旁边，之前内河整治工程施工方在施工时破坏了我的植物大棚（当时我人不在），我们和他们交涉无果。特此投诉，望部门尽快处理，要求施工方作出赔偿。</t>
  </si>
  <si>
    <t>经核查，牛眠山巷附近的河道为龙津河,已列入仓山龙津阳岐片区水系综合治理PPP项目由我司负责整治。经查看，我司沿河施工未存在私自破坏植被的情况，市民也可对接我司河道负责人（联系人：李工，联系电话：13581640491），进行现场沟通。</t>
  </si>
  <si>
    <t>美伦雅居龙津河旁的工地，已经晚上22:48分还在施工，从昨天开始通宵施工到现在，噪音严重扰民，经常施工到晚上12点之后。特此投诉！望相关部门继而处理。</t>
  </si>
  <si>
    <t>关于您反映的仓山区美伦雅居龙津河旁施工扰民的问题，我街道已派执法人员前往现场查看，经执法人员现场询问了解，现场为市政河道清理整治工程，依市委、市政府城区水系综合治理百日大会战工作部署，已责令施工方合理安排施工时间和严格遵守施工要求，最大限度减少对周边居民的影响。谢谢。</t>
  </si>
  <si>
    <t>水系治理质量存在问题</t>
  </si>
  <si>
    <t>龙津河治理许久，最近仍然发出阵阵恶臭。</t>
  </si>
  <si>
    <t>龙津河目前正在进行截污系统升级改造中，故水质暂时会产生波动；给您造成的不便敬请谅解。同时，此次升级将争取在年内完成建设并调试运行。届时将缓解水质，请市民予以支持为盼。谢谢。</t>
  </si>
  <si>
    <t>盖山镇江边村龙津河改造项目凌晨1点还在施工，严重扰民，请有关部门查处。这个问题我们已经投诉过好多次了，为什么每次城管都说没有发现。请问是城管不作为，还是没有去调查？还是其他原因？特此投诉。</t>
  </si>
  <si>
    <t>镇已加强对该处的巡查、监管力度,对存在超时施工的行为及时予以制止。市民若发现超时施工行为，请及时上报盖山镇政府、区市容局或拨打24小时投诉热线12345进行举报，我镇将第一时间调派路面巡查人员前往查处。</t>
  </si>
  <si>
    <t>仓山区朝阳南路龙津河改造工程半夜12点还在施工，挖机声音非常大声，噪音扰民，希望有关部门尽快处理。</t>
  </si>
  <si>
    <t>关于您反映的仓山区龙津花园附近施工扰民的问题，我街道已派执法人员前往现场查看，未发现有施工现象，同时经街道执法人员现场询问了解（附现场图），现场为市政河道清理整治工程，依市委、市政府城区水系综合治理百日大会战工作部署，已责令施工方合理安排施工时间和严格遵守施工要求，最大限度减少对周边居民的影响。谢谢。</t>
  </si>
  <si>
    <t>仓山区朝阳南路目前正在进行拓宽改造，施工方前段时间在龙津河架设一座铁桥方便市民行走。前两天晚上施工方可能不慎将煤气管道挖爆突然起火把桥上的铁板和护栏都烧了，铁板都翘起来了。一整天都有电动车经过噪音很大。严重影响居民生活。特此投诉，望相关部门介入处理。</t>
  </si>
  <si>
    <t>因水系项目电箱着火泱及该钢栈桥，受高温炙烤导致铁板变形，现已完成修复</t>
  </si>
  <si>
    <t>我的植物大棚在仓山区龙津河旁边，前几天内河整治工程施工方在施工时破坏了我的植物大棚（当时我人不在），我们和他们交涉无果。特此投诉，望部门尽快处理，要求施工方作出赔偿。</t>
  </si>
  <si>
    <t>龙津河已列入仓山龙津阳岐片区水系综合治理PPP项目由我司负责整治。经询问河道负责人，我司并未有私自占用居民地块的情况，同时，因龙津河河道范围广，无法查到到市民所说的植物大棚的具体位置，请您告知植物大棚的详细位置及联系电话，以便我司进一步核查。</t>
  </si>
  <si>
    <t>美伦雅居龙津河旁的工地晚上12点20分还在施工，噪音严重扰民，特此投诉。</t>
  </si>
  <si>
    <t>关于您反映的“美伦雅居龙津河旁工地夜间施工噪音扰民”问题，我局接到投诉后已第一时间调派执法人员前往现场查看。经查，现场已停止施工。</t>
  </si>
  <si>
    <t>2018年6月1-7日晚请污水处理暂停半夜施工</t>
  </si>
  <si>
    <t>感谢政府对龙津河的治理，我们也知道并理解施工有时须在半夜施工，附件有好几座有参加2018年高考的学生，因为经常半夜施工工，严重影响了学生的正常的睡眠与休息，现恳请高考期间6月1-7日晚上暂停半夜施工，致少6月6-7日晚上一定要严禁半夜施工，让考生有一个相对安静的休息环境。谢谢理解与支持！</t>
  </si>
  <si>
    <t>我局执法人员于2018年5月15日01时01分到现场查看，未发现施工。今后我局将加强对该工地的日常巡查，发现违规施工现象将依法予以查处。若市民发现施工扰民行为，请拨打24小时投诉电话12345，我局在收到举报后将第一时间调派执法人员前往查处。</t>
  </si>
  <si>
    <t>内河治理扰民</t>
  </si>
  <si>
    <t>仓山区朝阳路龙津河内河治理已经晚上十一点零一分了还在施工，噪音扰民，特此投诉，希望相关部门介入处理。</t>
  </si>
  <si>
    <t>我局执法人员于2018年5月14日22时13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</si>
  <si>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三高路美伦雅居楼下的龙津河工地现在已经快晚上十点半还在施工，已经持续一两个月夜间施工，噪音影响周边居民休息，请有关部门处理。</t>
  </si>
  <si>
    <t>关于您反映的“三高路美伦雅居楼下龙津河工地夜间施工噪音扰民”问题，我局接到投诉后已第一时间调派执法人员前往现场查看。经查，现场为河道工程勾机清淤，执法人员已责令施工方立即停止施工。并要求施工方需按《福州市环境保护条例》规定，合理安排施工时间。</t>
  </si>
  <si>
    <t>工程半夜施工扰民</t>
  </si>
  <si>
    <t>龙津河整治工程有申请夜间施工许可证吗？就算有，也不能半夜1点多还在作业吧，最近一段时间凌晨一两点还在施工，噪音又特别大，家里有小孩，根本没法好好睡觉，可否到施工单位调查下</t>
  </si>
  <si>
    <t>我局执法人员于2018年5月3日22时31分到现场查看，未发现施工。今后我局将加强对该工地的日常巡查，发现违规施工现象将依法予以查处。若市民发现施工扰民行为，请拨打24小时投诉电话12345，我局在收到举报后将第一时间调派执法人员前往查处。</t>
  </si>
  <si>
    <t>望部门处理</t>
  </si>
  <si>
    <t>仓山区龙津河内河整治施工，噪音扰民，严重影响周边居民正常休息，望部门处理。</t>
  </si>
  <si>
    <t>关于仓山区龙津河施工扰民问题，我局执法人员于2018年4月28日1时06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</si>
  <si>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仓山区美伦雅居对面的龙津河工地现在晚上23点还在施工，小孩马上高考，噪音导致小孩都没法好好休息，特此投诉，望处理。</t>
  </si>
  <si>
    <t>关于您反映的“仓山区美伦雅居对面龙津河工地夜间施工噪音扰民”问题，我局接到投诉后已第一时间调派执法人员前往现场查看。经查，现场为市政河道清理工程浇筑水泥墩产生噪音，执法人员已责令施工方立即停止施工。</t>
  </si>
  <si>
    <t>仓山区美伦雅居旁边的龙津河施工的工地，现在晚上22:38分还在倒水泥，噪音严重扰民，请部门介入处理。</t>
  </si>
  <si>
    <t>你好！关于仓山区美伦雅居旁边的龙津河施工的工地夜间施工扰民问题，我局执法人员于2018年4月24日22时46分到现场查看，此处为六一南路龙津河水系工程工地，已对该工地施工单位下发询问调查通知书，并责令该工地施工单位停止噪声扰民行为，晚上二十二时至次日六时禁止施工，合理安排施工时间。若市民再次发现夜间施工扰民行为，请拨打24小时投诉电话12345，我局在收到举报后将第一时间调派执法人员前往查处。</t>
  </si>
  <si>
    <t>河道施工噪音</t>
  </si>
  <si>
    <t>近一周时间，位于仓山区浦下村新桥“龙津河跃进河”河道施工，施工声，到晚上凌晨2点多还在施工，严重的噪音扰民，影响周边居民的休息和生活，希望有关部门介入处理。</t>
  </si>
  <si>
    <t>关于仓山区浦下村新桥施工扰民问题，我局执法人员于2018年4月4日1时38分到现场查看，此处为浦下村内河项目，未发现施工。今后我局将加强对该工地周边的日常巡查，发现违规施工现象将依法予以查处。若市民发现夜间施工扰民行为，请拨打24小时投诉电话12345，我局在收到举报后将第一时间调派执法人员前往查处。</t>
  </si>
  <si>
    <t>河道施工夜间噪音扰民</t>
  </si>
  <si>
    <t>近一周的时间，位于仓山区盖山镇浦下村新桥“龙津河跃进河道“凌晨2点多还在施工，噪音严重扰民。特此投诉，望处理。</t>
  </si>
  <si>
    <t>关于仓山区盖山镇浦下村新桥施工扰民问题，我局执法人员于2018年4月4日1时38分到现场查看，此处为浦下村内河项目，未发现施工。今后我局将加强对该工地周边的日常巡查，发现违规施工现象将依法予以查处。若市民发现夜间施工扰民行为，请拨打24小时投诉电话12345，我局在收到举报后将第一时间调派执法人员前往查处。</t>
  </si>
  <si>
    <t>龙津河问题</t>
  </si>
  <si>
    <t>仓山区龙津河已经围挡一年了，都没开始治理，夏天快到了，臭味严重扰民，并且围挡围在那里严重影响市民通行，特此投诉，望处理。</t>
  </si>
  <si>
    <t>龙津河已列入仓山龙津阳岐水系综合治理PPP项目由我司负责整治，我司已在抓紧施工，力争上半年完成沿河截污施工，改善水质，下半年完成沿河景观整治工程，全面完成治理。此外，施工期间为了保证周围行人安全，必须进行围挡，在施工完成后我司会及时予以拆除。</t>
  </si>
  <si>
    <t>仓山区展进路133号仓山法院宿舍前面龙津河旁边的河道，晚上11点还在施工，噪音扰民，希望部门尽快处理。</t>
  </si>
  <si>
    <t>关于仓山区展进路133号仓山法院宿舍前面龙津河旁边的河道施工扰民问题，我局执法人员联合仓山镇城管办于2018年3月25日23时39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</si>
  <si>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仓山镇万里村施埔后支路污水排水接入市政管道</t>
  </si>
  <si>
    <t>仓山镇万里村现有的污水排放经二轻工业学校内河流向龙津河，多年以来由于龙津河堵塞严重造成每逢下雨村里就严重内涝，现在市政府对龙津河进行整治，村民希望不要将污水继续流向龙津河，避免造成污染，将污水排放接入首山路的污水管道，这样一举两得可以解决多年以来村里内涝问题，希望上级部门能听取建议，落实万里村的污水排放及解决内涝问题。</t>
  </si>
  <si>
    <t>我镇已经协调仓山区建设局，将该地段纳入近期工作计划，由区建设局统一筹划，进行整改。</t>
  </si>
  <si>
    <t>仓山法院宿舍对面的龙津河，最近经常晚上12点还有人施工，噪音扰民，希望部门尽快处理。</t>
  </si>
  <si>
    <t>我局执法人员于2017年12月11日22时16分到现场查看，未发现施工。今后我局将加强对该工地的日常巡查，发现违规施工现象将依法予以查处。若市民发现夜间施工扰民行为，请拨打24小时投诉电话12345，我局在收到举报后将第一时间调派执法人员前往查处。</t>
  </si>
  <si>
    <t>南台路和上三路交叉口龙津支河边上拆迁项目有必要从晚上一直搞到早上吗？渣土车和挖掘机一直在运作，噪音非常大，现在已经晚上快12点了，严重影响大家正常休息，希望在白天施工，不要夜间扰民。望处理。</t>
  </si>
  <si>
    <t>我局执法人员于2017年12月9日00时18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</si>
  <si>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投诉噪声扰民</t>
  </si>
  <si>
    <t>投诉仓山区下藤路龙津河工地噪声扰民，中午打桩，噪声巨大，婴儿都吓哭了，老人也无法休息。希望相关部门立即查处。</t>
  </si>
  <si>
    <t>你反映的仓山区下藤路龙津河工地扰民问题，我局执法人员于2017年12月5日12时40分到现场查看，未发现施工。</t>
  </si>
  <si>
    <t>内河整治施工单位占道堆放材料，造成道路严重堵塞。</t>
  </si>
  <si>
    <t>龙津河整治牛眠山路段，由于施工单位将管道材料堆放在主干道上，该路段为背街小巷双向两车道，材料堆放占据了一个车道。造成上下班高峰期道路严重堵塞，给附近幼儿园和居民出行造成困难。牛眠山路是附近居民和幼儿园进出和上下班唯一的主要通道，希望有关部门敦促施工方将材料移走。停止违法占道行为。</t>
  </si>
  <si>
    <t>投诉两个问题</t>
  </si>
  <si>
    <t>1.龙津河的河道已经建了8年左右，十分脏臭，河道旁边有一块空地，相当于小区的死角，没人行走，规划是说把这里用来做栈道，这块空地挨着我们先锋花园小区的墙壁，业主是希望把墙壁拆掉做绿化，不要另外做栈道。2.外面河道没有动工但是却把这里围起来，导致居民通行不方便而且会挡住我们骑车的视线，相当危险。特此投诉，望处理。</t>
  </si>
  <si>
    <t>一、2017年我司主要进行黑臭水治理工作，诉求提到的木栈道属于2018年开展的景观工程，整治方案尚未最终确定。
二、对于诉求提到的围挡问题，我司因考虑到来往行人的安全，在河道施工前在沿线两侧施工区域范围设置封闭式围挡，近期将开展施工。希望市民能支持和理解我们对水系治理的施工工作。</t>
  </si>
  <si>
    <t>龙津河黑臭</t>
  </si>
  <si>
    <t>仓山区龙津南苑旁边的龙津河非常臭，前两个月说要治理，但是到现在还没有开始动工，希望相关部门介入处理。</t>
  </si>
  <si>
    <t>龙津河目前已列入水系PPP治理项目，目前已开始着手动工。整治是分段分计划进行的，故给您造成的不便敬请谅解。</t>
  </si>
  <si>
    <t>龙津河整改问题</t>
  </si>
  <si>
    <t>龙津河在这次整治内河毫无意义，被强行填埋的河道以及政府拆迁的征用地还依然是2016年后违章建盖的房子，钢筋混凝土浇筑高达六七层，太显眼了，望有关部门加大力度，进行强制拆除，扩宽河道！</t>
  </si>
  <si>
    <t>反映违建问题，近期将统筹安排拆除计划，分批分期予以拆除。</t>
  </si>
  <si>
    <t>内河整治</t>
  </si>
  <si>
    <t>近日看到龙津河开始整治，省团校门口和跑马场往三叉街方向都已经围挡整治。不过山亚大厦对面跑马场和警官学院之间那段内河怎么没有围挡，还是就个白铁皮给封着，看不到就不不算黑臭了么？</t>
  </si>
  <si>
    <t>目前并非所有河段都有围挡施工。进行围挡是因为之前有涉及拆迁，为了防止违规倾倒垃圾现象及施工安全考虑，故进行了围挡。年内主要是先基本改善水质，并未全线施工，所以部分河段进行围挡作业。明年开始才转入全面的埋设截污管等施工工作。谢谢。</t>
  </si>
  <si>
    <t>二轻工业学校侵占河道</t>
  </si>
  <si>
    <t>因这条内河涉及周围村庄及多个院校的排污排涝，二轻工业学校单方面将内河加盖更导致河道堵塞严重多年无法清理，造成周围内涝严重。周围群众也是几经投诉都得不到解决，这次趁着福州市政府下大力气整治河道，希望能得到相关部门重视，否则龙津河排污排涝问题还是得不到彻底解决，二轻工业学校近几年违规修建店面，乱排污这问题也希望能引起纪委部门重视。希望本次河道治理项目部门城乡建委，环保部门，国土部门能回复这份投诉件，共同协商解决</t>
  </si>
  <si>
    <t>仓山区首山路福建二轻工业学校边的龙津河已列入水系治理PPP项目龙津河流域综合治理工程包。目前已入场进行整治施工，2017年底前完成龙津河流域河床底泥清淤，初步消除黑臭。2018年底完成分散式污水收集处理设施建设完成，解决内源污染治理，同时结合周边片区改造及支流支流，使河水水质达标（地表5类水标准）。</t>
  </si>
  <si>
    <t>为什么白天不施工晚上在通宵施工</t>
  </si>
  <si>
    <t>仓山区先锋幼儿园后面的龙津河处在治理河道，连续一个星期在通宵施工，挖掘机在那里挖，为什么白天不施工晚上在通宵施工</t>
  </si>
  <si>
    <t>我局已通知施工队伍对施工时间进行合理安排，以避免扰民。给您造成的不便敬请谅解。</t>
  </si>
  <si>
    <t>三叉街下渡街遍道三高路国美电器旁边龙津河很臭不定时排放有毒气体，河道桥旁为什么围起来不让大家监督内河</t>
  </si>
  <si>
    <t>三叉街下渡街遍道三高路国美电器旁边龙津河已列入水系治理PPP项目，目前正在进行河床清淤，围挡是因施工安全需要。</t>
  </si>
  <si>
    <t>反映龙津河的河水很臭很黑</t>
  </si>
  <si>
    <t>仓山区下渡街道三高路旁边的龙津河（国美旁边）一到晚上九点多十点，有时是半夜两三点，不知是哪家的工厂就有很臭有毒的气体排放到河里，臭气都是往高处排放，因我们房子是高楼，靠河道很近，臭气排的很慢，导致市民家的门窗都不敢开，而且这段时间整治，河水也很臭很黑。市政部门还用围挡把河围起来，让市民看不到河。特此投诉，望尽快整治河水。</t>
  </si>
  <si>
    <t>仓山区下渡街道三高路边的龙津河已列入水系治理PPP项目龙津河流域综合治理工程包。2017年底前龙津河流域分散式污水收集处理设施建设完成，解决内源污染治理，初步消除黑臭。2018年底结合周边片区改造及支流支流，使河水水质达标（地表5类水标准）</t>
  </si>
  <si>
    <t>河流散发恶臭</t>
  </si>
  <si>
    <t>诉求编号：（FZ17090300156），答复收悉，对部门答复不满意。仓山区龙津河（靠近三叉街国美店）散发着恶臭，希望施工队施工的时候离楼盘远一点，因为楼盘很高，很难散发，气味都是从居民房间散发出来，特此投诉，希望有关部门介入处理。</t>
  </si>
  <si>
    <t>我局已通知施工单位加快施工进度，争取将扰民事件最小化。给您造成的不便敬请谅解。</t>
  </si>
  <si>
    <t>仓山区龙津河（靠近三叉街国美店）散发着恶臭，特此投诉，希望有关部门介入处理。</t>
  </si>
  <si>
    <t>龙津河已纳入PPP建设，根据施工要求已开始进场新增拆迁量的拆除工作，部分河段已进场围挡施工作业。给您造成的不便敬请谅解。</t>
  </si>
  <si>
    <t>龙津河臭到不能开窗，臭到不想呼吸了</t>
  </si>
  <si>
    <t>2017年4月份就在这个平台反馈过，说是实验小学门口的龙津河太臭了，回复说年底会完成治理。现在已经过去快5个月，治理没看到，但是河是越来越臭了，能不能让仓山区区长来河边体验下？臭就算了，今天还有人把那个管道拔开了，卧槽，更脏的水全都流出来了，这么热的天不敢打开窗户，衣服晒阳台，晚上穿都痒……请相关单位能加快点速度呀，脏不脏没关系，只要不要那么臭呀，人都要呼吸，每一口气都像是在吸20的茅坑的臭味，能忍吗？</t>
  </si>
  <si>
    <t>龙津河纳入PPP建设，根据施工要求已开始进场新增拆迁量的拆除工作，部分河段已进场围挡施工。给您造成的不便敬请谅解。</t>
  </si>
  <si>
    <t>关于龙津河江边村段</t>
  </si>
  <si>
    <t>全市都在开展轰轰烈烈地整治内河运动，龙津河江边村雁头路这段一直没什么动静，有点儿让人着急，看着这个河，那个河都变成串珠式公园，我们边上的河还是又黑又臭，这种郁闷的心情希望主管部门领导能够理解，想知道这条黑臭河治理具体怎么规划的，什么时候动工，什么时候变样，变成什么样，是不是160多个串珠式公园的一员，请主管单位尽量说清楚一些，也好让老百姓有个盼头</t>
  </si>
  <si>
    <t>龙津河纳入PPP建设，根据施工要求已开始进场新增拆迁量的拆除工作，部分河段已进场围挡施工，施工期两至三年。给您造成的不便敬请谅解。</t>
  </si>
  <si>
    <t>请问一下龙津河今年是否纳入内河整治范围</t>
  </si>
  <si>
    <t>龙津河平时就是一条臭水沟，夏天蚊虫滋生，对周边群众造成很大的负面影响。现福州各城区内河整治工作开展的如火如荼，麻烦问一下这条河近期是否会进行改造，改造方案是什么，周边的居民是否要拆迁？</t>
  </si>
  <si>
    <t>龙津河已纳入仓山阳岐龙津水系PPP项目治理，项目已开工，安排2017年底前打通主河道。龙津河沿线6米范围内涉及铺设截污管道等施工，早期已基本拆除到位，此次新的拆迁面积不大，仅涉及小部分拆迁。</t>
  </si>
  <si>
    <t>仓山区六一南路美伦雅居旁的龙津河臭气熏天，河长是谁？如果没有河长，我能申请吗？具体要什么条件？申请上了，经费怎么下拨？</t>
  </si>
  <si>
    <t>龙津河河水流动通畅，河水黑臭是由于河道沿线周边存在大量旧屋区，生活污水直排内河。根据水系治理计划，龙津河纳入PPP项目治理，正在优化设计方案，此次改造会全线进行截污，着重水质考核，合作期为15年，年内即安排进场。至于河道的河长目前多是属地镇街政府领导。</t>
  </si>
  <si>
    <t>仓山区牛岷山巷的龙津河夏天臭味连天</t>
  </si>
  <si>
    <t>夏天邻近福州仓山区牛岷山巷的龙津河夏天臭味连天，居住附近旁的居民真心不幸福，沿街都有三个幼儿园，每逢小幼儿下课都都哼着"臭水沟、臭水沟，水里冒黑泡，真臭臭”，试问去国家广播电影电视总局五五二台单位调研的各省市级领导们，你们真闻不到那臭水沟味道吗？前4年反馈过此问题仓山区某局回复说在积极整治中ing,4年没任何整治和治理，要想真正把福州建设成为滨江滨海的现代化大都市，必须从各街巷污河做起,请相关部门关注此事。</t>
  </si>
  <si>
    <t>龙津河已纳入仓山阳岐龙津水系PPP项目治理，项目已开工，安排2017年底前全线打通并消除黑臭。</t>
  </si>
  <si>
    <t>双湖新城道路、公交滞后，污水沟严重影响生活</t>
  </si>
  <si>
    <t>双湖新城一区与二区之间流经龙津河与阳岐河，但自小区开始建设就成死水臭水沟，严重影响居民生活及奥体配套保障房环境。2017年市委书记及市长响应习总号召为民办实事对福州内河整治美化生活。请福州市及仓山区政府及相关部门重视双湖新城保障房配套建设，尽早整治双湖新城周边污水河问题。</t>
  </si>
  <si>
    <t>龙津河与阳岐河均已纳入仓山阳岐龙津水系PPP项目治理，于2月20日开标，项目已开工。安排2017年底前全线打通并消除黑臭。双湖新城周边新建道路问题，建议转市建委咨询答复。设置公交问题，建议转公交集团咨询答复。谢谢！</t>
  </si>
  <si>
    <t>龙津内河水污染严重，望整治</t>
  </si>
  <si>
    <t>万里小区旁边的龙津内河，奇臭无比，滋生蚊虫，死水一潭，希望政府能够进行整治，附近居民区很受影响，内河上还有幼儿园，附近一共有三家幼儿园，对小朋友的身体影响也十分大，希望能够重视并进行治理，谢谢。</t>
  </si>
  <si>
    <t>仓山区牛眠山巷龙津河已列入水系治理PPP项目龙津河流域综合治理工程包。2017年底前龙津河流域分散式污水收集处理设施建设完成，解决内源污染治理，初步消除黑臭。2018年底结合周边片区改造及支流支流，使河水水质达标（地表5类水标准）</t>
  </si>
  <si>
    <t>仓山区龙津花园门口的龙津河非常臭</t>
  </si>
  <si>
    <t>你好。仓山区龙津花园门口的龙津河非常臭！投诉！！一到夏天就臭味熏天，现在福州在进行内河保护，国家也在提倡环境保护。如此臭味的内河让大家非常难受。路过都要掩鼻而过。一直说要处理都没有清理内河。这根本不符合福州文明共享的理念。请处理。</t>
  </si>
  <si>
    <t>龙津河已纳入仓山阳岐龙津水系PPP项目治理，于2月20日开标，项目已开工。安排2017年底前全线打通并消除黑臭。谢谢！</t>
  </si>
  <si>
    <t>朝阳南路内河龙津河污染问题</t>
  </si>
  <si>
    <t>您好，比起因为什么原因被污染，我更想知道既然已经得知主要污染源，环保部门为什么视而不见？居民随便排污水你们就不管了吗？请尽快给出解决方案并且付诸行动，谢谢！</t>
  </si>
  <si>
    <t>居民生活污水截污问题建议转市建委公用处咨询答复。另，龙津河纳入仓山阳岐龙津水系PPP项目治理，项目已开工，安排2017年底前全线打通并消除黑臭。</t>
  </si>
  <si>
    <t>填埋内河</t>
  </si>
  <si>
    <t>仓山区高湖村旗杆龙津河被村里的人给填埋掉用来建房，龙津河是内河，如果不加以阻止，龙津河很快就会被填埋掉。龙津河其他河段的村民表示，如果不将片区内违章拆除，他们也会在片区内违章建房，我之前举报过很多次，都没有效果，特此投诉，希望有关部门介入处理。</t>
  </si>
  <si>
    <t>经了解，近期将统筹安排拆除计划，分批分期予以拆除。</t>
  </si>
  <si>
    <t>龙津河常年发臭发墨黑环境污染</t>
  </si>
  <si>
    <t>龙津河常年发臭，发黑，只要是周边的居民生活污水直排到内河，政府没有把居民生活污水统一纳入到污水处理系统，任由污水直排到内河，由于内河没有新鲜活水补充，长期这样，河水更臭了，年年整改，治标不治本，问题所在是生活污水，有个建议可供参考，把内河挖深（除去污泥）把污水管道直接埋在内河底，把周边生活潜水引到污水管网，这样工程不要大规模破路开挖，简单易行，把污水顺势引到河边，再直接引到污水处理厂进行清污，一次性投资长期受益。希望本着为民请命的想法，为子孙后代积德，做点实事吧官老们，贪太多钱有什么意义，环境污染了，谁也没有好处，人在做，天在看。</t>
  </si>
  <si>
    <t>污水管网的布置不属我局职能，建议请转市建委公用处咨询。此外，龙津河已纳入仓山阳岐龙津水系PPP项目治理，于2月20日开标，项目已开工，安排于2017年底前全线打通并消除黑臭。</t>
  </si>
  <si>
    <t>河道污染问题</t>
  </si>
  <si>
    <t>仓山区牛眠山巷边上有一条龙津河上漂浮了很多垃圾，而且味道非常臭，望部门尽快整治河道。</t>
  </si>
  <si>
    <t>龙津河已纳入仓山阳岐龙津水系PPP项目治理，于2月20日开标，项目已开工。安排2017年底全线打通并消除黑臭，谢谢。</t>
  </si>
  <si>
    <t>龙津河污水冲天，周边无排污管网，直排龙津河</t>
  </si>
  <si>
    <t>仓山区牛眠山巷龙津河这一段自2009年来开始内河改造工程，福州市政府花费大价钱做了沿河两岸的栏杆，清除了淤泥。但是整个内河并没有连通，自2012年开始龙津河内开始长各种水体污染。现在一到夏天，臭气冲天，沿河两岸居民苦不堪言。这完全不符合*****重要讲话精神提出的“崇尚实干，狠抓落实”。虽然内河整治项目一直在做，但是整整8年来，都没有解决龙津河污水横流，臭气冲天的实际问题。前两年市政排污管道有过来铺设，（具体位置在552电台前面一段）大家还以为市政府要开始大力整治沿河污水管网，下一步就要开始内河整治了。然后轰轰烈烈的做了一阵子，排污管网铺一段，停一段。整个排污管网没有连通，周边小区污水依旧直排河道。
我想请教一下福州市政府，为什么一个小小的内河，近8年来依旧整治不清楚，甚至看不到整治的希望，每年投诉，每年都说列入了整改计划，年底完成。福州地铁这么大的工程，7年时间也已经全线贯通了，小小的内河整治会比修地铁更难？敢请福州市政府，能否加快龙津河的内河改造，不要再用官方的回复来敷衍百姓，真正能够狠抓落实，公布具体的龙津河落实方案细节</t>
  </si>
  <si>
    <t>仓山区牛眠山巷龙津河已列入水系治理PPP项目龙津河流域综合治理工程包。2017年底前龙津河流域分散式污水收集处理设施建设完成，解决内源污染治理，初步消除黑臭。2018年底结合周边片区改造及支流，使河水水质达标（地表5类水标准）</t>
  </si>
  <si>
    <t>万科金域华府什么时候开始截污</t>
  </si>
  <si>
    <t>今年3月份，在万科金域华府和正祥工地附近，相关部门举行了龙津阳岐水系治理项目的动工仪式，这是福州首次联手社会资本治理内河，其中一大看点是：敷设截污管对内河周边小区进行截污，不让小区污水流入内河，万科金域华府就在跃进河边，目前小区污水都是排入跃进河，脏臭不堪，请问，项目启动一个多月了，什么时候开始对万科金域华府小区进行截污？</t>
  </si>
  <si>
    <t>万科金域华府周边内河名为跃进河。通过东部指挥部、盖山镇的努力，跃进河拆迁扫尾取得重大突破，目前还余高湖桥南段3户房屋未拆除，东部指挥部、盖山镇正在做细工作，加紧研究跃进河拆迁扫尾个案的突破，计划6月底完成全部拆迁任务。
跃进河已纳入仓山龙津阳岐水系综合治理及运营维护PPP项目治理，正如诉求件中提及的该项目于3月底举行开工仪式。其中白湖亭河下游与螺洲河交界处已先行动工，跃进河涉及则徐大道路改桥工程正在排查管线并与地铁公司积极对接1号线保护方案，下半年安排进场施工，进行水质治理。方案中将建设河道两侧污水截流系统，接入周边市政管网或引入调蓄池。</t>
  </si>
  <si>
    <t>龙津河河道改造无结果，拆迁废墟经10年无人清理</t>
  </si>
  <si>
    <t>夏天快要到了，在高温的天气下，这种恶臭会不断升级，不仅是老鼠满街跑，蚊虫更是肆虐。在这种情况下，一旦小孩子被这种蚊虫叮咬，造成后果谁来负责？希望有关部门尽快将这里的垃圾清理干净，还有不要用官方的语言来敷衍我们，给出个明确的处理方案。仓山区这种答复不是一次两次，十年了，是不是挂横幅以示抗议，那我们会配合。继续投诉。</t>
  </si>
  <si>
    <t>龙津河项目已纳入仓山阳岐龙津水系PPP项目治理，于2月20日开标，项目已开工。安排2017年底前全线打通并消除黑臭。</t>
  </si>
  <si>
    <t>龙津河很臭的问题</t>
  </si>
  <si>
    <t>仓山区三叉街地铁口旁边的龙津河晚上时不时会有一股化学臭味飘出，很臭，有毒，从去年起就开始说近期整治，一直到现在为止都没有任何处理，不顾百姓生活，希望尽快解决这个问题。</t>
  </si>
  <si>
    <t>龙津河目前已列入仓山龙津阳岐水系综合治理及运营维护PPP项目，并预计在2017年底前消除黑臭，给您造成的不便敬请谅解。同时，关于生活污水违章排放的问题，我局将同相关执法部门进行排查，若发现违章排放的现象，将对其进行处罚。</t>
  </si>
  <si>
    <t>从去年起就开始说近期整治，一直到现在为止都没有任何处理，时不时会有一股化学臭味飘出，钱要用到实处，不能只做政府周围的，不顾百姓生活，前段时间咳嗽鼻炎严重，希望尽快解决这个问题。</t>
  </si>
  <si>
    <t>仓山区龙津河，由首山路警官学院起向北由江边水闸汇入闽江，由于龙津河沿岸旧屋区较多尚未截污，生活污水较多，影响水质。该河道已列入龙津河流域综合整治PPP试建项目，目前已完成整治规划设计，近期即可启动整治工程</t>
  </si>
  <si>
    <t>仓山区三叉街地铁口旁边的龙津河晚上不定时的会散发臭味，臭味会持续一两个小时，一天这样好几次，门窗都无法开，四年了一直都是这样，臭的河需要治理，晋安河已经很干净了不要整治了，希望整治臭河，还百姓一个良好居住环境，上次说会整治都没有看到人来，希望有关部门介入治理。</t>
  </si>
  <si>
    <t>仓山区三叉街地铁口旁边的龙津河，由首山路警官学院起向北由江边水闸汇入闽江，由于龙津河沿岸旧屋区较多尚未截污，生活污水较多，影响水质。该河道已列入龙津河流域综合整治PPP试建项目，目前已完成整治规划设计，近期即可启动整治工程</t>
  </si>
  <si>
    <t>龙津内河治理进展如何</t>
  </si>
  <si>
    <t>天气渐热，臭味又来了，请问，龙津内河治理情况进展如何</t>
  </si>
  <si>
    <t>龙津河已列入今年仓山龙津阳岐水系综合治理及运营维护PPP项目，并安排在今年进场施工，同时拟定在年底左右基本消除黑臭。给您造成的不便敬请谅解。</t>
  </si>
  <si>
    <t>龙津河非常臭</t>
  </si>
  <si>
    <t>半夜三更臭水沟的气味非常臭，周边也有化学气味，希望相关部门尽快解决。</t>
  </si>
  <si>
    <t>龙津河已列入今年仓山龙津阳岐水系综合治理及运营维护PPP项目，并安排在今年进场施工，同时拟定在年底左右基本消除黑臭。</t>
  </si>
  <si>
    <t>仓山区三叉街三高路地铁口旁边有条龙津河，每天晚上9点之后，不定时排放工业废水，气味非常臭。我投诉多年，市政府为什么不来处理？我有鼻炎，现在鼻炎加重了，鼻子都擤出血块了，严重影响周边居住的身体健康和生活。另外，我以后看鼻炎，谁来报销？鼻子如果以后变严重，你们要负责。市政府要为人民做有利的事情，不要养闲人。市容要做好。我们百姓都有交卫生的钱，钱都花哪里去了？白天管理的很好，但是晚上非常臭，请不要做表面功夫。特此投诉，希望相关部门尽快解决这件事。</t>
  </si>
  <si>
    <t>我局对龙津河沿线进行了排查，主要污染源为周边事业单位和居民生活污水直接或经雨水管网间接排入龙津河，我局已对龙津河沿线餐饮单位进行了隔油整改，接下来还将对沿线事业单位的生活污水进行雨污分离，居民污水的排放还得依靠市政部门尽早截污，非环保部门职责范围。</t>
  </si>
  <si>
    <t>投诉龙津河非常臭</t>
  </si>
  <si>
    <t>最近都是晚上非常臭，都是工业废水的味道。希望环保部门尽快介入处理。</t>
  </si>
  <si>
    <t>目前龙津河主河道已基本打通，尚有沿河绿化步行道还没整治。经了解内河指挥部，市建委已将龙津河流域列入明年黑臭整治计划，争取2017年底完工。给您造成的不便，敬请谅解。</t>
  </si>
  <si>
    <t>请问什么时候治理这条河</t>
  </si>
  <si>
    <t>仓山区跑马场公交站前面的河（牛眠山巷50号万乐新村前面那条河）已经臭了好多年，福州政府网站有发布信息说会整治内河，请问这条河什么时候可以治理？我听说这条河是龙津河，但是不确定。这条河是叫什么河？希望相关部门作出答复。</t>
  </si>
  <si>
    <t>仓山区跑马场公交站前面的河道是龙津河，由首山路警官学院起向北由江边水闸汇入闽江，由于龙津河沿岸旧屋区较多尚未截污，生活污水较多，影响水质。该河道已列入金港河及龙津河流域综合整治PPP试建项目，目前已完成整治规划设计并通过了专家审议，待市政府常务会议审定后，即可招标启动整治工程</t>
  </si>
  <si>
    <t>12月18日晚上仓山区三叉街地铁口旁边的龙津河非常臭，化学味道刺鼻，严重扰民，影响周边居民身体健康。白马河、晋安河都可以整治，为什么龙津河就没办法整治？臭味严重影响周边居民生活，整个房子都是臭的，你们这些领导拿着工资为什么不能解决环境问题？白天都不敢排污水，到晚上一整夜不停的排污水，你们难道都不知道吗？到时候我们采取一切措施都不要怪我们，不要到时候大家都难堪。希望上级部门介入处理。</t>
  </si>
  <si>
    <t>目前龙津河主河道已基本打通，尚有沿河绿化步行道还没整治。经了解内河指挥部，市建委已将龙津河流域列入明年黑臭整治计划，争取2017年底完工。</t>
  </si>
  <si>
    <t>希望尽快整治龙津河</t>
  </si>
  <si>
    <t>仓山区龙津河还是很臭，建设局回复说预计争取今年打通主河道，可是没有给个具体的整改时间，由于龙津河发臭严重影响到居民的身体健康，希望尽快整治。</t>
  </si>
  <si>
    <t>仓山区龙津河还是很臭，建设局回复说预计争取今年打通主河道，可是没有给个具体的整改时间，由于龙津河发臭严重影响到居民的身体健康，希望尽快整治。 </t>
  </si>
  <si>
    <t>龙津河目前已着手整治中，即已经在进行整改。经了解内河指挥部，目前龙津河的主河道打通工作的计划预计将争取在今年打通。</t>
  </si>
  <si>
    <t>投诉仓山村委会</t>
  </si>
  <si>
    <t>投诉仓山村委会。他管辖的拆迁队在拆房中把通向龙津河的一条重要内河掩埋，致使期间某处砖泥漏堵，河床上升，内河上游水位上升，污水向积兴里等处院内倒灌，积水达30多厘米，进出道路被淹。从10月30日起，我们已向拆房厂交涉多次，但他们：一、回避，二、抵赖，三、欺骗。求助无门，连盖大印的国土资源局仓山分局也说他管不了，被驱走。让我们天天处在污水中。请政府帮助解决。拆迁厂在仓山区六一南路两个汇达广厂站的中间，叫仓山村，也是明腾广场对面。</t>
  </si>
  <si>
    <t>经现场查看，您反映的内河一直都存在淤堵的问题，不是因为拆迁导致。本着服务村民、居民的原则，我镇已督促仓山村尽量帮助清理，并于上周清理过一次，11月29日，我镇再次督促仓山村与反映问题的同志一起现场查看，并尽力帮助清理。</t>
  </si>
  <si>
    <t>黑臭内河何时治</t>
  </si>
  <si>
    <t>仓山区龙津河（上三路与南台路交叉路口段）前几年说是内河整治，拆掉了几栋房子，但至令这段内河还未整改，整天都是恶臭，导致周边居民时常连窗户都不敢打开透气。同时，今年几次台风下大雨，内河河水倒灌导致周边居民房屋受淹，财产损失严重。请问有关部门能不能为仓山老百姓做点实事，一条内河拆了好几年没拆好，剩下个烂尾工程留在那，不知道你们这些政府部门怎么想！</t>
  </si>
  <si>
    <t>龙津河目前已着手整治中，由于出口未打通，故会发生发臭现象，待出口打通后，可缓解。经了解内河指挥部，龙津河的主河道打通工作预计将争取在今年打通。给您造成的不便敬请谅解。</t>
  </si>
  <si>
    <t>仓山区龙津河到底何时处理</t>
  </si>
  <si>
    <t>仓山区龙津河这几天又开始散发恶臭，不定时的，这条河到底何时整治处理</t>
  </si>
  <si>
    <t>希望部门尽快予以整治龙津河</t>
  </si>
  <si>
    <t>对答复不满意，龙津河臭的时候比化粪池还臭，臭味被风直接吹到居民楼里面，半夜臭气熏天，中午居民都没办法休息，希望有关部门一定要在今年打通龙津河的主河道。</t>
  </si>
  <si>
    <t>仓山龙津臭河</t>
  </si>
  <si>
    <t>仓山龙津河恶臭熏得路人晕。每天从六一南路经过路过龙津河，就会有一股恶臭扑鼻而来，让人不得不掩鼻而跑。现南段地铁以开通，龙津河离三叉街地铁站入口只有50米左右。给外来人员感觉福州的环境这么差。希望政府尽快下定决心改造一下龙津河，也给河两岸的居民一个清新的空气。</t>
  </si>
  <si>
    <t>对答复不满意，龙津河臭的时候比化粪池还臭，臭味被风直接吹到居民楼里面，容易感冒，又不容易好，希望龙津河的主河道尽快打通，或者采取其他措施防止恶臭。</t>
  </si>
  <si>
    <t>龙津河目前已着手整治中，由于出口未打通，故会发生发臭现象，待出口打通后，可缓解。经了解内河指挥部，龙津河的主河道打通工作预计将争取在今年打通，目前该项工作已在全力推进中。给您造成的不便敬请谅解。</t>
  </si>
  <si>
    <t>仓山区下渡街道三高路龙津河，有的时候早上有臭味，有的时候傍晚的时候有臭味，不定时有臭味，比化粪池还臭，严重影响周边居民的正常生活，望有关部门介入处理。</t>
  </si>
  <si>
    <t>龙津内河究竟何时治理</t>
  </si>
  <si>
    <t>龙津内河臭不可闻，非常严重影响市民生活，何时治理，还百姓一个好环境</t>
  </si>
  <si>
    <t>龙津河污黑发臭，蚊虫孳生。</t>
  </si>
  <si>
    <t>龙津河终年污黑发臭，多年无法整治，实在与环保模范城市不符。现在中央批准福建为生态文明试验区，我们希望市区两级政府花力气彻彻底底整治。当前处于登革热流行时期，希望政府能够安排对龙津先釆取灭蚊消毒。</t>
  </si>
  <si>
    <t>龙津河目前已着手整治中，由于出口未打通，故会发生发臭现象，待出口打通后，可缓解。经了解内河指挥部，龙津河的主河道打通工作预计将争取在今年打通。给您造成的不便敬请谅解。
同时，关于灭蚊目前已正在拟定相关计划。对此，我局将持续跟踪落实，争取早日进行灭蚊。</t>
  </si>
  <si>
    <t>仓山区龙津河恶臭问题</t>
  </si>
  <si>
    <t>仓山区龙津河恶臭已经持续多年，市政府从2011年开始宣传内河整治至今五年，仍然没有任何改变。这与福州市“全国文明城市”的标准严重不符。请信访局或内河指挥部给予明确答复，龙津河的治理进程和完工时间，还周边居民一个可呼吸的生存空间。回复中请不要使用“预计”，“争取”等敷衍的词汇。如果无法解决，请信访局提供更高层级的投诉渠道，谢谢。</t>
  </si>
  <si>
    <t>仓山区龙津河，由首山路警官学院起向北接港头河汇入闽江，由于龙津河沿岸旧屋区较多尚未截污，生活污水较多，影响水质。该河道已列入金港河及龙津河流域综合整治PPP试建项目，目前已完成整治规划设计并通过了市政府专题会议审议，待市政府常务会议审定后，即可招标启动整治工程</t>
  </si>
  <si>
    <t>龙津河跃进河连通段遍布水葫芦</t>
  </si>
  <si>
    <t>“东部办公区附近有一条河，全被水葫芦和垃圾覆盖”，这条河流位于江边洲路与南社二路交叉口附近，是龙津河和跃进河的连通段，数百米的河段布满水葫芦，河面上还漂着生活垃圾，河水几乎不流动，呈黑绿色。</t>
  </si>
  <si>
    <t>该处河段为龙津河与跃进河连通段，市建委已将龙津河与跃进河连通段列入龙津河流域水环境专项治理。据了解，目前方案已完成，2017年年初可动工，年内完成黑臭水体治理。</t>
  </si>
  <si>
    <t>仓山龙津河臭味熏天，请问到底什么时候治理</t>
  </si>
  <si>
    <t>龙津河臭味熏天已经好几年，每次路过都要掩鼻，请问到底什么时候才治理？不然就把河水抽干算了！至少还不会臭！</t>
  </si>
  <si>
    <t>举报</t>
  </si>
  <si>
    <t>龙津河很臭</t>
  </si>
  <si>
    <t>仓山下藤路353号福杰苑门口龙津河很臭，是恶臭，附近居民都无法开窗户，好几年了，为什么一直不处理？</t>
  </si>
  <si>
    <t>仓山区建设局旁的龙津河近二十年脏臭</t>
  </si>
  <si>
    <t>请市长帮忙明确谁来牵头解决？谢谢！很奇怪，仓山建设局在这么脏臭内河旁也能办公近二十年，实在不容易！</t>
  </si>
  <si>
    <t>仓山区建设局边河道系龙津一支河，由先锋村养老院起向北接港头河汇入闽江，由于上游河段尚未截污，生活污水较多，影响水质。目前，该河道已列入金港河及龙津河流域综合整治PPP试建项目，计划今年下半年启动工程整治</t>
  </si>
  <si>
    <t>仓山区下渡街道龙津河早上和晚上的时候特别臭，龙津河里面都是工厂和臭水沟排到里面去的，严重影响周边居民的正常生活，望有关部门介入处理。</t>
  </si>
  <si>
    <t>仓山区下渡街道河道系龙津一支河，因周边先锋村旧屋区尚未改造，生活污水大多排入河道，水质较差。该河段已列入今年市政府PPP试点项目，目前正在进行项目前期审批工作，计划下半年进场实施河道整治</t>
  </si>
  <si>
    <t>美伦雅居背后内河臭气冲天</t>
  </si>
  <si>
    <t>位于仓山区三高路美伦雅居背后一条内河（好像叫龙津河），常年恶臭，现在又临近夏天了，蚊虫横行，真的非常的臭，之前有听说会对内河进行治理，但是到现在为止还一直未有任何一个改观，确实这样的内河感觉没用了，能把它们填埋掉么？如果说是周边的商店排污水导致了这个河流污染，能不能帮我们协调一下相关部门？毕竟我们也是光荣的纳税人，各位亲爱的政府，真的麻烦你们为我们治理一下环境吧，叩谢了！</t>
  </si>
  <si>
    <t>夏天到了，龙津河其臭无比，蚊蝇孳生，何时了</t>
  </si>
  <si>
    <t>福州市政府下决心改造内河，造福市民，我们举手支持。可是，有几条内河迟迟不见动静，如：龙津河，据说在2009年左右政府曾拨款200万元对龙津河的河岸护拦和部分河段的河底加垫石板，进行了初步的整治，但治标不治本，河道疏通和河水发臭问题没有根本解决。今年夏天又到了，龙津河其臭无比，蚊蝇孳生，我们住在龙津河附近的居民不敢开窗户，那种臭味实在受不了。福州市是全国文明城市，在市区竟然还有这么脏臭的内河，实在是说不过去，外地人看到闻到龙津河的景象和臭味，他们对福州市会留下什么印象？希望福州市政府、福州市文明办和福州市内河管委会的领导们能沿着龙津河边走一走，切实了解实情，从根本上尽快解决这个问题。</t>
  </si>
  <si>
    <t>龙津河一直臭气熏天，什么时候才能整治</t>
  </si>
  <si>
    <t>龙津河每一天都是很臭，所有人从河边走都要捂住鼻子！都已经得鼻炎了！严重影响市政市容，影响心情和卫生！到底什么什么时候才能整治好！到底什么什么时候才能整治好！到底什么什么时候才能整治好！到底什么什么时候才能整治好！</t>
  </si>
  <si>
    <t>仓山区龙津浦河已列入今年市政府PPP试点项目，目前正进行前期工作，计划下半年入场整治</t>
  </si>
  <si>
    <t>仓山区龙津河非常臭</t>
  </si>
  <si>
    <t>仓山区龙津河非常臭，从09年整治到现在这么多年了，还没有打通，请给个具体时间？什么时候能整治完成？望有关部门尽快处理。</t>
  </si>
  <si>
    <t>龙津河目前已着手整治中，由于出口未打通，故会发生发臭现象，待出口打通后，可缓解。经了解内河指挥部，龙津河的主河道打通工作预计将争取在今年打通。</t>
  </si>
  <si>
    <t>无证洗车，污染坏境!</t>
  </si>
  <si>
    <t>位于仓山区盖山镇江边村雁头路，兰舟网吧对面，柴火鸡隔壁，新开一家洗车店，涉嫌坏境污染，无证经营，污水直流龙津河，且该地属于违规圈地，希望有关部门予以拆除！</t>
  </si>
  <si>
    <t>我局执法人员未发现该洗车店污水直排龙津河情况。但该店洗车污水排放至路面，我局执法人员要求其对洗车污水进行处理。</t>
  </si>
  <si>
    <t>违章圈地，何以正大光明开洗车店</t>
  </si>
  <si>
    <t>位于江边村雁头路，兰舟网吧对面，柴火鸡隔壁，新开一家洗车店，涉嫌坏境污染，无证经营，污水直流龙津河，且该地属于违规圈地，希望有关部门予以拆除！</t>
  </si>
  <si>
    <t>仓山区下渡美伦雅居，之前有人来检查了不臭了，这几天龙津河晚上又变得很臭，我们窗户都不敢开，我估计是上游的工厂的污水直排到龙津河，希望相关职能部门可以尽快到现场处理。</t>
  </si>
  <si>
    <t>龙津河目前已着手整治中，由于出口未打通，故会发生发臭现象。待出口打通后，可缓解。经了解内河指挥部，该段将预计在今年内打通。给您造成的不便敬请谅解。</t>
  </si>
  <si>
    <t>龙津河很臭，有化学味道，窗户不能打开，尤其是晚上，已经投诉很多次了，什么时候可以打通？请告知具体时间。如果不处理，很多人都觉得很臭，尽快引入活水。</t>
  </si>
  <si>
    <t>仓山区下渡街道的龙津浦河起于首山路警察学院，于南江滨菖蒲水闸汇入闽江，河道水质差是因属感潮河道，无生态补水，且河道周边旧屋区较多，无法截污，生活污水流入较多所致。目前该河道整治工程，已列入市政府PPP试点项目，现正进行前期工作，计划2017年完成整治。</t>
  </si>
  <si>
    <t>两个问题</t>
  </si>
  <si>
    <t>牛眠山巷里有一条污水河（可能是龙津河）很臭，希望可以整治一下。</t>
  </si>
  <si>
    <t>龙津河目前已着手整治中，由于出口未打通，故会发生发臭现象。待出口打通后，可缓解。经了解内河指挥部，该段将预计在今年内打通。</t>
  </si>
  <si>
    <t>龙津河还是很臭，有化学味道，尤其是晚上，已经投诉很多次了，什么时候可以打通？请告知具体时间。如果不处理，很多人都觉得很臭，我们就自己采取行动。</t>
  </si>
  <si>
    <t>跃进河</t>
  </si>
  <si>
    <t>微信</t>
  </si>
  <si>
    <t>关于投诉仓山区则徐大道西侧的正祥广场向跃进河大肆排放污泥水问题</t>
  </si>
  <si>
    <t>仓山区则徐大道西侧的正祥广场向跃进河大肆排放污泥水！极其恶劣！让整治好的跃进河成果毁于一旦！有图有真相！不容抵赖！执法部门如果不处理，天理不容！特此投诉，望处理。</t>
  </si>
  <si>
    <t>经现场核实，该处为房地产建设违章排放，因我司无执法权，现已将该违章排放事宜上报行业主管部门市建设局执法部门进行执法，有关执法问题也可直接咨询市建设局，感谢您对水系治理工作的关注与监督！经查看，现场已要求整改，目前已无违规排水情况。</t>
  </si>
  <si>
    <t>关于投诉跃进河万科金域华府段又出现黑臭水体问题</t>
  </si>
  <si>
    <t>仓山区跃进河万科金域华府段又出现黑臭水体！这也叫整治完毕？这也就验收过了？隔壁一天水体就变黑，变恶臭，比整治前还糟糕！有关部门别再骗了，天天向上举报你们！有图有真相！望部门处理。</t>
  </si>
  <si>
    <t>经核实，该诉求位于水系跃进河治理工程，该处河段未发现黑臭现象，水质正常。该处绿化景观进行收尾阶段，预计今年年底前施工完成。若存有异议，可联系河段负责人（金工：15005997395）以便现场核实处理。在此期间造成的不便，敬请谅解！（</t>
  </si>
  <si>
    <t>关于投诉跃进河万科金域华府段串珠公园劣质工程问题</t>
  </si>
  <si>
    <t>向市园林中心举报跃进河万科金域华府段串珠公园劣质工程，福州市水务投资集团说串珠公园已经验收，请问这样的工程质量是如何通过验收的？绿化死的死，步道施工质量极差，公园入口存在极大的安全隐患！</t>
  </si>
  <si>
    <t>经核实，该诉求位于水系跃进河治理工程，该处绿化景观进行收尾阶段、未验收，枯死苗木以及破损的步道正在进行整改施工，预计今年年底前完成。若您有异议，也可联系河段负责人（金工：15005997395）进行现场核实。感谢您关注与监督！</t>
  </si>
  <si>
    <t>关于咨询跃进河整治好后由谁验收问题</t>
  </si>
  <si>
    <t>咨询东升街道跃进河整治好了之后，是由福州自然资源与规划局验收还是福州市水务投资有限公司验收？望答复。</t>
  </si>
  <si>
    <t>我司工作人员正在跃进河进行截污施工以及园林绿化景观施工，施工完成后是由福州市建设局进行验收。在此期间造成的不便，敬请谅解！</t>
  </si>
  <si>
    <t>关于咨询咨询跃进河整治情况的问题</t>
  </si>
  <si>
    <t>请问跃进河属于会展片区整治项目包还是龙津阳岐片区整治项目包？或者是属于哪个内河整治项目包？什么时候整治结束转入运营？整治结束的标准是什么？是水质达到什么标准？驳岸建设到什么标准？沿河步道建设到什么标准？沿河串珠公园建设到什么标准？望部门答复。</t>
  </si>
  <si>
    <t>经核实，跃进河属于龙津阳岐片区整治项目包，跃进河已经完工，正在组织竣工验收过程当中，目前尚在试运营阶段，待整体正式竣工验收通过后转入正式运营。跃进河水质目前已达到市政府水质维护考核合格标准，透明度、溶解氧、氨氮溶度等参数均检测达标。驳岸建设采用直立式挡墙加生态框驳岸，沿河步道为透水混凝土材质，沿河串珠公园、景观绿化、驳岸建设相关设计方案均已经过规划、园林主管部门审核。</t>
  </si>
  <si>
    <t>关于咨询跃进河、半洋亭河、跃进支河整治进度问题</t>
  </si>
  <si>
    <t>看到福州日报、福州晚报等媒体报道，目前，仓山区跃进河、半洋亭河、跃进支河等已全面整治完毕，进入运营阶段。向福州市水务集团咨询以下问题，请分别回答：
1、此消息是否属实？跃进河、半洋亭河、跃进支河是什么时候验收的？
2、跃进河、半洋亭河、跃进支河验收是否都合格？
3、跃进河、半洋亭河、跃进支河整治是否还有第二期整治、第三期整治？</t>
  </si>
  <si>
    <t>经核实，诉求内容涉及我司水系治理工程。针对问题回答如下：1、跃进河、半洋亭河、跃进支河已经完工，正在组织竣工验收过程当中，目前尚在试运营阶段。2、跃进河、半洋亭河、跃进支河尚未验收。3、我司尚未收到跃进河、半洋亭河、跃进支河后期整治的计划。</t>
  </si>
  <si>
    <t>跃进河旁边违章搭盖小作坊</t>
  </si>
  <si>
    <t>跃进河旁违规搭盖，私拉电线，建了一个黑作坊，生产三无产品豆制品，污水直接排入跃进河，夏天臭味难闻。希望有关部门取缔违建，保护食品安全。</t>
  </si>
  <si>
    <t>您所反映违章搭盖的问题，根据《福州市城区“两违”查处规程》（榕政办〔2015〕131号）文件精神，我镇已介入调查，该案件待收到相关部门违法事实确认函后依法予以处置。您所反映“违章搭盖”的问题，我局执法人员已到现场查看，现已介入调查处理中，后续我局将根据福州市人民政府办公厅关于印发的《福州市城区“两违”规程的通知》（榕政办〔2015〕131号）的相关规定进行处理。</t>
  </si>
  <si>
    <t>福州高湖小学环境问题</t>
  </si>
  <si>
    <t>福州高湖小学南面的跃进河河水不流动颜色象酱油色臭气熏天。</t>
  </si>
  <si>
    <t>经核实，1、跃进河计划于6月16日晚进行调水，补水完成后水质将恢复正常，预计于6月18日前完成补水；2、跃进河该段杂草计划于6月25日前整改到位；3、该处变压器及杂草藤计划于6月18日前整改完毕。给您造成不便，敬请谅解！</t>
  </si>
  <si>
    <t>仓山区盖山镇金色康城背后跃进河段河长是哪位领导？水体黑臭严重管不管了？</t>
  </si>
  <si>
    <t>太黑太臭，蚊虫漫天。请问河长办这条河有河长吗？是哪位领导？想请领导来我家吃餐饭，闻一下内河飘来的销魂味道，感受下跟战斗机似的蚊子。</t>
  </si>
  <si>
    <t>诉求内容涉及我司包5水系治理工程。河道清淤工作尚未全部完成，近期会再次组织将该段河道进行清淤，计划6月中旬清淤到位。您造成的不便，敬请谅解。</t>
  </si>
  <si>
    <t>我想询问一下内河治理</t>
  </si>
  <si>
    <t>询问一下跃进河东聚苑这的内河治理，包括内河边的景观改造，何时完工？从早先公示牌上的2017年12月完工，到后来又说2018年9月完工，一直拖到现在，都还没完成。</t>
  </si>
  <si>
    <t>经核实，诉求内容涉及仓山龙津阳岐片区内河治理工程。半洋亭河道目前处于景观收尾阶段，计划于6月底前进行验收。给您带来不便，敬请谅解！</t>
  </si>
  <si>
    <t>仓山区和利超市门口这段路下雨就积水，仓山区跃进河3#支流，3-1#支流项目清运渣土后导致仓山区和利</t>
  </si>
  <si>
    <t>仓山区跃进河3#支流，3-1#支流项目清运渣土后导致仓山区和利超市门口这段路雨水管道破损或下水掉堵塞，最近这几天下雨就积水，导致居民出行困难，且道路破损修复马虎，现部分路段又有破损。请及时修复</t>
  </si>
  <si>
    <t>您所反映的问题，经了解，村委会已协调、处理。</t>
  </si>
  <si>
    <t>居民小区遭遇拆迁工地夜间施工噪音污染及粉尘污染</t>
  </si>
  <si>
    <t>本人居住在仓山区盖山镇高湖农民新苑，该小区旁为跃进河3#、3-1#支流项目拆迁工地与金浦旧厂房项目建设工地。近期（2020.1.1起）跃进河3#、3-1#支流项目拆迁工地开始夜间拆除施工等，持续到夜间11点左右，由于该项目就直接位于小区旁，产生了大量的噪音与粉尘影响了该小区居民的正常生活作息与身心健康。故请求有关部门予以协调施工单位解决。</t>
  </si>
  <si>
    <t>关于施工作业噪音扰民问题，已督促整改，今后，将加强巡查、整治力度。</t>
  </si>
  <si>
    <t>仓山区跃进河3#支流，3-1#支流项目渣土车运输导致路面破损塌陷。请修复！</t>
  </si>
  <si>
    <t>道路破坏严重！仓山区跃进河3#支流，3-1#支流项目房屋征迁被拆除后大白天的大型渣土车运输建筑垃圾，导致高湖村龙院234号和利超市到利亨超市路段道路破损塌陷严重，这是哪个运输公司，受哪个单位委托运输渣土，强烈要求业主责任单位修补铺平被破坏的道路，并冲洗干净路面尘土！！否则村民将堵住道路，禁止货车通行。这是村道村道。</t>
  </si>
  <si>
    <t>您所反映的问题，我镇将督促施工单位恒坤渣土公司按要求施工，还路于民。</t>
  </si>
  <si>
    <t>福州水务施工造成北园路路面坍塌，道路不通已久。请福州水务加快返修，明确北园路修复完工时间，还路通畅。</t>
  </si>
  <si>
    <t>福州水务承建仓山龙津阳岐水系PPP项目跃进河3#调蓄池施工做成北园路路面坍塌，2019年8月21日~11月21日封路返修施工，今已三个月已过，才返修道路一半，还封路。此拖延工期，影响北园路公交不便通车。使北园路沿线几万居民无公交可乘。福州水务施工造成北园路路面坍塌已久，道路不通。请福州水务加快返修，明确北园路修复完工时间，还北园路交通顺畅。</t>
  </si>
  <si>
    <t>经了解，诉求位置因新建北园路在仓山龙津阳岐水系综合治理及运营维护ppp项目跃进河西段3#调蓄旁，初步判断跃进河西段3#调蓄池施工导致新建北园路人行道出现裂缝及下沉、人行道护栏变形，需重新对下沉的道路基础以及护栏进行修复，修复期间需要封路施工。由于施工过程中发现北园路路面地下管道比较复杂，导致工期延长。目前两侧机动车道已经修复一半，预计会在12月底将北园路修复完成，施工期间给市民带来不便敬请谅解，也请理解和支持水系治理工作！</t>
  </si>
  <si>
    <t>福州水务集团极度恶劣！故意设坑给居民跳！</t>
  </si>
  <si>
    <t>仓山区则徐大道旁的半洋亭河、跃进河，前段时间拆了围挡，准备做绿化，结果围挡才拆了半个月多了，绿化做一半，停工了，福州水务集团又运来土石方，把则徐大道368弄又占了一半通道，导致则徐大道368弄在没有围挡的情况下，又开始施工！非常恶劣，还把窨井盖掀起来，不知道搞什么东西，这就是北京路桥的规范施工，我们也知道你们被老百姓举报投诉到脸皮都厚了，比城墙还厚，工期今天托明天，这个月托下个月，国庆节前承诺的10月底完成的绿化工程结束，是不是又要拖到下个月底结束了？你们这个恶心到家的国企，福州水务集团总工李X还敢上新闻联播接受采访说不忘初心牢记使命，推进内河治理，老百姓有感，请这位总工来半洋亭河游泳！还敢不敢睁眼说瞎话！</t>
  </si>
  <si>
    <t>该段管道及检查井现正在清疏，清疏后将开始进行管道检测，为管网验收做准备。待检查完成后即拆除围挡恢复场地，预计于本月底前完成。给您带来不便，敬请谅解！也请理解和支持水系治理工作！</t>
  </si>
  <si>
    <t>投诉绿化带没有恢复</t>
  </si>
  <si>
    <t>连江南路金色康城小区内沿着跃进支河河道的绿化带树已经被移走三年多了现在绿化带杂草丛生，有人在绿化带种菜。绿化带啥时候恢复？河道啥时候做好？特此投诉。</t>
  </si>
  <si>
    <t>我司作为水系施工单位已通知小区物业加强管理，劝导小区业主将堆放在绿地上的杂物予以搬离，不得占用绿化带种菜等违规行为。关于河道沿线绿化施工问题，计划于11月底全面完成该段绿化。给您带来不便，敬请谅解！</t>
  </si>
  <si>
    <t>跃进河高湖桥南段又黑又臭</t>
  </si>
  <si>
    <t>跃进河高湖桥南段又黑又臭，持续几个月都是这样，河道两岸施工断断续续的，严重影响周围居民生活。本来是利民工程，现在做的倒是害民工程。持续半个多月的恶臭让周围居民苦不堪言。希望政府部门给予督促改进。</t>
  </si>
  <si>
    <t>经核查，该处进行水下工程建设需降低水位才能确保施工，现河道已开始补水，水质已恢复（见附件），给您的生活造成不便深表歉意，望予以谅解！</t>
  </si>
  <si>
    <t>白湖亭河跃进河最又黑又臭</t>
  </si>
  <si>
    <t>白湖亭河和跃进河最近跟墨水一样黑臭，住附近的居民实在实在受不了，这内河政治怎么就这样，环保督察才没多久。</t>
  </si>
  <si>
    <t>经现场排查跃进河和白湖亭河水质均正常（见附件），后续由于施工需求我司水系项目部会申请低水位保障施工，同时也将定期调水换水保证水质不黑臭，感谢您对我们水系施工的监督！</t>
  </si>
  <si>
    <t>河道工程做的乱七八糟</t>
  </si>
  <si>
    <t>仓山区盖山镇齐安上湖村（阳岐河和跃进河交界处）这次河道工程做的乱七八糟，河道旁边绿化做的高高的，导致雨水和污水无法排放，整条路都是积水，而且水都倒流到村民家中。我们向施工方和施工方总公司现场指挥部反映多次无果，问题都没有解决。特此投诉！</t>
  </si>
  <si>
    <t>水系建设方已安排本周内现场进行核实，相关事宜可联系我司水系项目部现场负责人（高工：152-0749-1045）。</t>
  </si>
  <si>
    <t>咨询水务公司问题</t>
  </si>
  <si>
    <t>请问福州市水务集团，仓山区跃进河怎么还没整治好？说好的六月整治好！你们信用破产了！知道吗？不要跟我们说那么多理由，我们只看结果！</t>
  </si>
  <si>
    <t>经核查，半洋亭河、跃进河并未停工，当前遵照市建设局意见先进行水下工程建设及管网清疏、检测、修复等工作，待管网检测完成后开始实施绿化景观，后期绿化施工中水系建设方会加快施工进度，争取早日完成该段施工，早日给周围居民营造一个良好的生活环境。给您带来不便敬请谅解，也请理解与支持水系治理工作。</t>
  </si>
  <si>
    <t>嘉欣庭苑道路积水</t>
  </si>
  <si>
    <t>目前在高坂路东侧正在进行跃进河改造、小区及小学建设，不知道什么时候才能完工。最主要的是把高坂路挖得破烂不堪，以前从来没有积水问题，现在连接金色康城小金星幼儿园和嘉欣庭苑小区的跃进河上部路段一下雨就是积水，希望有关部门出面协调建筑施工单位把下水道修好，不要造成市民出行困难，防止意外事故发生。</t>
  </si>
  <si>
    <t>经核实，水系建设方于诉求位置处的内河施工已全部完成并将道路恢复后退场。目前该诉求路段的道路问题和积水问题非水系施工造成，因在现场核查时无法查看到施工单位相关信息，我司建议将该诉求转建设口行业主管部门市建设局核查施工单位后在进行处理。</t>
  </si>
  <si>
    <t>市政施工占用居民小区红线内土地</t>
  </si>
  <si>
    <t>市政施工占用居民小区红线内土地，按法律规定是应予适当补偿的。想咨询一下，福州市辖区这方面的补偿标准是多少？是跃进河河岸改造，占用了伯爵山小区红线内土地。</t>
  </si>
  <si>
    <t>因福州市内河治理施工过程中普遍存在类似问题，按照类似问题统一的处理办法及先期经验，水系治理项目拟先借用贵小区绿化用地进行施工，待施工完成后对小区借用的绿化用地进行修复。该段截污系统及绿化步道施工完成后将极大提升贵小区整体环境和生活品质（小区居民是最直接的收益方）。施工用地不足及没有施工通道，是目前项目进行金辉伯爵山小区施工过程中遇到的最大难题，还需要贵小区极力配合。我司在目前全市的内河治理过程中，均按照有关政府部门的文件精神处理所遇到的问题。贵小区针对内河治理有相关的合理诉求可以直接向社区街道及水系项目部反馈，水系项目部将协同社区街道与贵小区协商解决。</t>
  </si>
  <si>
    <t>为什么仓山区则徐大道的正祥广场还在向跃进河排放污水</t>
  </si>
  <si>
    <t>相关部门之前在多封诉求件里说已经取缔排污管道，结果才过几天，又开始排放！有图有证据！</t>
  </si>
  <si>
    <t>正祥广场排水接驳设计接入则徐大道雨污水管网。由于接入点则徐大道雨水管存在严重病害，已列入连坂改扩建项目进行换管修复，因涉及到地铁1号线运行区间安全问题，应地铁公司要求需施工安全方案专家评估，预计六月底能完成评估工作，评估工作完毕后立即进场实施雨水管病害修复，届时接驳施工一并进行，整个工期预计至7月中旬。</t>
  </si>
  <si>
    <t>河水乌黑非常臭</t>
  </si>
  <si>
    <t>仓山区盖山镇高湖村跃进河高湖塅，河水乌黑非常臭，住在河两岸的居民对此意见很大，投入如此大的资金进行改造的河道根本没有得到改善。特此投诉。</t>
  </si>
  <si>
    <t>目前该河道已基本整治完成，由于长期的调水补水，导致河底回淤，现正在开展二次清淤施工，预计5月底前完成，待施工完成后立即开始补水换水恢复水质感谢您关注与监督！</t>
  </si>
  <si>
    <t>关于跃进河的整治诉求！</t>
  </si>
  <si>
    <t>本人是金色康城小区业主，与金色康城毗邻的跃进河于18年内河整治时将小区内沿河的树木绿植全部拔除用于敷设排污管道，敷设完毕后迟迟未见恢复！请问何时能恢复？并且，至今一年多过去，就河对岸建了一个调蓄池，就退场了。河道内依然是垃圾成堆，臭气熏天，蚊虫多多，还是一条断头河，请问何时能整改完毕？请问福州内河整治的350亿专款都用到哪去了？
望市建委，盖山镇政府，福州水务投资发展有限公司做出明确答复！不要推诿扯皮，不要忽悠老百姓和纳税人！</t>
  </si>
  <si>
    <t>经核实，由于跃进河东段过连江南路及则徐大道连通跃进河西段的施工方案暂时未定，目前该段还未能开展施工，待后期有明确的施工方案及图纸后会立即开展进场施工。关于垃圾问题，我司已安排定期清理。关于小区绿化恢复问题，预计7月份开始恢复。给您带来不便敬请谅解！</t>
  </si>
  <si>
    <t>我们周边居民天天监督正祥广场工地向整治好的跃进河乱排放泥浆！主管部门到底管不管！</t>
  </si>
  <si>
    <t>我们周边居民天天监督正祥广场工地向整治好的跃进河乱排放泥浆！主管部门到底管不管！不管的话，我们直接把每天收集的视频和照片证据寄往国家住建部、国家环保局等等相关部门。再次郑重声明，任何理由都不能成为正祥广场工地乱排放泥浆的理由！</t>
  </si>
  <si>
    <t>经我局现场查看，正祥中心工程项目的建设单位为福建正祥置业发展有限公司、施工单位为福建六建建设集团有限公司。该项目属于福州市城乡建设局监管的项目。其在跃进河边设置了三个沉淀池，市城市管理综合行政执法支队已于5月10日发出责令改正通知书（榕综执责通字（2019）7第0000455号），并现场督促施工单位拆除排污管道。目前排污管已拆除。我局现场也督促其按照福州市城乡建设局与福州市城市管理综合行政执法支队的要求抓紧整改。谢谢。</t>
  </si>
  <si>
    <t>内河法已经出台，请相关部门对仓山区正祥广场项目责任人实施行政拘留或刑事拘留以及法律起诉</t>
  </si>
  <si>
    <t>仓山区则徐大道西侧正祥广场不断往跃进河里排放泥浆！这是违法犯罪行为！严重违反内河法！请相关部门对仓山区正祥广场项目责任人实施行政拘留或刑事拘留以及法律起诉！</t>
  </si>
  <si>
    <t>十多次的举报，历时半个月，正祥赤裸裸违法，依旧告不倒</t>
  </si>
  <si>
    <t>今天是5月7日，仓山区则徐大道西侧正祥广场工地依旧在向整治一新的跃进河排放泥水浆，导致河水恶化，数亿元治水经费付之一炬，福州市建委和市环保局两大部门包庇违法企业，放任违法犯罪行为！福州市监委应对这两大部门问责！</t>
  </si>
  <si>
    <t>关于正祥中心工程项目施工涉嫌私设管道排污入河问题，我队收到市建设局移送查处函（榕建内河〔2019〕103号）后，即立案组织调查。经现场勘查，福建六建集团有限公司在施工现场南侧围挡外，设有污水沉淀三级沉降池，该池外接排污管道至跃进河。
根据以上调查事实，我队已于5月10日发出责令改正通知书（榕综执责通字〔2019〕7第0000455号），并现场督促施工方拆除了排污管道。对该工地私设管道排污内河的违法行为，我队将依法予以查处，目前该案正在办理过程中。
另外，根据属地管辖职责分工，建议仓山区建设局、仓山区城管局加强日常监管，规范该工地施工行为。</t>
  </si>
  <si>
    <t>仓山正祥广场每天都在往整治好的跃进河排放水泥浆！为何不依法重罚？</t>
  </si>
  <si>
    <t>仓山正祥广场每天都在往整治好的跃进河排放水泥浆！为何不依法重罚？之前福州建委说已经取缔排污管道，结果还是天天排放！福州建委包庇正祥开发商到了令人发指的地步！简直令人匪夷所思！让人不得不怀疑，福州市建委收受正祥的好处！</t>
  </si>
  <si>
    <t>再度郑重举报仓山则徐大道正祥广场工地继续往跃进河排放水泥浆！</t>
  </si>
  <si>
    <t>前两周，我们刚刚举报该工地往跃进河排放黄泥水，福州市建委回复说已经查处，并且把排放管道取缔了，结果5月2日我们发现正祥工地变本加厉，继续往内河排放水泥浆！把整治一新的内河毁于一旦！按照内河法，请问福州市建委上次重罚该工地了吗？这次又该怎么重罚呢？</t>
  </si>
  <si>
    <t>反映河道改造完无人清理路面</t>
  </si>
  <si>
    <t>仓山区科技园旁边跃进河河道改造，施工完毕，很多建筑垃圾和路面垃圾都没有清理修复，影响市民出行，望部门处理。</t>
  </si>
  <si>
    <t>我局执法人员于2019年4月29日13时03分到现场查看，路面垃圾为拆迁地砖渣和内河淤泥临时堆放。另我局环卫处回复如下：据汇晟公司反馈，公司已派遣人员对科技园周边河道边生活垃圾落实清理。</t>
  </si>
  <si>
    <t>仓山则徐大道正祥工地往跃进河里不断排污泥水！</t>
  </si>
  <si>
    <t>4月22日，仓山则徐大道万科金域华府花园旁边的正祥工地不断往跃进河里排放污泥水！这个月中旬，福州市水务集团回复说跃进河整治工程已经结束，只剩下绿化种植了，如果市建委调查部门再敢说这是内河整治往河里排放污泥水，就是强行包庇，我们就不信黑的能说成白的！现在省里开通了监督热线96133，你们如果要这样包庇恶劣行径，那我们就一级一级往上告，反正我们也录了像了，不怕你们抵赖，让花费几个亿内河整治工程毁于一旦，你们还要再包庇吗？！</t>
  </si>
  <si>
    <t>经现场踏看，发现正祥中心工地埋设约10公分的PVC管入河，我局立即组织人员予以拆除封堵，目前正在调查取证</t>
  </si>
  <si>
    <t>不眨眼的福州市水务集团还要继续骗吗？</t>
  </si>
  <si>
    <t>在今年三月至四月的多封诉求件中，福州市水务集团信誓旦旦说仓山区万科金域华府小区旁的跃进河整治工程已经结束，只剩下驳岸的绿化和道路恢复等收尾工作，可是，我们居民发现我们小区污水排放还是用之前的临时管接入污水处理站，根本达不到标准！这也叫整治吗？还有之前施工方说跃进河江边会搞沿河行走的步行道，请问，步行道在哪里？至今为止，万科金域华府小区旁边的还有河道护栏还泡在水里请问，这就是投资数亿的跃进河整治工程吗？六月底全面验收，这就是准备验收成果吗？如果这也能验收，那么，我们就天天告！整治三年时间，什么都没改变！岂有此理！</t>
  </si>
  <si>
    <t>我司反馈如下：1、关于排口接驳事宜：由于您小区的排口位置较高，设计暂未给该排口的具体接驳方案，该接驳方式属于临时性，待后期有明确的方案后我司会按设计要求再次接驳；2、关于步道及栏杆泡水事宜：由于河道长期调水保水，河道水位极高，导致施工单位暂时无法开展该段的相关施工。现项目公司已在协调，待协调清楚后，会立即组织施工班组进场开展施工。由于现场施工影响您及周围居民，我司深表歉意，还望您谅解！感谢您对我们水系施工的支持和监督。</t>
  </si>
  <si>
    <t>这项工程何时了？</t>
  </si>
  <si>
    <t>仓山区高坂路跃进河清淤，都是泥巴，造成市民出行不便，这项工程何时了？特此投诉，希望提高工作效率。</t>
  </si>
  <si>
    <t>您的诉求已收悉，经我司再次要求水系治理仓山龙津阳岐项目部到现场核实，跃进河水系在高坂路上的清淤工程已全部结束。您提及的在嘉欣小区开挖埋管的施工工程也全部结束，是由于后期市城乡建总公司将在此处修建规划桥，因此才没有进行全面修复。另外，高坂路上道路泥泞问题，是小学和小区两个工地车辆造成，因此我司建议将道路泥泞问题转仓山区建设局核查处理（见附件）。</t>
  </si>
  <si>
    <t>盖山镇政府，你要何时才能作为</t>
  </si>
  <si>
    <t>嘉欣庭苑居民已经入驻该小区将近10年，到目前为止盖山镇政府连条水泥路都不给附近的居民修，既然不给修，嘉欣庭苑居民只能自己筹钱修路（这在省会城市居然还要居民自己筹钱修路，我不知道盖山镇政府这些蛀虫官员，会不会感到害臊），结果我们靠自己修完路，这两年连续被跃进河及高湖小学施工各种破坏，附近居民多次投诉，施工方互相推诿，不给修复，盖山镇政府官员拿了这些施工方的好处，也包庇、纵容施工方破坏道路行为，对老百姓的投诉不闻不问，嘉欣庭苑居民跪求纪检监察部门赶紧介入调查，盖山镇政府的这种腐败，失职渎职的行为进行彻底调查，还老百姓一个清廉的政府</t>
  </si>
  <si>
    <t>您所反映的问题，经了解，该路段涉及多个项目施工，待项目施工结束后方可改善有关问题。</t>
  </si>
  <si>
    <t>通往嘉欣庭苑的道路，盖山镇政府纵容多个施工方破坏，且不修复</t>
  </si>
  <si>
    <t>通往嘉欣庭苑的高坂路，连续被跃进河施工方，高湖小学施工方，金色康城二期施工方连续破坏，盖山镇政府不闻不问，与这些施工方狼狈为奸，把嘉欣庭苑居民自己筹钱修的水泥路完成破坏，现在找以上几个施工方修复，尽然互相推诿，盖山镇政府完全就不作为，一到下雨天就根本没法行走，已经持续多年，恳求纪检监察部门问责盖山镇政府</t>
  </si>
  <si>
    <t>嘉欣庭苑高坂路，多年雨天泥泞不堪，晴天飞尘漫天，附近居民反映多好，盖山镇政府不闻不问，严重失职渎职</t>
  </si>
  <si>
    <t>嘉欣庭苑居民已入住小区将近10年，到目前为止盖山镇政府连一条完整的水泥路都不给我们，嘉欣庭苑居民只得自己筹钱修路后，修好的路连续被跃进河整治，高湖小学施工队破坏，居民多次反馈，盖山镇政府一直拖延多年，这跟**所说的真抓实干，马上就办的精神背道而驰，请纪检监察部门即可介入调查</t>
  </si>
  <si>
    <t>盖山镇政府对通往嘉欣庭苑的道路一再欺上瞒下，愚弄百姓</t>
  </si>
  <si>
    <t>通往嘉欣庭苑的道路被跃进河整治及高湖小学施工队多次破坏，老百姓无数次投诉，盖山镇政府、福州水务、高湖小学施工方每次都敷衍了事，到目前为止附近老百姓连一条正常的水泥出行路都没有，恳求纪委部门介入调查，保障老百姓的生命财产安全，要不然叶下民房倒塌事故还历历在目！</t>
  </si>
  <si>
    <t>河道改造工程的问题</t>
  </si>
  <si>
    <t>仓山区连江南路金色康城小区旁边的跃进支河，河道改造工程已经做了两三年，小区的树被挖走，河道工程什么时候完工？什么时候能够恢复小区绿化？希望相关部门尽快介入处理。</t>
  </si>
  <si>
    <t>跃进河的截污工程已完工，后期的配套绿化景观施工计划6月底左右完成。感谢您对水系施工的监督和支持！</t>
  </si>
  <si>
    <t>还嘉欣庭苑居民一条水泥路面</t>
  </si>
  <si>
    <t>目前在高坂路东侧正在进行跃进河改造、小区及小学建设，工程也是走走停停，不知道猴年马月才能完工。最主要的是把高坂路挖得破烂不堪，特别是连接金色康城和嘉欣庭苑小区的跃进河上部路段原先我们小区自己铺好了一条水泥路，现在附近工程车进出直接变成泥地，一下雨就是泥潭，出太阳就是黄土满天飞！我们配合地方河道整治工作，也希望有关部门能尽快把路先修好，不要造成市民出行困难，也能减少点环境污染！创建和谐社会。</t>
  </si>
  <si>
    <t>经了解，在建的新建高湖小学项目因临时施工用水需要，按规范程序向市自来水公司申请，由市自来水公司实施了临时施工用水铺设及安装，且该路段还涉及双湖二路等项目施工，导致目前道路还未修复，铺设完成后将委托区城建集团进行路面修复，在此之前我镇已协调施工方对该处路段进行简易修复，感谢您对我镇城建工作的支持，给您造成不便敬请谅解。</t>
  </si>
  <si>
    <t>让嘉欣庭苑小区的居民能有一条正常的路走</t>
  </si>
  <si>
    <t>目前在高坂路东侧正在进行跃进河改造、小区及小学建设，工程也是走走停停，不知道猴年马月才能完工。最主要的是把高坂路挖得破烂不堪，特别是连接金色康城和嘉欣庭苑小区的跃进河上部路段直接变成泥地，一下雨就是泥潭，出太阳就是黄土满天飞！希望有关部门能把路先修好，不要造成市民出行困难，也能减少点环境污染！</t>
  </si>
  <si>
    <t>****的福州市水务集团到底何时完工，还居民路权？</t>
  </si>
  <si>
    <t>请问仓山区万科金域华府附近的跃进河整治到底什么时候结束？计划工期是从哪年哪月哪日到哪年哪月哪日？实际完工是哪年哪月哪日到哪年哪月哪日？到底什么时候拆除围挡？还居民路权？望答复。</t>
  </si>
  <si>
    <t>您好，您的诉求已收悉，半洋亭河由于施工作业面狭小，现有施工条件苛刻，由于施工进度要求，赶工这段时间对附近居民带来的不便水系项目方深表歉意，现对附近居民承诺如下：
1.计划工期：2017年-2019年
2.实际完工：2019年6月底
3.待6月底绿化施工结束后全面拆除
给广大居民带来的不便再次表示抱歉，望广大居民给予支持理解。</t>
  </si>
  <si>
    <t>福州市水务集团不仅干了违规的勾当，还撒谎成性！欺上瞒下！做了还不勇于承认，知错就改！</t>
  </si>
  <si>
    <t>在FZ19011501352诉求件中，福州市水务集团回复：“根据水系治理项目跃进河河长现场了解，该道路主要通行运输车辆为周边旧户改造清渣车辆，水系治理施工单位并无渣土运输车辆通过该路段，并且水系治理施工现场按照规范管理，执行净车冲洗后出场程序。水系治理项目部及各参建单位将坚持按照规范，做好施工扬尘的控制工作。”那么，现实情况究竟是什么样的呢？让我们通过照片来说话，有图有真相！附件图一，是1月21日晚上9点，仓山区万科金域华府旁边跃进河施工围挡内外情况，不仅围挡洞开，而且围挡还快倒了，最重要的是泥土沙石从围挡没一路滴撒漏到围挡外，蔓延整条则徐大道368弄，这就是你们撒谎说的规范管理，净车出场吗？原来你们的规范操作就是搞脏搞怪周边环境！接着，我们再来看一下附件图二，这是同一个地方于1月22日早晨六点半拍的照片，围挡呈现跟前一晚一模一样的状态！围挡外地上的滴撒漏依旧，简直不能再恶心了！还有附件图三，也是仓山区万科金域华府附近的跃进河的施工现场，这里更夸张，两个围挡做做样子，长期处于没有围挡状态下的施工，挖掘机想占用道路就占用道路，想挖爆水管就挖爆水管！施工所产生的泥土就随意蔓延整条368弄，这就是福州市水务集团所说的规范施工、规范管理吗？我说你是睁眼说瞎话！还有郑重告知福州市水务集团不要颠倒黑白，搬弄是非，万科金域华府周边除了你这家搞的跃进河破坏工程以外，没有任何旧户改造！如果福州市水务集团制造谣言，散播谣言，把责任推到根本没有存在的所谓旧户改造，我们就告你们散播谣言，扰乱社会安定！周边有没有所谓的旧户改造请当地政府东升街道出来辟谣！福州市水务集团承诺的工期超出近一个月还没完工后，施工队罪状又添多桩！天天野蛮施工，搞得遍地是大尘土！有图有真相，不容抵赖！可耻的是屡次投诉后，在铁一般事实面前，依旧不整改，请求市委市政府彻查该集团领导层！</t>
  </si>
  <si>
    <t>您好，水系治理半洋亭河金域华府段由于施工作业面狭小，现有施工条件苛刻，由于施工进度要求，赶工这段时间对附近居民带来的不便水系项目方深表歉意，现对附近居民承诺如下：
1.由于年关将至，福州市各渣土公司对淤泥没有去路，待年关过后立即将淤泥清运干净，堆放期间将用密质绿网遮盖。
2.关于围挡损坏问题，2019年1月底前全部修复完毕。
3.现有污染路面将立即安排水车进行冲洗，待年关过后淤泥清运干净后对现有损坏路面立即进行修复。
水系项目方承诺对以上问题立即进行整改，给广大居民带来的不便再次表示抱歉，望广大居民给予支持理解。</t>
  </si>
  <si>
    <t>无耻的福州市水务集团一直保证规范施工，一直纵容施工队野蛮施工</t>
  </si>
  <si>
    <t>仓山区万科金域华府附近的跃进河距福州市水务集团承诺的工期超出半个月还没完工后，施工队罪状又添一桩！天天野蛮施工，搞得遍地是大尘土！全是灰！极度恶心！而且随便封路，想封就封！福州市水务集团作为国企，却天天干着与民生背道而驰的事情！令人发指！再次举报福州市水务集团总经理毛祚财管理不善！</t>
  </si>
  <si>
    <t>尊敬的市民您好，感谢您对水系治理工作的关注。根据水系治理项目跃进河河长现场了解，投诉照片反映海峡酒店用品中心门口路段，左右两侧为水系治理项目施工单位按照施工规范要求建设围挡，围挡内为河道治理工程施工现场。经了解，该道路主要通行运输车辆为周边旧户改造清渣车辆，水系治理施工单位并无渣土运输车辆通过该路段，并且水系治理施工现场按照规范管理，执行净车冲洗后出场程序。
感谢市民对水系治理项目的关心。水系治理项目部及各参建单位将坚持按照规范，做好施工扬尘的控制工作。</t>
  </si>
  <si>
    <t>河道建设</t>
  </si>
  <si>
    <t>位于南二环双湖新城2区和双湖新城1区之间的河道现在正在如火如荼的建设中，阳岐河和跃进河连接出处靠进双湖新城2区大门的河道绿化基本完工，（在南二环北京路政指挥项目部对面）河道旁边的绿化基本就是铺了个草坪，种了几颗树木，绿化面积很少，几乎没有花卉。而台屿河相比之下绿化率极高，百花齐放，百家争鸣。同样是奥体周边的河道，为何规划差别这么大.希望相关部门本着一颗公平之心为福州河道建设做出贡献。</t>
  </si>
  <si>
    <t>目前水系治理方正开始开展绿化施工，后续绿化施工会大面积的展开，待施工完成后，效果肯定会较之前有大幅度的提升，感谢您对水系施工的支持与监督！</t>
  </si>
  <si>
    <t>双湖新城河道建设</t>
  </si>
  <si>
    <t>举报福州市自来水公司与福州市水务集团沆瀣一气，互相包庇，欺瞒群众！</t>
  </si>
  <si>
    <t>本周三，万科金域华府小区停过一天水，今天，周六，我们小区又因为跃进河乱搞，挖爆水管，结果我们居民打电话向福州市自来水公司咨询举报的时候，对方回复，本周三我们小区没有停过水，说谎成性，会这样为福州市水务集团开脱！我们问是什么原因导致不断停水，福州市自来水公司客服说只知道有人举报当地有漏水点，还不知是什么原因，简直岂有此理！那我们就问了，周三停水过去这么多天了，你们总该查到是什么原因停水了吧，客服居然直接说周三没停水？我们手上还有物业发给我们的停水通知，如果不是你们自来水公司发给我们需要停水通知单，我们物业会乱说吗？从今年四月份福州市水务集团在这里施工以来，至今这里的水管已经无数次被挖爆，我们已经无数次停水，你们自来水公司查过原因没有？你们对野蛮施工方进行过处罚没有？有没有？请回答？还要这样互相包庇，欺瞒百姓吗？</t>
  </si>
  <si>
    <t>经我司工作人员核实前期该小区因外线管道抢修施工，导致用户端供水出现异常。现该受损管道已修复，恢复正常供水。由此给您造成的不便，我司深表歉意。特此回复，谢谢。</t>
  </si>
  <si>
    <t>反映两个问题</t>
  </si>
  <si>
    <t>2、仓山区连江南路金色康城旁边的跃进支河开挖两三年了，当初为了建河道，把小区的树木（柳树、三角梅）都挖走了，河道旁杂草丛生，有些居民在里面种菜，其臭无比，河道和河道旁边的绿化何时建好？望部门尽快介入处理。</t>
  </si>
  <si>
    <t>1、经了解，双湖二路的业主单位为福州市市政建设开发公司，建议转业主单位办理。
2、河道沿线的绿化预计于2019年能全部完工，已督促施工单位加快施工进度，争取早日还周围居民一个良好的生活环境。由于施工给您及周围居民造成生活上的不便，我司深表歉意！</t>
  </si>
  <si>
    <t>**的福州市水务集团长期野蛮施工导致仓山区万科金域华府小区隔三差五不断停水！</t>
  </si>
  <si>
    <t>**的福州市水务集团今天又野蛮施工，我们小区又停水了！你们做的跃进河整治工程就是个笑话，因为你们这个破工程我们自来水长期都是黄泥水，鉴于你们这个工程的种种恶行，我们居民现在开始将一件件你们的恶行证据，寄往省市政府党委人大政协以及相关主管部门，举报你集团一把手毛祚财！恶劣！</t>
  </si>
  <si>
    <t>收到诉求件后，水系项目部已发函督促施工单位做好施工现场地下管线保护及支护，尽量的避免造成地下管线的破坏，若施工过程中造成破坏水系项目部会第一时间报相关单位修复。由于施工给您及周围居民造成生活上的不便，深表歉意，还望您谅解！</t>
  </si>
  <si>
    <t>东升小区跃进河工地凌晨4点13分还在施工，噪音严重扰民。夜间施工已经不是一次两次了。特此投诉。</t>
  </si>
  <si>
    <t>接到举报后，我街道执法人员立即前往现场查看，已责令施工方合理安排施工时间，最大限度减少对周边居民的影响。今后我街道将加强巡查，查处并制止噪音扰民行为。谢谢</t>
  </si>
  <si>
    <t>跃进河整治工程严重扰民、愚民问题</t>
  </si>
  <si>
    <t>本人于最近4个月内多次在本平台反映跃进河整治工程金辉伯爵山小区段施工扰民问题，最近一次反映于10月15日，诉求件编号FZ18101500032。
在相关负责单位的关心下，该工程施工扰民问题不仅没有缓解，反而愈演愈劣、越来越有新花样。
最近4周，每周一至周五基本不见施工，但是每周周五晚上22点挖掘机准时进场，一直施工至周六凌晨1点左右。紧接着，周六清晨5点挖掘机再度准时开工、施工至8点左右停止。接下来，周六晚间10点至周日凌晨1点、周日清晨5点至8点、周日晚间10点至周一凌晨1点，都是准时开始、也基本准时停工。总之，最近4周施工队精心挑选了周末休息时间扰民、并挑选最佳睡眠时间扰民。可谓“扰民扰出了规律、扰出了高度”，做到了“科学扰民、精准扰民”，用比以前少的多的时间达到了以前从未达到的扰民效果。
我建议政府表彰：
1.施工队尊重科学、利用科学知识开展工作的精神；
2.相关负责单位对施工工作的大力支持。
同时，还要请问
1.每周总是周末施工，而且总是晚间10点至第二天凌晨1点，清晨5点至清晨8点。是不是施工队主要在其他工地干活，趁着周末有空来这里挥动两下？
2.为何伯爵山小区段，仅仅约100米乘10米的区域，需要挖掘机施工长达半年之久？
3.跃进河白湖亭沃尔玛段的河道依然被死死占住（不清楚其他段是否还有河道被占），跃进河就是一条断头河，依然要风风火火的开展整治工程？请问整治一条断头河、死河的意义是什么？
4.80年代末，跃进河就被严重污染（比如盖山造纸厂排污）、且多处被占导致基本断流而成为一条黑水横流的臭水沟，至今已然30年。请问对着一条臭水沟到处开挖、扰民的意义是什么？个人认为还不如全部填平。
5.政府工程大肆违反施工管理规定，在半夜、清晨施工，是不是玩现代版的“只准州官放火、不许百姓点灯”？
综上，跃进河整治工程金辉伯爵山小区段施工不仅仅是扰民、简直是愚民——愚弄民众、鱼肉民众。
最后，本人请求相关单位在最后时限回复即可、无需尽快回复，这样方能彰显相关单位工作之繁忙。并请求相关单位避重就轻、答非所问、敷衍了事，这样方能展现工作之艺术。
本人如果实在不堪忍受噪音之苦，计划以啤酒瓶装汽油、瓶口塞布条，到施工现场请施工人员喝啤酒。如若被噪音逼死、一定拉个垫背。</t>
  </si>
  <si>
    <t>经了解，该处是水系综合治理工程在清理内河淤泥，近期的噪音主要是由此发出的。我街道执法人员己多次督促施工单位文明施工、加快施工进度，合理安排施工时间，最大限度减少对周边居民的影响。我街道城管中队将加强巡查，进一步管控噪音扰民现象。谢谢</t>
  </si>
  <si>
    <t>跃进河内河整治工程不要成为扰民工程</t>
  </si>
  <si>
    <t>咨询嘉欣亭苑和金色康城之间的跃进河内河整治工程何时结束？已经施工一年多，经常在夜间施工，或者断断续续施工，没有头绪。我们自己修的路被破坏的面目全非。有一个快递员还丢进河过。雨天一身泥晴天一身灰，出行非常不方便，成为扰民工程。希望抓紧收尾工作，还我们一个干净的环境。希望相关部门给与答复。</t>
  </si>
  <si>
    <t>现已要求现场加快施工进度，争取在春节前尽快给周围居民营造一个良好的生活环境。由于水系现场施工给您及周围居民造成生活上的不便和影响，深表歉意，还望您多多支持、谅解！</t>
  </si>
  <si>
    <t>福州水务集团整治的跃进河工程把则徐大道368弄附近的人行道搞到塌方！</t>
  </si>
  <si>
    <t>福州水务集团整治的跃进河工程把则徐大道368弄附近的人行道搞到塌方！特此投诉，望处理。</t>
  </si>
  <si>
    <t>诉求位置附近的跃进河已列入仓山龙津阳岐片区水系综合治理PPP项目由我司负责整治，现已安排现场整改，具体进展情况可联系水系现场负责人（杨工：150-1003-1918）。</t>
  </si>
  <si>
    <t>投诉河道施工车辆沿路掉落泥巴，致使雨天道路泥泞难行！</t>
  </si>
  <si>
    <t>仓山镇牛眠山巷552电台对面的跃进河整治施工单位，没有遵守文明施工相关要求，没有采取有效的措施，对进出施工场地车辆泥巴洒落和车轮夹带进行控制，使得牛眠山巷552电台门口路段泥巴洒落严重，且无人清理，致使雨天道路泥泞难行！严重影响市容市貌，也给万升小区几千居民出行带来困扰和危险，希望有关部门能尽快督促施工单位整改并清理路面泥巴，还市民一条干净整洁的道路，同时也希望有关部门能加强日常监督，加大对相关施工企业的监管，杜绝类似的情况返复出现！谢谢！</t>
  </si>
  <si>
    <t>我镇已派工作人员到该工地进行查看，责令施工方加强运输管理，同时要求施工方清理路面，如再有违规将进行处罚。后期会加强巡查。</t>
  </si>
  <si>
    <t>举报福州市水务集团搞的跃进河整治工程会这样漠视人命，草菅人命</t>
  </si>
  <si>
    <t>举报福州市水务集团搞的跃进河整治工程会这样漠视人命，仓山区则徐大道西侧368弄口的这排沿街店面为何拆一半不拆了？楼房摇摇欲坠，既没有警示，也没有围挡，万一倒下来砸到路人，谁负责？</t>
  </si>
  <si>
    <t>为配合水系治理，对诉求位置进行保护性拆除，当时已完成拆除待清运渣土，后续我街道将做好相关安全保护措施</t>
  </si>
  <si>
    <t>仓山区东园路鑫升老年公寓旁边跃进河河道治理工地，现在22：26扰民，多次投诉，都没有效果，还是噪音扰民，特此投诉，望处理。</t>
  </si>
  <si>
    <t>您反映的水系治理施工扰民问题收悉，我街道执法人员已前往现场查看，已责令施工队停止施工，并要求施工单位合理安排施工时间，不得扰民。</t>
  </si>
  <si>
    <t>现在已经凌晨2点10分了，仓山区则徐大道跃进河工地还在施工，已经连续通宵施工3个晚上，白天也没停的施工，特此投诉。</t>
  </si>
  <si>
    <t>您反映的水系治理施工扰民问题收悉，我街道执法人员已前往现场查看，已责令施工队停止施工，并要求其严格遵守相关法规，合理安排施工时间，不得扰民。给您带来不便敬请谅解</t>
  </si>
  <si>
    <t>仓山区金辉伯爵山南侧跃进河整治工地晚上10点50分还在施工，噪音扰民，特此投诉，希望有关部门处理。</t>
  </si>
  <si>
    <t>您所反映的金辉伯爵山南侧跃进河整治工地噪音扰民问题，我街道执法人员已前往查看，未发现内河工地有施工。经向内河整治项目业主及施工单位了解，内河工地从10月底停工至今，沿岸6米线已围挡并覆盖绿网</t>
  </si>
  <si>
    <t>政府部门不作为，放任违法施工持续数周噪声夜间扰民</t>
  </si>
  <si>
    <t>去年开始，仓山区则徐大道金辉伯爵山小区南岸的跃进河一段改造工程就断断续续地施工，近几周来，工程日夜施工，挖掘机和推土机的发动机轰鸣，分贝能达到120以上，从清晨一直施工到深夜两三点，属于严重的噪声污染，严重影响了附近居民的生活。附近居民向福州市12345多次投诉，但仓山区城管队、环保局、东升街道均不予处理，施工队仍继续施工：所谓民生工程，反而破坏了民生，岂不是本末倒置！
之前东升街道的回复，应付了事，与之前其他居民类似投诉的回复是一样的。对于最关心的工期问题和噪声问题，没有回复，也没有解决。我在打字的时候，外边还是120分贝以上的噪音，现在已经是晚上十点多了。所谓的”加大巡查力度“，一点点都没有看出来，反复违法，没有任何行政处罚，这是谁家的工程？非常愤怒、非常不满！
有关部门予以答复：
1、确定工期何时结束；
2、现场执法，，督促合理施工，减少噪声污染；
3、对于仓山区城管执法队、环保局、东升街道的处理意见；
4、限时反馈处理结果。</t>
  </si>
  <si>
    <t>金辉伯爵山小区外为内河治理工地，经向业主及施工单位询问，该处施工预计于11月中下旬完成，我街道发函并约谈施工负责人，要求其合理安排施工时间，加快施工进度，不得超时施工、噪音扰民</t>
  </si>
  <si>
    <t>投诉仓山区执法局和管理跃进河的社区</t>
  </si>
  <si>
    <t>仓山区则徐大道跃进河工地凌晨1:06分还在施工，噪音严重扰民，最近两周都是通宵施工，投诉仓山区执法局和管理跃进河的社区，多次反映，都无人处理，多日24小时施工，并且离小区很近，导致市民耳鸣、精神异常，连耳塞都没有用，房屋都在晃动。特此投诉，望处理。</t>
  </si>
  <si>
    <t>我局执法人员于2018年10月25日1时02分到现场查看，已对该工地施工单位下发询问调查通知书，并责令该工地施工单位停止噪声扰民行为，合理安排施工时间。后我局执法人员于2018年10月25日12时37分到现场查看，未发现施工。若市民再次发现夜间施工扰民行为，请拨打24小时投诉电话12345，我局在收到举报后将第一时间调派执法人员前往查处。</t>
  </si>
  <si>
    <t>跃进河整治工程施工扰民</t>
  </si>
  <si>
    <t>投诉仓山区则徐大道金辉伯爵山小区楼下跃进河整治工程施工扰民，每天晚上12点开始一直施工到凌晨3、4点，非常吵，严重影响居民休息，请有关部门尽快介入处理。</t>
  </si>
  <si>
    <t>诉求位置为半洋亭河水系治理工地，我街道执法人员已到现场，责令施工方按有关规定合理安排施工时间，不得扰民，给您造成的影响敬请谅解。</t>
  </si>
  <si>
    <t>仓山区东园路鑫升老年公寓旁边跃进河河道治理，现在1:08还在施工，噪音扰民，多次投诉，都没有效果，还是噪音扰民，特此投诉，望处理。</t>
  </si>
  <si>
    <t>经查目前内河的整治工程正在紧张的施工阶段，我街道已发函并约谈相关施工负责人，要求其合理安排施工时间避免影响周边居民</t>
  </si>
  <si>
    <t>仓山区则徐大道跃进河南岸工地晚上12点半还在施工，每天晚上都要施工到凌晨2点多，噪音严重扰民，特此投诉。</t>
  </si>
  <si>
    <t>所反映的问题，福州市水务投资发展有限公司已做答复。我镇已督促施工单位适当调整施工时间，尽量避免影响周围居民的休息。</t>
  </si>
  <si>
    <t>仓山则徐大道跃进河工地南侧晚上10点16分还在施工，噪音严重扰民，最近9天都是通宵施工，他们施工的时候沿河的的房子都会震动，特此投诉。</t>
  </si>
  <si>
    <t>所反映的河道施工问题，市水务投资发展有限公司已做出答复，我镇也督促施工单位调整施工时间，尽量避免影响周围居民的休息，同时我镇工作人员也会加强对路面施工的巡查整治力度。</t>
  </si>
  <si>
    <t>仓山区东升小区旁边的跃进河的河道工地23:49分还在施工，噪音扰民。特此投诉，望处理。</t>
  </si>
  <si>
    <t>您反映的问题收悉，我街道执法人员到现场核实，责令施工方按规定合理安排施工时间，不得扰民。今后我街道将加强巡查力度</t>
  </si>
  <si>
    <t>投诉河道施工问题（加急）</t>
  </si>
  <si>
    <t>仓山区东升小区跃进河公安宿舍旁边河道施工，噪音扰民严重，晚上9点后还在施工，居民无法入睡。房子震动出现裂纹，好几家住户的砖墙都裂掉了。特此投诉，望处理。</t>
  </si>
  <si>
    <t>我街道执法人员到现场核实，责令施工方按规定合理安排施工时间，不得扰民。今后我街道将加强巡查力度，确因施工造成房屋损害，经相关部门鉴定后建议由内河整治业主单位负责解决</t>
  </si>
  <si>
    <t>投诉噪音扰民和震动房子出现裂纹的问题</t>
  </si>
  <si>
    <t>仓山区东升小区跃进河施工噪音扰民严重，都半夜了还在施工，房子都被震裂了，房子都出现裂纹了。特此投诉，望处理。</t>
  </si>
  <si>
    <t>您反映的问题市水务投资发展公司已经回复。公安宿舍房屋损伤问题，我街道已聘请福建省建筑工程质量检测中心有限公司进行监测，并积极协调配合水务项目业务单位予以解决，同时我街道执法人员已到现场核实，责令施工方按规定合理安排时间，不得扰民，今后将加大巡查力度</t>
  </si>
  <si>
    <t>投诉跃进河河道工地</t>
  </si>
  <si>
    <t>投诉仓山区跃进河施工工地施工时造成东升解困新村8栋楼摇晃，这个工地是否有安全审批？施工方是哪个部门？是否有负责人电话号码？特此投诉，望处理。</t>
  </si>
  <si>
    <t>我司内河治理是经过相关合法的施工审批，对于跃进河施工您若有相关疑问也可咨询我司现场施工负责人（张总：134-0102-6287）。由于我司水系施工，影响到您的生活，我司深表歉意！</t>
  </si>
  <si>
    <t>投诉夜间施工扰民问题（加急）</t>
  </si>
  <si>
    <t>仓山区东升小区东园二路跃进河夜间施工，噪音扰民严重，附近的公安宿舍每天整个楼都在震动，出现裂缝，存在安全隐患。特此投诉，望处理。</t>
  </si>
  <si>
    <t>环境问题</t>
  </si>
  <si>
    <t>仓山区科技园旁边的跃进河改造，导致周边都是泥土，没下雨灰尘满天飞，下雨路上泥泞，特此投诉，望处理。</t>
  </si>
  <si>
    <t>诉求位置旁的龙津河已列入仓山龙津阳岐片区水系综合治理PPP项目由我司负责整治。目前内河的整治工程正在紧张的抢工阶段，不得不开展夜间施工，对于您的诉求我们一定会适当调整施工时间，尽量避免影响周围居民的休息。因近期雁头路周围都在进行拆迁，所以灰尘会比较大。接到诉求后，我司已安排相关清扫的保洁人员，必要的时候也会安排洒水车作业。对于您的诉求，我司深表歉意，一定会加大保洁力量，争取给周围居民创造一个适宜的生活环境。</t>
  </si>
  <si>
    <t>跃进河整治工程严重扰民问题</t>
  </si>
  <si>
    <t>跃进河整治工程中，金辉伯爵山小区段施工现场离小区5-9号楼直线距离仅50米左右，最近处30左右。数月前，河道整治工程就频频半夜施工，后情况缓解。但，国庆节以来，该问题重现、且更加严重。
国庆节假日7天，大型挖掘机每天早间约05:30即开工、断续施工至第二天凌晨02:00左右；凌晨有时还开启抽水泵。10月8-12日基本不见施工。10月13、14日周末时间，大型挖掘机又是每天早间约早间约05:30即开工、断续施工至第二天凌晨02:00左右。每当大型挖掘机施工时，噪音巨大。
请问：
1.为何政府工程反而明目张胆违反城市施工管理相关规定？
2.河道整治已经给小区5-9号楼居民带来巨大的生活问题，请问这到底是惠民工程还是扰民工程？
3.施工过程基本断断续续，为何不集中施工、拖拖拉拉？有时白天不见施工人员，一到23点后就开始施工。
4.施工现场最多一般不超过8个人、配合1-2部大型挖掘机。为何不增加施工人员、增加施工机械集中完成居民密集的施工段？
5.跃进河整治金辉伯爵山段预计何时完工？</t>
  </si>
  <si>
    <t>您反映的金辉伯爵山小区附件内河施工噪音扰民问题，我街道已发函并约谈施工负责人，责令其合理安排时间，加快施工进度，文明施工不得扰民，内河整治为民生项目，给周边居民带来生活不便，望请多包容理解</t>
  </si>
  <si>
    <t>仓山区则徐大道一侧的跃进河工地晚上十一点半还在施工，最近都是24小时施工，七天七夜没有停过，噪音严重扰民，特此投诉，望处理。</t>
  </si>
  <si>
    <t>诉求位置的跃进河已列入仓山龙津阳岐水系综合治理PPP项目由我司负责整治。目前内河的整治工程正在紧张的抢工阶段，不得不开展夜间施工，对于您的诉求我们一定会适当调整施工时间，尽量避免影响周围居民的休息。由于我们施工影响到您及周围居民，我司深表歉意！</t>
  </si>
  <si>
    <t>仓山区三叉街则徐大道跃进河河道改造现在22:56还在施工，已经有一段时间了，天天晚上通宵施工，噪音扰民严重，周边居民都无法正常休息，特此投诉，望处理。</t>
  </si>
  <si>
    <t>伯爵山南岸跃进河工程扰民</t>
  </si>
  <si>
    <t>自去年开始，仓山区则徐大道金辉伯爵山小区南岸的跃进河一段改造工程就断断续续地施工，近几周来，工程日夜施工，挖掘机和推土机的发动机轰鸣，分贝能达到120以上，从清晨一直施工到深夜两三点，属于严重的噪声污染，严重影响了附近居民的生活。
希望转办单位落实处理：
1、确定工期何时结束；
2、现场执法，，督促合理施工，减少噪声污染；
3、限时反馈处理结果。
如没有处理结果，我们将向上级及效能部门进行投诉。谢谢关注。</t>
  </si>
  <si>
    <t>1该处为半洋亭河水系治理工地经业主及施工单位询问预计11月下旬完工。2我街道已派执法人员前往查看，要求其按照规定时间施工不得扰民，今后我街道将加大巡查力度</t>
  </si>
  <si>
    <t>仓山区跃进河靠近则徐大道一侧的工地凌晨0：05分还在施工，最近都是24小时施工，噪音扰民。特此投诉，望处理。</t>
  </si>
  <si>
    <t>我镇已加强对该处的巡查力度,对存在超时施工的行为及时予以制止。市民若发现施工扰民，请及时上报盖山镇政府、区市容局或拨打24小时投诉热线12345进行举报，我镇将在第一时间派执法人员前往制止。</t>
  </si>
  <si>
    <t>粉尘污染</t>
  </si>
  <si>
    <t>仓山区高湖路嘉欣庭苑门口至连江路一段道路有两处工地（高湖小学和跃进河河道工地），道路因为施工车辆进出粉尘污染非常严重，空气中颗粒物过多，居民进出都必须戴口罩，望部门介入要求工地进行整改。</t>
  </si>
  <si>
    <t>已联系跃进河河道施工方进行整改</t>
  </si>
  <si>
    <t>仓山区则徐大道金辉伯爵山小区南面的跃进河工地晚上十一点多才开始施工，噪音严重扰民。特此投诉，望处理。</t>
  </si>
  <si>
    <t>我街道已要求施工单位合理安排施工时间，加快施工进度，避免扰民。给您带来不便敬请谅解！</t>
  </si>
  <si>
    <t>福州市水务集团主导的内河整治就是骗局！可耻！</t>
  </si>
  <si>
    <t>之前投诉完之后，万科金域华府小区旁的跃进河整治有开工了几天，结果就是把砖块堆到河里之后，又停工了！现在河水堵住，臭不可闻！奇臭无比！如果你们没有打算一鼓作气整治，请不要把河堵住！如果堵住了，请连续整治！骗局工程！无耻工程！扰民工程！从去年整治到今年，什么效果都没见到，反而一直给周边居民造成困扰！你们等着瞧吧，今年底，中央环境巡视组来福建我们必定举报你们！你们等着！我们手握证据，不容你们抵赖！</t>
  </si>
  <si>
    <t>跃进河已列入仓山龙津阳岐片区水系综合治理PPP项目由我司负责整治，目前河道正在进行永久截污施工，因施工需要才临时将砖块堆放在河道内，该工程预计2018年9月底完工。待工程完工时，将全面改善河道水质，给您带来不便敬请谅解，也请您理解与支持！</t>
  </si>
  <si>
    <t>投诉河道施工都是泥巴</t>
  </si>
  <si>
    <t>仓山科技园旁边跃进河改造，灰尘也不处理，地板都是泥巴，今天雨下一下走路都没办法走，特此投诉。</t>
  </si>
  <si>
    <t>诉求位置旁是我司仓山龙津阳岐水系综合治理PPP项目-跃进河水系治理工程。由于涉及的施工地块土方较多，造成诉求问题，我司已督促施工方立即整改，在施工期间做好降尘工作，减少给周围的居民造成生活的不便，望谅解。</t>
  </si>
  <si>
    <t>仓山区高湖村桥南跃进河的河道施工工地从早上7点多开始施工到晚上6点多，晚上7点多又开始运输渣土到凌晨4点多，已经持续一个星期。赶工程也不能不顾及老百姓的生活！市民的房屋都在震动。特此投诉，望处理。</t>
  </si>
  <si>
    <t>我镇将加强对该处的巡查力度,对存在超时施工的行为及时予以制止。</t>
  </si>
  <si>
    <t>仓山区三叉街新村公交站附近跃进河河道治理工程昨天晚上通宵施工，今天晚上11点38分还在施工，噪音严重扰民，望部门处理。</t>
  </si>
  <si>
    <t>我镇将加强对该处的巡查力度,对存在超时施工的行为及时予以制止。市民若发现施工扰民，请及时上报盖山镇政府、区市容局或拨打24小时投诉热线12345进行举报，我镇将在第一时间派执法人员前往制止。</t>
  </si>
  <si>
    <t>投诉路面被破坏</t>
  </si>
  <si>
    <t>仓山区白湖亭嘉欣庭苑门口的路面被旁边跃进河改造工程破坏了，一下雨就积水，我们完全没办法出门，特此投诉，望处理。</t>
  </si>
  <si>
    <t>跃进河已列入仓山龙津阳岐片区水系治理工程由我司负责整治。但诉求地点事宜我司已多次收悉，现场核查，跃进河水系治理离嘉欣庭苑小区附近道路还有一定距离，该路段存在破损（详见图片），非我司水系施工造成。同时我司也要求市自来水公司到现场核查，自来水公司未在此路段有过供水管网改造施工。但现场核查无法确定此前的施工方，鉴于该道路是区属道路，我司建议转仓山区建设局和镇政府协助甄别施工单位后在派件处理，谢谢！</t>
  </si>
  <si>
    <t>政府不作为</t>
  </si>
  <si>
    <t>跃进河内河改造，由仓山镇政府牵头的拆旧施工，导致我屋破坏成危房，现在河道改造连夜赶工，晚上睡觉房子摇晃强过地震，一家5口都在担心受怕。自4月30日产生墙体破裂，房屋结构失稳以来，多次向拆迁办，12345平台反馈，现在已经一个半月了，未见有人来勘查、修复。难道政府就是这么对待尊纪守法的百姓么？将本来安居乐业的平头百姓置于极其危险境地，而对其求助声置若罔闻？拆迁造成的隐患难道要我们百姓来承担？现在受损墙体外已经清理出了可以进行勘查、修复作业的平坦场地，请政府领导不要再用官话搪塞我！安全事故随时会发生，但隐患我们可以排除，还请领导重视百姓的生命安全。</t>
  </si>
  <si>
    <t>内河改造施工为水务集团围挡施工，您的房子墙体破裂问题。目前我镇已将该情况上报指挥部。后续我镇将根据指挥部的批复及时采取相应措施。</t>
  </si>
  <si>
    <t>仓山区万科金域华府旁边的跃进河到底整治到什么阶段了？什么时候结束！</t>
  </si>
  <si>
    <t>仓山区万科金域华府旁边的跃进河到底整治到什么阶段了？到底什么时候完工？为什么现在工程停滞不动了？之前工程部在368弄树立牌子，上面写这条河6月30日前能完工，看到工程一直停着，这样子月底能完工？不要一直骗人好吗？还有，万科金域华府北门前的路之前破开埋管，现在直接用土渣覆盖着，上面盖个绿网，也不及时把路修好，到底你们想干嘛？我们周边居民非常愤怒！一个工程搞成这样乱七八糟的！跟媒体宣传的差远了！郑重投诉这家北京市政公司！还有，这家公司施工过程中还把万科金域华府1号路灯给砸坏了，有图为证！请问，什么时候赔偿！怎么赔偿！特此投诉，望处理。</t>
  </si>
  <si>
    <t>跃进河已列入仓山龙津阳岐片区水系综合治理PPP项目由我司负责整治，目前河道正在进行永久截污施工，预计2018年9月底完工。待工程完工时，因施工影响的道路等问题，我司将一并予以恢复，后续我司也将加强安全文明施工监管力度，尽量减小施工给周边市民带来的影响。</t>
  </si>
  <si>
    <t>水务集团野蛮施工！水务集团野蛮施工！</t>
  </si>
  <si>
    <t>城区水系综合治理，由水务集团负责治理的跃进河工程，施工非常野蛮，5月初的时候，他们将高坂路开挖后埋设管网，可挖开之后就不了了之，留下一道大沟给附近的居民造成严重的安全隐患。金色康城小金星幼儿园门口的高坂路破烂不堪。高坂路原本就是一条小区配套小路，被开挖之后雨天泥泞不堪，晴天尘土整天蔽日，很难想象在十九大过后提倡建设和谐美丽的中国，竟然还有如此不负责任的企业，强烈要求水务集团公开道歉，给附近的业主补偿，特别是要将道路恢复原状，还居民一个和谐的居住环境。</t>
  </si>
  <si>
    <t>经了解，因自来水改造工程，造成路面坑洼，待工程结束后方可改善。</t>
  </si>
  <si>
    <t>仓山区金辉伯爵山对面的跃进河工地，晚上11点19分还在施工，噪音扰民，希望部门尽快处理。</t>
  </si>
  <si>
    <t>我局执法人员于2018年5月21日22时51分到现场查看，未发现施工。今后我局将加强对该工地的日常巡查，发现违规施工现象将依法予以查处。若市民发现施工扰民行为，请拨打24小时投诉电话12345，我局在收到举报后将第一时间调派执法人员前往查处。</t>
  </si>
  <si>
    <t>仓山区368号弄又被跃进河整治工程搞得尘土飞扬了</t>
  </si>
  <si>
    <t>前两天，市水务集团才向市民道歉，说会监督到位，结果才好了两天，仓山区368号弄又被跃进河整治工程搞得尘土飞扬了！极度恶劣！请问，市水务集团你们是空口说白话吗？承诺了，道歉了，都不执行吗，你们这样继续尘土飞扬，危害老百姓的健康，你们简直是黑心国企！</t>
  </si>
  <si>
    <t>接到诉求后，我司已再次责令施工方进行整改，要求其定期安排清理和洒水，若未整改到位将对其加以处罚。后续我司也将持续督促其做好抑尘管理，强化抑尘措施，感谢市民的关注与监督。</t>
  </si>
  <si>
    <t>望相关部门介入处理</t>
  </si>
  <si>
    <t>我们房子旁边的跃进河每天晚上都是通宵施工，严重影响居民睡眠。特此投诉，望相关部门介入处理。</t>
  </si>
  <si>
    <t>我局执法人员于2018年5月22日01时05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</si>
  <si>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投诉河道施工</t>
  </si>
  <si>
    <t>东升小区往东盛花园旁边的跃进河河道工地0：10还在施工，噪音扰民。特此投诉，望处理。</t>
  </si>
  <si>
    <t>我局执法人员联合东升街道城管中队于2018年5月14日01时25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</si>
  <si>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河道工地施工扰民</t>
  </si>
  <si>
    <t>三叉街东升小区往东盛花园旁边的跃进河河道工地晚上10点35分还在施工，噪音扰民，每天晚上都是如此，特此投诉，希望有关部门尽快处理。</t>
  </si>
  <si>
    <t>我局执法人员于2018年5月11日23时28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</si>
  <si>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跃进河整治工程金辉伯爵山小区段施工扰民问题2.0</t>
  </si>
  <si>
    <t>1.5月2日-5月8日，没有夜间施工情况，但是5月9日凌晨1时，仍然有挖掘机在施工。
2.建议相关部门增加巡查频率。仅巡查一次，不管有没发现施工，能说明什么问题？？如果因为人手不够无法增加巡查次数，建议告知巡查工作负责人的电话，方便本人发现情况时随时通报。如果只是向12345反映，又是至少3天后才能处理，能有什么作用？？
3.在编号为FZ18043000365的诉求件中，本人更加关心的是为何挖掘机不增加正常工作日的白天施工时间，一定要在早上8点前、夜间22点后施工？特别是，周末两天、甚至是节日的早间、夜间几乎都有施工。是不是因为施工队在正常工作日的白天主要时间段将工人抽调至其他工地工作，只是在边角时间将工人调回来加班加点工作。
4.本人认为，单纯施工扰民问题不大，毕竟市民支持内河整治反过来对市民有利。关键问题是请关注下是否存在第3点所说的施工队抽调人员到其他工地工作的情况。如果没有这个情况，请相关部门考虑下如何压迫施工队增加正常工作日的白天主要时段的施工时间与工人数量，以加快进度。
5.最后，本人推断，施工队一定没有夜间施工许可。既然是政府项目，应该更加遵纪守法。而不是因为政府项目就可以恣意妄为。</t>
  </si>
  <si>
    <t>我局执法人员于2018年5月9日23时33分到现场查看，未发现施工。今后我局将加强对该工地的日常巡查，发现违规施工现象将依法予以查处。若市民发现施工扰民行为，请拨打24小时投诉电话12345，我局在收到举报后将第一时间调派执法人员前往查处。</t>
  </si>
  <si>
    <t>则徐大道金辉伯爵山旁边跃进河的施工工地，已经0:58分还有钩机在施工，噪音影响周边居民休息。特此投诉！请有关部门处理。</t>
  </si>
  <si>
    <t>跃进河被变本加厉乱倒渣土，已几近堵塞！</t>
  </si>
  <si>
    <t>五一放假期间跃进河被乱倒建筑渣土，被举报后，未得到及时制止，2日晚上，又有三辆货车将渣土倾倒在河边，再由一辆铲车连夜铲到跃进河中，大量渣土几乎把跃进河堵塞。由于河边树立的宣传告示牌没有提供举报电话，无法现场举报和查处。望责任部门尽快查处，还居民一条干净的内河。</t>
  </si>
  <si>
    <t>关于您反映的仓山区金辉伯爵山楼盘靠近跃进河对岸乱倒卸问题，我局执法人员已前往现场查看。经查，现场为民生工程水系治理跃进河段，砖渣填于河道中是为了做施工便道，并非建筑垃圾乱倒卸行为。</t>
  </si>
  <si>
    <t>金辉伯爵山对面的跃进河工地现在已经快凌晨一点还在施工，噪音影响周边居民休息，请有关部门处理。</t>
  </si>
  <si>
    <t>我局执法人员于2018年5月3日22时46分到现场查看，未发现施工。今后我局将加强对该工地的日常巡查，发现违规施工现象将依法予以查处。若市民发现施工扰民行为，请拨打24小时投诉电话12345，我局在收到举报后将第一时间调派执法人员前往查处。</t>
  </si>
  <si>
    <t>仓山区东升解困小区跃进河现在已经23:46分还在施工，噪音严重扰民，特此投诉，望处理。</t>
  </si>
  <si>
    <t>我局执法人员于2018年5月2日23时26分到现场查看，未发现施工。今后我局将加强对该工地的日常巡查，发现违规施工现象将依法予以查处。若市民发现施工扰民行为，请拨打24小时投诉电话12345，我局在收到举报后将第一时间调派执法人员前往查处。</t>
  </si>
  <si>
    <t>跃进河整治工程金辉伯爵山小区段施工扰民问题</t>
  </si>
  <si>
    <t>跃进河整治工程金辉伯爵山小区段施工地点与金辉伯爵山小区仅仅一河之隔，与小区5-9号楼直线距离仅20-50米，施工噪音问题给小区5-9号楼居民带来巨大困扰。存在问题具体如下：
1.施工时间十分奇怪：施工时间常常是早上06:30-10:00左右、晚间22:30-00:30左右，严重影响居民睡眠；尤其是使用噪音巨大的施工工具与机械时，比如电锯、挖掘机。而其他对居民生活、休息造成影响较小的时段却基本不见施工人员的踪影。
2.施工人员少、施工进度慢：常常看见施工人员少则3-5人，多则5-7人；施工常常开展1-2天、接下来2-3天又不见动静。最近3个月以来，间断施工对居民带来长时间的影响。
建议：
1.施工时间调整为早上8点以后至下午13点，下午15点以后至晚间20点以前，避开居民休息时间。尤其是噪音巨大的施工工具与机械需要进场施工时。
2.政府部门加强对施工队的管理、敦促施工队调集足够人力、集中时间施工。避免施工队白天主要时间在其他工地上干活、边角时间才回到该工地干活。工程进度拖沓缓慢。</t>
  </si>
  <si>
    <t>仓山区金辉伯爵山6号楼对面跃进河在改造，施工队经常晚上十点多开始施工到凌晨三点多，噪音扰民，严重影响附近居民正常休息。特此投诉，望相关部门介入处理。</t>
  </si>
  <si>
    <t>关于仓山区金辉伯爵山6号楼对面施工扰民问题，我局执法人员于2018年3月27日1时04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</si>
  <si>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夜间施工扰民</t>
  </si>
  <si>
    <t>仓山金辉伯爵山旁边跃进河河道晚上12点还在施工，噪音非常大，严重扰民，孩子都没法睡觉，特此投诉。</t>
  </si>
  <si>
    <t>关于仓山区金辉伯爵山旁边跃进河河道施工扰民问题，我局执法人员于2018年3月27日1时4分到现场查看，此处为内河项目，未发现施工。今后我局将加强对该工地周边的日常巡查，发现违规施工现象将依法予以查处。若市民发现夜间施工扰民行为，请拨打24小时投诉电话12345，我局在收到举报后将第一时间调派执法人员前往查处。</t>
  </si>
  <si>
    <t>跃进河整治拆迁，把368号弄的路面搞得坑坑洼洼！至今没有修复！</t>
  </si>
  <si>
    <t>去年底，仓山区跃进河整治，则徐大道西侧368号弄附近的店面和厂房拆迁，重型机械进场拆迁，反复碾压368号弄路面，导致路面到处坑坑洼洼，368号弄前两年小街巷整治时才铺的沥青，结果，这么短的时间内，又被搞得面目全非，请问仓山区建设局，福州市建委，福州市水务集团，仓山区房管局怎么办？请看附件文档里的图片！实际现场还不止这些坑坑洼洼，还有很多坑坑洼洼！</t>
  </si>
  <si>
    <t>则徐大道368弄道路坑洼的问题，我局将通知施工人员安排前往进行维护处理。谢谢。</t>
  </si>
  <si>
    <t>内河整治工程把小区垃圾房堵塞住了，造成垃圾无法倒进垃圾房，只能满路面堆放！</t>
  </si>
  <si>
    <t>请把这个投诉帖子转给福州市水务集团，福州市建委，仓山区东升街道三方联合解决！！！！迫切要解决！！！！
仓山区则徐大道西侧万科金域华府小区的垃圾房，最近被跃进河整治工程的施工方给围挡了起来，导致小区的垃圾无法正常放到小区垃圾房里，造成小区垃圾只能满路面堆放！！！脏乱不堪！！！请福州市水务集团，福州市建委，仓山区东升街道还我们一个正常使用的垃圾房！！！</t>
  </si>
  <si>
    <t>您所反映的问题我街道工作人员已赴现场查看，该位置围档符合内河整治工程施工要求，因此造成的垃圾处理问题已要求小区物业方及垃圾清运方增加清理力度，以便在内河整治期间全力保障小区的正常垃圾处理。</t>
  </si>
  <si>
    <t>仓山区下湖村跃进河下湖段改沟建河道事宜</t>
  </si>
  <si>
    <t>跃进河下湖段在17年9月份拆迁疏通等事项就告一段落，仅有一条排水沟在10月份河道部门就用沙袋堵住，用排污机器处理一下，以20公分的管排至跃进河至今，下湖村委向上级反映铺设一条排水管到跃进河，现听村干部说，这个报告被否定，又要河道挖100多米，又要拆迁几百间房屋，我们村民认为没有必要挖这条河道，只要铺设排污管，如果怕污水没地方走，只要做10几个沉污井，过滤沉淀后流向跃进河就可以解决这个问题。希望相关部门领导，尊重民意，不要否定村委会的意见！</t>
  </si>
  <si>
    <t>跃进河流域整治属于水系治理PPP包项目，整体规划设计已审定。污水处理设施5000吨一体化设备已持续正常运行，跃进河霞湖段支流处理初步方案按规划河道治理，目前正在等待方案落地与补充协议签订。对于村民提出的意见，我委将报上级部门及规划设计单位综合考虑审核</t>
  </si>
  <si>
    <t>下湖村排水沟变河道浪费国家资金</t>
  </si>
  <si>
    <t>仓山区下湖村跃进河处于般政交通职业学院桥边至下湖村侨兴幼儿园段（学校体育场西边），目前这是一个排水沟连接跃进河，总长100多米，现听说要改为河道绿化宽30米，如果改为河道会牵涉到10户村民房屋拆迁，做为土生土长的本村村民，我们认为政府没必要花这么大的代价，把村民的房屋拆掉，改沟建河道，只需花小钱铺设排水管道，没必要花这么大资金把仅有100多米的排水沟改为河道。请政府部门高度重视并实地考察，把钱花在希望工程上，希望给个满意答复！</t>
  </si>
  <si>
    <t>则徐大道金辉伯爵山旁边跃进河的对岸连续三四天早上六点到八点有工人用电锯砍树，噪音影响周边居民休息，特此投诉，请有关部门处理。</t>
  </si>
  <si>
    <t>诉求提及的工程为我司跃进河景观工程，接到诉求后，我司已要求施工方合理安排作业时间，同时采取临时措施降低施工给居民造成的影响。
此外，树木移植工程预计本周内可完成，施工期间给市民造成的不便，我司深表歉意。</t>
  </si>
  <si>
    <t>咨询福州市水务集团！</t>
  </si>
  <si>
    <t>目前，仓山区万科金域华府小区旁边的跃进支河和半洋亭河正在进行内河整治，其中一个项目就是截污，请问福州市水务集团，万科金域华府小区原本多个排污口没有接入市政管网，都设置在内河边，请问，现在内河已经清淤完了，什么时候把我们小区向内河排污的排污管道接入到市政管网里？其中一个排污管道的位置请看附件里的图片！</t>
  </si>
  <si>
    <t>经对落实，诉求位置的沿河排污口，我司在后期沿河截污施工时将统一并入市政污水干管，相关工程预计于2018年下半年完成。</t>
  </si>
  <si>
    <t>仓山区则徐大道正祥工地私自向内河排放污水！</t>
  </si>
  <si>
    <t>举报仓山区则徐大道原铅笔厂地块的正祥工地私自向内河排放污水！这条内河是跃进支河，目前正在进行内河整治！政府一边花大价钱进行内河整治清淤，结果正祥开发商私自在工地背后设置多个排污口，源源不断地向内河里排放污水！我们万科金域华府小区的业主在对岸看得一清二楚！照片也拍下来了！结果每次仓山区环保局来了，都是走马观花，不仅没有到工地里去稽查！也没有到万科金域华府小区里，看到对岸去，就回复我们说这是内河整治让河水变浑浊！根本不是这么一回事，好吗？有图有真相，连排污的水管都能看见，仓山区环保局还能这样睁眼说瞎话吗？我们万科金域华府的业主根本就看不下去了！请你们深入他们工地实地去看看他们到底有没有在工地背后向内河设置多个排污口！</t>
  </si>
  <si>
    <t>经现场检查勘察落实，正祥工地内泥浆按建委规定清运，清运记录完整，你所反映的排水，是内河整治过程中水务公司将淤泥捞上来过滤压缩后的尾水回流至内河。</t>
  </si>
  <si>
    <t>焚烧垃圾 废液乱倒</t>
  </si>
  <si>
    <t>在浦下村新桥68号附近臭水沟内，流淌着不知何种粉红色液体，散发着恶臭！液体源源不断流入跃进河内！请市政府相关部门管一管。19大生态建设如何落实，环保、城管在做什么！盖山镇、浦下村（村长书记）相关干部是如何治理村镇垃圾卫生工作，美丽乡村如何落实的，请仓山区政府回复！浦下村卫生治理负责人是谁，作为村民我们都不知道，是不是有点官僚！</t>
  </si>
  <si>
    <t>所反映的问题，已组织人员前往处理。</t>
  </si>
  <si>
    <t>反映内河整治问题</t>
  </si>
  <si>
    <t>仓山区跃进河内河整治我们是很欢迎的，但是施工队不能一直在晚上施工，而且都是用大型机器施工，我们的房屋都会震动，当时台湾地震余震我们都没有这样的感觉。施工队施工一点规划都没有，之前已经把渣土运走了，现在把内河的淤泥挖上来弄得路面乱七八糟，再让渣土车把渣土拉回来填埋，特此投诉，希望有关部门介入处理。</t>
  </si>
  <si>
    <t>跃进河已列入仓山区龙津阳岐片区水系综合治理PPP项目由我司负责整治，接到诉求后，我司已要求施工方严格按照市建委规定的有效作业时间抓紧施工，并尽快整改路面卫生问题，望市民给予理解支持。此外，对于诉求提到渣土问题我司说明如下：前期我司进行河道淤泥清淤，已将淤泥运送出去；近期新运输的施工渣土是用于修建施工便道，以便机械施工。</t>
  </si>
  <si>
    <t>环保</t>
  </si>
  <si>
    <t>我家在盖山镇嘉欣庭苑，附近是金色康城二期地块和跃进河，附近经常有人倾倒垃圾，焚烧垃圾，跃进河路面，我们居民自费修的路，也被挖掘机压坏，请问包括高坂路，有无环卫人员？能否处理一下？另外就是计划的高湖小学何时建？金色康城地块难道一直荒地？</t>
  </si>
  <si>
    <t>经了解，已进行围挡，同时安排人员加强巡查，若有发现乱倒、焚烧垃圾现象将立即予以制止。</t>
  </si>
  <si>
    <t>跃进河施工野蛮挖断道路不予恢复</t>
  </si>
  <si>
    <t>仓山金色康城通往嘉欣庭苑有一段道路，原来是一段50米的泥巴路，之前几个部门踢皮球踢来踢去都不修，后来由嘉欣庭苑的业主集资，倒上水泥，修筑了一条简单的硬化路。可目前跃进河水系攻坚施工，施工队伍野蛮的将这段居民出入的唯一道路开挖，然后随意用渣土填补后不了了之，这两天下雨过后，这段道路又重新回到了原始状态，泥泞不堪，水系治理我们是支持的，但也要考虑到居民出行的基本需求，而且施工后不予以恢复原状就拍*股走人，这与到人家家里砸了窗户后不赔偿就跑路有什么区别。强烈要求施工的北京路桥将道路恢复原状！！！</t>
  </si>
  <si>
    <t>经现场查看，由于我司跃进河河道治理施工，将诉求道路破除进行施工。现该段河道治理已完成施工，我司已将道路恢复原状.由此给市民生活上带来的不便，我司深表歉意。</t>
  </si>
  <si>
    <t>投诉粉尘扰民</t>
  </si>
  <si>
    <t>仓山白湖亭沃尔玛后面的跃进河工地，粉尘到处飞跟水泥厂一样，严重扰民，特此投诉，希望有关部门介入处理。</t>
  </si>
  <si>
    <t>经现场检查，未发现跃进河整治过程产生大量粉尘，后期我局将加大巡查力度，一旦发现违法行为立即依法查处。</t>
  </si>
  <si>
    <t>9月份金色康城和嘉欣庭苑之间的跃进河下段内河整治开始，用铁皮围挡，至今已经快两个月了，进程非常慢，有的时候好几天没见到施工人员，有的时候来了勾了两下就走了，特此反映，希望有关部门尽快处理，加快进度，不要磨洋工了。</t>
  </si>
  <si>
    <t>我局已通知施工单位加快施工，争取早日完成该内河的整治工作。给您造成的不便，敬请谅解。</t>
  </si>
  <si>
    <t>一个工地施工，特别是在三更半夜，噪音扰民，业主有跟物业反映过，希望工地施工调整时间，也请民房的主人看好自家的狗，特此投诉，望部门介入处理。</t>
  </si>
  <si>
    <t>经现场查看，则徐大道270号伯爵山附近的跃进河已列入我司仓山龙津阳岐片区水系综合治理PPP项目内，河道治理正在实施中。针对诉求问题，我司已要求施工单位合理安排作业时间，并采取相关施工措施尽量控制噪音，以减少对市民的影响。</t>
  </si>
  <si>
    <t>跃进河何时开始整治？</t>
  </si>
  <si>
    <t>仓山区金色康城旁边的跃进河黑臭将近十年了，何时开始整治？望回复。</t>
  </si>
  <si>
    <t>跃进河前段时间对河道进行简单的垃圾清理，方案设计还在优化设计当中。目前跃进河预计年内进场动工。给您造成的不便，敬请谅解。</t>
  </si>
  <si>
    <t>跃进河什么时候治理</t>
  </si>
  <si>
    <t>跃进河治理前段时间刚来治理，把水葫芦挖走了，只做了一侧，道路另一侧依然都是水葫芦，跃进河边都是种菜施肥，晴天雨天都有臭味，另一侧跃进河什么时候来治理下？是否能做沿河的栈道，从嘉欣庭苑出去都要绕一大圈？现在新闻一直说在治理内河了，怎么这条河边一点动静都没有，怎么没有有关部门来关心一下？？？？河边上这么多违章建筑也不见清理，仓山区的效率怎么就这么慢，鼓楼、台江，甚至晋安治理河道都大踏步前进，这条河就一点动静都没有，</t>
  </si>
  <si>
    <t>仓山区盖山镇政府是懒政怠政的典型</t>
  </si>
  <si>
    <t>对部门答复不满意，可以到消防部门查看出车记录等，盖山镇政府还要懒政怠政到何时？原来通往垃圾场的铁皮门（靠近跃进河）都倒一半了，是为了应付环境检测组而修的“门”，现在跃进河又臭的要命，继续投诉，望处理。</t>
  </si>
  <si>
    <t>已派人员前往查看，未发现焚烧垃圾现象。今后，将加强巡查力度，若有发现焚烧垃圾现象将立即予以制止。若您有发现焚烧现象，可拨打盖山值班室电话：83434944进行反映，将尽快派人员到现场处理。</t>
  </si>
  <si>
    <t>跃进河治理</t>
  </si>
  <si>
    <t>跃进河治理前段时间刚来治理，把水葫芦挖走了，只做了一侧，道路另一侧依然都是水葫芦，跃进河边都是种菜施肥，晴天雨天都有臭味，另一侧跃进河什么时候来治理下？是否能做沿河的栈道，从嘉欣庭苑出去都要绕一大圈，有栈道会节省一大半时间。请问有这个规划吗？</t>
  </si>
  <si>
    <t>跃进河项目属于福州市城区水系综合治理PPP包项目，业主单位是市水务集团，目前已入场整治。诉求人询问的“另一侧跃进河什么时候来治理下？是否能做沿河的栈道”经查询业主单位，该段河道因一侧涉及部队军事地块，驳岸及河边步行道等设计方案尚未最后确定。目前正在协调近期就会动工整治。</t>
  </si>
  <si>
    <t>跃进河打通了吗</t>
  </si>
  <si>
    <t>盖山镇政府辛苦了，马上就7月份了，请问2017年上半年市政府部署的打通跃进河完成了吗？下半年治理单位能否进场施工？</t>
  </si>
  <si>
    <t>跃进河还未全线打通，已纳入水系PPP项目治理，目前正在优化设计方案，预计年内动工。</t>
  </si>
  <si>
    <t>希望整治跃进河河水黑臭问题</t>
  </si>
  <si>
    <t>现在夏天到了，我们希望能够先对河水进行除臭，以免滋生病菌，影响周边居民健康。</t>
  </si>
  <si>
    <t>跃进河纳入福州龙津阳岐水系治理PPP项目治理，中标单位正在优化设计方案，下半年即安排进场施工，要求中标单位2017年底打通主河道并消除黑臭。</t>
  </si>
  <si>
    <t>我是仓山区万科金域华府的居民，旁边是跃进河，河水又黑又臭，夏天快到了，希望相关部门能够先除臭消毒再进行治理。另想咨询政府有什么整治的计划？何时能够实施？望告知。</t>
  </si>
  <si>
    <t>根据市里水系治理安排，跃进河纳入福州龙津阳岐水系治理PPP项目治理，项目合作期15年，含2-3年建设期及12年的后期管养运营期，目前中标单位正在优化设计方案，下半年即安排进场施工。要求中标单位2017年底前先行打通主河道。</t>
  </si>
  <si>
    <t>金色康城边上跃进河做一半又停了</t>
  </si>
  <si>
    <t>金色康城边上跃进河做一半又停了，把水面上的水草水葫芦清理了，淤泥臭土裸露在空气中。就停了，现在更臭了，蚊子也更多，工人也说不做了就清理下水草，，。跃进河段已经这么多年了。。。还没处理好</t>
  </si>
  <si>
    <t>根据市里水系治理安排，跃进河纳入福州龙津阳岐水系治理PPP项目治理，项目合作期15年，含2-3年建设期及12年的后期管养运营期。目前中标单位正在优化设计方案，下半年即安排进场施工。要求中标单位2017年底前先行打通主河道。</t>
  </si>
  <si>
    <t>河面污染问题</t>
  </si>
  <si>
    <t>仓山区盖山镇高坂路金色康城与嘉欣庭苑之间的跃进河河段自从河里的水葫芦被钩走之后，河面一直飘着一股油污，又黑又臭，而且河岸边还留着一大堆的泥巴，希望相关部门尽快介入查处。</t>
  </si>
  <si>
    <t>根据市里水系治理安排，跃进河纳入福州龙津阳岐水系治理PPP项目治理，项目合作期15年，含2-3年建设期及12年的后期管养运营期，目前拆迁任务已接近尾声，中标单位正在优化设计方案，下半年即安排进场施工。要求中标单位2017年底前先行打通主河道。</t>
  </si>
  <si>
    <t>跃进支河河水非常黑，非常臭</t>
  </si>
  <si>
    <t>仓山区连江南路盖山镇金色康城旁边跃进支河河水非常黑，非常臭，臭气熏天居民无法忍受，还滋生许多蚊虫，要求政府整治。</t>
  </si>
  <si>
    <t>根据市里水系治理安排，跃进河纳入福州龙津阳岐水系治理PPP项目治理，目前拆迁任务已接近尾声，中标单位正在优化设计方案，下半年即安排进场施工。要求中标单位2017年底前先行打通主河道。</t>
  </si>
  <si>
    <t>内河恶臭蚊子苍蝇很多</t>
  </si>
  <si>
    <t>东升街道旁边跃进河前两天工程队进来做了半天为什么又停了
夏天内河恶臭蚊子苍蝇很多请有关部门监督</t>
  </si>
  <si>
    <t>仓山区东升街道旁侧的跃进河工程建设，为仓山龙津阳岐水系综合治理及运营维护PPP项目包内工程，中标单位为北京首创股份有限公司牵头的联合体，由北京市政路桥股份有限公司负责施工，该项目为市委市政府“攻坚2017”行动清单中任务，计划于2017年底完成河道基本消除黑臭的目标。东升街道南台大道（东盛花园小区西）正在整理场地、围挡搭设，目前工程正在推进阶段，我司将督促中标单位，尽快落实跃进河的建设工作。</t>
  </si>
  <si>
    <t>希望治理河道</t>
  </si>
  <si>
    <t>仓山区白湖亭万科金域华府旁边的跃进河河水非常臭，蚊虫也非常多，不知道是什么原因河边的人行道上都是水，感觉是河道里的水。河道内水莲长得密密麻麻，水根本流不动，希望相关部门介入治理。</t>
  </si>
  <si>
    <t>要求政府兑现对跃进河进行内河整治的承诺</t>
  </si>
  <si>
    <t>则徐大道旁的跃进河是条死河，臭气熏天，蚊虫又多，夏天一到更甚，跃进河两旁的小区、居民多次通过报社、12345等正规途径向相关部门反馈，要求尽快整治这条严重影响周边百姓生活的内河，去年报纸也刊登过报道，仓山区政府也承诺将在2017年底前完成治理、清淤、疏通河道等工作。就在两个月前仓山区政府也在跃进河旁搭了一个大舞台做了一个治理内河的项目（具体项目名称太长）启动形式，但项目启动了，台子一撤，就这样治理项目没影了。做为一个老百姓，我希望政府能重视生态环境的保护，老百姓的生活以及文明福州的建设，能兑现承诺，及时对跃进河进行治理。谢谢！做为一个老百姓，我希望政府能重视生态环境的保护，老百姓的生活以及文明福州的建设，能兑现承诺，及时对跃进河进行治理。谢谢！</t>
  </si>
  <si>
    <t>根据市里水系治理安排，跃进河纳入福州龙津阳岐水系治理PPP项目治理，项目合作期15年，含2-3年建设期及12年的后期管养运营期，目前拆迁任务已接近尾声，中标单位正在优化设计方案，下半年即安排进场施工。</t>
  </si>
  <si>
    <t>内河整治项目问题</t>
  </si>
  <si>
    <t>仓山区跃进河内河臭水整治项目迟迟没有如期动工，和政府报告上面写的时间完全不符，特此投诉，希望有关部门介入处理。</t>
  </si>
  <si>
    <t>跃进河已纳入福州龙津阳岐水系治理PPP项目治理，项目合作期15年，含2-3年建设期及12年的后期管养运营期。目前拆迁任务已接近尾声，中标单位正在优化设计方案，下半年即安排进场施工。要求中标单位2017年底前先行打通主河道。</t>
  </si>
  <si>
    <t>金辉伯爵山小区化生活污水何时接入东兴路污水管网？</t>
  </si>
  <si>
    <t>我就是来问问这事什么时候能完成？金辉伯爵山1000多户居然把生活污水排到跃进支河，既然政府修了东兴路，也配建了污水管网，那就要利用起来，你小区门口有污水管不接入却排到内河，这不只是金辉物业的失职，更是监管部门的失职！</t>
  </si>
  <si>
    <t>该道路已根据设计施工完毕，已为小区预留污水管口接驳点，可由小区物业进行申请接驳。谢谢！</t>
  </si>
  <si>
    <t>咨询东部指挥部和盖山镇：跃进河拆迁何时完成?</t>
  </si>
  <si>
    <t>2016百日攻坚市政府已对跃进河的整治列出时间表，要求在明年(2017)6月底前完成征迁，明年(2017)年底完成跃进河综合整治。现在距离6月底也就一个半月时间了，据仓山区建设局的反馈：目前还余高湖桥南段3户房屋未拆除。
请问跃进河整治剩余拦路虎何时拆除？6月底能完成吗？这是市政府的承诺，也是人民的期盼，谢谢</t>
  </si>
  <si>
    <t>经了解，跃进河项目历经征迁工作多年，今年来取得较大进展。目前该项目的征迁工作已进入扫尾阶段，盖山镇和东部指挥部正在全力推进剩余户的拆迁工作，预计6月底完成征迁扫尾。同时，业主单位福州市市容公司也已协调河道整治中标单位先行进场开展河道施工整治。</t>
  </si>
  <si>
    <t>万科金域华府周边内河名为跃进河。通过东部指挥部、盖山镇的努力，跃进河拆迁扫尾取得重大突破，目前还余高湖桥南段3户房屋未拆除，东部指挥部、盖山镇正在做细工作，加紧研究跃进河拆迁扫尾个案的突破，计划6月底完成全部拆迁任务。跃进河已纳入仓山龙津阳岐水系综合治理及运营维护PPP项目治理，正如诉求件中提及的该项目于3月底举行开工仪式。其中白湖亭河下游与螺洲河交界处已先行动工，跃进河涉及则徐大道路改桥工程正在排查管线并与地铁公司积极对接1号线保护方案，下半年安排进场施工，进行水质治理。方案中将建设河道两侧污水截流系统，接入周边市政管网或引入调蓄池。</t>
  </si>
  <si>
    <t>跃进河到底怎么样了</t>
  </si>
  <si>
    <t>请问，如今2017年已快过半了，为何还没见施工队进场施工，这样的效率难道就是福州攻坚2017的速度吗？</t>
  </si>
  <si>
    <t>通过东部指挥部、盖山镇的努力，跃进河拆迁扫尾取得重大突破，且跃进河已纳入仓山龙津阳岐水系综合治理及运营维护PPP项目，该项目已于2月20日开标，目前中标单位正在进行规划、设计等工作，白湖亭河下游与螺洲河交界处已先行动工。目前也已要求东部指挥部、盖山镇进一步做细工作，加紧研究跃进河拆迁扫尾个案的突破。给您造成的不便敬请谅解。</t>
  </si>
  <si>
    <t>盖山镇政府效能低下</t>
  </si>
  <si>
    <t>跃进河内河整治项目，2008年开始的整治到现在快10年了，抗战8年都结束了，地铁都通了，党委们你们知道吗？跃进河沿岸居民填河盖楼就是违法行为，按法就要强拆，还河！！！仓山区文建汽车维护部旁的桥梁桥面塌陷严重，内河臭水垃圾成堆也不管！！！效能低下！！！马真精神在吗？？？</t>
  </si>
  <si>
    <t>经了解，跃进河内河整治项目征迁工作现已进入尾声，目前仅剩余高湖段个别户数征迁工作未完成，有望在近期内实现全部交地。当前由业主市市容公司负责的新的施工队伍已准备进场。</t>
  </si>
  <si>
    <t>请处理：仓山区污水排放问题</t>
  </si>
  <si>
    <t>位于福州市仓山区万科金域华府小区旁跃进河，据说2017年3月25号将进行动工仪式，这是个大喜事，否则臭哄哄的。臭哄哄的主要原因是金辉伯爵山几千户的住户污水全往这条内河排放，地税国税那条路已修好已有排污管，烦请监管污水不要再往内河排放。</t>
  </si>
  <si>
    <t>您诉求的问题经了解：关于金辉伯爵山小区污水排放问题，主要是去年东兴路改造，将原来污水管道破坏。现因东兴路改造工程未验收污水管尚未接入，金辉物业会继续跟进直至问题解决。</t>
  </si>
  <si>
    <t>内河违建</t>
  </si>
  <si>
    <t>跃进河，盖山郭宅七星桥段有人违章在内河内建铁皮房。</t>
  </si>
  <si>
    <t>您所反映的“盖山镇郭宅七星桥段有人违章在内河内建铁皮房”的问题，我局执法人员已到盖山镇郭宅村内河周边查找，因您所诉违法建筑地址不详，我局无法找到您所反映的郭宅七星段的违建，请您指明您所反映的违建所在的具体位置、周边参照物、户主名称或附上违建所在地图、现场照片，便于我局调查处理，谢谢！</t>
  </si>
  <si>
    <t>跃进河护岸大肆砍树占地违章搭盖仓库出租获利</t>
  </si>
  <si>
    <t>福州市仓山区则徐大道344号，肛肠医院往南80米左右有家补胎店隔壁两家房东在跃进河护岸大肆砍树占地违章搭盖仓库出租获利，其中一家房东在去年国庆放假占地违建仓库出租大量堆放破旧轮胎易燃物，另外一家房东利用今年春节放假也在大肆占地违建，现在填沙铺地板瓷砖准备搭盖房子出租。破坏内河护栏开个门洞，用黑布挂在护栏遮挡隐蔽搞违建。请城管部门，园林部门及内河管理部门联合执法打击违建拆除恢复内河护岸的绿化补种树木，美化榕城做出努力。</t>
  </si>
  <si>
    <t>您反映的问题我街道城管中队已赴现场查看，现已下发责令整改通知书，将督促相关业主整改，对于其破坏绿化的行为，已转由园林部门对其通知整改。</t>
  </si>
  <si>
    <t>金辉伯爵山南侧跌进河支流改造时间</t>
  </si>
  <si>
    <t>金辉伯爵山南侧跃进河支流，现状很黑加很臭，严重影响周边小区居民日常生活，已与周边城市的发展极不相衬，投诉已多年，回复基本是拆迀末到位，现地铁都已通车，河流改造是否有个明确可行时间计划，总不能遥遥无期吧。另仓山区政府整制跃进河计划是否含了伯爵山南侧这条支流。环境整制事关民生，请相关部门重视。</t>
  </si>
  <si>
    <t>跃进河位于仓山镇、盖山镇辖区，始于霞湖村，终于浦下村，所流经区域多为城乡结合部，基础差。整治业主单位福州市市容建设开发公司，目前处于整治过程中，因其线路长，穿过的村庄多，拆迁难度大。经过努力，整治工程已过半，部分节点东部指挥部、盖山镇正加紧协调推进。另外跃进河已列入明年整治重点，根据福州市城区内涝内河治理（第一批）责任清单要求东部指挥部、盖山镇争取于2017年6月30日前完成全面交地任务，施工单位争取在2017年底前河道全线贯通、重新清淤、消除黑臭。</t>
  </si>
  <si>
    <t>不要让白湖亭河等内河污染危害人民群众的身体健康</t>
  </si>
  <si>
    <t>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请市长关注一下。谢谢！</t>
  </si>
  <si>
    <t>仓山区跃进河白湖亭段整治，因沿河两户居民房屋拆迁协议一直无法签订，致使该段截污干管无法施工。目前市政府已对跃进河的整治列出时间表，要求在明年6月底前完成征迁，明年年底完成跃进河综合整治。业主单位市市容公司已积极协调属地政府及拆迁公司拟通过司法程序完成拆迁工作</t>
  </si>
  <si>
    <t>万科金域华府市政污水管道</t>
  </si>
  <si>
    <t>该社区的生活污水全部靠小区内的一台排污泵直接抽水外排至跃进河，相关部门给的答复是这个片区没有接入市政污水管道，前几个月的一个投诉中，福州水务公司给的答复是已经建设好市政管道，可是到目前为止，该社区的污水仍然直接外排，究竟问题出在哪里？什么时候可以接入市政管道？</t>
  </si>
  <si>
    <t>根据开发商的反馈：该司将尽快对万科金域中央2#楼门口污水井进行清淤工作。有关需接驳入市政管道的建设进度问题，目前该项目正在早办排水许可手续，待办好后将接入市政管网</t>
  </si>
  <si>
    <t>万科金域华府旁跃进河治理</t>
  </si>
  <si>
    <t>这条内河已经污染很多年，每次仓山区建设局给出的反馈都是派人进行日常打捞，而最终实质问题从未改变，不知道具体后续的治理方案在哪里？</t>
  </si>
  <si>
    <t>请求生态修复跃进支河(下廉河)</t>
  </si>
  <si>
    <t>东部办公区旁边的跃进河生态修复的很美，又是撒活菌又是种绿树又是喷泉式曝气机，请将此推广到万科金域华府与正祥广场之间的下廉河，谢谢</t>
  </si>
  <si>
    <t>福州市仓山区万科金域华府周边主要河道有跃进河及跃进支河，跃进支河早期已完成整治，居民所反映的下濂河应属跃进河。跃进河属断头河范畴，已列入2017年重点整治计划，目标是2017年12月31前全线贯通，确保跃进河排水通畅。</t>
  </si>
  <si>
    <t>内河上垃圾遍布，河水发黑发臭</t>
  </si>
  <si>
    <t>仓山区鹭岭路与上渡路交叉口的台屿河该河段散发的阵阵恶臭，走近一看散发着油污和垃圾随着河水慢慢往下游流去。在建新南路旁的飞凤河在一个闸口处堆积着不少的垃圾。在仓山区则徐大道与潘墩路的交叉口的潘墩河面上被一层绿色的植物覆盖还漂浮着不少垃圾，顺着河流往下越来越茂盛，有人还在河边建起了养鸡鸭的棚子，在河道一侧就是潘墩路路人都不敢正常呼吸，虽然附近的居民多次向有关部门反映，河水发黑发臭的问题可是始终不见有人前往整治，唯一采取的措施就是在周围建起了围挡，但在解决不了根本问题！在盖山镇浦下村的跃进河边垃圾堆成了一坐坐小山，而垃圾原来所在处是一条内河河道，但被常年累积的垃圾填平了，这些垃圾的存在导致临近的河道发黑发臭，不远处就是临近的居民区有于常年没有将垃圾清理导致滋生蚊虫，在这断河道的下游长满了水葫芦，沿下游往下走河水黑的像墨汁，散发着阵阵恶臭，希望相关部门进行整治！</t>
  </si>
  <si>
    <t>福州市环卫处已针对诉求内容答复详尽，同时跃进河属断头河范畴，现已列入2017年重点整治计划，届时将进行整治工作。由于内河整治是一项庞大的系统工作，给您造成的不便敬请谅解。</t>
  </si>
  <si>
    <t>跃进支河的截污计划有没有?</t>
  </si>
  <si>
    <t>臭S了啊啊啊啊，什么时候安排截污？是截污，截污，截污！什么时候！！</t>
  </si>
  <si>
    <t>该河目前已列入黑臭水体整治名单，现正在着手拟定方案。对此，我局将持续跟踪进度，争取早日进行黑臭水体的整治。</t>
  </si>
  <si>
    <t>东兴苑/东福苑/东聚苑/东藤苑/东盛花园小区生活污水是否已接入市政污水管网？</t>
  </si>
  <si>
    <t>请问监管单位，省会福州市仓山区二环内东升街道东兴苑，东福苑，东聚苑，东藤苑，东盛花园这5个小区的生活污水(化粪池水)排放是否已接入市政污水管网？还是暂时排放跃进支河？谢谢。
若是暂时排放内河，请问何时能接入市政污水管网？谢谢您的认真调查及回复。
谢谢您能体会一个快被生活污水熏死的内河沿岸居民的痛苦。</t>
  </si>
  <si>
    <t>管网公司工作人员已于8月29日17时到达现场，经查看东升街道东兴苑，东福苑，东聚苑，东藤苑，东盛花园这5个小区已接入东园二路污水管线，该路段污水管淤积严重，现已清疏完毕。</t>
  </si>
  <si>
    <t>金辉伯爵山小区化生活污水是否已接入市政污水管网？</t>
  </si>
  <si>
    <t>请问监管单位，东升街道金辉伯爵山小区的生活污水(化粪池水)排放是否已接入市政污水管网？还是暂时排放跃进支河？谢谢。
若是暂时排放内河，请问何时能接入市政污水管网？谢谢您的认真调查及回复</t>
  </si>
  <si>
    <t>经查，该项目已办理排水许可，因办理时周边无市政污水管，项目污水经微动力处理设施处理后排放</t>
  </si>
  <si>
    <t>跃进支河截污计划何时开始何时完成</t>
  </si>
  <si>
    <t>跃进支河太臭了，河边小区化粪池水都是直排内河，什么时候这条臭水沟才能启动截污工程？我不是问黑的问题，黑就黑吧，我是投诉臭，晚上排生活污水臭，到底什么时候能解决</t>
  </si>
  <si>
    <t>跃进支河一到晚上就臭</t>
  </si>
  <si>
    <t>求政府救命</t>
  </si>
  <si>
    <t>跃进支河已完成整治。关于其黑臭，目前待其条件具备后，将列入黑臭水体的治理，以改善水质。</t>
  </si>
  <si>
    <t>跃进河，白湖亭段何时打通？</t>
  </si>
  <si>
    <t>跃进河，白湖亭段何时打通？请加快强制拆迁工作，又不下雨天，容易内涝。</t>
  </si>
  <si>
    <t>跃进河全长5920米，业主福州市市容建设开发公司，目前跃进河拆迁工作遇到较大阻力，横穿多个村庄，东部指挥部、盖山镇正在积极解决中，做细化工作，争取年内先行打通主河道。另待跃进河具备条件时同步考虑黑臭水体整治。</t>
  </si>
  <si>
    <t>福州连江南路永鸿美域园小区背后的跃进河非常脏，死水发出恶臭，什么时候解决河道问题</t>
  </si>
  <si>
    <t>则徐大道西侧正祥广场工地附近的跃进河水黑臭如墨何时治理</t>
  </si>
  <si>
    <t>则徐大道西侧正祥广场工地附近的跃进河水黑臭如墨何时治理？沿河附近的万科金域华府等小区居民每天面对黑臭如墨的跃进河困扰，希望福州市政府多多学习和取经浙江内河治理的成功做法，我们的口号生态美何时变成现实。</t>
  </si>
  <si>
    <t>跃进河全长5920米，业主福州市市容建设开发公司，目前跃进河拆迁工作遇到较大阻力，横穿多个村庄，东部指挥部、盖山镇正在积极解决中，做细化工作，争取年内先行打通主河道。另跃进河具备条件时同步考虑黑臭水体整治。给您造成的不便敬请谅解。</t>
  </si>
  <si>
    <t>金域华府污水管网问题</t>
  </si>
  <si>
    <t>之前有投诉件已经答复说市政管网已经建设完成，为何金域华府的生活污水仍然对外直排到跃进河，请问何时正式接入。</t>
  </si>
  <si>
    <t>管网公司工作人员已于6月13日9时到达现场，经查看金域华府小区污水管道未接入市政污水管道，目前已将对该片区列入由我司所属水环境公司所建设的连坂2期外管工程改造范围内。</t>
  </si>
  <si>
    <t>跃进河管网问题</t>
  </si>
  <si>
    <t>该河污染严重，请问该区域何时能接入市政污水管网，之前说的后坂污水处理厂及跃进河污染整治项目进展如何？</t>
  </si>
  <si>
    <t>台屿河</t>
  </si>
  <si>
    <t>关于投诉占道摆摊问题</t>
  </si>
  <si>
    <t>仓山区福湾新城夏雨苑小区门口的双向车道上有很多摊贩占道经营，造成早晚高峰时间段非常拥挤，台屿河桥上的客人吃完烧烤后直接将竹签等物品丢到河里面，根据内河管理条例，河道两边50米之内是不允许占道经营的。特此投诉，望处理。</t>
  </si>
  <si>
    <t>关于您反映的仓山区福湾新城夏雨苑附近占道经营的问题，我镇已派工作人员前往现场巡查，责令当事人不得占道，今后我镇将会加强该处的市容巡查。</t>
  </si>
  <si>
    <t>关于投诉占道经营问题</t>
  </si>
  <si>
    <t>福湾新城夏雨苑小区门口存在占道经营现象严重，影响车辆通行居民存在安全隐患。秋月苑跟夏雨苑中间台屿河的桥面上烧烤摊贩往河里丢垃圾，政府为了收钱不顾百姓的安危。特此投诉，希望政府部门可以暗访查处。</t>
  </si>
  <si>
    <t>关于您反映的仓山区福湾新城夏雨苑占道经营的问题，我镇已派工作人员前往现场巡查，责令当事人不得占道，今后我镇将会加强该处的市容巡查。</t>
  </si>
  <si>
    <t>台屿河公园夜间无灯光，存在安全隐患</t>
  </si>
  <si>
    <t>台屿河公园建设得很漂亮了，但夜间无灯光，行走存在安全隐患，望有关部门解决下，福湾新城很多居民夜间都从台屿河公园走去海峡奥体散步，健身，但此路无灯光，老人家眼睛看不清，草丛和沿河昏暗。</t>
  </si>
  <si>
    <t>经核实，台屿河公园内建有景观灯，因该公园景观灯电路出现问题导致无法亮灯，现已安排进场修复，预计8月30日前完成。在此期间造成的不便，敬请谅解！</t>
  </si>
  <si>
    <t>投诉公园路灯故障</t>
  </si>
  <si>
    <t>仓山区台屿河公园里的路灯现在都不亮了，对周边的居民生活造成困扰和安全隐患。特此投诉！望处理。</t>
  </si>
  <si>
    <t>经核实，台屿河公园景观灯因线路问题正在进行检修，同时安排安装电表，计划于8月20日左右完工并亮灯。给您造成不便，敬请谅解！</t>
  </si>
  <si>
    <t>台屿河步道晚间路灯不亮</t>
  </si>
  <si>
    <t>位于福湾小学旁边的台屿河两边步道，晚间路灯均不亮。现在天气热，晚上很多人散步，存在不便及安全问题。</t>
  </si>
  <si>
    <t>经核实，台屿河公园景观灯因线路问题造成景观灯缺亮，现已安排进行检修，计划于7月30日前修复完成并亮灯。由此带来不便，敬请谅解！</t>
  </si>
  <si>
    <t>台屿河花溪河等最近有黑浊臭了</t>
  </si>
  <si>
    <t>台屿河花溪河等最近有黑浊臭了，前几个月还是非常的好。前两周开始有些地方排污进来都是黑水又臭又腥，请问这些是什么排污口，我们内河允许排污吗？我们生活污水平常是流到哪里，又是怎么处理的，是不是最终也都去了内河，然后再到闽江乌龙江里？我们小市民没文化，就朴素的想想每天几百万人产生的生产生活污水都去了哪，福州有几个污水处理厂，都是在哪里，平时都是怎么处理污水的，毕竟我们每用一吨水都是交了污水处理费的，我们有权知道这些污水处理厂在何方，又是怎么工作的。我们的内河不能总靠运动式的整治，不能每次总靠抽闽江的水来冲刷换血，应该形成一个独立运行能够自行拥有一定自洁能力的大水网。所以请有关专家回答上述疑问，并恳请相关部门加大源头查排污，河河之间尽量多多并网加大流域，河外绿岛公园，河里大量投放各种鱼苗，让鱼多起来，让大家去钓鱼游玩，增强民间爱钓鱼人士主动加入举报排查偷排放，哪一天大家都敢吃内河的鱼就说明我们治理真的能长治久安了。当然目前我们总体还是在进步，内河治理美化都做得很好，希望能再接再厉，加油！</t>
  </si>
  <si>
    <t>1、平时居民的生活污水通过污水管道流入污水处理厂，经过污水厂处理，水质达标后排入河道。
2、部分居民污水未接入市政污水管网，而是混流接入雨水管网排河，故内河整治在沿河两岸建设截流井，晴天时，将污水收集后接入调蓄池，抽排至市政管网。
3、因近期雨季来临，雨天时为做好防涝工作，故将台屿河截流井排口打开，混流水（雨水+污水）直接排河，导致河道水质受到影响。
4、河道通过常水位（景观水位）控制，水闸和补水泵站联合调度保证达到景观水位，同时纳潮会有生态鱼群洄游现象，并非通过投放鱼苗。</t>
  </si>
  <si>
    <t>投诉臭气扰民问题</t>
  </si>
  <si>
    <t>投诉仓山区奥体附近有一个台屿河公园里有一条河，今天污水很多又脏又臭，臭气扰民严重。特此投诉，望处理。</t>
  </si>
  <si>
    <t>我司工作人员已到达台屿河公园，该公园内河水质正常，未发现黑臭（附图），建议诉求人提供具体位置及其他详细信息，以便我司水系工作人员核查。感谢您的关注与监督！</t>
  </si>
  <si>
    <t>台屿河上渡段的污水口问题</t>
  </si>
  <si>
    <t>台屿河综合治理工程已将该排口进行治理，并接入沿河新建的截流井，但因目前正在进行截污管道CCTV检测，待6月底检测完成后，即可对该排口进行封堵，接入截流井输送至污水厂。</t>
  </si>
  <si>
    <t>公园夜间施工扰民，噪音严重影响休息</t>
  </si>
  <si>
    <t>福湾新城夏雨苑旁边的台屿河整修修建的污水处理房，最近几天每天夜里施工，机械施工的噪音大到严重影响我们休息时间，现在是00:28，楼下依然还在作业，不仅如此，大功率的灯昼夜亮着。什么工程，每天都选在半夜施工。噪音真的快让我奔溃了。难道就没有人管管吗</t>
  </si>
  <si>
    <t>我镇已派工作人员前往查看，到现场巡查时，未发现该处噪音源。</t>
  </si>
  <si>
    <t>台屿河公园两边步道路灯不亮问题</t>
  </si>
  <si>
    <t>仓山区台屿河已经做好，台屿河公园两边都是步行道，可是路灯三天两头不亮，晚上黑乎乎的，只有验收的时候会亮其他时候都不亮，特此反映！要求每天晚上准时亮灯。</t>
  </si>
  <si>
    <t>经排查施工过程发现该路段电缆近日多次被盗取，现已修复完成，望理解。</t>
  </si>
  <si>
    <t>洋洽新村4、5号楼拆迁问题</t>
  </si>
  <si>
    <t>关于你诉求的洋洽新村现无拆迁计划。谢谢。</t>
  </si>
  <si>
    <t>福湾新城夏雨苑旁边台屿河施工工地，已经凌晨1:13分还在施工，噪音扰民严重。特此投诉！望处理。</t>
  </si>
  <si>
    <t>我局执法人员于2018年5月11日01时52分到现场查看，未发现施工。今后我局将加强对该工地的日常巡查，发现违规施工现象将依法予以查处。若市民发现施工扰民行为，请拨打24小时投诉电话12345，我局在收到举报后将第一时间调派执法人员前往查处。</t>
  </si>
  <si>
    <t>台屿河改造透浦村村道破坏道路，积水严重，无法出行</t>
  </si>
  <si>
    <t>台屿河改造，秋月苑往透浦村临时便桥位置施工单位修便道，把原来的村道破坏，导致积水严重，一到下雨天积水严重无法出行，请挖个排水沟，把积水排除</t>
  </si>
  <si>
    <t>针对透浦村路面积水的信访件，我司已现场查看，现反馈如下：此段为透浦村泥土村道，原先就存在坑洼不平，并无排水系统，且路段车辆较多，下雨后难免会有积水，我司已督促施工单位对路面积水开沟引走，不平道路要求尽快的修复。给您带来不便敬请谅解！</t>
  </si>
  <si>
    <t>福湾新城夏雨苑旁边台屿河现在已经晚上十二点半还在施工，之前都是通宵施工，我建议晚上十点后不要施工，请有关部门处理。</t>
  </si>
  <si>
    <t>关于件中反映仓山区福湾新城夏雨苑旁边台屿河夜间施工噪音扰民的问题，我局执法人员联合建新镇城管办于2018年4月24日23时10分到现场查看，执法人员立即责令施工方停止扰民作业行为，晚上二十二时至次日六时禁止施工，合理安排施工时间。若市民再次发现夜间施工扰民行为，请拨打24小时投诉电话12345，我局在收到举报后将第一时间调派执法人员前往查处。</t>
  </si>
  <si>
    <t>台屿河联建段开挖管道无喷淋，扬尘大，土方裸露</t>
  </si>
  <si>
    <t>2018.4.16台屿河联建段开挖管道无喷淋，扬尘大，土方裸露。</t>
  </si>
  <si>
    <t>接到诉求件后，福州市建筑文明安全监察站立即督促施工单位对诉求中不文明行为进行整改，现已整改</t>
  </si>
  <si>
    <t>内河整治工程半夜施工扰民</t>
  </si>
  <si>
    <t>仓山区夏雨苑B区旁边的台屿河内河整治工程晚上11点55分还在施工，经常都是晚上11点开始施工到凌晨一两点，白天都不怎么施工，特此投诉，望处理。</t>
  </si>
  <si>
    <t>关于仓山区夏雨苑B区旁边的台屿河内河整治工程夜间施工扰民问题，我局执法人员于2018年4月17日22时56分到现场查看，此处为盘屿河内河，已对该工地施工单位下发询问调查通知书，并责令该工地施工单位停止噪声扰民行为，晚上二十二时至次日六时禁止施工，合理安排施工时间。若市民再次发现夜间施工扰民行为，请拨打24小时投诉电话12345，我局在收到举报后将第一时间调派执法人员前往查处。</t>
  </si>
  <si>
    <t>建新镇福湾路长埕村台屿河现在已经晚上十点半还在施工，这几天都是施工到凌晨三四点，噪音严重影响周边居民休息，请有关部门尽快处理。</t>
  </si>
  <si>
    <t>台屿河长埕村段现正在进行河道景观建设，市政府为提升此地段生态环境、土地资源价值、造福市民，特将此景观点作为重点景观工程建设，并以4月30日为节点进行关注督办。根据福州市人民政府专题会议纪要【2017】344号文件，在保障文明施工的前提下，原则同意PPP中标单位适当组织夜间施工安排。近2个月内偶尔会有半夜进行施工，我司已要求施工单位进行作业整改，尽量把噪音减至最低，期间给广大居民带来不便，我司深感抱歉。希望广大居民给予谅解和支持，携手共创一个优质舒适的生活环境。</t>
  </si>
  <si>
    <t>希望相关部门介入处理</t>
  </si>
  <si>
    <t>投诉仓山区福湾路和盘屿路交叉口的工地，分别是台屿河清淤工程和檀府售楼部开挖工程，渣土车开出来，没有做任何处理，地面上都是灰尘和泥土，一点防尘措施都没做，希望相关部门介入处理。</t>
  </si>
  <si>
    <t>我镇已要求该路段沿线工地做好净车出场，保障工地出口周边卫生环境整洁。</t>
  </si>
  <si>
    <t>投诉建新镇城管办不作为</t>
  </si>
  <si>
    <t>建新镇福湾小学旁边的台屿河整治工程这两个月以来都施工到半夜，现在凌晨12点25分两架大型钩机还在挖土，两台大型渣土车还在运土，渣土车都没净车出入场整条玉兰二路都是渣土，建新镇城管办不作为许多居民多次诉求都没有解决问题，特此投诉，望相关部门介入处理。</t>
  </si>
  <si>
    <t>关于件中反映仓山区建新镇福湾小学旁边的台屿河段夜间施工噪音扰民的问题,我局执法人员于2017年12月5日23时41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</si>
  <si>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建新镇福湾小学旁边的台屿河段现在已经晚上十二点多还在施工，两台挖掘机和三两渣土车在施工，噪音影响周边居民休息，请有关部门处理。</t>
  </si>
  <si>
    <t>关于件中反映仓山区建新镇福湾小学旁边的台屿河段夜间施工噪音扰民的问题,我局执法人员于2017年12月1日22时38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</si>
  <si>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仓山区建新镇福湾小学旁边的台屿河段，最近每天晚上有人通宵施工，而且施工还把福湾小学大门口的路面压坏，希望部门尽快处理。</t>
  </si>
  <si>
    <t>关于件中反映仓山区建新镇福湾小学旁边的台屿河段夜间施工噪音扰民的问题，我局执法人员联合建新镇城管中队于2017年11月30日0时10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</si>
  <si>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台屿河改造，村道被施工车辆损坏严重</t>
  </si>
  <si>
    <t>建新镇，台屿河河道清淤，透浦村段工地，每天都有重型工程车辆进出秋月苑通往透浦村的村道，致使村道道路破坏严重，天晴尘土飞扬，雨天道路泥泞村民出行难，请施工方及时修补破坏的道路，晴天请派清洗车清洗路面，请不要在凌晨打桩施工，影响休息。</t>
  </si>
  <si>
    <t>关于您诉求的问题，我镇已联系台屿河河道清淤透浦村段工地负责人，并督促其施工要尽量减少对周边居民影响。同时我镇已通知业主单位和施工方及时修补道路，并对路面进行清洗，恢复道路本来面貌。</t>
  </si>
  <si>
    <t>投诉噪音扰民问题</t>
  </si>
  <si>
    <t>仓山区建新镇福湾小学隔壁台屿河工地，我在11月6日有反映过关于噪音扰民这个问题，当时有城管在11月7日凌晨过去查看，8、9号没有通宵打桩了，但是昨天还是在通宵打桩，影响周边居民休息，希望有关部门介入处理。</t>
  </si>
  <si>
    <t>关于件中反映仓山区建新镇福湾小学隔壁台屿河工地夜间施工噪音扰民的问题，我局执法人员于2017年11月11日02时28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</si>
  <si>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仓山区福湾新城保障房小学背后台屿河正在进行改造，有的时候会施工到半夜，噪音严重扰民，特此投诉，望相关部门介入处理。</t>
  </si>
  <si>
    <t>关于件中反映仓山区福湾新城保障房小学背后台屿河夜间施工噪音扰民的问题,我局执法人员于2017年11月9日3时43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</si>
  <si>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投诉仓山区福湾小学台屿河道整治工地，他们晚上经常施工到十一二点，噪音很大声，严重扰民，特此投诉，希望有关部门介入处理。</t>
  </si>
  <si>
    <t>关于件中反映仓山区福湾小学台屿河道整治工地夜间施工噪音扰民的问题，我局执法人员于2017年11月7日3时38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</si>
  <si>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再次质疑市政规划的合理性！</t>
  </si>
  <si>
    <t>根据以上两个部门的回复，洋洽新村4.5两幢离目前建成台屿河岸不足6米。这就意味着洋洽新村4.5两幢就在拆迁范围之内，同时仓山区水系综合指挥部也下达相关文件，那为何上渡街道任没有接到议案的相关信息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t>
  </si>
  <si>
    <t>关于洋洽河规划问题目前已正在组织设计单位优化设计方案，同时也我局也已建议方案通过工程技术等手段避开建筑物。</t>
  </si>
  <si>
    <t>台屿河何时绿水青山？</t>
  </si>
  <si>
    <t>近来省市两级政府对环境污染进行大力整顿，仓山区建新镇福湾新城台屿河垃圾成堆，严重堵塞，该河连接闽江入口处，同时连接海峡奥体，周边有好几万户居民入住，严重影响居民的正常生活和工作，以及身心健康，就此事希望仓山区环保局、建设局、建新镇到现场实地考察，请政府部门给个治理时间表。</t>
  </si>
  <si>
    <t>台屿河玉兰路段施工单位已进场围挡施工，争取2017年底前打通河道。谢谢。</t>
  </si>
  <si>
    <t>FZ16100800318的回复极其不满意</t>
  </si>
  <si>
    <t>“该河道为台屿河，台屿河奥体周边河段已完成整治”，你汗颜么？你们是摸着良心在回答认真对待信访工作么？为什么竟然已经完成整治了，该河道出现的问题，发黑发臭，向墨水一样？请你们给出从接到信访件之后，你们实际是否有无出勤现场的考察记录？已经具体的时间！信中已经说得很明确了，不要拿其他河道来说事，竟然你们又拿其他河道来说事，那么就请你们认真说，仔细说，说个清楚，说个明白，其他河道具体的时节安排节点是什么时候，我想你们报个市政府的计划，都不敢这样写，你们怎么就敢这样对待养你们的人民，昨晚CCTV还播出了，永远在路上，不要人心向背了。新来的书记，环境专业出身，你们不要也弄出10.7书记检查老药洲时候的笑话了。市长信箱无法解决，还有省长信箱，还有我对总理有话说等渠道。请你们记住，你们是为人民服务，不是人民找你们。请尽快解决此问题，要是还是这样的答复，就不要答复了。</t>
  </si>
  <si>
    <t>奥体飞凤河于2015年10月完成整治，整治业主单位福州市市容建设开发公司，目前尚未移交，下步会联系业主单位前往进行河道日常保洁，会合相关部门早日移交管理。</t>
  </si>
  <si>
    <t>福湾新城段的台屿河什么时候开始修建？</t>
  </si>
  <si>
    <t>福湾新城段的台屿河什么时候开始修建？目前整个河道都是杂草丛生、淤泥污水积聚、蚊虫滋生，与奥体周边优美的环境格格不入。该处无需拆迁，为什么还未启动建设呢?</t>
  </si>
  <si>
    <t>台屿河奥体周边河段已完成整治，台屿河北段还余建平村段、洋洽旧改段正在施工，福湾新城的台屿河南段（东岭路至流花溪段）正在办理前期手续。</t>
  </si>
  <si>
    <t>阳岐河</t>
  </si>
  <si>
    <t>东岭路靠近财贸城旁边的阳岐河水非常臭，影响市容市貌，希望政府相关部门尽快整治</t>
  </si>
  <si>
    <t>诉求内容涉及我司包5水系白湖亭河治理工程。由于上游阳岐三环外施工期断水施工导致水质反复，预计8号可恢复水质，给您带来的不便敬请谅解，感谢您对水系治理项目的关注与监督！</t>
  </si>
  <si>
    <t>关于投诉河道安全隐患问题</t>
  </si>
  <si>
    <t>仓山区东临路到阳岐支路的阳岐河未有围挡，今天有小孩落水溺亡，存在严重的安全隐患。特此投诉！望相关部门重视处理。</t>
  </si>
  <si>
    <t>诉求位置属水系治理阳岐河，目前河道绿化景观施工已全面完成，根据设计要求，河道两边均已绿化种植作为河岸景观，不在另设防护栏。您在诉求件中描述的小孩溺亡事情，项目部未收到过任何相关信息，如您有异议，请联系项目部工作人员（金工：15005997395），进行咨询。</t>
  </si>
  <si>
    <t>关于投诉噪音扰民问题</t>
  </si>
  <si>
    <t>仓山区盖山镇阳岐河85水系项目夜间还在施工，噪音扰民，严重影响到附近居民的休息。特此投诉！望处理。</t>
  </si>
  <si>
    <t>经核实，盖山镇阳岐河水系项目已要求施工单位组织好施工，合理安排施工时间，加快施工进度，尽量减少对周边居民的影响，预计11月底完工。给您带来的不便敬请谅解，也请理解与支持水系治理工作。</t>
  </si>
  <si>
    <t>福州市仓山区南二环路阳岐河臭味很重</t>
  </si>
  <si>
    <t>您好，阳岐河这边是一个河道公园，我们走在路上的时候经常看到污水排出来，下雨后臭味熏天，有关能不能整改一下。</t>
  </si>
  <si>
    <t>经核实，诉求位置属于水系治理阳岐河道管理范围，现准备进入河道收尾阶段工作，由于河道需低水位施工，河道整体未进行补水流通，待收尾工作完成，将恢复河道正常水质，预计于6月30日完工。给您造成不便敬请谅解。也请理解和支持水系治理工作！</t>
  </si>
  <si>
    <t>仓山区齐安村阳岐河</t>
  </si>
  <si>
    <t>夏天一到，位于南二环旁得中国航油段阳岐河臭味扑鼻而来，河道淤泥非常多，影响居民日常生活，望有关部门处理解决，谢谢。</t>
  </si>
  <si>
    <t>经核实，诉求位置属于水系治理阳岐河道管理范围，现准备进入河道收尾阶段工作，由于河道需低水位施工，河道整体未进行补水流通，待收尾工作完成，将恢复河道正常水质，预计6月30日完工。给您造成不便，敬请谅解！</t>
  </si>
  <si>
    <t>反映偷卸渣土</t>
  </si>
  <si>
    <t>反映有人在仓山区阳岐河水系工地偷卸渣土，情况已经持续1、2天了，希望有关部门介入调查。</t>
  </si>
  <si>
    <t>你反映的仓山区阳岐河水系工地问题，我局执法人员于2019年12月9日12时49分到现场查看，阳岐河属于仓山龙津阳岐水系，全长4.45公里，北起南二环齐安村，流经阳岐村，请诉求者指名具体阳歧河河段施工地以及具体偷倒时间段，以利我局查处。</t>
  </si>
  <si>
    <t>阳岐河水系治理</t>
  </si>
  <si>
    <t>阳岐河水系治理已一年有余，河水质量一直未有大的改善，整天就是在未迎接领导检查而整改，最近几天河水质量直线下滑，变成最初的黑臭水体，气味难闻，令人作呕！</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</si>
  <si>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</si>
  <si>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阳岐河整治工程致使几十户村民家被淹！</t>
  </si>
  <si>
    <t>我们家位于长埕路阳岐河段旁边（圆方物流旁边），这一片属于低洼地带，然而阳岐河整治工程把我们唯一的雨水排水口给堵住了，致使今年一下大雨屡屡被淹，附近几十户村民受到影响，苦不堪言，甚至大半夜起来抽水，然而却起不到作用，我们的房子都被雨水浸泡的发臭发霉!接下来台风雨水天更多，请河道相关人员把我们雨水排水口敲掉，让雨水有地方排出去！本人联系电话13625045181</t>
  </si>
  <si>
    <t>经现场核实该处地势较低，同时该处的排口属于雨污水混流，所以根据设计及市建设局要求对该排口进行封堵后接入新建的截污管道内，由于该处属于市政管道截污系统的末端，暴雨天气各处雨水汇合致使瞬间水流量大，才导致内涝情况发生。鉴于该情况，我司已要求水环境公司在今后的暴雨来临前应积极响应福州市联排联调发布的暴雨天气防洪排涝预警信息，提前准备好相关排涝措施，防止内涝，同时也会配合其他单位进行防汛工作。由于防汛响应不及时，影响到您及周围居民出行，我司深表歉意！同时暴雨天气有任何突发事件可联系水环境公司现场负责人（赵工：157-1132-0098）进行处理。</t>
  </si>
  <si>
    <t>仓山区龙津河阳岐河双湖新城二区与四区之间路段，河道施工已久，到现在二区沥青路面未完成，四区绿化、路面及景点还未施工。河道流水未畅通，臭气冲天，严重影响双湖新城小区居民呼吸空气。
感谢***心系民生，指示“让天更蓝山更绿水更清”，福州市领导对福州生态文明建设高度重视。
希望相关部门领导对此引起重视，督促该项目对存在问题整改，快点完成双湖新城河道两岸的河、道及绿化、景观工程，请告知市民完成时间点。</t>
  </si>
  <si>
    <t>经查，仓山区双湖新城河道是跃进河，目前已完成沿河截污管网的建设，正在进行河道清淤，沿岸绿化景观的施工，预计9月底项目完工。我局将督促项目公司北京首创按照工程时序安排施工，尽快完工</t>
  </si>
  <si>
    <t>道路坑坑洼洼严重影响车辆出行</t>
  </si>
  <si>
    <t>由于近期阳岐河水系治理导致仓山区建新镇阳岐路往三环辅路交叉口的道路坑坑洼洼，严重影响车辆出行。特此投诉，望相关部门介入处理。</t>
  </si>
  <si>
    <t>水系项目方已与市政管理处现场对接，目前正按市政管理处的整改意见整改，计划3月底整改完成，并于整改完成后与市政管理处办理相关的移交手续。相关进展事宜可联系水系现场负责人刘工：（180-5077-6335）。由于现场施工给您及周围的通行人员造成不便，我司深表歉意！</t>
  </si>
  <si>
    <t>阳岐河整改</t>
  </si>
  <si>
    <t>阳岐河整改本来是件好事，但是工程队把人家家门口弄的很乱，土尘很多，关键一点把居民楼墙面弄裂了，我们找工程队商谈，他们居然不管不问。求解决</t>
  </si>
  <si>
    <t>阳岐河已列入仓山龙津阳岐片区水系综合治理PPP项目由我司负责整治。接到诉求后，我司已要求施工方立即整改，在各在建工地定期安排清理和洒水，若未整改到位将对其加以处罚。后续我司也将持续督促其做好抑尘管理，强化抑尘措施。
另，市民提及的影响楼面问题，因位置不明，无法进一步核查，建议请市民提供现场图片、定位及联系方式等，以便我司进一步安排查看。</t>
  </si>
  <si>
    <t>政府内河改造不当造成我司内涝</t>
  </si>
  <si>
    <t>我是福州住电装有限公司，前段时间水务处在对阳岐河内河整治改造时，施工方北京市政路桥公司将我司的三条雨水管道封堵（我司的雨水管排放是通过规划验收）。使我司有两个车间进水被淹，导致我司有部分部品被淹，成品不能正常出口。我司曾多次和施工方交涉，无果。</t>
  </si>
  <si>
    <t>阳岐河已列入仓山龙津阳岐片区水系综合治理PPP项目由我司负责整治,但我司河道整治期间未擅自封堵雨水口，改造的均是违章排污口。诉求管道问题，建议市民联系我司河道负责人（联系人：张总，联系电话：13401026287）再次现场核查解决。</t>
  </si>
  <si>
    <t>长埕路旁的阳岐河施工粉尘严重影响老百姓生活</t>
  </si>
  <si>
    <t>长埕路旁沿着阳岐河到圆方物流的这段路上，因为河道施工，路上都是粉尘，车子经过，黄土漫天，严重影响到周边群众生活，老人小孩特别容易患上呼吸道疾病。而且河道断断续续施工，每次施工完都停很久，路上都是泥土没人管理。只有当每次领导来检查时候，才清扫路上的泥土。河道整治本来是利民，但是不负责任的施工使附近民众苦不堪言。请相关部门做好路面清扫工作，真正做好环保来！</t>
  </si>
  <si>
    <t>阳岐河已列入仓山龙津阳岐片区水系综合治理PPP项目由我司负责整治。接到诉求后，我司已要求施工方立即整改，定期安排清理和洒水，若未整改到位将对其加以处罚。后续我司也将持续督促其做好抑尘管理，强化抑尘措施，感谢市民的关注与监督。</t>
  </si>
  <si>
    <t>仓山区盖山镇阳岐河施工工地晚上通宵作业，特此投诉，希望有关部门介入处理。</t>
  </si>
  <si>
    <t>我局执法人员于2018年5月22日01时23分到现场查看，未发现施工。今后我局将加强对该工地的日常巡查，发现违规施工现象将依法予以查处。若市民发现施工扰民行为，请拨打24小时投诉电话12345，我局在收到举报后将第一时间调派执法人员前往查处。</t>
  </si>
  <si>
    <t>阳岐河靠近东岭路附近的河道两侧为什么还没有拆除干净呢？</t>
  </si>
  <si>
    <t>阳岐河整治2017年就该验收了。可靠近东岭路幼儿园附近的河道为什么两侧还没有拆除干净呢？阳岐河到底什么时候能还我们一个干净优美的河水呢？请问此河的河长是谁是否该负起责任呢？还是该追究责任呢？</t>
  </si>
  <si>
    <t>经了解，待电力部门线路断电后，即可实施拆除。</t>
  </si>
  <si>
    <t>垃圾很多无人管理</t>
  </si>
  <si>
    <t>仓山区阳岐河垃圾很多，无人管理，特此投诉，望处理。</t>
  </si>
  <si>
    <t>阳岐河目前已列入龙津阳岐水系综治运营PPP项目中，部分段已着手开始整治，给您造成的不便，敬请谅解。谢谢。</t>
  </si>
  <si>
    <t>阳岐河问题（加急）</t>
  </si>
  <si>
    <t>阳岐河政府部门到底有没有计划整治？前段时间还说进场施工了，为何到现在还没有看见施工人员？松树倒在江边两年也没有处理，天气炎热，阳岐河污染更严重，还有阳岐河中间的午桥也没有修复，这午桥属于文物保护，污水也没有地方排，特此投诉！要求把阳岐河列入重点整治对象，到底何时对阳岐河进行整治？要求给个具体时间表。</t>
  </si>
  <si>
    <t>根据市里最新的水系治理计划安排，阳岐河纳入福州仓山龙津阳岐水系综合治理及运营维护PPP项目，引进实力强、技术水平高的央企和大型国企，把内河建设和管理工作有机结合起来。目前中标单位正在优化设计，方案中会优先在河道两侧建设贯通全河道的末端污水截流系统，把内河生活污水引入调蓄池，处理达标后再排入河道。请市民耐心等待，下半年即安排进场进行全面、系统的治理。</t>
  </si>
  <si>
    <t>阳岐河问题</t>
  </si>
  <si>
    <t>仓山区盖山镇上岐村1号阳岐河污水非常臭，仓山区区领导和我说马上办，请问办了没有？阳岐是严复的故乡，希望相关政府尽快改造。</t>
  </si>
  <si>
    <t>根据市里最新的水系治理计划安排，阳岐河纳入福州仓山龙津阳岐水系综合治理及运营维护PPP项目，引进实力强、技术水平高的央企和大型国企，把内河建设和管理工作有机结合起来。，目前中标单位正在优化设计，方案中会优先在河道两侧建设贯通全河道的末端污水截流系统，把内河生活污水引入调蓄池，处理达标后再排入河道。请市民耐心等待，下半年即安排进场进行全面、系统的治理。</t>
  </si>
  <si>
    <t>双湖新城一区与二区之间流经龙津河与阳岐河，但自小区开始建设就成死水臭水沟，严重影响居民生活及奥体配套保障房环境。2017年市委书记及市长响应习总号召为民办实事对福州内河整治美化生活。请福州市及仓山区政府及相关部门重视双湖新城保障房配套建设，尽早整治双湖新城周边污水河问题。
同时福州要建成美丽的大福州，大量市区居民拆迁搬到双湖新城，请政府加快双湖新城周边的道路建设并通公交，方便市民出行！
感谢各级领导关心并大力支持奥体配套保障房的建设！</t>
  </si>
  <si>
    <t>我是仓山区盖山镇上岐村1号的老兵，阳岐河的河水变得乌漆墨黑的，下雨天后，味道飘出来，很臭，因为阳岐河被污染，导致周边居民的身体出现不同的症状，而且我们这边几个村庄生活用水都是这条河的，因为福湾工业进来，导致阳岐河的污染。阳岐河是严复的故乡，这里是宝地，政府要保护好这里环境，阳岐河应该要列为国家保护对象。我四月份的时候参加扫完墓后会到北京将这件事进行信访，希望部门尽快将河道进行清理整治。</t>
  </si>
  <si>
    <t>根据市里最新的水系治理计划安排，阳岐河纳入福州仓山龙津阳岐水系综合治理及运营维护PPP项目，引进实力强、技术水平高的央企和大型国企，把内河建设和管理工作有机结合起来。项目包已于2月20日开标，福州市水务投资发展有限公司作为政府出资方代表和业主单位，中标单位为北京首创股份有限公司，目前正在规划、设计等工作，安排4月份进场。通过河道内外源污染控制、水体生态系统基础的构建和恢复以及长期水质在线监测系统等改善水质，2017年底前先消除黑臭水体。项目合作期15年（含建设及后期运营管养）。</t>
  </si>
  <si>
    <t>我是盖山镇上岐村1号的居民，我家住在阳岐河附近，阳岐河臭水问题还没有解决，阳岐河是严复的故乡，这里是宝地，政府要保护好这里环境，阳岐河应该要列为国家保护对象。政府官员有没有为民办实事？希望引起市领导重视。希望政府尽快处理此事。</t>
  </si>
  <si>
    <t>阳岐河已列入整治计划，已经启动前期相关报批手续，明年（2017年）可动工。同时阳岐村专项提升整治和保护建设方案也正在进一步研究完善中，届时环境将得到大大改善。</t>
  </si>
  <si>
    <t>阳岐河边步行道有人放养家禽</t>
  </si>
  <si>
    <t>仓山区东岭路与阳岐路交叉口的阳岐河边有人放养家禽。根据相关法规，内河管理范围之内明令禁止放养动物。
林先生说，去年，东岭路与阳岐路交叉口的阳岐河改造，修建了整洁干净的步行道。大约半年前，有人在河边放养鸡鸭。“河水被污染了，夏天时更是臭气熏天，吸引来大量蚊蝇。”林先生希望有关部门能对此进行处理。
昨日下午，记者来到现场，刚一靠近步行道，就闻到令人作呕的气味。当时，步行道上有一二十只鸡，吃的是周边饭店丢弃的食物残渣，周边有一个小垃圾堆，部分垃圾掉入内河中。附近居民说，他们曾就此事向有关部门反映过，但一直没有得到妥善处理。</t>
  </si>
  <si>
    <t>我所已安排人员及时对其进行劝导、制止，并将家禽收走，清理了垃圾，还内河原貌。希望东兴村村委配合做好该村民思想工作，不要破坏内河环境。我所也将继续监督和加强保洁。</t>
  </si>
  <si>
    <t>阳岐河污染严重</t>
  </si>
  <si>
    <t>这个问题要引起重视，这几年的回复都是骗人的。答复说2017年动工，可现在一点动静都没有，难道要我们死掉之后才能动工？希望清理一下阳岐河。 </t>
  </si>
  <si>
    <t>我是仓山区盖山镇上岐村1号的老兵，由于2006建造福湾工业区，阳岐河就被污染变成垃圾河，希望相关部门尽快介入处理。</t>
  </si>
  <si>
    <t>阳岐河已列入整治计划，已经启动前期相关报批手续，2017年可动工。同时阳岐村专项提升整治和保护建设方案也正在进一步研究完善中，届时环境将得到大大改善。</t>
  </si>
  <si>
    <t>阳岐河黑臭，影响乌龙江水质</t>
  </si>
  <si>
    <t>阳岐河受餐饮污水、生活废水等多重污染影响，阳岐河愈发黑臭。阳岐河的污水最终流入乌龙江，会影响下游义序水厂水源地。海峡都市报、福州晚报2015年就已经报道过阳岐河受污染的问题。市民希望市长认真处理</t>
  </si>
  <si>
    <t>我是仓山区盖山镇上岐村1号陈友文，几年前仓山区福湾阳岐河改造内河，臭气熏天污染水源，导致周边居民健康问题存在隐患，反映多次都无人处理，都是忽悠、敷衍，如再次不重视我就会继续上访，希望有关部门尽快介入处理。</t>
  </si>
  <si>
    <t>仓山区福湾阳岐村阳岐河污染严重，夏天就要到了，死鸡死鸭堆在树边上，臭气熏天污染水源。请有关部门尽快处理，</t>
  </si>
  <si>
    <t>您所反映死鸡死鸭堆在树边问题，我镇领导非常重视，立即联合上岐村干部进行处理，现已处理完毕。谢谢。</t>
  </si>
  <si>
    <t>阳岐内河</t>
  </si>
  <si>
    <t>福州市仓山区盖山镇上岐村阳岐内河改造什么时候开始？我从去年开始一直投诉，但政府相关部门一直在说会进行改造，但一直没有下文。自从工业区建完之后整条内河都被污染，臭气熏天。河边百年老松树倒下都没有人来处理，去年洪水死鸡死鸭堆在死树边上，臭气熏天污染水源。这件事情已经很久了都没有人来处理，是否可以认为政府相关职能部门不作为？请相关部门尽快处理内河污染问题，还百姓一个清新的环境。我们村有文物重点保护单位，常常有外地游客来参观，这里也是福州的一个名片，放置不理会损害福州的形象，请尽快进行处理。</t>
  </si>
  <si>
    <t>阳岐河现状存在的问题我区已提交福州市内河指挥部，并已设定并入阳岐河与跃进河连接段整治总盘进行清淤。由于内河整治是一项大型系统工程，需要按计划循序渐进，方可更科学更有效的进行整治。
目前，业主单位已委托市规划设计院进行工程可行性的编制工作，并争取明年初进场施工。</t>
  </si>
  <si>
    <t>飞凤河</t>
  </si>
  <si>
    <t>飞凤河臭气熏天</t>
  </si>
  <si>
    <t>飞凤河臭气熏天，污水横流，滋生蚊虫，严重影响奥体附近的市容市貌，有碍观瞻。</t>
  </si>
  <si>
    <t>飞凤河目前已纳入PPP项目，预计在年内动工，并预计建设周期2至3年。给您造成的不便敬请谅解。</t>
  </si>
  <si>
    <t>金康路飞凤河臭气冲天</t>
  </si>
  <si>
    <t>位于金康路，金康幼儿园旁边的飞凤河，边上挂了好多标语，什么整治内河，蓝天绿水，可是河水仍然臭气冲天，水是浑浊的黄绿色，不说边上的居民受不了，边上还有个幼儿园，让孩子们每天闻着臭水沟的味道上课吗。每天路过闻到都想吐，请问什么时候可以治理好，有没开始着手治理？</t>
  </si>
  <si>
    <t>仓山区金山金康路边的河道系洋洽河，已列入今年水治理项目，目前已入场整治进行沿河截污系统改造，业主单位是市水务集团，计划年底完成</t>
  </si>
  <si>
    <t>奥体内河长期无人管制</t>
  </si>
  <si>
    <t>奥体路内河长期无人治理，剧了解该河段属于中建海峡公司，飞凤河等新建河道是市容公司负责。对此表示非常愤怒，长期无人治理，河道每天有大量垃圾。臭气熏天。请责任单位落实长期管理，或者公布受理电话！</t>
  </si>
  <si>
    <t>案件中提到的飞凤河治理，市容公司只是负责其中一段河道工程项目。市容公司工作人员到其负责的建设的河段查看，未发现案件中所提到的问题。鉴于奥体路内河承建单位较多，河道线路较长，望诉求者提供现场照片或留下联系电话，方便工作人员联系，协助进行具体位置排查，共同解决案件中所反应的问题。</t>
  </si>
  <si>
    <t>山区鹭岭路与上渡路交叉口的台屿河该河段散发的阵阵恶臭，走近一看散发着油污和垃圾随着河水慢慢往下游流去。在建新南路旁的飞凤河在一个闸口处堆积着不少的垃圾。在仓山区则徐大道与潘墩路的交叉口的潘墩河面上被一层绿色的植物覆盖还漂浮着不少垃圾，顺着河流往下越来越茂盛，有人还在河边建起了养鸡鸭的棚子，在河道一侧就是潘墩路路人都不敢正常呼吸，虽然附近的居民多次向有关部门反映，河水发黑发臭的问题可是始终不见有人前往整治，唯一采取的措施就是在周围建起了围挡，但在解决不了根本问题！在盖山镇浦下村的跃进河边垃圾堆成了一坐坐小山，而垃圾原来所在处是一条内河河道，但被常年累积的垃圾填平了，这些垃圾的存在导致临近的河道发黑发臭，不远处就是临近的居民区有于常年没有将垃圾清理导致滋生蚊虫，在这断河道的下游长满了水葫芦，沿下游往下走河水黑的像墨汁，散发着阵阵恶臭，希望相关部门进行整治！</t>
  </si>
  <si>
    <t>牛浦河</t>
  </si>
  <si>
    <t>臭烘烘的牛浦河谁来管</t>
  </si>
  <si>
    <t>牛浦河黑乎乎的臭水，为什么之前有治理，现在没人管了？</t>
  </si>
  <si>
    <t>由于牛浦河截污设备故障，造成部分污水入河，目前我司已敦促牛浦河责任单位福州市仓山中闽桑诚水环境技术有限公司加快设备维修并立即恢复河道水质。感谢您对我们工作的支持与理解。</t>
  </si>
  <si>
    <t>盖山中心幼儿园旁边（牛浦河）</t>
  </si>
  <si>
    <t>盖山镇中心幼儿园旁边（牛浦河）近期以来水质污黑及恶臭，居民们实在难以忍受而不敢打开窗户通风。望相关部门尽快处理。</t>
  </si>
  <si>
    <t>收到您的诉求件后，我司即派员赴现场查看。经核查，盖山镇中心幼儿园旁边河道近期水质较差，为秀宅路上一商贸楼私接污水进市政雨水管并流入牛浦河盖山中心幼儿园河道所致（详见附件），目前我司已上报有关部门，并敦促河道责任单位福州市仓山中闽桑诚水环境技术有限公司尽快恢复该河道水质。感谢您对我们工作的支持与理解。</t>
  </si>
  <si>
    <t>恶臭扰民</t>
  </si>
  <si>
    <t>仓山区盖山镇后坂新城1区旁边的牛浦河没有进行内河整顿，恶臭扰民，影响居民生活。特此投诉，望处理。</t>
  </si>
  <si>
    <t>由于近日降雨量较大，河道建设单位第一时间打开入河排口避免了周边内涝，但导致部分污水入河，目前降雨已停止，入河排口已关闭，后坂新城1区旁边的牛浦河河道水质也已恢复正常（详见附件照片）。感谢您对我司工作的支持与理解。</t>
  </si>
  <si>
    <t>牛浦河污染严重</t>
  </si>
  <si>
    <t>排水口成排污口，未经处理直排，导致河水乌黑恶臭，监管人员不作为</t>
  </si>
  <si>
    <t>收到您的诉求件后，我司即派员赴现场查看。经核查，牛浦河河水与江水联通，牛浦河有较少的鱼腥味为外江水腥味，目前牛浦河水质正常，排口亦无污水溢流（详见附件）。感谢您对我们工作的支持与理解。</t>
  </si>
  <si>
    <t>排水口成排污口，未经处理直排，导致河水乌黑恶臭
经过投诉，处理了部分排污口，但还有排污口为处理！！！</t>
  </si>
  <si>
    <t>收到您的诉求件后，我司即派员赴现场查看。经核查，诉求件所指排口为雨水排口，由于市政路雨水管被私自接入污水管，导致污水入河，现已采取相应措施对该排口进行处理，该排口目前已无污水溢流（详见附件）。后续我司将组织相关单位对私接点进行相应处理。感谢您对我们工作的支持与理解。</t>
  </si>
  <si>
    <t>牛浦河绿化带维护保养不利</t>
  </si>
  <si>
    <t>今年下半年降水较少，绿化人员浇水次数未因气候因素增加，导致很多珍贵绿化树(樟树)枯死。另外河道两旁绿化草地上遍布狗屎！这是管理部门领导的责任，请处理</t>
  </si>
  <si>
    <t>收到您的诉求件后，我司即派员赴现场查看。经核查，目前河道两旁绿化草地上遍布的狗屎已清除（详见附件照片）。我司已敦促项目责任单位福州市仓山中闽桑诚水环境技术有限公司加强管养，并要求项目公司后期对个别枯死树木进行更换，感谢您对我们工作的支持与理解。</t>
  </si>
  <si>
    <t>排水口成排污口，未经处理直排，导致河水乌黑恶臭，监管人员不作为，排水口监测系统造假！无数据上传！
平时河道涨水时，排水管未显露出来，不易察觉
退潮河床是，观察明显！</t>
  </si>
  <si>
    <t>收到您的诉求件后，我司即派员赴现场查看。经核查，一、牛浦河河水变黑为截污设备维护检修造成，目前该截污设备已修复完成，该排口无污水溢流（详见附件照片）；二、目前排水口监测系统非水系治理项目安装，故我司水系治理不存在监测系统造假事宜。感谢您对我们工作的支持与理解。</t>
  </si>
  <si>
    <t>投诉内河污染问题</t>
  </si>
  <si>
    <t>反映仓山区后坂新城五区和四区中间的牛浦河，这条内河水和煤炭一样黑，我们这附近的居民路过此河都是掩鼻而过。希望有关部门清理，闸门打开进行放水。特此投诉，望处理。</t>
  </si>
  <si>
    <t>收到您的诉求件后，我司即派员赴现场查看。经核实，牛浦河河水较黑，为牛浦河截污设备维修导致的部分污水溢流。我司已敦促项目责任单位福州市仓山中闽桑诚水环境技术有限公司加快设备的维修，尽快恢复水质。感谢您对我司工作的支持与理解。</t>
  </si>
  <si>
    <t>污水流入闽江</t>
  </si>
  <si>
    <t>峡会展中心的闽江分流龙舟河已经成了污水排入闽江的的一个调剂品。退潮时龙舟河放水，同时接入龙舟河的好多内河：牛浦河、莲坂河、浦下河等臭水全同时开闸排入龙舟河然后排入闽江。水体散发着恶臭。内河水系治理已经三年了，为什么内河都还是臭水？为何污水会排入内河？***提出的绿水青山在福州就是这么实现的？</t>
  </si>
  <si>
    <t>一、收到您的诉求件后，我司即派员赴现场查看并对牛浦河、连坂河水质进行检测，水质检测结果均合格（详附件：照片及水质检测表）。二、目前牛浦河、连坂河截污系统均已建成并投入使用，近期并未发现污水入河现象。感谢您对我司工作的支持与理解。</t>
  </si>
  <si>
    <t>牛浦河臭水排入闽江</t>
  </si>
  <si>
    <t>福州内河治理已经两年了。牛浦河就是治理之一，没得到根本改善。还是黑臭水。今天在龙舟河钓鱼，突然水质变脏变臭，查看才发现牛浦河在开闸放水。散发着恶臭。</t>
  </si>
  <si>
    <t>收到您的诉求件后，我司即派员赴现场查看。经核实，牛浦河水质突然发黑发臭为周边市政管网修复、清疏造成（详见附件照片）。待周边市政管网修复、清疏完成后，牛浦河水质将得到恢复。感谢您对我司工作的支持与理解。</t>
  </si>
  <si>
    <t>牛浦河黑臭</t>
  </si>
  <si>
    <t>牛浦河比臭水沟更臭</t>
  </si>
  <si>
    <t>5月底因福州市连续大雨，市防汛办启动暴雨IV级应急响应，内河补水停止，沿河雨水口全部打开排水，致使河道水质较差。防汛响应取消后即可恢复</t>
  </si>
  <si>
    <t>牛浦河就是臭水沟</t>
  </si>
  <si>
    <t>5月26日，牛浦河就是臭水沟，一片黑臭。</t>
  </si>
  <si>
    <t>因近期连日降雨，市政管网水位较高，导致污水溢流进入河道。目前，我司已督促项目责任单位福州市仓山中闽桑诚水环境技术有限公司加强管养，尽快恢复水质。感谢您对我们工作的支持与理解。</t>
  </si>
  <si>
    <t>市新区集团：牛浦河黑臭长期无法解决</t>
  </si>
  <si>
    <t>今天是5.18 福州的大展在会展中心召开。就是这么重要的时刻，毗邻会展中心的牛浦河还是黑臭！（此前针对5.18的答复：牛浦河改造业主单位为市新区集团。此件请转市新区集团进行答复办理。）请12345工作人员别转到仓山区办理。谢谢。</t>
  </si>
  <si>
    <t>牛浦河黑臭长期无法解决</t>
  </si>
  <si>
    <t>今天是5.18 福州的大展在会展中心召开。就是这么重要的时刻，毗邻会展中心的牛浦河还是黑臭！</t>
  </si>
  <si>
    <t>投诉河水漆黑恶臭</t>
  </si>
  <si>
    <t>盖山镇中心幼儿园（牛浦河）政府花了一百多亿钱，现在还是漆黑恶臭的，村民生活在水深活热之中。只有每当政府检查河道的时候清澈几天，什么时候还村民一个清澈的河道？特此投诉。</t>
  </si>
  <si>
    <t>经联系牛浦河河道负责人了解，牛浦河这两天正在进行内河清淤整治，预计下周河水即可恢复正常</t>
  </si>
  <si>
    <t>水质再次污染水体发黑发臭</t>
  </si>
  <si>
    <t>仓山区会展中心牛浦河公园水质再次污染，水体发黑发臭，请问这要怎么处理。望部门答复。</t>
  </si>
  <si>
    <t>经联系牛浦河河道负责人了解，牛浦河正在进行二次清淤整治工作，预计这个月月底完工，到时水质即会得到改善</t>
  </si>
  <si>
    <t>仓山区龙舟河河水黑臭的问题</t>
  </si>
  <si>
    <t>仓山区龙舟河河水黑臭及其牛浦河公园水系严重污染河体黑臭！这样一个比赛用地，电视世界级范围直播比赛的地方，居然在投入大量资金，人力，及宣传整治过的地方，如今再次变成这样，简直触目惊心！不知道牛浦河公园内河前期管网是怎么铺设的？不是说彻底截污了吗？</t>
  </si>
  <si>
    <t>牛浦河治理施工单位为北京桑德环境工程有限公司，本次牛浦河出现黑臭现象的原因是与牛浦河贯通的跃进河截污工程未完成，导致大量污水流入浦下河和牛浦河；同时，牛浦河截流井设备出现故障，发生溢流。7月6日下午，施工单位已完成设备检修工作，目前牛浦河截流井已无溢流。感谢您对我们工作的支持与理解。</t>
  </si>
  <si>
    <t>河水黑臭的问题</t>
  </si>
  <si>
    <t>仓山区金源麦顶浦下分校前面牛浦河公园，河底再次黑臭，受到污染，前期已经投入大量资金、人力治理该处河水污染，为何近期河水再次黑臭？周边空气也受到污染，周边行人无法靠近牛浦河公园，请问前期施工单位是哪一家？希望问责该单位，下一步要如何解决该问题？特此投诉，请处理。</t>
  </si>
  <si>
    <t>为什么水质隔三差五会出现污浊的情况</t>
  </si>
  <si>
    <t>麦顶小学金源分校的前面牛浦河公园，为什么水质隔三差五会出现污浊的情况？源头是哪里？不能一直靠过滤器在处理。望回复。</t>
  </si>
  <si>
    <t>经查，因近日牛浦河边雨宅村污水量增大，造成了污水溢流至河道，治理单位正在采取先紧急后永久方案处理，预计五月底可以解决。牛浦河上游源头是二环路鼓山大桥的引桥边</t>
  </si>
  <si>
    <t>投诉河道漆黑发臭</t>
  </si>
  <si>
    <t>去年年底牛浦河改造得确实很透彻，过年后到至今为止，每天的牛浦河都是漆黑的，好像酱油一样，仍然居民不敢开门窗，请领导派相关工作人员下来查看是否属实？我们群众请求什么时候能返回去年一个多月那么好的水质？再次投诉，请部门处理。</t>
  </si>
  <si>
    <t>牛浦河去年已先行通过临时治理措施基本消除黑臭水体。针对其黑臭的问题，目前已正在进行永久性截污管埋设及调蓄池等建设，力争确保年内彻底解决黑臭。谢谢。</t>
  </si>
  <si>
    <t>盖山中心幼儿园坐落在盖山镇牛浦河，一直在河道治理但是河道的水还是漆黑的、发臭的，到底什么时候才能治理好？特此投诉，望处理。</t>
  </si>
  <si>
    <t>牛浦河去年已先行通过临时治理措施基本消除黑臭水体。目前正在进行永久性截污管埋设及调蓄池等建设，力争确保年内彻底解决黑臭。谢谢。</t>
  </si>
  <si>
    <t>工程质量及可能暗藏的**</t>
  </si>
  <si>
    <t>福州新区开发投资集团有限公司下的福州水系治理项目牛浦河治理施工单位层层转包给工头。前期施工中有如下问题：1、包工头不是工程专业出身，不按图施工，施工中偷工减料，如沉井的静压承载桩偷桩长、承载及维护高喷桩完全不打、有打的高喷桩完全没有按照设计参数施工，提升速度快，成桩质量堪忧（这些质量问题可通过开仓检查或是取芯检测验证），清淤虚报方量，施工现场监理对安全、质量，工程量签证等无监管；2、工程施工现场没有安装监控探头，施工工序安排杂乱无章，不按图施工，施工进度及质量堪忧，逢年过节项目部大量购买茅台酒用于送礼。将以上问题反映给刘董后，未见施工现场停工整改，未见加装视屏未见加强监管，继续着工程施工。对此产生疑虑：是否刘董迫于工期压力，掩盖施工质量问题；或者是否存在着**行为，不予揭穿。因此希望纪委介入调查。对于民生工程不能一味求快而忽视工程质量，对于工程现场的参建方可能存在的勾结，给予严查，让纳税人的钱花到实处。</t>
  </si>
  <si>
    <t>1、施工班组负责人确实能力不足，在我司的督促下，项目公司已进行人员调整，同时，新聘多名专业技术人员充实到管理队伍。
2、因项目拆迁未到位，多数河段边拆迁施工，施工场地管理确实存在杂乱，不规范问题。我司已督促项目公司加强场地的管理工作，并要求限期整改。
检查过程中未发现诉求件反映的其他问题。欢迎您继续监督水系项目的建设。</t>
  </si>
  <si>
    <t>投诉河道发出恶臭</t>
  </si>
  <si>
    <t>国庆节至今水质恶臭从来没有改善过，国庆节之前牛浦河还有进行换水，国庆至今只换过一两次水，恶臭的原因不在淤泥，而在水质。我们村民门窗都不敢开，居民生活在水深火热之中。我们目前只希望经常开闸放水，改善恶臭的情况。在牛浦河金源小学正门口这一段桥下淤泥沉积，希望进行清空才能保证河道畅通，才能多排污水。</t>
  </si>
  <si>
    <t>该河目前已列入水系PPP整治计划。同时，我局已通知施工方加快施工进度，争取早日消除河水黑臭现象。给您造成的不便，敬请谅解。</t>
  </si>
  <si>
    <t>咨询内河整治问题</t>
  </si>
  <si>
    <t>现在河水越来越黑，越来越臭，牛浦河的整治一点都没有动工，请问具体何时开始动工？不能只官方的回复2-3年工期，其他地方都有在整治，为何就牛浦河还没有开始整治？再次投诉。</t>
  </si>
  <si>
    <t>牛浦河目前已纳入PPP治理，计划于年内基本消除黑臭，后期还会通过埋设截污管等手段系统治理，工期2至3年，已争取彻底解决水质问题。目前，部分段已着手进场施工。给您造成的不便敬请谅解。</t>
  </si>
  <si>
    <t>仓山区盖山中心幼儿园旁边的牛浦河从国庆前夕到至今为止一直没有更换水，河道还是发出恶臭，严重扰民，请问部门什么时候能治理好，水什么时候可以不臭？很多周边的幼儿都搞生病了，居民睡觉都不敢打开窗户，像这样子的生活我们实在难以接受，要求政府部门及时的处理。</t>
  </si>
  <si>
    <t>该河目前已纳入PPP治理，计划于年内基本消除黑臭，后期还会通过埋设截污管等手段系统治理，工期2至3年，已争取彻底解决水质问题。给您造成的不便敬请谅解。</t>
  </si>
  <si>
    <t>牛浦河水发出恶臭</t>
  </si>
  <si>
    <t>仓山区盖山镇中心幼儿园旁边的牛浦河水每时每刻发出恶臭，整年河水都是黑的，严重影响周边居民正常生活，门窗都不能打开。什么时候能还我们清洁的河水？特此投诉，请相关部门介入处理。恳请相关部门到现场调查。</t>
  </si>
  <si>
    <t>牛浦河，目前河道正在施工，主河道驳岸建设已完成，正进行绿化工程及退土工作，且该河的黑臭水体治理已纳入仓山会展中心片区水系综合治理PPP项目，预计计划在2017年底左右消除黑臭。</t>
  </si>
  <si>
    <t>淤泥清理干净</t>
  </si>
  <si>
    <t>投诉仓山区盖山中心幼儿园旁边的牛浦河，施工单位没有把河床上的淤泥清理干净，使得河里的黑水排放不干净，每次河水有三分之一放不掉，整年水几乎都是恶臭的，这种情况幼儿怎么上学？如果生病谁来负责？小区里面跟周边居民也受不了，何时才能达到大部分群众的满意？</t>
  </si>
  <si>
    <t>牛浦河已纳入水系治理PPP项目治理，目前正在优化设计方案，年内进场全面治理，含清淤、截污等工程。</t>
  </si>
  <si>
    <t>仓山区牛浦河存在的问题</t>
  </si>
  <si>
    <t>仓山区盖山镇中心幼儿园牛浦河两座桥底下的淤泥没有清理到位，一直堵在那里，水没有排干净，发出恶臭，此外，为何到了龙舟比赛那段期间（农历的五月初二到五月初五）水质最好？希望相关部门及时的排水和放水。</t>
  </si>
  <si>
    <t>经了解，根据市里新的水系治理计划，牛浦河纳入仓山会展中心片区水系PPP项目治理，引进技术先进的大型企业，着重考核水质，强化后期管养，项目合作期15年，目前中标单位正在优化设计方案，年内可全面动工。另，牛浦河通过牛浦水闸流入浦下河，最终流入闽江，水闸统一由市里负责管理。</t>
  </si>
  <si>
    <t>闽江世纪城AB区中间的牛浦河公园被人占道摆摊</t>
  </si>
  <si>
    <t>刚建好还没开放就被人占道，污水直接排入牛浦河，有关部门管不管？？</t>
  </si>
  <si>
    <t>经了解，我镇城管中队已组织执法人员前往整治，今后，将加强巡查、整治力度。</t>
  </si>
  <si>
    <t>洪阵河</t>
  </si>
  <si>
    <t>市政工程遗留问题</t>
  </si>
  <si>
    <t>洪阵河内河治理完毕后，遗留问题一年多了，一直没人来解决！</t>
  </si>
  <si>
    <t>洪阵河花好月圆段景观绿化剩余广场等部分未实施完成。前期因小区居民阻扰，导致工期延误，现已与小区业委会沟通清楚，计划于5月30日进场施工，7月底完工。给您带来不便敬请谅解！</t>
  </si>
  <si>
    <t>仓山洪塘路花好月圆小区物业</t>
  </si>
  <si>
    <t>物业工作不尽责，垃圾没及时处理走。市政洪阵河内河工程长期没进展，甚至外来垃圾倒在内河工地上，严重影响小区居民生活！</t>
  </si>
  <si>
    <t>经了解，园区生活垃圾均有做到每日定时清理，装修垃圾也会根据业委会要求期限不定期清理。关于外来垃圾倾倒在洪阵河内河工程工地事宜，请诉求者拍照取证反馈到业委会（签订施工协议方）或物业服务中心，物业将进行协调解决。</t>
  </si>
  <si>
    <t>内河施工迟迟不完，外来垃圾填埋至小区</t>
  </si>
  <si>
    <t>福州市政府清理内河本来是一项利国利民，人人称赞的好事。不过不知道出于什么目的，在治理洪阵河花好月圆小区段时，施工单位把大量的外来生活垃圾作为填充物，运送到我小区内。这到底是何道理？
现在全社会都在讲节能环保，更遑论严格的垃圾分类要求正在全国范围内逐渐铺开。在这样的大前提下，施工单位居然视国家法令如无物，枉顾我小区居民生活环境，肆意将外来生活垃圾埋到地底。在可以预见的未来，这些垃圾所产生的污水势必会渗透入地下河中，那我想请问，这样的内河治理方式意义何在？
而且施工方对于完工日期也是一而再，再而三的拖延。从最初的承诺春节前完工，改为五一前，后又改为七一前。最近的说法是八月十日前。请问作为市政工程的项目，如此早令夕改，何以取信百姓？
请有关部门责令其立即整改，按照要求规范施工及该工程久拖不决之问题。</t>
  </si>
  <si>
    <t>洪阵河花好月圆截污管道正在施工中,施工单位将垃圾填埋土的问题，现已制止，重新换填预计7月底前完工。
我司水系建设部多次督促施工单位加大机械和人员投入，加快施工进度,做好安全文明措施，确保按期完工，在此期间给市民朋友的出行带来困扰，深感歉意，望请谅解！</t>
  </si>
  <si>
    <t>内河施工把小区当垃圾场</t>
  </si>
  <si>
    <t>福州市政府清理内河本来是一项利国利民，人人称赞的好事。不过不知道出于什么目的，在治理洪阵河花好月圆小区段时，施工单位把大量的外来生活垃圾作为填充物，运送到我小区内。这到底是何道理？
现在全社会都在讲节能环保，更遑论严格的垃圾分类要求正在全国范围内逐渐铺开。在这样的大前提下，施工单位居然视国家法令如无物，枉顾我小区居民生活环境，肆意将外来生活垃圾埋到地底。在可以预见的未来，这些垃圾所产生的污水势必会渗透入地下河中，那我想请问，这样的内河治理方式意义何在？
而且施工方对于完工日期也是一而再，再而三的拖延。从最初的承诺春节前完工，改为五一前，后又改为七一前。最近的说法是八月十日前。请问作为市政工程的项目，如此早令夕改，何以取信百姓？
请有关部门责令其立即整改，按照要求规范施工。此投诉函我还将上书至效能办，投诉该工程久拖不决之问题。</t>
  </si>
  <si>
    <t>洪阵河花好月圆截污管道正在施工中,施工单位将垃圾填埋土的问题，现已制止，重新换填预计7月底前完工。
我司所属水系建设部多次督促施工单位加大机械和人员投入，加快施工进度,做好安全文明措施，确保按期完工，在此期间给市民朋友的出行带来困扰，深感歉意，望请谅解！</t>
  </si>
  <si>
    <t>洪阵河暗涵开盖应该顺势而为</t>
  </si>
  <si>
    <t>福州市内河整治追求标本兼治，很多原先的内河暗涵段由此都重新开盖重见天日。洪阵河整治目前也在进行中，但据了解花好月园小区段的暗涵并未采取开盖措施。本人做为本小区居民，建议应趁此内河整治东风，对此段内河暗涵也采取开盖措施（而且花好月园小区空间较大也具备开盖整治条件），以彻底整治内河污染，也能给附近的居民提供一个亲水环境。</t>
  </si>
  <si>
    <t>自去年6月份以来，水系金山片区项目部连同建新镇政府多次召集花好月圆小区业主进行协调暗涵开盖事宜，小区业委会不同意开盖，后12月份左右与小区业委会达成共识，进行部分开盖作为河道清淤、检修、监测水质及后期运维之用，目前已基本完成收尾工作，河道综合治理是惠民工程，希望得到小区居民的支持。</t>
  </si>
  <si>
    <t>原来洪阵河从花好月圆小区地下穿流而过现在政府要治理内河由原来的暗河变明河诚如其他诉求件中提到的大部分业主不反对治理挖起来该清淤的就清管道要改都行但是施工结束恢复原样就行！为什么一定要留两个观察口？即使留一定要这么大？还不能弄上锁的井盖之类的？一多大的安全隐患！二有没有考虑过住在这里几百户居民的生活起居恶臭蚊虫有限的绿化被破坏！其他业主的诉求件政府的回复一直强调跟业主委员会达成共识可以留两个观察口可作为普通业主参加了两次业主大会10.7和10.27两次特别最后一次业主委员会说大家一起商量他们也代表不了我们可现在暗地里又代表我们同意了今天施工方进场我们甚至不知道施工方案！上次业主大会提到赔偿问题也跟业主委员会达成了什么我们不知道的协议？如果真是一件惠民的好事为什么这事从头到尾这么不透明？甚至10.27的业主大会通知都没到位就一张A4纸贴在小区门口柱子上不容易看到也通知的很仓促挑的时间还是人最少的星期六晚上！第一次开会还在每个楼梯口显眼位置通知几年来一直不知道小区情况的普通业主对现在业委会种种不透明的做法表示不理解！</t>
  </si>
  <si>
    <t>近几个月来，我司已同建新镇政府多次召集花好月圆小区业主进行协调暗涵开盖事宜，经多次协商，目前小区业委会达成共识，同意在花好月圆小区进行暗涵开盖河道清淤施工。观察口开的大是为了河道彻底清淤，留观察口是作为河道清淤、检修、监测水质及后期运维之用。施工期间我司会督促施工单位做好安全文明施工，后期观察口处也将做好安全防护，不留安全隐患，请居民放心，河道综合治理是惠民工程，希望得到小区居民的支持。</t>
  </si>
  <si>
    <t>花好月圆暗河打开治理问题</t>
  </si>
  <si>
    <t>洪阵河在花好月圆小区段，是暗河。现在政府要治理，花好月圆小区居民支持政府治理，但是我们要求恢复原样。
福州市水务投资发展有限公司所委托的施工方，借口和花好月圆业委会沟通清楚，称只留两个留观察口是作为河道清淤检修之用，但是这两个观察扣要4米*10米，会给花好月圆小区留下较大的安全隐患，会有很多蚊虫，小孩也经常在那边玩，安全会出问题。小区绝大部分居民反对留下这么大的观察口，要求恢复原样。不恢复，将继续上访，直到问题解决。</t>
  </si>
  <si>
    <t>关于花好月圆小区暗河治理的申诉</t>
  </si>
  <si>
    <t>我们是花好月圆的居民，在花好月圆小区生活了十几年。近期政府开展内河整治，是一件利民的好事，金山片区水系也要进行综合治理，其中一条洪阵河暗河贯穿花好月圆小区。市政要把贯穿花好月圆小区的暗河打开进行治理，虽然会对我们的生活造成不便，但是我们也是支持。但是对于治理后，施工单位说要开两个4米*10米的观察口（如果是观察口，不需要这么大）在小区的草坪上，如果是这么做，会给我们小区的安全很大的安全隐患，小孩如果掉进去，谁来负责，所以小区大部分居民要求恢复原样，即将暗河覆盖。10月27日施工单位到我们小区进行沟通，但是也是敷衍几下就走了，根本不听我们的诉求。
更让人气愤的是，在和居民未沟通好的情况，11月1日，施工单位就在我们小区贴出公告，近期要围挡施工。我们支持治理暗河，但是要求治理后恢复原样，否则对我们的生活造成非常大影响，对此，我们唯求助于政府，请求协调。治理内河是为人民幸福，如果违背居民的意愿来乱治理内河，我们将持续申诉。</t>
  </si>
  <si>
    <t>关于洪阵河施工问题</t>
  </si>
  <si>
    <t>洪阵河治理项目花好月圆小区段本来是暗河。前几天小区召开业主大会通知将把暗河打开。这是一件好事。可是我不明白的是为什么打开后又要盖上，仅留两个10米长的观察口。
根据我的实地测量，花好月圆小区暗河段共有200米长，留20米的观察口，也就是只有10%的水面是打开的。这种情况下，有空气，有出入口，有潮湿环境却没有阳光的暗河段，更容易滋生出大量的蚊虫鼠蚁。
内河整治是一项利国利民的好事情，为什么到了花好月圆小区就要这样打折扣？留两个不伦不类的观察口不仅达不到原本内河治理的效果，而且将给小区居民带来无穷无尽的烦恼。
在此我强烈呼吁政府将小区内河全部打开，我相信政府治理内河的决心，也相信将来流经小区的水会是活水，干净的水。千万不要搞什么观察口之类的荒唐事。小区里面有闹的不过是些容易被人煽动的老人，而且只有少部分人。大部分明事理的人是会同意的。
请有关部门予以调查施工。</t>
  </si>
  <si>
    <t>我司工作人员已于10月29日16时到达现场，自六月份以来，我司连同建新镇政府多次召集花好月圆小区业主进行协调暗涵开盖事宜，会议上绝大部分小区业主强烈表示不同意开盖，现已与小区业委会达成共识，将进行河道清淤施工，留观察口是作为河道清淤检修之用。河道综合治理是惠民工程，希望得到小区居民的支持。</t>
  </si>
  <si>
    <t>仓山区闽江大道洪阵河河道施工这么迟了还没有结束，声音非常大，房子都震动的很厉害，噪音扰民，特此投诉，望处理。</t>
  </si>
  <si>
    <t>经调查，仓山区闽江大道90号滨江丽景后面正在进行洪阵河河岸加固，噪声为旋挖钻所发出。我司已要求施工单位加强工地管理，合理安排工序，采取措施尽力降噪，将噪音大的工序尽量安排至22：00之前进行。我们会加快建设速度，尽早结束工程，请市民给予理解支持和配合。因地铁施工给您带来的不便，敬请原谅！</t>
  </si>
  <si>
    <t>建新镇洪阵河周边及洪湾北路民房何时征迁改造</t>
  </si>
  <si>
    <t>洪阵河改造及绿化工程已近完工，现场看了一下，绿化带最窄处离民房不足三米，为何不结合，洪阵河改造工程一次征迁，民房的生活污水及垃圾还是会直排内河，洪湾北路洪塘段民房严重影响市容市貌，地铁口园亭路站就在附近，请问相关部门，都没有相应的改造规划么？</t>
  </si>
  <si>
    <t>经查询，洪湾北路洪塘段民房涉及洪塘历史风貌区，按规划要求不列入旧屋区改造计划。</t>
  </si>
  <si>
    <t>洪阵河改造水位过高</t>
  </si>
  <si>
    <t>洪阵河改造位水位过高，造成河水倒灌进入小区下沉广场，低楼层住户下水道经常被堵，河水恶臭难闻，生活苦不堪言，还请相关部门及时介入处理，以免民生工程落得个民不潦生的下场</t>
  </si>
  <si>
    <t>您反映的问题我局已责成物业企业立即对雨水系统进行整改，疏通相关管道排除污水。</t>
  </si>
  <si>
    <t>洪阵河整治</t>
  </si>
  <si>
    <t>政府正在整治洪阵河。洪阵河在花好月圆小区地段是暗河，是不是要重新挖成明河？有没有考虑建设洪阵河步行道，来连接闽江公园和洪塘历史风貌区及砂滩公园？</t>
  </si>
  <si>
    <t>现福州市金山片区水系治理项目是福州市人民政府为消除城区河道黑臭而启动的水环境治理民心工程。目前关于洪阵河花好月圆暗河段开挖成明和的方案暂未明确，应由市长“六不断”（管不断、路不断、灯不断、绿不断、景不断、栏杆不断）思想理念，将会建设河道的步行道和绿化带。为了保证贯通河道消除黑臭，改善提升洪阵河河水的质量，施工期间带来的不便之处，希望广大居民给予谅解和支持，携手共创一个优质舒适的生活环境。</t>
  </si>
  <si>
    <t>关于洪阵河清淤改造问题</t>
  </si>
  <si>
    <t>洪阵河为连同乌龙江与闽江北港的城市内河。近年来河道淤积严重，几乎成为一潭死水。蚊虫嗞生，臭气冲天。最主要的原因就在于洪阵河有部分地段为地下暗河，无法让施工车辆和人员进入清淤。
最近有传闻说政府有关部门有考虑将洪阵河的地下暗河部分揭开盖子，让河水从花好月圆和滨江丽景等几个小区中流过，形成地表明河。一则便于清淤改造，二则成为新的小区景观。
如果这个传闻是真，作为居住在花好月圆内的居民，本人非常期待这一天的到来。
在此想咨询相关部门，这个消息传闻是否属实。另有就是如果属实的话，这项工程的立项、工可、具体开工日期及工期大约有多长。在此不求精确到某个具体日子，能给个大约具体的日期就好。谢谢。</t>
  </si>
  <si>
    <t>经落实仓山区洪塘路洪阵河已列入2017年内河水系治理工程。由我司负责该河段治理，已在做前期准备工作，具体施工时间目前无法确定，待前期工作准备到位将尽快进场进行内河治理，感谢您关注与支持！</t>
  </si>
  <si>
    <t>洪阵河有张“阴阳脸”</t>
  </si>
  <si>
    <t>仓山区滨江丽景美丽园和滨江丽景临江园之间，数米宽河道有一张“阴阳脸”，水流缓慢的一侧呈黄绿色，水流静止的一侧则呈黑灰色。水面上漂浮着枯枝烂叶和各种生活垃圾，隐隐有臭味飘来。</t>
  </si>
  <si>
    <t>洪阵河总体上是已经基本整治完毕。部分段尚未整治完毕，导致河水黑丑。目前，该河也列入黑臭水体的整治项目中，相关方案正在拟定。对此，我局将继续跟踪落实，争取早日进行黑臭水体的整治工作。</t>
  </si>
  <si>
    <t>白湖亭河</t>
  </si>
  <si>
    <t>关于投诉白湖亭内河整治问题</t>
  </si>
  <si>
    <t>仓山区在整治白湖亭内河的问题上，没有把泥巴和污水处理好，没有扩大和拓宽河道，绿化带做的很差劲。晋安河整治的非常好，他们进行对比天差地别。白湖亭内河总长5000多米，应该整治的漂亮一点，仓山区的整治部门的领导可能把拨款**了。特此投诉，望相关部门介入处理。</t>
  </si>
  <si>
    <t>诉求内容涉及我司包5白湖亭河治理工程，白湖亭河河底淤泥已按设计标高清理到位，河道两侧截污已成系统，截污系统正常运行，无污水入河，绿化带已按设计进行施工，并因地制宜对南二环及南三环绿化进行了提升，河道也从原来的两三米拓宽至现在河宽15至30米，河道治理前后详见对比照片（附图）。感谢您的关注与监督！</t>
  </si>
  <si>
    <t>加密隔离桩</t>
  </si>
  <si>
    <t>仓山区盖山派出所旁白湖亭河，现己治理完成，也增设隔离桩，但桩与桩之间距离太宽，大量电动车摩托车可驶入，在欣赏优美河道的同时还得提防身后呼啸而过的摩托车电动车，希望河道治理部门加密隔离桩，只允许行人通过，禁止摩托车电动车通过，保持河道优美环境。</t>
  </si>
  <si>
    <t>诉求位置在我司水系治理工程白湖亭河范围，经核实，由于周边房屋拆迁及工地施工导致较多村道无法通行，为方便近阶段周边村民的进出便利及出行安全，暂时允许非机动车借道滨河步道通行（附图）。后期待周边路网形成，再进行加密考虑，给您带来的不便，敬请谅解。</t>
  </si>
  <si>
    <t>白湖亭河支流濂河依旧黑、乱、臭</t>
  </si>
  <si>
    <t>万科金域华府2010年入住，整整十年。位于小区旁边的这条小河，年年治理，年年整改，年年疏通，依然是年年黑、乱、臭，请问河长制何在！请问十年投入了多少！请问依旧要要整治多久！请问媒体上的绿水青山何在！</t>
  </si>
  <si>
    <t>经核实，诉求位置由于5月3日至5月5日上游连续断水3天，导致半洋亭河水质恶化，现上游恢复通水，该河段水质已恢复正常（附图）。在此期间造成不便，敬请谅解！</t>
  </si>
  <si>
    <t>河道改造赔偿问题</t>
  </si>
  <si>
    <t>白湖亭河改造期间，施工单位在施工打桩过程中，造成民房基础下陷，墙体出现裂缝，门窗关不上等现象。原有诉求过。当时有讲按建筑面积每平米50元的价格进行赔偿，过了这么久，不了了之，不知道是赔了没有？还是不赔了或是被截留了？请有关部门介入调查，还村民一个知情权。(白湖村16～26号村民)</t>
  </si>
  <si>
    <t>诉求位置为白湖亭河水系治理在建工程项目，施工造成房屋开裂赔偿问题。经水系项目部与盖山镇、仓山区盖山镇南台岛内河整治工程项目组、北京市政建设工程公司、金山房屋征收公司共同到现场查看，现场拟定由盖山镇政府拟赔偿方案后报奥体指挥部上会议定，待方案确定后由盖山镇全权处理赔偿事宜，目前确认单我司已签字盖章，相关资料已在盖山镇汪主任处（18350055957），如需详细了解进展情况也可向盖山镇进行咨询。</t>
  </si>
  <si>
    <t>盖山派出所后面白湖亭河边绿化用地被私人霸占用来种瓜种菜</t>
  </si>
  <si>
    <t>刚刚改造拓宽的盖山派出所边上的白湖亭河边上的绿化用地被私人霸占用来种瓜种菜，影响美观占有国家财产！希望有关部门查处！</t>
  </si>
  <si>
    <t>您所反映的地方虽邻近河道边，但属于白湖亭河绿化带用地红线外，故不存在您反映的占用绿化带这一情况。</t>
  </si>
  <si>
    <t>白湖亭河整治转市水务公司</t>
  </si>
  <si>
    <t>请将编号FZ19042700317的咨询转市水务公司，谢谢</t>
  </si>
  <si>
    <t>白湖亭河目前已基本完成截污管线及驳岸施工，并完成二环及三环段景观。目前根据上报建设局的计划，2019年6月完成截污系统，2019年12月完成河道验收。感谢市民的关注和监督。</t>
  </si>
  <si>
    <t>咨询白湖亭河改造事宜</t>
  </si>
  <si>
    <t>我家在盖山镇白湖村下濂，就在白湖亭河边上，为什么白湖亭河其他段都已经做好了，做的很漂亮，下濂段那里从年前就开始停工，现在杂草都长很高了，是什么原因造成停工了？什么时候会开始继续施工？大概什么时候能完工？</t>
  </si>
  <si>
    <t>有人托运垃圾往白湖亭内河边上倒。</t>
  </si>
  <si>
    <t>有人托运垃圾往金色康城后门白湖亭内河边上倒。</t>
  </si>
  <si>
    <t>我镇将加强巡查力度。如有发现违规乱倒卸，市民可以拨打12345热线转盖山镇或仓山区市容局，我镇将在第一时间派执法人员进行制止和查扣。</t>
  </si>
  <si>
    <t>河道垃圾堵塞</t>
  </si>
  <si>
    <t>福州白湖亭河道胪厦河段水质长期黑臭，河道邻近工厂，水面都是油渍，这几个月河面上的垃圾越来越多，原本畅通的河道，现在又要开始被垃圾堵塞了。</t>
  </si>
  <si>
    <t>已联系白湖亭河河道负责人进行处理。给您造成的不便，请谅解</t>
  </si>
  <si>
    <t>白湖亭内河改造建议</t>
  </si>
  <si>
    <t>现在白湖亭内河在整治，希望政府部门尽快拆除内河沿岸的厂房及不规范的建筑，把白湖亭内河建成市民活动中心的公园，让附近的居民也有一个锻炼身体的好地方。</t>
  </si>
  <si>
    <t>白湖亭河规划沿线已拆除到位，近期也将建设到位。下一步也会积极向市里沟通协调，争取对沿线有碍观瞻的建筑进行景观改造。谢谢。</t>
  </si>
  <si>
    <t>咨询仓山区内河整治白湖亭河</t>
  </si>
  <si>
    <t>咨询仓山区内河整治白湖亭河义序南三环路段内河整治1.预计什么时候竣工？2.是否有修建配套的休闲步道供人游玩？谢谢</t>
  </si>
  <si>
    <t>经查询白湖亭河整治工程负责人，白湖亭河三环螺洲桥立交连接义序河段河道目前正在规划设计阶段，预计明年实施整治工程</t>
  </si>
  <si>
    <t>倾倒建筑垃圾填埋白湖亭河</t>
  </si>
  <si>
    <t>投诉过渣土车拉建筑垃圾填埋白湖亭河，结果你们一句工作人员现场未看到渣土车。现场工作人员没仔细看看到那段河道里已经被建筑垃圾堆放填埋满了吗？下面图片应该可以很清晰的看清楚河道被建筑垃圾填埋。可惜视频上传大小限制，不然你们可以好好看看渣土车倾倒建筑垃圾，钩车再接力往河道里填埋的视频。</t>
  </si>
  <si>
    <t>经了解，因内河施工的需要，施工单位使用砖渣对该处河道进行临时性截流，施工结束后将予以恢复。</t>
  </si>
  <si>
    <t>晚上违法工程渣土填埋白湖亭河</t>
  </si>
  <si>
    <t>这几天每晚六点以后就开始渣土车拉渣土进入造纸厂空地卸工程渣土，再由钩车把渣土往白湖亭河里填埋。</t>
  </si>
  <si>
    <t>您所反映的晚上违法工程渣土填埋白湖亭河问题，我局执法人员于2018年8月24日05时27分到现场查看，未发现该处有车子倒卸建筑垃圾。</t>
  </si>
  <si>
    <t>白湖亭河道有人半夜填埋建筑工程垃圾</t>
  </si>
  <si>
    <t>连续几天白湖亭万科金域华府对面原造纸厂空地段河道，半夜都有工程车违法倾倒建筑工程垃圾并往河道里填埋。</t>
  </si>
  <si>
    <t>万科金域华府旁为半洋亭河水系综合治理工地，因施工需要，施工单位对河道进行临时性截流。</t>
  </si>
  <si>
    <t>河改造工地施工扰民（加急）</t>
  </si>
  <si>
    <t>仓山区南二环白湖亭内河改造工地晚上11点40分还在施工，前天晚上通宵施工，噪音扰民，投诉完昨天晚上好一点，今天晚上又开始扰民了，严重影响周边居民休息，市政府工程就能扰民吗？没有任何公告要24小时施工，现在晚上都是通宵施工，我们怎么睡觉？特此投诉，望相关部门介入处理，如果部门再不处理，我就向信访局反映。</t>
  </si>
  <si>
    <t>关于仓山区南二环白湖亭内河改造工地施工扰民问题，我局执法人员于2018年4月18日4时34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</si>
  <si>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南二环白湖亭内河改造，昨天晚上通宵施工，噪音扰民，特此投诉，望相关部门介入处理。</t>
  </si>
  <si>
    <t>仓山区白湖亭河道改造工程在凌晨0：59分正在施工，噪音扰民，希望部门尽快处理。</t>
  </si>
  <si>
    <t>关于仓山区白湖亭河道改造工程施工扰民问题，我局执法人员于2018年4月12日1时04分到现场查看，此处为白湖亭河水系工程，未发现施工。今后我局将加强对该工地周边的日常巡查，发现违规施工现象将依法予以查处。若市民发现夜间施工扰民行为，请拨打24小时投诉电话12345，我局在收到举报后将第一时间调派执法人员前往查处。</t>
  </si>
  <si>
    <t>白湖亭河道3号支河河道设计不合理</t>
  </si>
  <si>
    <t>现在福州市全市都在搞内河整治，白湖亭河道3号支河的河道头尾都是按原河道设计，都是直的，可是出南台大道后的河道变成U型河道，大概有150米左右，这段的河道不是按照原河道设计的，之后的河道又变成直的河道，为何会有这样的设计？U型河道占用农田且设计不合理，为何没有按照原河道设计？万一发洪水或是山洪暴发不利于泄洪，特此投诉！</t>
  </si>
  <si>
    <t>白湖亭河已列入仓山龙津阳岐片区水系综合治理PPP项目由我司负责整治。经向河道负责人及设计单位确认，诉求位置原就存在U形弯，U形设计是按原河道进行规划设计。</t>
  </si>
  <si>
    <t>湖亭河下濂段现在已经凌晨一点还在施工，房屋都在震动，噪音影响周边居民休息，请有关部门处理。</t>
  </si>
  <si>
    <t>关于件中反映仓山区白湖亭河下濂段夜间施工噪音扰民的问题，我局执法人员联合盖山镇城管中队于2017年12月11日00时46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</si>
  <si>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晚间施工，噪音扰民1周，多次举报，无相关部门来处理。</t>
  </si>
  <si>
    <t>白湖亭内河整治，11月份以来经为经常晚间从20：00施工至凌晨4：00。周边居民无法休息。渣土车进入施工地，大型挖掘机施工，周边民房像4、5级地震，居民正常生活受到严重影响。</t>
  </si>
  <si>
    <t>于件中反映仓山区白湖亭内河整治夜间施工噪音扰民的问题,我局执法人员于2017年12月4日22时18分到现场查看，未发现施工。今后我局将加强对该工地周边的日常巡查，发现违规施工现象将依法予以查处。若市民发现夜间施工扰民行为，请拨打24小时投诉电话12345，我局在收到举报后将第一时间调派执法人员前往查处。</t>
  </si>
  <si>
    <t>白湖亭河下濂段内河整治工程凌晨12点40分还在施工，噪音震得我们居民楼门窗都在响。特此投诉，望相关部门介入处理。</t>
  </si>
  <si>
    <t>关于件中反映仓山区白湖亭河下濂段内河整治工程夜间施工噪音扰民的问题，我局执法人员联合盖山镇城管中队于2017年12月5日22时21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</si>
  <si>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河整治经常晚上施工，且用大型挖掘机，周边居民天天生活在地震中。</t>
  </si>
  <si>
    <t>白湖亭内河整治经常晚上19点后施工，且用巨大型挖掘机，一锤下去，周边的民房像遇到5、6地震一样摇晃。居住安全感全没了。渣土车也是几十吨级别的，一开进整治区，所有周边的民房，都在晃。内河整治是好事，但不能给周边居民没有安全感的生活，整天都在想自家的房子会不会倒。请有关部门出来管理。对于靠近居民区的可以使用小型挖掘机，小级别渣土车或小货车。</t>
  </si>
  <si>
    <t>关于件中反映仓山区白湖亭内河整治夜间施工噪音扰民的问题，我局执法人员联合盖山镇城管中队于2017年12月5日22时21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</si>
  <si>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白湖亭河下濂段内河整治工程快凌晨1点了还有钩机在作业，噪音严重扰民，房间门窗都在震动。特此投诉，望处理。</t>
  </si>
  <si>
    <t>关于件中反映仓山区白湖亭河下濂段内河整治工程夜间施工噪音扰民的问题，我局执法人员于2017年11月28日22时31分到现场查看，执法人员立即责令施工方停止扰民作业行为，午间十二时至十四时，夜间二十二时至次日六时禁止施工，合理安排施工时间。若市民再次发现违规施工扰民行为，请拨打24小时投诉电话12345，我局在收到举报后将第一时间调派执法人员前往查处。</t>
  </si>
  <si>
    <t>现在已经凌晨00:33分，白湖亭河道还在施工，噪音严重扰民。特此投诉，望处理。</t>
  </si>
  <si>
    <t>我局将通知施工方做好文明施工。同时，此件也请转市水务集团进一步督促施工单位对作业时间进行调控。</t>
  </si>
  <si>
    <t>白湖亭内河违规排放污染</t>
  </si>
  <si>
    <t>污染地址：仓山区则徐大道万科金域华府旁内河
非法排放单位：正详广场六建工地
排放时间：23:00至6:00已经持续3天
则徐大道万科金域华府旁内河今日被连续非法排放，致使整条内河严重污染，常见死鱼鳖等浮上水面，排放物恶臭难闻、周围居民苦不堪言。十九大期间，望环保部门加强监管、处罚力度，早日使内河污染减轻。</t>
  </si>
  <si>
    <t>我局执法人员至正祥广场项目检查，未发现有废水外排情况，投诉人所反应的为跃进河ppp综合整治项目，该项目对内河整治过程中对内河进行必要引流，清淤，导致污臭。我局已要求该项目加快工程进度，避免扰民。</t>
  </si>
  <si>
    <t>盖山派出所对面白湖亭河道扩宽工程凌晨1点到现在凌晨3点多都没有结束。噪音很大，严重扰民。特此投诉。</t>
  </si>
  <si>
    <t>我司负责仓山龙津阳岐水系综合治理项目整治。由于内河整治需要，前段时间需对内河河道两侧六米范围内的建筑物进行拆迁，诉求提到的白湖亭河（盖山派出所旁）也在范围之内。因白天市政道路不允许渣土车上路，故只能夜间进行砖渣清运，上述夜间作业我司已于2017年10月13日晚间全部完成施工。因此给您生活上造成不良影响，我司在此表示歉意。</t>
  </si>
  <si>
    <t>仓山区白湖亭河下濂段晚上11点多还有钩机在作业，噪音严重扰民。我之前多次联系城管部门，但是都没有彻底解决此问题。特此投诉，望处理。</t>
  </si>
  <si>
    <t>我局将通知施工方对施工时间进行合理安排，以避免扰民。给您造成的不便敬请谅解。</t>
  </si>
  <si>
    <t>湖亭河什么时候开始整治？</t>
  </si>
  <si>
    <t>请问白湖亭河什么时候开始整治？河道有多宽？希望有关部门回复。</t>
  </si>
  <si>
    <t>市里已牵头将白湖亭河纳入福州市仓山会展中心片区水系综合治理PPP项目，目前正在优化设计方案，初步规划河道宽度20-35米，年内将进场施工。</t>
  </si>
  <si>
    <t>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
请市长关注一下。谢谢！</t>
  </si>
  <si>
    <t>潘墩河</t>
  </si>
  <si>
    <t>关于投诉河道污染问题</t>
  </si>
  <si>
    <t>仓山区城门镇潘墩河内河道污染严重，国庆期间有偷排污水的现象，河道整治工程一直未彻底修复。特此投诉，望相关部门介入处理。</t>
  </si>
  <si>
    <t>潘墩河水质被污染为则徐大道一雨水井突发冒污造成，目前我司已对该雨水井进行相应处理并上报主管部门，现潘墩河水质已基本恢复正常（详见附件）。感谢您对我司工作的支持与理解。</t>
  </si>
  <si>
    <t>关于投诉潘墩河被污染的问题</t>
  </si>
  <si>
    <t>仓山区潘墩路与则徐大道交叉口潘墩河被污染，水质呈黑色，鱼都死了，特此投诉，望处理。</t>
  </si>
  <si>
    <t>潘墩河水质被污染为则徐大道一雨水井突发冒污造成，目前我司已对该雨水井进行相应处理，现潘墩河水质已恢复正常（详见附件）。感谢您对我司工作的支持与理解。</t>
  </si>
  <si>
    <t>投诉河道无人清理（加急）</t>
  </si>
  <si>
    <t>仓山区潘墩新城1区边上的整条潘墩河长期无人管理，现在河道又脏又臭，河水发黑部分河道都干涸了，严重影响到了周围居民的生活环境和身体健康。特此投诉，望部门尽快处理。</t>
  </si>
  <si>
    <t>仓山区潘墩新城1区边上的潘墩河属水系治理项目包6，尚未验收移交管理，建议福州市“智慧福州”管理服务中心转该项目业主单位市新区集团办理</t>
  </si>
  <si>
    <t>白湖亭潘墩河中山段堵塞</t>
  </si>
  <si>
    <t>白湖亭潘墩河中山段，自南台大道修建就开始堵，现河道污水都快溢到岸边，污水恶臭又滋生蚊虫极易诱发传染病，给周边居民生活带来严重困扰，肯请相关部门协调解决！</t>
  </si>
  <si>
    <t>经核实，南台大道桥底段清淤施工在此处设置围堰一道，因昨日有少量降雨导致河道内排水不及时，上游水位上涨约30cm。我司水系项目部已加泵进行抽排，水位已在下降中(附件），施工中给您带来不便，敬请谅解！</t>
  </si>
  <si>
    <t>投诉河水变黑发臭</t>
  </si>
  <si>
    <t>仓山区城门镇潘墩河这两天变成墨水河，臭的窗户都不敢开，特此投诉。</t>
  </si>
  <si>
    <t>因近期市政管网水位较高，导致污水溢流进入河道。目前，我司已督促项目责任单位福州市仓山中闽桑诚水环境技术有限公司加强管养，尽快恢复水质。感谢您对我们工作的支持与理解。</t>
  </si>
  <si>
    <t>仓山区会展中心片区水系综合治理项目（潘墩河附近），施工方野蛮施工，野蛮开挖土方，造成潘墩路88号大楼地基下陷（大楼沉降严重），楼板开裂，房屋存在严重安全隐患，特此投诉，请相关部门尽快落实、处理，对大楼进行鉴定、要求施工方修复。</t>
  </si>
  <si>
    <t>我司在接到诉求件后即安排人员进行现场查勘，并督促相关单位对受损房屋进行鉴定和加固，目前正在商谈进一步修复及赔偿事宜。感谢您对我们工作的支持与理解。</t>
  </si>
  <si>
    <t>河道通宵施工扰民</t>
  </si>
  <si>
    <t>这一段时间，城门镇潘墩村河道在施工，经常施工到凌晨或者通宵施工（钩机、打桩等），
此前已电话12369，效果不明显，今天凌晨1点多还在持续施工。噪声太大（打桩、金属敲击等等），无法入睡，特别是老人小孩苦不堪言，期待有关部门及时处理！</t>
  </si>
  <si>
    <t>我局执法人员于2018年5月8日23时29分到现场查看，未发现施工。今后我局将加强对该工地的日常巡查，发现违规施工现象将依法予以查处。若市民发现施工扰民行为，请拨打24小时投诉电话12345，我局在收到举报后将第一时间调派执法人员前往查处。</t>
  </si>
  <si>
    <t>盖山镇潘墩河改造工地晚上11点多还在施工，噪音严重扰民。该工地最近几天通宵施工。特此投诉，望处理。</t>
  </si>
  <si>
    <t>关于仓山区盖山镇潘墩河改造工地施工扰民问题，我局执法人员于2018年4月9日1时56分到现场查看，此处为潘墩河，未发现施工。今后我局将加强对该工地周边的日常巡查，发现违规施工现象将依法予以查处。若市民发现夜间施工扰民行为，请拨打24小时投诉电话12345，我局在收到举报后将第一时间调派执法人员前往查处。</t>
  </si>
  <si>
    <t>投诉潘墩河死河死水影响环境</t>
  </si>
  <si>
    <t>见FZ15080600694投诉件，去年8月答复“该河段目前尚未开始整治，但目前已列入明年的清淤专项计划中。”
已经快一年过去了，该河段依旧整治动静。2016年半年将至，请问清淤专项整治计划什么时候执行，要求公开计划执行进度表。</t>
  </si>
  <si>
    <t>潘墩河全长4000多米，流经盖山、城门多个村庄，沿线市政管网配套设施不够完善，生活污水绝大多数都是直排内河。目前已列入黑臭治理专项计划，但由于受周边环境条件限制，给治理工作带来很大影响。目前已委托市规划设计院研究解决方案。给您造成的不便敬请谅解。</t>
  </si>
  <si>
    <t>马洲支河</t>
  </si>
  <si>
    <t>关于投诉施工扰民的问题</t>
  </si>
  <si>
    <t>投诉仓山区红星农场马洲支河23:22还在施工扰民，严重影响居民休息。特此投诉，望处理。</t>
  </si>
  <si>
    <t>您所反映的问题，已督促施工单位整改，今后，将加强巡查、整治力度。</t>
  </si>
  <si>
    <t>仓山区红星农场马洲支河桥头亭路段深夜施工扰民，特此投诉，望处理。</t>
  </si>
  <si>
    <t>关于投诉施工扰民问题</t>
  </si>
  <si>
    <t>仓山区红星农场马洲支河桥头亭河段22:44存在施工扰民现象（三四辆钩机在这边施工），特此投诉，望部门处理。</t>
  </si>
  <si>
    <t>诉求内容涉及我司马洲支河1#支流治理工程，我司已要求水系治理项目部督促施工单位做好安全文明施工，施工期间采取措施将噪音降至最低，且作业时间不超过法定的夜间施工时间22:00。如确需夜间施工，我司也会按规定办理夜间施工审批手续。施工期间给您带来的不便敬请谅解，也请您理解与支持水系治理工作！</t>
  </si>
  <si>
    <t>仓山区义序路红星农场马洲支河工地深夜施工扰民，特此投诉，望处理。</t>
  </si>
  <si>
    <t>关于投诉施工扰民</t>
  </si>
  <si>
    <t>仓山区红星农场马洲支河还在内河整治施工，运送渣土的噪音扰民严重。我们天天投诉，天天都是噪音。特此投诉，望处理。</t>
  </si>
  <si>
    <t>仓山区红星农场马洲支河桥头亭路段施工，噪音严重扰民。特此投诉，望相关部门介入处理。</t>
  </si>
  <si>
    <t>诉求内容涉及我司马洲支河1#支流治理工程。我司已要求水系治理项目部督促施工单位做好安全文明施工，施工期间已将噪音降至最低，且作业时间不超过法定的夜间施工时间22:00。如确需夜间施工，我司也会按规定办理夜间施工审批手续。给您造成的不便敬请谅解，也请您理解与支持水系治理工作！</t>
  </si>
  <si>
    <t>仓山区红星农场马洲支河晚上22:45分还在施工，噪音扰民，严重影响居民休息，转接到执法局，等待一个小时未见执法人员到场，是否存在收受贿赂？望部门处理。</t>
  </si>
  <si>
    <t>诉求内容涉及我司包5部分支流马洲支河1#支流治理工程，我司已要求施工单位作业时间不能超过法定的夜间施工时间22:00，如确需夜间施工，我司也会按规定办理夜间施工审批手续。给您造成的不便敬请谅解，也请您理解与支持水系治理工作！</t>
  </si>
  <si>
    <t>红星农场马洲支河这边工地22:01存在施工扰民现象，特此投诉，望部门处理。</t>
  </si>
  <si>
    <t>您所反映的问题，请明确具体位置及提供相关照片，以便派人员前往查看、处理。</t>
  </si>
  <si>
    <t>关于投诉河道施工扰民问题</t>
  </si>
  <si>
    <t>晚上10点多，盖山镇红星农场内的马洲支河附近还有人在施工，噪音严重扰民。请相关部门尽快处理。</t>
  </si>
  <si>
    <t>关于投诉马洲支河施工扰民的问题</t>
  </si>
  <si>
    <t>仓山区红星农场下厝路段的马洲支河22:10还在施工扰民，望相关部门尽快介入处理。</t>
  </si>
  <si>
    <t>投诉噪音扰民</t>
  </si>
  <si>
    <t>投诉仓山区盖山镇红星农场内的马洲支河改造工程，施工时尘土纷扬，加班加点到晚上11到或2点还在施工，严重影响周边居民的正常休息，现场管理人员还说：“自己有关系你爱去哪里告区哪里告”，希望施工地按正常时间施工，我们多次放映该问题，城管下来工地就停工，但是第二天又向往常一样加班加点的施工，特此投诉，望部门处理。</t>
  </si>
  <si>
    <t>你所诉求的问题，我农场执法人员已对该处噪音扰民进行制止并责令其不得超时施工。</t>
  </si>
  <si>
    <t>马洲支河拆迁堵塞河道，水漫河道蚊虫滋生</t>
  </si>
  <si>
    <t>马洲支河红星农场拆迁段（百联瓜子厂），河道被拆迁过程堵死，水无法流出，一场小雨水就益出路面河道，滋生大量的蚊虫。什么时候能恢复排水？</t>
  </si>
  <si>
    <t>我场此次拆迁系内河水系项目，时间紧，任务重，清淤工作我们在紧锣密鼓处理，现已排水，尽快将环境改善。</t>
  </si>
  <si>
    <t>红星农场内河整治</t>
  </si>
  <si>
    <t>第一个问题：当初马洲支河整治时，为何没有延伸至红星农场的内河？那里的内河就像是臭水沟，几乎贯穿整个红星农场。当初规划时是否视而不见？整个项目是否包含了这部分整治费用？
第二个问题：红星农场的内河就像是臭水沟排放口，不治理的话，马洲支河再漂亮都没有用。重新立项整治红星农场内河，明年政府预算是否已编列？整个红星农场是否需要拆迁？是否有其他方案解决弯长的内河排污问题？
第三个问题：村民们对治理内河之事人心惶惶，影响稳定，是否有未来规划的说明来安定人心？</t>
  </si>
  <si>
    <t>红星农场目前已将该内河上报区政府请求将并入马洲支河1号支流整治，具体治理措施及方案还未出台。</t>
  </si>
  <si>
    <t>环境污染</t>
  </si>
  <si>
    <t>福建百联食品厂长期以来在生产过程中排出的怪气味污染周边环境；在生产过程中产生的大量废水直接排入马洲支河；并且有另设有管道偷偷外排，躲过检查。希望相关介入调查。</t>
  </si>
  <si>
    <t>百联食品厂11月3日接到食品卫生部门停厂整治的通知，近期还处于停厂整顿状态，不可能排放污染物。该厂平时的废气，废水均为达标排放，根据该厂环境影响评价，其废水就是处理达标后排入马洲支河。</t>
  </si>
  <si>
    <t>内河被人为填埋问题</t>
  </si>
  <si>
    <t>马洲支河被填埋影响全村人生产生活</t>
  </si>
  <si>
    <t>我镇将加强巡查力度，严厉查处非法运输及乱倒卸渣土车辆。</t>
  </si>
  <si>
    <t>有人用渣土填埋内河（加急）</t>
  </si>
  <si>
    <t>仓山区盖山镇天水村内河（马洲支河）别人现正在用渣土填埋，望部门尽快介入处理。</t>
  </si>
  <si>
    <t>吴山河</t>
  </si>
  <si>
    <t>内河变成堰塞湖</t>
  </si>
  <si>
    <t>早在80.90年代吴山河，天水河，盘屿河是相互通，河道宽能行驶水泥船，三条内河通向马洲河与船尾河后汇入乌龙江，现在内河整理越改造越变成断头河与堰塞湖，望规划设计部门还河道原有面貌，畅通无阻。不要把内河治理成为臭水沟。</t>
  </si>
  <si>
    <t>经核实，我司水系治理范围无盘屿河。吴山河仍可通过正在建设的吴山二号支流、马洲支河2号支流连通马洲支河（天水河），通过马洲河通达乌龙江。吴山河亦可通过在建义序河连通乌龙江。吴山二号支流、马洲支河2号支流为消除黑臭建设临时河道，我司水系只是负责建设单位，涉及水系规划具体问题建议咨询市自然资源规划局。仓山区吴山河、马洲河、义序河等水系目前正在按规划整治施工，因拆迁未到位部分河道尚未整治到位。预计明年底各河道完工后，水系即基本连通水质将改善</t>
  </si>
  <si>
    <t>福建省二建吴山河1#支流施工方施工人员无证上岗，施工工地无安全标识，无防尘措施，夜间施工扰民。</t>
  </si>
  <si>
    <t xml:space="preserve">
福建省二建吴山河1#支流施工方施工人员无证上岗，施工工地无安全标识，无防尘措施，夜间施工扰民。</t>
  </si>
  <si>
    <t>。您所反映的问题，已督促施工单位整改，今后，将加强巡查、整治力度。</t>
  </si>
  <si>
    <t>吴山河1号支流项目施工方祸害百姓</t>
  </si>
  <si>
    <t>吴山河1号支流项目施工方“福建二建”，施工时导致河道被建筑渣土填埋，大雨季节水淹农田及鱼塘。致使农作物“无花果”树惨死（备注：无花果已到收成季节），鱼塘中放养千斤“草鱼”“红莲鱼”“白鲫鱼”越狱。损失惨重，多次与施工方诉说，均以领导不在推脱。望政府给百姓，给农民做主。施工方挣得千金，却害百姓无收成，无钱买米。</t>
  </si>
  <si>
    <t>您所反映的问题，经了解，渣土已基本清完，水系已进场施工。</t>
  </si>
  <si>
    <t>请问吴山河什么时候可以完工，河水还是经常臭气熏天，休闲道做的一有大水就会淹没叫人怎么走，还不如以前</t>
  </si>
  <si>
    <t>诉求内容涉及仓山龙津阳岐吴山河水系治理在建工程项目。目前吴山河施工部分已进入扫尾阶段，暂定计划于5月30日前组织竣工验收。吴山河河道水体依靠外江潮汐置换，我司水系项目部已通知项目公司加强管理工作，合理调控吴凤水闸，保证水质正常。待项目建设完成后进入运维期，项目运维公司将科学合理调控水位，确保河道水位正常。</t>
  </si>
  <si>
    <t>不合理改河道路线</t>
  </si>
  <si>
    <t>吴山河2#，经过福州市仓山区盖山镇吴凤村，关于原河道拆迁规划已出，独有一户由于个人原因不愿房子被征用，，托人四处游走，想不合理改道，从他房子边绕过，这户楼房建于旧河道中心，面积很大，每每下雨天因河道堵塞从他家四周散发出浓浓的恶臭，严重影响了很多村民的家园问题，村民因此抱怨连连，这次事件的严重性未得到合理解决，众村民非常忧心，表示坚持投诉到底，并强烈要求按原计划旧河道拆迁，请有关部门负责人马上前往调查.</t>
  </si>
  <si>
    <t>该处河道由于施工设计方案需要，进行适当调整。给您造成的不便敬请谅解。谢谢。</t>
  </si>
  <si>
    <t>吴凤村吴山河人为不合理改道</t>
  </si>
  <si>
    <t>位于福建省福州市仓山区盖山镇吴凤村，关于原河道拆迁规划已出，独有一户由于个人原因，托人四处游走，欲想不合理改道，这户楼房建于旧河道中心，面积很大，每每下雨天因河道堵塞从他家四周散发出浓浓的恶臭，严重影响了很多村民的家园问题，村民因此抱怨连连，这次事件的严重性未得到合理解决，众村民非常忧心，表示坚持投诉到底，并强烈要求按原计划旧河道拆迁，请有关部门负责人马上前往调查.</t>
  </si>
  <si>
    <t>河道不合理改道</t>
  </si>
  <si>
    <t>吴山河2#不正规改道，已经反应多次，请及时处理</t>
  </si>
  <si>
    <t>河道改道引起纠纷</t>
  </si>
  <si>
    <t>吴山河2#支流河因为一些原因突然改道，造成村民纠纷严重，也有些时日，可没人正当出来处理此事，望有关部门重视</t>
  </si>
  <si>
    <t>内河吴山河2号，河道规划遭不合理改道，事情发生于吴凤村，造成村民意见很大，纠纷不断，望及时处理</t>
  </si>
  <si>
    <t>盖山镇吴凤村的吴山河河道治理工程施工时造成吴凤村9号的房屋剧烈震动和开裂，希望相关部门介入处理。</t>
  </si>
  <si>
    <t>因施工对房屋造成影响产生部分裂缝，经了解，相关补偿手续正在办理中。</t>
  </si>
  <si>
    <t>吴山河道整治施工造成仓山区盖山镇吴凤村西社9号成为危房无法居住</t>
  </si>
  <si>
    <t>我们家的房屋成危房，希望政府解决，尽快征收我们的房屋，因为存在安全隐患，河道工程造成我们房屋成了危房，所以我们希望征收我们的房屋，彻底解决这个问题。</t>
  </si>
  <si>
    <t>诉求位置旁的吴山河已列入仓山龙津阳岐片区水系综合治理PPP项目由我司负责整治。该房屋在此次水系治理拆迁红线外。经向有关部门了解，目前您所在房屋暂未列入拆迁范围。房屋补偿的事宜我司已在积极办理手续中，将尽快解决该事宜。若您想要了解具体办理情况，可与仓山龙津阳岐片区水系负责人联系（吴工，联系方式：13960920711）。</t>
  </si>
  <si>
    <t>我们的要求不是给予补偿，现在的房屋已经成为危房，维修只是表面的，只要发生两三级地震，房屋就会倒塌，这是河道施工导致地基松软，如果发生倒塌等危险谁来负责？希望相关部门征收这套房屋。彻底解决安全隐患。</t>
  </si>
  <si>
    <t>诉求位置旁的吴山河已列入仓山龙津阳岐片区水系综合治理PPP项目由我司负责整治，首次接到诉求后我司已于7月24日联合拆迁、施工等相关单位沿线巡查相关房屋，做好查看鉴定工作。另，房屋的处置方案我司已按政策规定流程上报上级部门审议，最终处置方案需要以上级纪要文件为准。我司已在积极跟进相关工作，但手续办理需要一定时间，望市民予以谅解。</t>
  </si>
  <si>
    <t>吴山河道整治施工造成仓山区盖山镇吴凤村西社9号成为危房无法居住，勘察员说像我们的房屋只要有两三级地震都会倒塌，之前投诉部门说会小心施工，小心施工就能解决房屋变成危房的问题吗？特此投诉！要求上级部门介入处理，要求尽快给出解决方案。</t>
  </si>
  <si>
    <t>诉求位置旁的吴山河已列入仓山龙津阳岐片区水系综合治理PPP项目由我司负责整治，接到诉求后我司已于7月24日联合拆迁、施工等相关单位沿线巡查相关房屋，做好查看鉴定工作。
另受影响房屋补偿方案，目前正在按政策规定上报上级部门审议，手续办理需要一定时间，将尽快补偿到位。后续我司也将加强安全文明施工监管力度，尽量减小施工对周边市民的影响。</t>
  </si>
  <si>
    <t>仓山区盖山镇吴凤村吴山河河道施工，我家房子就在吴山河红线旁边，震动很明显，希望相关部门介入处理。</t>
  </si>
  <si>
    <t>诉求位置旁的吴山河已列入仓山龙津阳岐片区水系综合治理PPP项目由我司负责整治，接到诉求后我司已于7月24日沿线巡查相关房屋，做好查看及沟通工作。后续也将加强安全文明施工监管力度，尽量减小施工对周边市民的影响。</t>
  </si>
  <si>
    <t>吴山村内河垃圾堆积，水流不通</t>
  </si>
  <si>
    <t>吴山村内河几乎无水流，全是生活垃圾，一直听说福州在治理内河，请问吴山河什么时候能清理？夏季快到了，不及时清理的垃圾易滋生蚊虫疾病，希望相关部门能加快治理吴山河的安排，公布下大致治理时间。</t>
  </si>
  <si>
    <t>所反映的问题已收悉，已组织人员清理。</t>
  </si>
  <si>
    <t>吴山河治理问题</t>
  </si>
  <si>
    <t>最近经常看到福州内河治理的公告和新闻，其中提到吴山河的治理，我想知道吴山河的治理是整条河还是部分河段，是否包括经过吴山村里面的那段，如果只是部分河段治理，请相关公告标注出来。
由于诉求件周期太长，我将我所有的疑虑性全说了，你们挑说的对那部分回答。
1.吴山河的治理是整条河还是部分河段，回复请带附件，把治理段标注出来。
2.如果是整条河治理，河道违建问题是否同时进行处理？村民生活废水排入河道问题是否同期进行？
3.如果是部分河道治理，部分不治理，污染段再次污染已治理河道怎么办？还是说该次治理就是初步治理效果拍了照片给中央看完就行，以后的事情以后说，不打持久战？</t>
  </si>
  <si>
    <t>此次吴山河道治理根据规划河道走向实施，为全段治理。今年主要是采取临时措施先行解决水质黑臭问题，下一步将全面系统的开展治理，含永久性截污管埋设、调蓄池建设等结构性施工，预计2019年上半年完工。
关于河道周边违建以及违排问题请转执法部门及环保部门进行咨询办理。谢谢。</t>
  </si>
  <si>
    <t>请问这样挖内河安全吗</t>
  </si>
  <si>
    <t>仓山区盖山镇吴山河修建地点在吴山村旧水闸以东五十米，据了解这是修吴山河。有三四百米长，一段在防洪堤内一段在防洪堤外，就是靠近防洪堤下挖土方修内河，这样是否会威胁防洪堤安全造成溃坝？望水利局能给予答复。</t>
  </si>
  <si>
    <t>根据《福建省河道保护管理条例》、《福州市水工程管理条例》等有关规定，涉江涉堤项目，建设单位应将建设方案和防洪评价报告报水行政主管部门审查同意后，方可按照基本建设程序履行审批手续。目前我局尚未收到相关报审资料和批复文件。经现场调查，吴山旧水闸附近防洪堤尚未发现破堤、穿堤等涉堤建设。我局已要求闽江下游管理处加强巡查，发现违规施工立即制止并上报。</t>
  </si>
  <si>
    <t>吴山河问题</t>
  </si>
  <si>
    <t>仓山区盖山镇现在开始修吴山河，据了解要修的吴山河段只有两三百米长，而且防洪堤在内河中间，整条内河都通不了水，作用在哪里？这就是面子工程，是在浪费纳税人的钱。第二，修吴山河从防洪堤堤座附近向下开挖土方，这个严重影响防洪堤安全，望相关部门答复。</t>
  </si>
  <si>
    <t>吴山河段并不属于我局管辖范围，另据了解吴山河段修建的工程的项目是经过市防洪公司通过相关程序论证，并经市政府同意。</t>
  </si>
  <si>
    <t>半洋亭河</t>
  </si>
  <si>
    <t>仓山区白湖亭正祥万达工地建筑污泥直排内河</t>
  </si>
  <si>
    <t>仓山区白湖亭正祥万达工地长期将建筑污泥直排内河（半洋亭河），有照片为证，望处理。</t>
  </si>
  <si>
    <t>经现场核实，该处为房地产建设违章排放，因我司无执法权，现已将该违章排放事宜上报行业主管部门市建设局执法部门进行执法，有关执法问题也可直接咨询市建设局，感谢您对水系治理工作的关注与监督！</t>
  </si>
  <si>
    <t>揭露仓山半洋亭河偷工减料真相！</t>
  </si>
  <si>
    <t>由福州市水务投资发展有限公司整治的仓山区半洋亭河偷工减料，比如，万科金域华府段长达六七百米的步道没有贯通，护栏泡在水里！不要以为神不知鬼不觉！当初市政府对每条水系的整治基本标准都是，步道贯通，结果现在到万科金域华府北门口就断掉！有图有真相！水务投资集团偷工减料！这种水系整治怎么能验收？</t>
  </si>
  <si>
    <t>有关诉求的治理工程已并入水系龙津阳岐水系治理分支流第1标段实施，在主河道验收范围以外。根据施工安排，目前拟准备进行河道过则徐大道段顶管工程。待顶管施工方案同地铁公司确认后，立即开展顶管施工，顶管施工完成后实施剩余河道治理项目。因此您诉求的步道没有贯通等事宜将在后期河道治理中一并进行。感谢您对水系治理的关注与监督！</t>
  </si>
  <si>
    <t>咨询仓山区半洋亭河整治</t>
  </si>
  <si>
    <t>请问仓山区半洋亭河什么时候完成整治？什么时候完成验收？望答复。</t>
  </si>
  <si>
    <t>经核实，诉求内容涉及我司仓山龙津阳岐片区水系半洋亭河治理工程。目前，施工单位已在组织预验收工作，因部分检测报告需外部单位提供造成验收时间延误，预计8月底前完成验收工作。给您造成不便，敬请谅解！</t>
  </si>
  <si>
    <t>若不保质保量完成半洋亭河岸工程就图文并茂不断举报揭发！</t>
  </si>
  <si>
    <t>投诉则徐大道旁的半洋亭河工程完工很长一段时间了，工程队都撤走了，请看看从医博肛肠医院到368弄这一大段的河岸，九成河段没有安装护栏！而且河岸离人行道非常近，而且河岸边的串珠公园晚上都是人，稍不留神，就滑到河里去！请看图片！</t>
  </si>
  <si>
    <t>经核实，诉求内容涉及我司水系半洋亭河治理工程。所诉问题位置的步道与河道驳岸之间有一定绿带宽度，原设计采用绿植作为天然隔离带。种植一段时间后，原设计绿植长势未达到预期效果，现场已经拉起警戒线作为临时措施。目前，我司已将该问题交由设计单位进行优化，7月30日将确定整改方案，方案一经确定，我司即安排施工单位实施。在此为设计缺陷给您和周边居民带来困扰表示歉意！</t>
  </si>
  <si>
    <t>仓山区半洋亭河整治后黑臭依旧是豆腐渣工程！</t>
  </si>
  <si>
    <t>位于仓山区白湖亭正祥广场与万科金域华府之间的半洋亭河整治后黑臭依旧，是一个令人痛心的豆腐渣工程！参见附图。其根本原因就是未实施截污，希望市长有空时能到这里视察一下督促重建。</t>
  </si>
  <si>
    <t>经核实，诉求位置属于水系治理跃进河道管理范围，由于处于汛期，按防汛要求打开合流制雨水排口造成部分雨污合流入河，导致黑臭，河道施工在进行收尾阶段，上游低水位施工无法及时换水，河道整体未进行补水流通，待收尾工作完成，将恢复河道正常水质，预计于6月30日完工。由此带来不便敬请谅解。也请理解和支持水系治理工作！</t>
  </si>
  <si>
    <t>仓山区半洋亭河施工队不恢复万科金域华府前面的路面</t>
  </si>
  <si>
    <t>仓山区半洋亭河施工队之前因为整治内河，把道路破开，在道路下面埋设管道，现在整治工程接近尾声，工程队都撤离了，施工队只是用水泥简单把路面抹一抹！极其恶劣！我们之前是刚铺设好的沥青路面，内河整治之前刚刚小街巷整治，刚刚铺的沥青路面，半洋亭河施工队不要太恶心了！请半洋亭河施工方立还我干净整洁的沥青路面！附上两张内河整治破路前的沥青路面图，另一张是现在被半洋亭河施工队破坏后的乱七八糟的路面！</t>
  </si>
  <si>
    <t>经核实，半洋亭河为我司仓山龙津阳岐片区水系治理工程项目，该处因截污管道施工造成路面破损。由于该处破损面积小，河道施工单位先行采用混凝土面层进行修复，保证路面平整，消除安全隐患(附图）。我司水系项目部已要求施工单位统筹安排，根据半洋亭河竣工验收节点要求，预计于6月底前恢复该路段的沥青面层。在此期间造成不便，敬请谅解！</t>
  </si>
  <si>
    <t>仓山区则徐大道半洋亭河施工严重滞后</t>
  </si>
  <si>
    <t>仓山区半洋亭河施工严重滞后，河边的护栏、步道、串珠公园做了快四个月了，还没做完，有时有人施工，有时没人施工！三天打鱼两天晒网！极其恶劣！之前承诺2019年12月31日前会做完，至今2020年了，还有磨洋工！市效能办为什么不对相关人员进行问责？特此投诉，望相关部门介入处理。</t>
  </si>
  <si>
    <t>经核实，半洋亭河除金辉伯爵山小区段因场地原因导致绿化景观部分未完成外，其余段落已基本完成，目前正在逐步收边收尾，给您带来不便，敬请谅解。同时也请理解和支持水系治理工作，谢谢！</t>
  </si>
  <si>
    <t>环保督察刚走，半洋亭河就黑的跟墨水一样，臭的跟大便一样</t>
  </si>
  <si>
    <t>环保督察组刚走，半洋亭河(万科金域华府段)就黑的跟墨水一样，臭的跟大便一样。你们是打环保督察的脸，还是打老百姓的脸？别以为你们弄虚作假可以做的天衣无缝！</t>
  </si>
  <si>
    <t>当前遵照市建设局意见先进行水下工程建设及管网清疏、检测、修复等工作，需降低水位才能确保施工；我司水系项目部将持续督促施工单位加快施工进度，预计9月中旬后进行补水换水，届时河道水质将得到改善。给市民的生活造成不便深表歉意，望予以谅解！</t>
  </si>
  <si>
    <t>请将此件转往中央环保督查组！仓山区半洋亭河两岸环境非常糟糕！</t>
  </si>
  <si>
    <t>请将此件转交给中央环保督查组！仓山半洋亭河（万科金域华府小区段）两侧为何还不做绿化景观？河整治完很久了，一直围挡着，不做绿化景观！替你们感到羞耻！搞得河两侧环境乱糟糟！十分糟糕！</t>
  </si>
  <si>
    <t>我司当前遵照市建设局意见先进行水下工程建设及管网清疏、检测、修复等工作，待管网检测完成后开始实施剩余段绿化。关于河道两岸环境糟糕事宜回复如下：您照片所反应的位置，我司在未施工区域都有按规定覆盖密目网，同时杂草也正在清除（见附件），给您带来不便敬请谅解！</t>
  </si>
  <si>
    <t>仓山区半洋亭河两侧为何还不做绿化景观？</t>
  </si>
  <si>
    <t>请将此件转交给中央环保督查组！仓山半洋亭河两侧为何还不做绿化景观？河整治完很久了，一直围挡着，不做绿化景观！替你们感到羞耻！搞得河两侧环境乱糟糟！十分糟糕！</t>
  </si>
  <si>
    <t>我司水系项目部当前遵照市建设局意见先进行水下工程建设及管网清疏、检测、修复等工作，待管网检测完成后开始实施剩余段绿化，计划年底完工，给您带来不便敬请谅解！</t>
  </si>
  <si>
    <t>投诉仓山区执法局、仓山区东升街道面对长期施工噪音扰民的投诉不作为</t>
  </si>
  <si>
    <t>金辉伯爵山小区旁边河道治理工程长期违规超时施工，噪音扰民。近一个月以来为了赶工，尤其严重，施工到半夜一、两点甚至凌晨都是家常便饭。本小区及附近居民纷纷在12345上或通过其它渠道投诉，要求严格执行22点后不得施工的规定，停止噪音扰民，还居民一个清静安宁的睡眠环境。然而仓山区执法局与东升街道面对大量的投诉，没有贯彻中央“真抓实干、马上就办”的精神，没有坚决打击违规施工，彻底杜绝管区内的噪音扰民现象，而是绥靖放任，睁一眼闭一眼。面对大量同质投诉，仓山区东升街道甚至连回复的耐心都没有，只是把一段相同的文字（以下为该段文字：您好！诉求件收悉。该处为半洋亭河水系综合治理工地，我街道已与业主及施工单位联系，要求其合理安排施工时间，不得扰民。今后我街道将继续加大对该工地施工的督查巡查力度）反复复制粘贴！这叫什么为市民办实事？问题得不到解决，我们的投诉还有什么意义？特此强烈投诉以上两部门执法不力及面对投诉敷衍应付的失职行为。</t>
  </si>
  <si>
    <t>诉求点位为半洋亭河水系综合治理工程，我街道已前往现场查看，责令施工方合理安排施工时间，同时正式发函至施工单位，要求其严格遵守相关规定，不得扰民，我街道将加强对该工地巡查，如有违规施工现象，我街道城管中队将第一时间制止其扰民行为</t>
  </si>
  <si>
    <t>半洋亭河治理尚有拆迁未完成</t>
  </si>
  <si>
    <t>诉求件FZ18030800010反馈的几栋为治理内河征收但未拆迁的房子。今天看到新闻说，“城区黑臭水体治理9月30日前完成落实“7+5”措施”，其中半洋亭河是要求在9月30号前完成，7+5”措施，“7”是指沿河截污、内河清淤、管网清疏、把水引进来、让水多起来、让水动起来、让水清起来，“5”是指拆违、种树、修路、建景、亮灯。那现在危房未拆迁，自然无法搞绿化，所以请东升街道倒排时间，给出拆除计划。</t>
  </si>
  <si>
    <t>半洋亭河黑臭水体治理工程目前正在进行，影响施工（沿河两岸6米线）房屋已全部拆除，沿岸绿化将按工程进度由施工单位安排。</t>
  </si>
  <si>
    <t>投诉半洋亭河内河整治工程由于施工不善造成管道破损停水</t>
  </si>
  <si>
    <t>我是仓山区东升工业小区一家企业的负责人，投诉半洋亭河内河整治工程由于施工不善造成管道破损，导致近十家企业无生产生活用水，请有关部门监督现场施工的公司尽快做好管道整改工作，确保企业生产生活用水。</t>
  </si>
  <si>
    <t>东升片区旁的半洋亭河已列入仓山龙津阳岐片区水系综合治理PPP项目由我司负责整治，接到诉求后，我司已立即组织修复工作，将尽快修复到位，后续也将做好安全文明施工管理工作，尽量避免类似问题，对于施工给市民造成的影响，我司深表歉意。</t>
  </si>
  <si>
    <t>半洋亭河边有违建</t>
  </si>
  <si>
    <t>为治理半洋亭河，政府费钱费力拆迁，现在河还没搞清楚，刚拆完违建就起来了
违建位置在附件红色圈里面</t>
  </si>
  <si>
    <t>您所反映的问题，我局已现场要求当事人携带相关材料到我局接受调查处理。我局将根据福州市人民政府办公厅关于印发的《福州市城区“两违”规程的通知》（榕政办【2015】131号）的相关规定进行处理。</t>
  </si>
  <si>
    <t>强烈要求留下消防通道</t>
  </si>
  <si>
    <t>我们是万科金域华府业主，最近靠近则徐大道的仓山区半洋亭河道治理，有关部门欲拆除万科金域华府靠河道一侧的硬地（消防通道）做景观带，该硬地是五年前因消防验收不合格，将草皮铲除后改造的消防通道——生命通道，不能因6米步行道而舍弃业主生命！由于该河道很浅，且万科对岸为荒地，根据合情合理的地理现状，特建议有关部门稍将河道向对岸另一侧拓宽，而留下万科金域华府的消防通道，不做拆除。谢谢！</t>
  </si>
  <si>
    <t>半洋亭河已列入龙津阳岐水系综合治理项目包内，由我司负责整治。接到诉求后，我司已与设计单位进行沟通，后续施工期间将保留诉求提到的消防通道。给您带来不便敬请谅解！</t>
  </si>
  <si>
    <t>关于内河整治要拆除小区围墙的问题</t>
  </si>
  <si>
    <t>因政府部门美化治理半洋亭河道，河道旁的景观带预留6米，施工过程中需要拆除万科金域华府小区内的部分建筑和河道旁的部分围墙，在当初小区用地规划时按照设计图纸这些都是在合法用地范围以内，现在通知拆除，但并没有给出相关补偿措施或是说明，严重影响了该小区住户的切身利益。希望有关部门给予解释。</t>
  </si>
  <si>
    <t>您诉求的内河改造半洋亭河项目属于协商征收，是急需完成的重点项目。征收审批手续在办理过程中，因急需交地，规划建设部门提供了征地红线，上级政府同意协商征收。具体征收补偿方案及有关政策，请咨询仓山区欣建房屋征收有限公司（电话：88078846）或仓山区建新金山片区征迁指挥部（电话：83747387）。</t>
  </si>
  <si>
    <t>竹榄河</t>
  </si>
  <si>
    <t>关于投诉粉尘扰民问题</t>
  </si>
  <si>
    <t>仓山区盖山镇竹榄村河道（地铁5号线旁边）工程没有做防护措施，粉尘扰民，并且存在安全隐患。特此投诉！望处理。</t>
  </si>
  <si>
    <t>您所反映的问题，已督促施工单位做好降尘措施。</t>
  </si>
  <si>
    <t>深夜施工拢民</t>
  </si>
  <si>
    <t>多次举报未果再次举报福州市仓山区盖山镇竹榄支河中山后山边段深夜施工翻斗车钩机扰民非常严重政府无能</t>
  </si>
  <si>
    <t>属我镇辖区范围内已督促施工部门严格按照规定的时间施工，要求其在施工的同时注意噪声对周边居民的影响，尽量避免严重噪声扰民。</t>
  </si>
  <si>
    <t>深夜扰民</t>
  </si>
  <si>
    <t>福州市仓山区盖山镇竹榄支河改造项目中山段半夜11点半还在施工噪音扰民严重希望有关部门重视加强管理</t>
  </si>
  <si>
    <t>仓山区义序竹榄河工地晚上11点多还在施工，噪音严重扰民。请相关部门尽快处理。</t>
  </si>
  <si>
    <t>诉求位置为竹榄河水系治理，目前我司水系项目部已要求施工单位合理安排施工时间。针对施工给您造成的不便，我司深表歉意！</t>
  </si>
  <si>
    <t>粉尘扰民</t>
  </si>
  <si>
    <t>仓山区义序竹榄河道拆迁，没有做任何防尘措施，粉尘扰民严重，找领导保安也不让进去，特此投诉，望处理。</t>
  </si>
  <si>
    <t>您所反映的问题，已督促施工单位做好降尘等有关措施。</t>
  </si>
  <si>
    <t>刚刚完成的竹榄河内河改造破坏严重!</t>
  </si>
  <si>
    <t>刚刚完成的竹榄河内河改造项目，河岸两边的路很多都已经倒了！沿道路靠近民房一侧的铁丝网也被一些村民为了自己行走方便而剪断。造成很多人从草坪内进出！希望有关部门加强巡查。在铁丝网上能够给予一些警示标致。以免刚刚完成的工程又被破坏。</t>
  </si>
  <si>
    <t>已督促竹榄村村委会加强管理，督促整改。</t>
  </si>
  <si>
    <t>仓山区盖山镇竹榄河内河改造项目导致生活污水无处排放</t>
  </si>
  <si>
    <t>仓山区盖山镇竹榄河内河改造项目，靠竹榄村这边，不知道当初是如何设计的，没有设置排污管道。现导致生活污水无处排放。请问水务公司，内河改造完成后，准备对生活污水怎么处理，是让沿岸的居民自己挖沟再排到内河里去吗？如果是这样的话，那么内河改造有何意义？</t>
  </si>
  <si>
    <t>竹榄河已列入仓山龙津阳岐片区水系综合治理PPP项目由我司负责整治，我司沿河截污管道已设计预留污水支管，供周围居民临河污水接入，具体接管需满足国家污水接入下市政污水系统标准（CJ343-2010）。</t>
  </si>
  <si>
    <t>仓山区盖山镇竹榄河水系治理倒置生活污水无处排放</t>
  </si>
  <si>
    <t>仓山区盖山镇竹榄河内河改造项目，将靠竹榄村一侧原本的生活排污口全部填死。询问施工单位负责人，负责人说靠近竹榄村一侧均没设置排污口，现在化粪池内的脏物全部溢出。而靠近尚保村的一侧无人居住，却有设置相关的排污设施。请问相关部门图纸究竟是如何设计的。是不是想让我们村民自己想办法挖沟再把污水排入河内？如果是，那我们是不是现在就可以叫人进行施工？将排污直接口修到河里。</t>
  </si>
  <si>
    <t>竹榄河已列入仓山龙津阳岐片区水系综合治理PPP项目由我司负责整治。接到诉求后，我司已请设计单位制定方案解决诉求位置污水排放问题，将尽快予以实施解决。</t>
  </si>
  <si>
    <t>投诉仓山区盖山镇义序竹榄内河工地施工扰民（加急）</t>
  </si>
  <si>
    <t>投诉仓山区盖山镇义序竹榄内河工地施工扰民，现在已经晚上11点33分还在施工，非常吵，整座房子都在震动，万一房子塌了，谁来负这个责任？施工工程中没有采取防尘措施，灰尘非常大，严重影响居民正常生活，特此投诉，望处理。</t>
  </si>
  <si>
    <t>关于您反映的“仓山区盖山镇义序竹揽内河工地夜间施工噪音扰民”问题，我局接到投诉后已第一时间调派执法人员前往现场查看。经查，现场已停止施工，该施工单位有夜间施工许可证。</t>
  </si>
  <si>
    <t>河道被填</t>
  </si>
  <si>
    <t>盖山镇义序竹榄村河道被填，有人正在建厂房，希望有关部门介入处理。</t>
  </si>
  <si>
    <t>我镇暂未收到相关部门违建事实确认函，待收到相关部门违建事实确认函后，依法予以处置。</t>
  </si>
  <si>
    <t>竹榄内河恶臭难闻</t>
  </si>
  <si>
    <t>住在竹榄附近由于实在受不了，大太阳暴晒后内河臭味的蒸发，有风吹的社区都是臭味，实在受不了，竹榄公交站后面的内河有积流，垃圾漂浮物都在哪里乘积了很久也没有人处理，导致越积越多，臭味难闻，福州的内河污染越来越严重，不是臭就是脏不然就是死水，真的希望福州建设的更加美好，同时也希望有关部门拿出点效率来治理内河。</t>
  </si>
  <si>
    <t>由于近段时间以来，天气不稳定，外江水位较高，水闸多数时间处于关闭状态，无法正常定期补水，河底淤泥经过河水冲刷，导致河水成黑色状。待水闸正常补水后，情况会缓解。</t>
  </si>
  <si>
    <t>三捷河</t>
  </si>
  <si>
    <t>如何做到短短半年港头河重新被污染</t>
  </si>
  <si>
    <t>大干120天，打好水系扫尾攻坚战!保护生态环境不是只争朝夕、是利民的大事，今天可以打出120天的标语，明天呢一万年吗?
福州市仓山区港头河这条河污染至少十年以上，旧河道周围的小区建造时间接近二十年，新河道周围的小区接近十年，蚊虫和恶臭是对这条河唯一的记忆，若不是2018年福州市黑臭水体整治环境保护专项行动启动,根本不会想到郊区的内河道也有被整治的一天。
18年的港头河整治确实有效如火如荼，短短几个月清淤、做步道、建绿化、能明显的感觉到河水干净每天都能看到工人在施工，整治效果确实很明显，距今不到半年又回到整治前恶臭、污水，在打铁港、三捷河、华林河、红星河等内河应该不会出现这些问题吧
在这里提出以下问题
1、港头河道是否存在直排污水污水源在哪里?
2、港头河道是否有人定期维护?
3、港头河的源头在哪里?
4、是否能开发河道延长布道到闽江岸边?</t>
  </si>
  <si>
    <t>关于您的问题我司回复如下：1、河道目前不存在污水直排现场，雨天排涝排口会存在溢流现象；2、河道有定期维护，且每天巡查人员，若发现问题会及时处理；3、河道两端源头连着闽江；4、水系项目部会将您的意见反馈上级单位。</t>
  </si>
  <si>
    <t>三捷河改造效果差</t>
  </si>
  <si>
    <t>三捷河入闽江口刚刚改造完又是臭气四散，水污浊！</t>
  </si>
  <si>
    <t>诉求位置的三捷河已列入鼓台中心城区水系综合治理PPP项目整治，目前该河道已完成施工，处于运营管养阶段。市民的诉求已安排现场排查，若存在问题定会及时整改，感谢市民的关注和监督。</t>
  </si>
  <si>
    <t>台江三捷河两岸步行道路灯问题</t>
  </si>
  <si>
    <t>市政府为民投巨资建三捷河两岸步行道，可是苍霞新城（嘉兴苑、嘉华苑、嘉和苑）段路灯长期不开，市民夜间无法行走。希望有关部门给予解决</t>
  </si>
  <si>
    <t>三捷河已列入鼓台中心区水系综合治理PPP项目由我司负责整治，我司于9月底已完成诉求位置段的施工，近期未进行施工，目前正在排查路灯不亮的原因，待排查清楚后将尽快予以修复，给您带来不便敬请谅解！</t>
  </si>
  <si>
    <t>如家食府酒楼油烟污水直排内河</t>
  </si>
  <si>
    <t>如家食府酒楼埋暗管，向三捷河排放油烟，河面臭味熏天。严重影响周边居民生活。</t>
  </si>
  <si>
    <t>您好，您反映的问题已收悉，现将办理情况答复如下：经查，该店已安装油烟净化器，油烟经处理后排放。我局环境监察人员已要求该店定期清洗油烟净化器，保证净化效果。另据商家表示已找到新的店面，近期内将搬离该处，</t>
  </si>
  <si>
    <t>台江区三捷河清理整治，但是有人在河内种菜和种花，非常不像话。特此投诉，望相关部门介入处理。</t>
  </si>
  <si>
    <t>经联系三捷河河道负责人了解，河内种植的是浮岛，属生态修复工程的一部分，并非随意种植的菜花</t>
  </si>
  <si>
    <t>三捷河怎么又黑臭了</t>
  </si>
  <si>
    <t>8月24日在上下杭走走，发现三捷河怎么又黑臭了？为啥刚整治好又不行了？</t>
  </si>
  <si>
    <t>经联系三捷河河道负责人表示三捷河内河污水处理尚未施工完毕，施工预计在月底能完成</t>
  </si>
  <si>
    <t>上下杭三捷河河道施工自去年开始，经常连夜施工，治理后还是个臭水沟，最近又开始施工，治理没有效果，晚上又噪声扰民，我们要求晚上必须停工，避免扰民，这个问题我反映过多次，但是城管与市政部门都不作为，望更高阶的市级或省级部门介入处理。</t>
  </si>
  <si>
    <t>我局执法人员在接到投诉后，于8月23日夜间23点到三捷河内河整治工地巡查，发现是水系治理工地正在施工。该工地为福州市区内河综合治理工程工地，为保市区内河水系及早治理，促进城市美化得到进一步提升，根据市委市政府工作部署，施工单位工期紧任务重，请市民理解支持。执法人员已约谈施工相关负责人，要求其严格遵守市里相关文件精神，文明施工，避免扰民，我局将继续加强巡查监管。给您带来不便敬请谅解！</t>
  </si>
  <si>
    <t>三捷河整治不到位</t>
  </si>
  <si>
    <t>现在己经7月份了，三捷河河面有时还是飘着黑黑点点污渍，是整治不到位，还是存在排污口排放，望有关部门能查一下，关心一下民生环境。</t>
  </si>
  <si>
    <t>三捷河已列入鼓台中心城区水系综合治理PPP项目由我司负责整治，目前该河仍在整治施工中，将沿河的临时截污系统升级为永久截污，预计2018年9月底前完成永久截污施工。我司将督促加快施工进度，在永久截污系统形成后，水质问题将逐步改善，近期因河道截污系统转化升级造成内河水质波动问题，我司深表歉意，也望市民给予谅解。</t>
  </si>
  <si>
    <t>污水直排河水里，整条河水又脏又臭</t>
  </si>
  <si>
    <t>台江区苍霞新城这条三捷河旁边正在做河道施工，把污水直排河水里，整条河水又脏又臭，望相关部门派人实地查看，并给出方案解决河水被污染问题。</t>
  </si>
  <si>
    <t>诉求者所反映三捷河已纳入鼓台中心区水系综合治理PPP项目包，由市水务公司作为业主实施，经我局向市水务公司了解，三捷河下游钢坝施工，及上游达道河中亭街暗涵段正在开展清淤工作，由于施工围堰，导致内河污水输送不出去，水质下降，计划6月底完成施工，届时水质将有较大的改善。在施工期间给您带来的不便，请您谅解。</t>
  </si>
  <si>
    <t>要求晚上停止施工（加急）</t>
  </si>
  <si>
    <t>台江区美伦浩洋丽都1号楼旁三捷河工地治污工程晚上施工至下半夜3、4点，各种噪音严重影响周边居民休息，要求晚上停止施工，望有关部门介入处理。</t>
  </si>
  <si>
    <t>因我局未在当夜收到转办投诉或直接投诉，执法人员在收到投诉后，于5月3日凌晨1点02分巡查三捷河工地。因当夜大雨，执法人员到达现场后工地已没有施工迹象。若市民再次发现夜间施工扰民行为，请拨打24小时投诉电话12345，我局在收到举报后将第一时间调派执法人员前往查处。</t>
  </si>
  <si>
    <t>台江区江滨西大道198号美伦浩洋丽都A区旁边的三捷河河道晚上11点45分还在施工，噪音扰民，白天都不施工，晚上经常通宵施工，噪音已经持续了一个星期，特此投诉，望部门尽快处理。</t>
  </si>
  <si>
    <t>因我局未在当夜收到转办投诉或直接投诉，执法人员于4月20日夜间23点左右巡查该处工地。该工地为我市内河综合整治工地，但是到达现场后，执法人员没有发现施工迹象。在随后21日夜间23点30分的巡查中，我局执法人员仍未发现有施工迹象。执法人员怀疑是该工地或周边工地大型车辆进出运送材料导致扰民。若市民再次发现夜间施工扰民行为，请拨打24小时投诉电话12345，我局在收到举报后将第一时间调派执法人员前往查处。</t>
  </si>
  <si>
    <t>苍霞新城中平路市政下水道不通，导致小区恶臭</t>
  </si>
  <si>
    <t>自从苍霞三捷河河道清理开始，小区里的下水道就一直不通畅，还发出臭味，怀疑是河道清理时把市政管道堵住了，没有及时疏通导致的，因为原来河道清理前都不会有这个情况发生，马上就要雨季了，希望相关部门抓紧时间处理！！</t>
  </si>
  <si>
    <t>经社区与三捷河道整治工程队了解，三捷河道整治工程未对小区内部的下水管道进行改造。小区内部下水管道是由小区物业负责管理，社区已督促物业定期对小区下水管道及时进行清理。</t>
  </si>
  <si>
    <t>三捷河截留井SJ04细部工程，该工程围挡已经非常久了，仍未完工，效率何在？且该工程在22点后进行施工已成为常态化，且施工至凌晨，挖掘机仍在工作，发出的噪声严重影响了附近居民的休息。有时候白天都没有施工，到了晚上就开始动工，是否是没完成合法的开工手续偷偷动工，望有关部门给出合理的解释及处理办法，还市民一个舒适的生活环境。</t>
  </si>
  <si>
    <t>接到投诉后，我局执法人员于3月21日凌晨1点24分到达现场上下杭河道周边工地巡查，沿线工地当夜未发现有施工扰民。</t>
  </si>
  <si>
    <t>靠江滨西大道的三捷河道施工几天了都是深夜钩机施工，让家里老人无法入眠，是否有关部门允许这种为赶工期为由的项目可以扰民施工呢？</t>
  </si>
  <si>
    <t>我局确实自3月1日至今，经常收到该处夜间施工扰民的投诉电话。我局在此期间内，共出动4车次执法人员前往事发地点，处理噪音扰民问题。其中，三次执法人员已劝停施工，一次到达现场后发现工地未有施工。</t>
  </si>
  <si>
    <t>希望上级政府能对水务公司、城管、苍霞街道这三个相关单位做出相应处理！</t>
  </si>
  <si>
    <t>关于三捷河黑臭体工程施工，噪音扰民无法睡觉已经两周了，处理了两次仍然没改进，对于相关的部门水务公司、城管、苍霞街道是不是太不会做事，不会执法，罚款十万元是否做了相关部门的年终奖，把人民继续放在水深火热中，这种不给人民处理问题，不会处理问题的部门是否也要整治下呢？这几个部门工作人员的能力是否也要重新考核下？希望上级政府能对水务公司、城管、苍霞街道这三个相关单位做出相应处理！连续拆投，说执法了，但执法无效，能称为执法？执法部门何用？</t>
  </si>
  <si>
    <t>经现场查看，诉求者所反映的工地为三捷河黑臭水体整治工程，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柴油发电机作业是为了交换黑臭水体，现该施工方已承诺晚上11点以前关闭发电机，且工程即将完工。</t>
  </si>
  <si>
    <t>三捷河黑臭水体整治工程也不可以扰民吧？</t>
  </si>
  <si>
    <t>晚上11点前，发电机依旧没有关闭，继续扰民，故继续投诉，要求处理！</t>
  </si>
  <si>
    <t>经现场查看，诉求者所反映的工地为三捷河黑臭水体整治工程，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柴油发电机作业是为了交换黑臭水体，现该施工方已承诺22日后停用发电机。</t>
  </si>
  <si>
    <t>苍霞街道三县洲桥头靠三保附近在做三捷河淤青河道工程，发动机响整个晚上，噪音扰民，严重影响周边居民正常休息，望部门介入处理。</t>
  </si>
  <si>
    <t>经现场查看，诉求者所反映的河道为三捷河，三捷河已纳入鼓台中心区水系综合治理PPP项目包，由市建委牵头，市水务集团做为业主负责实施。由于水系治理工作工期紧，任务重，因此施工单位在夜间进行材料搬运及渣土清运的工作，街道城管科第一时间就通知施工单位合理安排时间施工，避免施工噪音扰民。现该施工方已承诺晚上11点以前关闭发电机。</t>
  </si>
  <si>
    <t>三捷河已连续多日夜间施工，发动机的声音已让周边居民不堪其扰</t>
  </si>
  <si>
    <t>三捷河已连续多日夜间施工，发动机的声音已让周边居民不堪其扰，请政府能够采取有效的措施制止噪音扰民的行为。不求不施工，只求晚上能睡个觉。</t>
  </si>
  <si>
    <t>该处工地为三捷河黑臭水体整治工程，施工噪音来自工地发电机工作产生的声音。针对该工地夜间施工扰民，苍霞城管科已责令施工方合理安排施工时间，避免施工噪音扰民。现该施工方已承诺晚上11点以前关闭发电机。</t>
  </si>
  <si>
    <t>深夜施工扰民（加急）</t>
  </si>
  <si>
    <t>三县洲大桥台江段旁边（白马路三捷河工程）22:03分还在施工，连续一周通宵施工，发动机噪音很大，河道两边的居民都没法睡觉了。特此投诉！望处理。</t>
  </si>
  <si>
    <t xml:space="preserve">该处工地为三捷河黑臭水体整治工程，施工噪音来自工地发电机工作产生的声音。针对该工地夜间施工扰民，苍霞城管科已责令施工方合理安排施工时间，避免施工噪音扰民。现该施工方已承诺晚上11点以前关闭发电机。
</t>
  </si>
  <si>
    <t>三县洲大桥台江段旁边（白马路，三捷河工程）晚上11点半还在施工，连续3天24小时施工，发动机噪音很大，河道两边居民都没法睡觉了。特此投诉。</t>
  </si>
  <si>
    <t>三县洲大桥旁边的三捷河工地，已经22:42分还在施工，噪音扰民严重。特此投诉，望处理。</t>
  </si>
  <si>
    <t>三捷河治理工地深夜至凌晨装卸碎石，施工噪音严重扰民</t>
  </si>
  <si>
    <t>现在是凌晨3:00，台江区三捷河治理工地南园路段，施工单位的大型装载机和渣土车还在热火朝天地进行碎石运输和装卸。近十几天来，施工单位均是每晚深夜开始进行碎石运输和装卸，并一直持续至凌晨2、3点，施工噪音严重扰民，周边居民根本无法入睡，日常休息收到严重影响！特此投诉，望处理。</t>
  </si>
  <si>
    <t>经查，该处工程为三捷河黑臭水系治理工程，针对诉求，城管科已要求施工方按照环保要求合理安排施工时间，避免夜间施工噪音扰民。</t>
  </si>
  <si>
    <t>请问仓霞新城嘉和苑8号楼南面的三捷河是否纳入城区水系的建设？沿河6米是否拆迁？8号楼是否会进行景观改造？</t>
  </si>
  <si>
    <t>您所反映的三捷河已纳入鼓台中心区水系综合治理PPP项目包，由市建委牵头，市水务集团为业主负责实施。工程内容包括河道清淤、黑臭水体治理、沿河截污等建设工程。另嘉和苑8号楼暂无景观改造计划，感谢您对我们工作的理解与支持。</t>
  </si>
  <si>
    <t>上下杭的三捷河水恶臭，黑如墨汁。</t>
  </si>
  <si>
    <t>上下杭的三捷河水恶臭，黑如墨汁。
环境治理、景区开发反而越治越差。</t>
  </si>
  <si>
    <t>诉求者所反映的三捷河已纳入鼓台中心区水系综合治理PPP项目包，由市建委牵头，市水务集团为业主负责实施。工程内容包括河道清淤、黑臭水体治理、沿河截污等建设工程，由于目前正在开展围堰清淤工作，底泥翻出因此会有黑臭现象，待工程完工将消除黑臭水体现象。</t>
  </si>
  <si>
    <t>三捷河脏污问题</t>
  </si>
  <si>
    <t>台江区苍霞新城三捷河，这次刚刚清淤清完，第二天上午河道里面又都是排泄物，十分恶心，希望相关部门彻底根治。</t>
  </si>
  <si>
    <t>诉求者所反映的三捷河为鼓台中心区水系综合治理PPP项目包河道之一，目前已经完成清淤工作，经向施工单位了解，是由于未完成沿河截污系统，才导致污水直排内河污染水质现象。目前三捷河初步设计方案已经通过专家评审会，但最终设计方案尚未批复。考虑到沿河彻底截污系统建设的复杂性，现于三捷河下游建设磁分离系统，将内河水抽取上来经过净化处理后再输送回内河，目前已经完成基础建设，计划于9月底完成磁分离系统建设，届时将有效净化三捷河水质，消除河水黑臭问题。</t>
  </si>
  <si>
    <t>引白马河入闽江之水  入三捷河上游进水口 使三捷河成为活水之河</t>
  </si>
  <si>
    <t>在白马河入闽江处（闽江防洪堤外）建一个导水渠，导水渠将白马河与三捷河连接起来，引白马河之水入三捷河上游进水口使三捷河成为活水之河。闽江防洪堤外建导水渠，亦可引闽江之水（闽江涨潮时）入三捷河。活水之河，可彻底解决河水黑臭问题。</t>
  </si>
  <si>
    <t>台江区三捷河西面通过江滨路得三捷水闸与闽江连接，东面三通桥边的利嘉大楼下的暗涵与解放大桥边水闸与闽江相连。因是感潮河道没有生态补水，低潮时河床露底，部分生活污水未截污，造成黑臭。目前该河道已列入PPP项目包，近期将入场治理，计划明年逐步见效</t>
  </si>
  <si>
    <t>三捷河部分河段黑臭不堪</t>
  </si>
  <si>
    <t>台江区苍霞片区三捷河部分河段几近断流，蚊虫孳生，臭味袭人。
昨日，记者来到三捷河南园路至隆平路河段看到，河道几近干涸，部分区域水深在5厘米左右，巴掌大的罗非鱼露出背鳍，不时搅起团团浑水。很多地方都已露出黑色淤泥，淤泥上还可以看到金属材质的饼干盒、空罐头瓶、可乐瓶、打包的垃圾等。记者沿着河道走了近100米，阵阵异味扑鼻袭来，不时有蚊虫在身边飞舞，3处排污管道正向该河段注入污水，排水口附近污秽不堪。多名过路居民告诉记者，河岸两侧的社区居民生活用水都是直排进三捷河，然后汇入苍霞公园附近的内河，最终直排进闽江。
走访中，多名居民告诉记者，三捷河这一河段出现这样的情况，跟上游蓄水有关系。顺着居民的指点，记者沿着河边走到三捷河与隆平路交叉处的一座石桥，看到桥下一座新构筑的半米多高的水泥堤坝，靠上下杭星河巷一侧蓄满了水，靠南园路一边则基本干涸。
附近居民王先生说，半年前偶然发现建造了这个堤坝，之后除了台风天和下大雨外，平时靠南园路一边的河道就基本没有活水了。“今年夏天特别难过，现在都很少开阳台的门，味道太难闻。”</t>
  </si>
  <si>
    <t>三捷河南园桥排污口产生的污水不在上下杭改造的红线范围内。目前,改造工程中三捷河三通桥至隆平路段已完成全线截污和清淤施工。受达道河地铁施工围堰影响，虽然每天涨潮都有水流入，但流速较慢，水量不大，退潮后河内水量基本见底，仅剩10公分左右。为确保游客进入上下杭游览时河内能有河水，市三坊七巷公司在隆平路段设置了一道60公分高的围堰，该围堰仅起到蓄水作用，不会阻碍涨潮时河水流入下游河段。</t>
  </si>
  <si>
    <t>发臭的三捷河何时能变清？</t>
  </si>
  <si>
    <t>上下杭改造建设一天一个样，贯穿上下杭的却发臭，污水横流，南园路桥下污水直排河里，从三捷水闸起全是黑乎乎的污水，发出阵阵恶臭，就直排闽江，污染闽江，也严重影响周边的群众生活，海都报也多次报道，海都报去年底的报道曾提到政府回应：2016年上半年会清理完成，可是，现在连清理的工作还没开始，福州市政府提倡马上就办的工作作风，恳请政府能急人民所急，清理三捷河，如果工作忙，起码先清一请污水，还百姓一个清新的环境。</t>
  </si>
  <si>
    <t>三捷河水质差的原因涉及诸多方面，对此，市、区均高度重视，目前，三捷河水质治理中短期方案已初步成形并已在实施中，如新光明港泵站建设（已在建）将解决污水输送问题；2017年地铁围堰拆除后可改善河水不流动致黑臭问题；另根据市里安排，三捷河将开展黑臭水体治理，计划于2017年年底消除黑臭。为尽快改善三捷河环境，建议转市水利局下属闽江下游管理处洪山管理所引闽江水调节三捷河水位，避免因水量不足导致严重黑臭。</t>
  </si>
  <si>
    <t>三捷河污水横流何时能治理</t>
  </si>
  <si>
    <t>台江区三捷河污水横流，臭气熏天。三通桥至隆平路段两端设闸抬高水位，而隆平路以西至闽江段污水横流，臭气熏天，南园路桥下巨大污水管24小时不间断排放污水到河上，严重影响沿河两岸的居民的居住和身体健康，多次投诉无法解决。</t>
  </si>
  <si>
    <t>经市管网维护公司现场排查，桥下的管口污水排出，主要是金铛泵站正在提升改造中，原内河截污的污水干管水位较高，为避免污水倒灌居民区，经鸭嘴阀排入河道。金铛泵站提升改造工程计划将于今年年底完工，到时污水将通过该泵站输送出去，不会再排入内河。三捷河黑臭水体治理已纳入2017年计划，目前正在进行工程前期设计审批工作</t>
  </si>
  <si>
    <t>三捷河污水横流</t>
  </si>
  <si>
    <t>三捷河长期得不到根治，污水横流，南园路桥下，隆平路桥下长期有大口径污水管直排河中。入夏以来，由于三通桥至隆平路河段两端建水闸抬高水位，使得隆平路往西至闽江河段成为断头河，东向的达道河及南向的新桥仔河闸水无法通过涵洞向西流入三捷河出闽江，加剧了三捷河（隆平路往西至闽江端）污染，臭气熏天。希望能结合打造上下杭历史文化街区的契机予以彻底根治，造福于百姓，也为上下杭历史文化街区添光彩！</t>
  </si>
  <si>
    <t>三捷河河水变死水，蚊子臭虫很多</t>
  </si>
  <si>
    <t>台江区上下杭中平花园三捷河河水变死水，蚊子臭虫很多，希望尽快整治。</t>
  </si>
  <si>
    <t>市三坊七巷公司已于2016年5月完成三捷河两岸截污工程，三捷河黑臭水体治理现已列入台江区2016-2017年黑臭水体治理项目，具体工程进展情况请咨询台江区建设局。</t>
  </si>
  <si>
    <t>福州苍霞嘉华苑内河问题2</t>
  </si>
  <si>
    <t>这样的答复能满意吗
没有个具体时间
和具体指标让我们怎么相信你们有在做呢
我们每天都在这边居住都没有看见施工方到现场或者一些策划、
而且不是一天两天问题了。已经好几年了。前几年你们到哪里了呢</t>
  </si>
  <si>
    <t>三捷河起于西面三县洲大桥边连接闽江的三捷水闸，东面止于上下杭的三通桥，通过利嘉下的暗河与解放大桥边水闸流入闽江，属闽江的感潮河道，无生态补水，水质受外江水位影响较大。苍霞园内河道近期未安排整治计划。目前东面上下杭段由市三坊七巷公司负责的河道整治截污。该段截污完成后，生活污水减少，三捷河全段的水质会有改善。</t>
  </si>
  <si>
    <t>光明港二支河</t>
  </si>
  <si>
    <t>光明港二支河这几天河水发黑，散发恶臭，希望有关部门说明原因并及时处理</t>
  </si>
  <si>
    <t>因光明港二支河福光南路段污水管道破损导致污水渗漏，河道水质变差。我司水系项目部已督促施工单位安排对破损管道进行修复并加大河水补水置换。经现场核查，目前光明港二支河水质已恢复正常（见附件），给您带来不便敬请谅解！</t>
  </si>
  <si>
    <t>反映河面垃圾无人清理</t>
  </si>
  <si>
    <t>这条鳌峰河（原叫光明港二支河）靠近台江区的一侧每天都有一艘船在打捞垃圾，靠近晋安区这侧的鳌峰河都没人清理垃圾，越积越多，我想问下管理鳌峰河的河长是谁？联系电话是多少？特此投诉，请部门处理。</t>
  </si>
  <si>
    <t>光明港二支河已列入鼓台中心城区水系综合治理PPP项目由我司负责整治，河面保洁问题我司已安排保洁人员沿线巡查，统一清理，感谢市民的监督与关注。</t>
  </si>
  <si>
    <t>光明港二支河香江万里段，内河整治噪音扰民，这河道晚上半夜三更施工，白天没什么动静，晚上施工噪音扰民、无法入睡、得失眠症了，神经衰弱了，望部门尽快处理</t>
  </si>
  <si>
    <t>经实地察看为内河整治工程的施工地，街道、社区工作人员已与该地块项目部协调，负责人表示公司将以人为本的精神在工作时尽量减少噪音及其他扰民问题并做好环保降噪工作，并对此而给居民生活带来不便深感抱歉。</t>
  </si>
  <si>
    <t>半夜施工，噪音扰民</t>
  </si>
  <si>
    <t>近期光明港二支河香江万里段好像是在做内河治理，从晚上8、9点至第二天凌晨，各种工程机械（推土机、挖掘机、渣土车等）发出大量噪音，周边小区居民（尤其是老人、儿童）休息受到严重影响，已经到了晚上无法入睡的程度。希望相关部门能为百姓做主，让施工单位白天工作，不要在半夜扰民。</t>
  </si>
  <si>
    <t>光明港二支河（亚兴路与鳌兴路交界处）清淤河道，有个大型的机器是24小时开着，噪音扰民，严重影响周边居民正常休息，特此投诉，望环保部门介入处理。</t>
  </si>
  <si>
    <t>请环保部门制止光明港二支河除淤净化工地施工噪音扰民</t>
  </si>
  <si>
    <t>鳌兴路和亚兴路交界处光明港二支河除淤净化工地，大功率柴油机整夜开足马力施工，深夜噪音扰民，阳光凡尔赛宫和福人社区居民休息受到严重影响，光明港二支黑臭问题久拖不决，又多了噪音污染，请环保局查处。</t>
  </si>
  <si>
    <t>经了解为内河治理工程，街道、社区工作人员已与该工地项目部协调，负责人表示公司将以人为本的精神在工作时尽量减少噪音及其他扰民问题并做好环保降噪工作，并对此而给居民生活带来不便深感抱歉。</t>
  </si>
  <si>
    <t>光明港二支河除淤净化工地施工噪音扰民</t>
  </si>
  <si>
    <t>光明路光明港新村门口长期烧烤摊占道经营，无人管理。</t>
  </si>
  <si>
    <t>每晚小摊贩在光明路光明港新村门口占道经营，烧烤摊烟熏火燎！小摊贩直接将垃圾扔入光明港二支河。竟然无人管！希望有关部门给予监督。是否是不作为！</t>
  </si>
  <si>
    <t>鳌峰街道城管科反馈如下：我科晚班人员已对光明路桥头占道摊点进行整治，并在周边派人员值守，及时取缔占道摊点。</t>
  </si>
  <si>
    <t>违章占道摆摊，烧烤摊烟熏火燎，破坏内河。</t>
  </si>
  <si>
    <t>每晚烧烤摊烟熏火燎，严重破坏环境。占道摆摊严重。小摊贩直接把垃圾扔入光明港二支河内，破坏环境。乱象依旧。无人管理，混乱不堪！同时该路段违章停车肆无忌惮！直接把车停在大马路上，无人管！</t>
  </si>
  <si>
    <t>光明港二支河清淤工程产生的噪音严重影响中考学生的复习迎考</t>
  </si>
  <si>
    <t>我是今年中考应届生，这两天是中考学生的温书假时间。市政府有关部门已经发布了相关的禁音规定，但是这几天光明港二支河清淤工程产生的噪音严重影响我们的复习迎考，请有关部门马上采取措施，给我们应届生创造一个安静的迎考复习环境，拜托了！</t>
  </si>
  <si>
    <t>光明港二支河清淤工程属鼓台中心区水系综合治理PPP项目包内，由市建委牵头，市水务集团作为业主负责实施，我局自收到该诉求，立即联系施工单位，要求施工单位立即整改、严格按照市里相关静音规定施工，防止出现噪音扰民现象。</t>
  </si>
  <si>
    <t>打铁港</t>
  </si>
  <si>
    <t>回应市自来水公司对打铁港内河岸线绿化被破坏回复(急</t>
  </si>
  <si>
    <t>市自来水公司工程队结合元一小区老旧小区改造对小区自来水一户一表改造，现在小区改造巳结束。但是打铁港内河河岸绿化因是内河6米岸线不在小区改造范围内，所以被自来水预埋施工破坏后无人恢复，破坏了内河景观，严重违反了2019年6月1日实施的《福州市城市内河管理办法》。马上就到春节了，望市自来水公司责成工程队即刻改正，修复岸线绿化，还福州市内河岸绿景美。</t>
  </si>
  <si>
    <t>经水务工程公司落实，因临近春节施工人员返乡，目前已与小区物业主任协商，定于元宵节后安排施工队进场施工。由此给您造成的不便，我司深表歉意。特此回复，谢谢。</t>
  </si>
  <si>
    <t>打铁港内河河岸绿化被破坏</t>
  </si>
  <si>
    <t>台江区群众东路99号元一小区自来水一户一表预埋巳经完成半多月了，但打铁港内河河岸绿化被破坏没有恢复。马上要临近春节了，望自来水公司能恢复绿化，还内河河岸岸绿景美。</t>
  </si>
  <si>
    <t>已督促水系项目公司北控水务及施工单位中建三局一公司于2020年3月之前安排人员修复因水系施工导致的破坏，给您带来不便敬请谅解！</t>
  </si>
  <si>
    <t>内河岸线范围内可否堆放垃圾？</t>
  </si>
  <si>
    <t>台江区打铁港内河岸线上、规划绿线范围内可否堆放垃圾？</t>
  </si>
  <si>
    <t>我街社区工作人员已督促保洁员对河道卫生进行保洁，并要求保洁员及时对垃圾进行清运，避免垃圾堆积。今后我街将加强巡查。</t>
  </si>
  <si>
    <t>关于城市蓝线</t>
  </si>
  <si>
    <t>请问福州市水务投资发展有限公司打铁港内河群众路到国货路段城市蓝线有什么内容</t>
  </si>
  <si>
    <t>经了解，打铁港河诉求段在本次城区黑臭水体治理之中河道的施工范围为沿河驳岸6米，沿河驳岸6米地面上主要施工内容是进行步道景观等改造工程。感谢您对水系治理工作的关</t>
  </si>
  <si>
    <t>关于福州市内河</t>
  </si>
  <si>
    <t>请问相关政府职能部门，福州市内河管理规定中的“内河岸线”具体怎么规定？打铁港内河岸线岸边延伸几米？</t>
  </si>
  <si>
    <t>根据福州市城市内河管理办法（第二次修正），打铁港河岸线为河岸两侧各10米以内范围。本次城区黑臭水体治理河道施工范围为沿河驳岸6米。感谢您关注水系治理工作！</t>
  </si>
  <si>
    <t>关于内河岸线的规定</t>
  </si>
  <si>
    <t>《福州市内河管理办法》第三十条规定内河管理范围是指城市内河两岸规划绿线以内的区域范围，没有规划绿线的指规划蓝线以内的区域范围。“内河岸线”是指河道的驳岸线一般留6米。打铁港河国货路至群众路沿河两岸6米，国货路南侧河道因大片拆迁后沿河已更改规划为公园绿地</t>
  </si>
  <si>
    <t>咨询台江区打铁港河综合整治工程何时完工</t>
  </si>
  <si>
    <t>请问台江区打铁港河综合整治工程何时完工？望答复。</t>
  </si>
  <si>
    <t>经核查，打铁港河水系整治工程已基本完成，剩余步道已进入收边收尾阶段，计划于10月30日前完成。感谢市民的关注和监督！</t>
  </si>
  <si>
    <t>咨询打铁港河综合治理工程何时完工？</t>
  </si>
  <si>
    <t>咨询打铁港河综合治理工程何时完工？望解答</t>
  </si>
  <si>
    <t>因政府拆迁规划，打铁港河水运里段设计需调整，目前设计方案已定，待图纸通过审核后施工，根据图纸内容确定完工时间。现设计意图规划的施工内容预计工期约一个半月，给您的生活造成不便深表歉意，望予以谅解！</t>
  </si>
  <si>
    <t>河边路面除障，福建省福州市六一中路198号龙事达花园前打铁港</t>
  </si>
  <si>
    <t>福建省福州市六一中路198号龙事达花园前打铁港，前期围档修整河岸，完成后，路面围档固定铁片没有拆除，容易拌倒老人小孩，照片红圈处，请派人处理。</t>
  </si>
  <si>
    <t>您好，诉求位置旁的打铁港河已列入鼓台中心区水系综合治理PPP项目由我司负责整治，收到诉求后，我司已责令施工单位立即整改，拆除路面围档固定铁片，及时平整路面。给市民的出行造成不便深表歉意，望予以谅解！</t>
  </si>
  <si>
    <t>内河整治借用小区绿化和车道迟迟未恢复原貌</t>
  </si>
  <si>
    <t>元一花园靠六一路一侧内河打铁港河永久截污工程施工单位借用元一花园绿化及部分车道，由中建三局第一建设工程有限公司负责工程包施工。其至今未按照其施工公告所述，于4月30日前完成施工，并恢复原貌。水系治理是利民的好事，小区业主一直支持其整治，前期拆除工作，从去年到今年经常半夜两三点施工，业主们也支持了。这次借地业主也是支持的。但是，目前来看场地上已经有两个星期没有施工人员和机械，借用地也只是简单的绿网覆盖，看不出一丝一毫履行承诺，恢复绿地和道路的意思。我们小区是九几年的小区了，停车位本来就很紧张，借用地迟迟不恢复，严重的影响了我们的生活质量。这和水系治理为民办实事的初衷已分道扬镳。请政府督促建设单位，履行承诺，恢复借用地的原貌！让我们能回家不再为抢车位糟心！</t>
  </si>
  <si>
    <t>打铁港河道已列入鼓台中心城区水系综合治理PPP项目由我司负责整治,元一花园小区公共用地提升修复事宜需专项制定方案，并报园林局审批后才可实施。目前修复方案已出，待园林局审批签字，通过后我司将立即组织施工。给您造成的不便，我司深表歉意，感谢市民对水系治理工程的理解与支持。</t>
  </si>
  <si>
    <t>打铁港河治理借用元一花园小区公共用地至今未恢复原貌。</t>
  </si>
  <si>
    <t>鼓台中心区水系综合治理ppp项目因截污井施工，从3月22日起占用元一花园小区绿化带和车道，并在公告中称4月30日前完成施工，并原貌进行恢复。但是，过了一个多月了，直到今天（6月8日）都没有按照公告履行承诺。目前该占用地块已经没有机械也没有工人在施工，完全没有要按照承诺恢复原貌的迹象。元一花园是98年建的小区，本身小区内停车位就十分有限，前期小区业主都很支持河道治理建设，都自行解决了停车的问题，但是长期占用造成了我们生活水平的严重下降，每天回家为了停车发愁，希望政府督促责任单位中建三局第一建设公司立即将绿道和车道恢复原状！</t>
  </si>
  <si>
    <t>打铁港河从福建特艺城至国货段水系综合治理PPP项目</t>
  </si>
  <si>
    <t>想对福州市水务投资发展有限公司进行咨询第三次进行咨询，我就想你们明确答复我下，目前你们的设计规划图纸，到底有没有涉及到打铁港河东侧棚屋区地块的改造？该地块在河道拆除15米范围房屋后全部裸露出来，景观影响极大，有没有将该地块设计成串珠公园之类，详细区域见我附件圈图。就是问你们的规划设计问题 不要转给旧改办谢谢。</t>
  </si>
  <si>
    <t>打铁港河道已列入鼓台中心城区水系综合治理PPP项目由我司负责整治,但我司根据目前拆迁范围，已足够实施沿河截污施工。后期景观提升方案，将根据具备条件的现有范围实施，拆迁范围需上报区政府，并且方案经过市园林局审批同意才可实施。诉求地块的征迁问题已超出我司水系治理规划范畴，暂无具体征迁实施计划。</t>
  </si>
  <si>
    <t>台江区打铁港河周边旧屋区的旧改建议</t>
  </si>
  <si>
    <t>台江区打铁港河周边存在着大面积的破旧棚户区，主要是万寿村旧屋区和打铁港河旧屋区，（请参看附件图片），这些破旧的棚户区已经存在了几十年的时间，不仅房屋破旧，不符合福州作为新的全国文明城市的光辉形象，而且自身也存在着不小的安全隐患，环境卫生也不好。目前福州市作为全国第二批生态修复城市修补试点城市，在城区内河黑臭水体的治理上已经取得了初步成效，作为曾经的台江区内最难啃的一条黑臭水体——打铁港河，虽然对它的黑臭治理取得了初步成效，但现阶段的治理只能治标不能治本，因为打铁港的黑臭是由于岸边大面积旧屋区的污水与垃圾直排造成的，如果不对这些旧屋区进行彻底的升级改造，那么打铁港河的黑臭现象在本次治理结束后仍然会反复。所以，我们希望了解一下，政府有关部门当前是否已经有了对这片旧屋区的旧改计划？如果还没有相关的计划研究，我们请求政府有关部门能够对这片旧屋区的旧改给予一定的关注，在恰当合理的情况下，对这片旧屋区进行彻底的升级改造，造福百姓，利国利民。</t>
  </si>
  <si>
    <t>打铁港河东侧旧屋区位于打铁港万寿村旧屋区改造项目，该项目已列入我区旧屋区改造计划，暂未列入近期房屋征收计划；打铁港河西侧旧屋区位于南公园周边地块，该地块已列入今年房屋征收计划，具体征收时间以政府征收公告为准。</t>
  </si>
  <si>
    <t>想对福州市水务投资发展有限公司进行咨询，上次诉求中反馈打铁港河从福建特艺城至国货段两侧依然大量棚屋区河道两侧景观一塌糊涂，我想问下下半年依然进行设计，还是开始实施景观提升方案？另外该项目河道两侧15米以外大量棚屋区下半年有没有安排进行全面拆除！特别我时间地点标注的区域</t>
  </si>
  <si>
    <t>目前尚未收到业主单位关于打铁港项目河道两侧15米以外棚屋区进行拆除的通知。</t>
  </si>
  <si>
    <t>福州市水务投资发展有限公司下属河道治理工程施工导致房屋受损</t>
  </si>
  <si>
    <t>我是福州市台江区湾里三弄60号的居民，5月11日，发现建筑墙体及地面出现多条裂缝，由于我的房子紧靠打铁港河水系综合治理工程工地，近几天我房子旁边由工地施工方深挖了一道深井，挖出的土（堆得非常高）都堆放在紧邻我房子墙体一侧，导致一、二楼墙体、地面开裂并形成断层，现在已经进入5月，马上面临的就是洪水和台风季节，此时出现的裂缝导致居住在里面的我们全家都担心不已，就担心哪天墙体就倒塌砸到人，施工安全无小事，希望有关领导能给予关注处理，对开裂部位进行修复或加固处理！！！</t>
  </si>
  <si>
    <t>诉求位置旁的打铁港河道已列入鼓台中心城区水系综合治理PPP项目由我司负责整治,目前周边已无大规模开挖施工，此前施工对周边房屋造成的影响我司已对接街道，将尽快安排修复工作。</t>
  </si>
  <si>
    <t>一再噪音扰民</t>
  </si>
  <si>
    <t>福州市水务投资发展有限公司承担的打铁港河道的污水治理工程，4月份开工以来，为了施工需要将钢板铺在路面上，车来车往发出巨大的声响，严重影响周边居民生活。现在时隔一月，同一路段向前十米，又开始施工，又是相同的钢板铺在路面，发出巨大的声响，周围居民昼夜都无法安宁！请问施工单位是否有施工资质，为什么不懂得最基础的处置方式？烦请相关部门尽快处置。</t>
  </si>
  <si>
    <t>经查看，诉求位置钢板为我司鼓台中心城区水系综合治理PPP项目-打铁港整治需要放置。目前打铁港截流井进行过街管网夜间施工（白天需恢复通行），实施将污水管统一纳入市政污水干管，施工期间为确保安全施工才在路面临时设置钢板。诉求提及的钢板移位及声响问题是因来往车辆较多导致，我司已再次要求施工方进行整改，并采取措施降低噪音，同时我司也会督促施工，争取尽快完成。该处预计2018年5月底前完成施工并移交市政处修复路面，整治期间给市民造成的不便我司深表歉意，也望市民予以理解支持。</t>
  </si>
  <si>
    <t>举报台江打铁港河内河整治景观提升实为应付弄虚作假</t>
  </si>
  <si>
    <t>举报打铁港河从福建特艺城至国货路段，工程整体拖泥带水数月了边上栈道都还在施工，边上连片棚屋区居然就拆除了河道沿线15米内的，完全就是应付弄虚作假周边居民依然将垃圾之类丢入水中，内河根本不会干净影响整段水质源源不断要清理浪费财政开支，市长去年站在万寿桥上说这片面积不大要抓紧整体拆除，结果大半年杳无音讯，对面南公园部分今年说是要全部拆迁了，然而这片居然单独设立成打铁港河东侧旧改项目依然没有半点眉目！如不清楚阐述项目规划时间我将进行信访实名举报内河整治不作为弄虚作假浪费财政开支！</t>
  </si>
  <si>
    <t>打铁港已列入鼓台中心城区水系综合治理PPP项目由我司负责整治，上半年我司主要开展沿河截污施工，诉求提及的景观提升目前仍在方案设计阶段，属于下半年计划工作。</t>
  </si>
  <si>
    <t>六一中路198号打铁港附近河段，凌晨两点半还有挖掘机在作业，还有人在倾倒石料，噪音扰民，希望部门尽快处理。</t>
  </si>
  <si>
    <t>关于河道改造工作影响到居民日常生活问题，我们深表歉意，为促进河道改造工作尽快完成，给居民提供一个整洁、舒适、和谐、优美的生活环境，希望大家能够积极配合河道改造工作开展，同时我街社区已于项目负责人进行沟通，要求其合理安排施工时间，做好隔音减噪工作，尽量避免噪音扰民问题。</t>
  </si>
  <si>
    <t>新港派出所附近打铁港河清淤工程，已经凌晨快三点还在施工，噪音扰民严重。特此投诉！望处理。</t>
  </si>
  <si>
    <t>经查，该工程为内河综合整治征收拆迁工程，为提升内河水质改善居住环境的为民办实事项目。征迁工作时间紧、任务重，我街城管已对工地午休时间施工进行劝停，要求施工单位严格按规定时间施工，如需中午及夜间施工需按规定办理审批手续并采取降噪措施。市民如发现该工地夜间施工扰民情况，可拨打台江区市容局值班室电话（83209856）反映，执法人员将跟进查处。</t>
  </si>
  <si>
    <t>打铁港河水系治理拆迁暂停</t>
  </si>
  <si>
    <t>此次福州市治理河道，报纸多次刊登进度，台江区湾里四弄61号城管宿舍突然暂停，请问为什么，能否及时拆迁。让老百姓放心。</t>
  </si>
  <si>
    <t>经查，湾里四弄61号城管宿舍不在我单位此次打铁港河（水系治理）征收范围内。</t>
  </si>
  <si>
    <t>新透河</t>
  </si>
  <si>
    <t>望部门治理污水河</t>
  </si>
  <si>
    <t>台江区义洲街道浦西境新村10号背后的新透河已经变成臭水河，污水已经倒灌到居民家中。特此反映，望部门尽快介入处理。</t>
  </si>
  <si>
    <t>水系建设方已对现场问题处理完成（见附件），感谢市民的关注和监督。</t>
  </si>
  <si>
    <t>污水横流望处理</t>
  </si>
  <si>
    <t>新透河管网改造工程由我司所属负责建设，现已完成管道铺设。经现场查看，目前水流通畅，未发现有污水横流现象存在，建议请诉求者明确具体位置并留下电话号码，以便工作人员及时联系确认地点进行现场查勘。</t>
  </si>
  <si>
    <t>河道多年未清淤</t>
  </si>
  <si>
    <t>义洲街道原无线电设备市场旁新透内河多年未清淤，有损文明城市形象，望处理。</t>
  </si>
  <si>
    <t>新透河整治项目已列入台江区为民办实事项目，由我司所属水环境公司负责实施，现已进场施工对河道进行清淤施工，埋设管道。该工程预计11月底完工。</t>
  </si>
  <si>
    <t>济南河</t>
  </si>
  <si>
    <t>晋安区公益支路米兰花苑旁边的济南河道工地凌晨一点还在施工，挖土机、渣土车等大功率机械还在运行，非常的吵。特此投诉，望处理。</t>
  </si>
  <si>
    <t>市容局二中队已派队员到现场查看并联系负责人要求其按照规定施工，禁止超出规定时间施工扰民。同时中队将加强巡查，若发现施工扰民行为及时制止施工扰民行为。</t>
  </si>
  <si>
    <t>达道河</t>
  </si>
  <si>
    <t>市供电局大楼沿河步道</t>
  </si>
  <si>
    <t>市供电局大楼沿达道河步道施工已基本完成，但目前看上去只完成了一半，成为断头步道。咨询一下步道是否可以延伸到十三桥，如有此规划，何时可以完成。</t>
  </si>
  <si>
    <t>该步道计划建设到十三桥段，目前因涉及电业局征迁问题仍在与电业局业主方沟通，实施方案正在协商优化中，后续我司水系项目部将持续跟进情况。</t>
  </si>
  <si>
    <t>请问中亭街口闽剧院的人行道上，有两个巨大绿色围档房，何时才能拆除？</t>
  </si>
  <si>
    <t>今年三月份就有市民投诉过，当时你们给出的回复是预计还要120天工期——诉求位置为达道河暗涵截污施工，围挡时间于2019年3月19日起，预计工期需要120天。水系项目方已督促施工单位加快施工进度，争取尽快完成施工撤除围挡占道。现在是八月中旬了，早过了120天时间，依然没有拆除围档房。围档也并不是从今年3月份才围起的，第一个围档房在2018年年初就围起了，当初说河道施工18年12月28号就能完工拆除，现如今非但未拆，竟还添置第二个围档房加倍占道！！今年三月份说再120天就能完工，结果也是一句空话。请问，到底还需要多长时间，才能彻底拆除这两个围档房？本来闽剧院门口这一条人行道就是异常的拥挤，经过的自行车电动车根本不走非机动车道，都是直接冲上人行道上，现在还杵着两个这么大的围档房占用人行道那点可怜的空间，给日常在这条街往来的老人小孩行人带来多少安全隐患。能否烦请相关部门能尽快落实一下？</t>
  </si>
  <si>
    <t>因诉求处车流量大，施工场地受限，运渣车辆无法在白天通行，只能采取夜间施工；且该处地下管线复杂，施工量大，故未能在计划工期内完成，在此深表歉意！目前因施工遭遇国防光缆，水系建设方正在协调中，同时督促施工单位于9月底前完成施工，届时撤除围挡还路于民,给市民的出行造成不便，深表歉意！</t>
  </si>
  <si>
    <t>咨询菏泽小区及达文里小区近期旧改计划</t>
  </si>
  <si>
    <t>达文里小区附近在经过地铁建设与河道改造，及上下杭景区建设后，进行了大规模的拆迁，近期又在拆迁和平市场附近地块，既然政府有计划大规模建设达道地块，为什么不考虑下拆迁达文里小区呢？小区将近30年了，且是架空层小区，进出都不方便，甚至连停车地方都没有，电梯也没办法加装。小区基本没有配套，无管道燃气，无物业。请有关部门调研下，整治达道河及周边道路的时候，可以考虑对沿线老旧小区进行拆迁。菏泽小区在万宝苏商圈路口，地理位置优越，周边现在都在进行拆迁改造升级，院后村祥坂黎明永辉华润万象城都在为了改造进行了拆迁，那菏泽和凤凰等八九十年代的老旧社区，应该也纳入改造的计划啊，毕竟小区年限和规划落后附近的规划很多，完全不是一个年代的产物，请问有关部门是否有打算在近几年拆迁这一片区</t>
  </si>
  <si>
    <t>荷泽小区、达文里小区目前暂未列入我区旧屋区改造计划。</t>
  </si>
  <si>
    <t>达道河边上的达道一弄为何不拆？什么时候拆？</t>
  </si>
  <si>
    <t>达道地铁站背后靠达道河边的达道一弄那一排的棚户区为何这次不一起列入达道河治理拆迁？就只是拆了原台江城管局那一排的房子？同样是达道河边的房子，拆一边不拆一边，这做的是哪门子的河道治理？ 到底达道河边上的这一排房子要等到什么时候会被拆迁？</t>
  </si>
  <si>
    <t>达道一弄那一排的棚户区位于同晖1.26灾场地块，该地块已列入2019年房屋征收计划，具体征收时间以政府征收公告为准。</t>
  </si>
  <si>
    <t>达道站和达道河公园管理问题</t>
  </si>
  <si>
    <t>从9月初开始福州地铁一号线达道站C出口步行道和达道河刚刚修好的串珠公园，就被占用变成机动车停车场，市民多番投诉均答复说是物业的私自行为，请问下如果是物业的为什么政府部门要出钱维修，并且还能把原来的绿化改成铺装地，这个破坏绿化的行为政府为什么不制止，如果是物业的管辖的为什么每天市政的洒水车都来清洗地板。目前的现状是串珠公园继续被破坏，周边阻止机动车的石柱继续被清楚，如果政府觉的这个地是物业的恳请恢复原状，该是车位的划线，该是绿化的恢复，该是人行通道的修出来，做到停车有序，人行安全，我相信地方政府想解决一定能帮到，请不要再推诿了。</t>
  </si>
  <si>
    <t>根据职责我单位承办君临天华机动车辆占用休闲广场的问题，现将我单位的办理情况答复如下：该位置属君临天华的小区范围，且原先规划为停车场。前期市政部门做地铁口公园改造时，物业有和其协商，希望能协助将该位置一起铺设红砖，以改善该处的环境。目前，该停车场由物业派员进行管理，并有在明显位置设立收费标准公示牌。</t>
  </si>
  <si>
    <t>达道河水系治理虎头蛇尾，河岸边上垃圾成堆，沿岸居民随意往河里倒粪桶</t>
  </si>
  <si>
    <t> 16年开始福州市用了那么财力、物力、人力做水系治理，可是两年过去了，还是有那么多的内河是烂尾工程，就比如台江区的达道河。 17年台江搞河道水系治理拆迁，达道河光拆上游不拆下游的棚户区，仅把靠近新港河的那段河道做整治，而十四桥这边靠华清楼的这头一直到中亭街的达道河下游段却是污水横流，河岸两边垃圾成堆。特别是在达道地铁站D出口背后的这片区域，6月份时拆了座老建筑后就停工停建，垃圾成堆，蚊蝇肆虐。搞的截污设备和地下排污管也是搞一半就停工，河道里的水都是黑臭水体。 更可恨的是达道河这下游段的附近居民还天天往河里随意的倒粪桶，多次投拆也没人来管。这段河边的棚户区离河岸仅仅3-4米，搞河道整治也不将这些民房拆除。难道这就是水系治理吗？ 前日海都报还说年底前能完成86条内河治理，难道像达道河这样只是做上游不做下游的整治，只是为了应付中央督查组的检查的水系治理就算是完成整理了吗？</t>
  </si>
  <si>
    <t>我街同晖社区工作人员走访附近沿岸居民宣传教育，告知沿岸垃圾桶安放地址，积极引导附近居民合理倾倒生活垃圾，做好门前三包保洁，同时加大辖区内河段日间巡查力度，如发现还有居民随意倾倒粪桶行为，可拨打社区电话83269306，还居民一个干净整洁的内河沿岸环境。</t>
  </si>
  <si>
    <t>达道河城市串珠公园“受伤”了</t>
  </si>
  <si>
    <t>近期有社会人员擅自将设置在公园步行道上石墩移开，进而可以进出车辆并作为停车场使用，造成步行道损坏，影响行人安全，损害了政府为民办实事的良好用心，现请福州市12345便民服务平台提请市水务公司，园林局，后洲街道等相关部门处理，制止此种破坏行为维护好政府整治内河的效果，还市民一个安全，整洁的公共空间。</t>
  </si>
  <si>
    <t>该位置属君临天华的小区范围，且原先规划为停车场。前期市政部门做地铁口公园改造时，物业有和其协商，希望能协助将该位置一起铺设红砖，以改善该处的环境。目前，该停车场由物业派员进行管理，并有在明显位置设立收费标准公示牌。</t>
  </si>
  <si>
    <t>河道治理情况咨询</t>
  </si>
  <si>
    <t>请问张锦雅苑旁的达道河，什么时候治理完成？上周下了一周的雨，河水臭了一周，感觉就跟没治理过的一样。这两天又开始下雨，河水又臭气冲天。望有关单位重视，希望切实解决问题。</t>
  </si>
  <si>
    <t>经联系达道河河道负责人了解，达道河治理预计在今年11月1号前完工，关于您反应的河水臭的问题，负责人说这两天会对河道进行补水施工，届时即可消除水臭的问题</t>
  </si>
  <si>
    <t>达道河城市串珠公园被改为收费停车场</t>
  </si>
  <si>
    <t>从9月4日下午开始，有人将设置在达江路地铁C出口附近拦截车辆的石墩移开，将这里再次用作收费停车场使用。望各级领导对此行为予以制止，加强环境监管。</t>
  </si>
  <si>
    <t>该位置并不是公园，且原先规划为停车场，并不是违章的停车场。目前，该停车场由物业派员进行管理，并有在明显位置设立收费标准公示牌。</t>
  </si>
  <si>
    <t>达道河污水治理</t>
  </si>
  <si>
    <t>早前应该在四月份左右有反馈过达道河污水治理问题，经过三个月左右，达道河并没有改善，而是越来越黑，希望相关部门可以给出一个时间期限治理完毕，而不是一直是进行时，还周围百姓安全美好的生活环境。目前比较好的一点是周围的道路进行了修缮而且种植了树木，如果污水治理能够做好，那就最好了！</t>
  </si>
  <si>
    <t>达道河已列入鼓台中心城区水系综合治理PPP项目由我司负责整治，目前该河仍在整治施工中，将沿河的临时截污系统升级为永久截污，预计2018年9月底前完成永久截污施工。我司将督促加快施工进度，在永久截污系统形成后，水质问题将全面改善，近期因河道截污系统转化升级造成内河水质波动问题，我司深表歉意，也望市民给予谅解。</t>
  </si>
  <si>
    <t>连续几天，半夜修路，严重扰民（加急）</t>
  </si>
  <si>
    <t>台江区达道茶城后面的达道河，从2017.12.25凌晨开始，连续几天天天11.30开始施工，27号从11点30开始施工持续到凌晨4点还在施工。国家不是有规定晚上十点后就不可以在施工吗？这样子肆无忌惮的把国家规定无视，天天如此，严重扰民，影响居民正常休息。望有关部门可以快速出面解决。还我们居民一个安静的休息时间。望尽快处理！！！</t>
  </si>
  <si>
    <t>经核查，该工地系达道河水系治理工程，我街城管中队已通知施工方，需严格按照规定时间进行施工，不得噪音扰民。</t>
  </si>
  <si>
    <t>达道路达文里新村边上的达道河凌晨1点多施工，机器在运行，声音很大，噪音扰民，影响周边居民正常休息，望部门介入处理。</t>
  </si>
  <si>
    <t>在靠近南公小区这一侧很长的距离还有阵阵臭味,是还没开始清淤吗?河两侧会不会互相影响,到时候两侧又都有臭味...</t>
  </si>
  <si>
    <t>达道河已纳入福州市鼓台中心区水系综合治理PPP项目包治理，由市水务集团做为业主实施，工程内容包括河道清淤、黑臭水体治理、沿河截污等建设工程。清淤工作和沿岸截污系统工作正在有序开展，待工程全部完工后将消除达道河黑臭水体现象。</t>
  </si>
  <si>
    <t>台江区五一南路达道河现在已经夜间0:33分还在施工，噪音非常大，影响周边居民休息，特此投诉！请有关部门处理。</t>
  </si>
  <si>
    <t>经查我街辖区内五一南路上并无地点为达道河，请市民能告知确切地址以便工作人员巡查处理。</t>
  </si>
  <si>
    <t>政府花几个亿修的达道河就是这样的吗？</t>
  </si>
  <si>
    <t>台江达道一弄边上的达道河就像一个断头河，既不通水也不通路，11年政府花了2.5亿修的达道河道路景观就样能了一条死路，达道河也成断头河，倒粪河。请问台江政府领导，何时才想让这条河道通水通路？说好的8月底达道河进场清理怎么也没下文了？还有达道立体停车场到底何时能建好？因为建这个停车场，达道河岸的路都封了两年了，请还路于民。</t>
  </si>
  <si>
    <t>经现场确认，达道河的河道清淤已开始实施，按照工序应于上游开始，逐步向下游推进。上游端天香厂以及天丰厂河岸地块于2017年9月22日交付我司进行施工，现我司已在十三桥以及十四桥处开展河道围堰清淤工作，预计于2017年底完成该河道的截污施工，解决该河道的黑臭问题。在施工期间给您带来不便敬请谅解！</t>
  </si>
  <si>
    <t>台江内河整治</t>
  </si>
  <si>
    <t>请问台江达道内河今年会动工吗？</t>
  </si>
  <si>
    <t>经查，台江达道河属PPP项目包2（鼓台包），计划8月底入场进行河道清淤，由中亭街段开始清淤。</t>
  </si>
  <si>
    <t>达道河的拆迁红线范围到底是哪里？</t>
  </si>
  <si>
    <t>达道河的拆迁红线范围到底是哪里？7月30号福州新闻中已明确列示的达道河地块征地范围，达道河的征迁补偿也已经公告，洋中和新港街道都已进场实施征收，为什么仅就后洲街道没有任何动作？难道仅仅几天达道河水系治理计划就变了？还是说达道河治理顾头不顾尾，只做新港片区？达道一弄难道就不是达道河的范围吗？达道一弄的民房就在达道河边上5米，天天晚上都能见到这带居民往达道河倒粪便，这些居民也想通过征迁改善居住条件，本是顺理成章双赢的事，可是后洲街道为何迟迟不作为？河边居民不拆迁，天天倒粪桶，光顾河上游不管下游，这样的水系治理简直就是扯淡。</t>
  </si>
  <si>
    <t>达道河水系治理项目已于2017年7月21日发布房屋征收公告，签约期为7月26日到8月25日。具体征收范围请咨询达道河征收指挥部。地址：达道一弄53号边。</t>
  </si>
  <si>
    <t>达道河水系治理征迁项目何时开始？</t>
  </si>
  <si>
    <t>台江区9条水系治理征迁项目，除了瀛洲河与达道河没有征迁，其它7条内河都已经开始或完成沿河征收。请问达道河什么时候才能开始搞拆迁？今年还是明年？</t>
  </si>
  <si>
    <t>达道河水系治理项目目前正在实施房屋征收工作。</t>
  </si>
  <si>
    <t>达道河整治是否涉及河岸边居民住房征迁？</t>
  </si>
  <si>
    <t>此次福州整治58条内河有没有包括达道河？如果有，是否涉及达道河岸边居民住房征迁？达道一弄到达道太保庙这片民房会因内河整治征迁吗？今年内会出征迁公告吗？居委会都来量了两三次房了，都没下文，希望这次内河整治会是真正有拆迁行动。</t>
  </si>
  <si>
    <t>有关达道河内河整治征迁范围，目前正在向市有关部门申办中。</t>
  </si>
  <si>
    <t>台江区纳入鼓台水系治理项目包的内河是哪10条内河？</t>
  </si>
  <si>
    <t>台江区共有10条(含白马河下游)纳入鼓台水系治理项目包的内河需要开展沿河拆迁，请问是哪10条内河?包不包括达道河?</t>
  </si>
  <si>
    <t>鼓台中心区水系综合治理PPP项目包，是由市建委牵头，市水务集团为业主负责实施的水系综合治理项目。该项目招标文件涉及我区达道河、打铁港河，大庆河等十条内河，经了解市建委，为更系统地开展鼓台中心区水系综合治理，项目包内所包含的项目正在进一步完善。</t>
  </si>
  <si>
    <t>无良商家达道茶的经营者侵占公园大面积砍伐树木苗圃</t>
  </si>
  <si>
    <t>达道茶城经营者不顾国家法律强行侵占公园大面积砍伐树木铲平苗圃把公园变成该茶城私人营利性停车场，本社区居民强烈要求政府及职能部门能出面制止并令茶城恢复公园原状还附近居民一个健身休闲的场所</t>
  </si>
  <si>
    <t>我局工作人员到达道茶城现场查看并责令房管局开发商及茶城市场管理中心限期整改，尽快恢复绿地。我局已发整改通知到达道茶城市场管理中心，责令该单位在2017年2月底必须整改到位，恢复原有绿地。如在期限内未整改，我局将商请市园林局执法支队介入调查处理。</t>
  </si>
  <si>
    <t>强烈投诉达道河清理施工队通宵达旦施工，制造高噪音严重扰民</t>
  </si>
  <si>
    <t>强烈投诉达道河清理施工队通宵达旦施工，半夜制造高噪音严重扰民休息，这种情况已经连续一周了，恳请台江环保局处理噪音污染，还民众一个安宁的夜晚。同时恳请福州内河管理处的人敦促贵方清理施工队不要通宵达旦的施工作业，影响百姓休息。</t>
  </si>
  <si>
    <t>地铁1号线达道站两侧达道河正在进行清理淤泥工程，根据市政府统一部署，计划2017年3月31日前清理工作完成。因此施工单位正在加班加点，尽快完成施工任务。我司已要求施工单位加强管理，尽量在规定的时间内进行施工，避免噪声大的机具同时施工，尽最大努力将噪音降低到最低限度，以免影响居民生活。给您生活带来不便请谅解！</t>
  </si>
  <si>
    <t>大庆河</t>
  </si>
  <si>
    <t>请在大庆河步道F公馆段加装路灯，太暗了。</t>
  </si>
  <si>
    <t>你们自己到现场看下，中央第五街和华金新村门口晚上都非常亮，就F公馆门口非常暗，原来开发商做的灯都几年了，早就已经不亮了，如果你们说造成光污染，那么中央第五街和华金新村门口的灯算吗？而且从工业路看，前后两端都是亮的，就中间暗摸摸的。也恨不协调。请在大庆河步道F公馆段加装路灯，</t>
  </si>
  <si>
    <t>诉求位置位于大庆河F公馆段步道，鉴于原有步道已设置壁灯作为照明，通过现场查看已基本满足大多数人晚上出行需求，设计基于节约的目的，未设置景观灯。我司现已将您的意见转达台江区建设局，后续如有进一步改造，将会建议予以设置。感谢您对水系综合治理的关注和监督，也请您理解与支持！</t>
  </si>
  <si>
    <t>请在大庆河步道F公馆段加装路灯，太暗了</t>
  </si>
  <si>
    <t>大庆河步道华金新村和中央第五街段都很亮，就F公馆很暗，到时候步道全线贯通，很不安全。</t>
  </si>
  <si>
    <t>经核实，该处位于我司水系大庆河F公馆段，因群众对照度不同需求，且考虑到节能需求，该段并未设置景观灯。场地原有壁灯的照度经水系治理项目部人员查看，基本符合日常使用（附图），且不会在夜间造成光污染，感谢您对水系综合治理的关注和监督，请您理解与支持！</t>
  </si>
  <si>
    <t>请尽快安装大庆河F公馆及怡园巷段沿河6米线内的景观灯。现在这条路非常暗。</t>
  </si>
  <si>
    <t>2019年11月还说2019年年底安装完成，为什么说不装就不装了？是谁决定的？F公馆外沿河段的墙灯照明你们自己过来看下，有灯跟没灯一样！请马上安排安装景观灯！现在晚上非常暗，万一老人家摔倒了怎么办？谁负责？</t>
  </si>
  <si>
    <t>该位置位于大庆河,怡园巷非我司水系施工范围，由市政建设开发公司负责建设，且怡园巷已设有路灯。我司水系项目部施工范围为如图所示（附图）。该沿河步道原有设置壁灯。经北京市政设计研究院现场查看，现场照明亮度已符合现场照明要求（附图），按照不重复建设的要求，故不再另外设置景观灯，与其他沿河步道亮度保持一致，也请理解与支持！</t>
  </si>
  <si>
    <t>F公馆及怡园巷段沿河6米线内的景观灯到底什么时候才能做好？</t>
  </si>
  <si>
    <t>之前回复说年底前做好，现在已经2020年4月了都还没做好。难道答复了也不算数的吗？到底什么时候才能做好？</t>
  </si>
  <si>
    <t>经向福州市市政建设开发有限公司了解，市政公司负责建设的怡园巷已设有路灯（附图），且该项目建设内容不包含景观灯建设。F公馆沿河步道非市政公司负责建设，相关问题建议参阅水务投资公司回复。特此反馈！</t>
  </si>
  <si>
    <t>关于工业路大庆河的石围栏加装电器设备破坏整体美观的改造建议</t>
  </si>
  <si>
    <t>由于排污项目在大庆河延线多处安装电器设施，拆除了部分围栏而用钢材替代，破坏了整体性，极不协调，影响美观。    建议：安装电器设置是必要的，现在基本上可以实现智能控制，人工的操作次数很少，只有在维护的时候使用，因此，没有必要专门设置开口与钢门。解决办法是：可以保留石围栏，通过制作专用的轻质材料的移动梯子用于维护时使用，简单易操作，况且在不用辅助设备的情况下也可以轻易爬过去。目前项目尚在施工中，请有关部门协调处理。</t>
  </si>
  <si>
    <t>诉求位置为我司包2水系大庆河工业路段。该设备为大庆河截流井控制柜，因该处人行道较窄，此位置经多方现场比较选择确定采用现有方式安装，您的建议我们也将请相关设计单位予以研究并适时采用。</t>
  </si>
  <si>
    <t>投诉中利花园旁大庆河改造工程项目夜间吊车卸货扰民</t>
  </si>
  <si>
    <t>投诉中利花园旁大庆河改造工程项目在夜间卸货扰民，这个时候凌晨一点半吊车还在工作，小孩子被吵醒睡不着觉，严重扰民，这不止一次这样扰民，望快速处理！</t>
  </si>
  <si>
    <t>诉求所反映的为大庆河改造工程。我局洪山中队已通知施工方负责人到中队接受调查处理，同时要求施工方文明施工，规范作业，杜绝噪音扰民。</t>
  </si>
  <si>
    <t>F公馆及怡园巷段沿河6米线内的景观灯准备开始做了吗？马上12月了。</t>
  </si>
  <si>
    <t xml:space="preserve">
F公馆及怡园巷段沿河6米线内的景观灯准备开始做了吗？马上12月了。</t>
  </si>
  <si>
    <t>根据施工计划安排，我司作为水系建设方仅负责大庆河F公馆及怡园巷段沿河6米线内的景观灯设置，现阶段景观灯设置的计划不变，将于年底前安装完成。给您带来不便，敬请谅解！</t>
  </si>
  <si>
    <t>河水黑臭</t>
  </si>
  <si>
    <t>鼓楼区西禅寺对面的大庆河河水黑臭，特此投诉，望部门及时介入处理。</t>
  </si>
  <si>
    <t>大庆河目前正在治理，根据施工计划将于年底整治到位。给市民的生活造成不便深表歉意，望予以谅解!</t>
  </si>
  <si>
    <t>F公馆及怡园巷内路灯由哪个部门设置路灯？</t>
  </si>
  <si>
    <t>中央第五街都有设置路灯，为什么F公馆及怡园巷内却没人做？</t>
  </si>
  <si>
    <t>根据施工计划安排，我司作为水系建设方仅负责大庆河F公馆及怡园巷段沿河6米线内的景观灯设置，计划于年底前安装完成。感谢您的关注与监督!</t>
  </si>
  <si>
    <t>投诉大庆河污染严重</t>
  </si>
  <si>
    <t>鼓楼区工业路大庆河，又臭又黑，臭气熏天，在乌山西路与工业路交叉路口处，约400米左右特别严重，严重影响周围居民的正常生活。特此投诉，望相关部门介入处理。</t>
  </si>
  <si>
    <t>经现场核查，大庆河水质正常无异味（见附件），感谢市民的关注和监督，后期我司水系项目部也将持续关注水质情况。</t>
  </si>
  <si>
    <t>怡园巷沿大庆河岸路灯设置问题。</t>
  </si>
  <si>
    <t>这次怡园巷沿河约6米范围内进行铺石处理与现状沿河步道衔接，是否有像中央第五街沿岸一样设置路灯照明？不然沿岸非常暗。</t>
  </si>
  <si>
    <t>根据市民诉求，怡园巷沿河6米范围的步道均有设置路灯。感谢市民的关注和监督！</t>
  </si>
  <si>
    <t>F公馆及怡园巷沿大庆河河岸为什么没设置路灯？</t>
  </si>
  <si>
    <t>中央第五街沿大庆河河岸都有设置路灯，为什么F公馆及怡园巷沿大庆河河岸却没设置路灯？什么时候会设置好？</t>
  </si>
  <si>
    <t>工业路东侧红太阳美容美发学校的外墙到西侧苏宁广场门前距离祥坂路口80米内，工业路南侧红星美凯龙至北侧大庆河的机动车道、非机动车道、人行道为我办中防万宝城项目施工区域，区域内均有设置路灯，F公馆及怡园巷内不在范围。对此给群众带来的不便，请予谅解。谢谢!</t>
  </si>
  <si>
    <t>为什么中央第五街大庆河沿岸有路灯，F公馆和怡园巷沿大庆河河岸没有？什么时候安装？</t>
  </si>
  <si>
    <t xml:space="preserve">
晚上F公馆和怡园巷沿大庆河河岸非常暗。</t>
  </si>
  <si>
    <t>经查看，该处属于我局管养的市政道路路灯均完好，诉求者投诉位置不明确，请与我局工作人员联系，联系电话：15880055748</t>
  </si>
  <si>
    <t>大庆河在抽什么</t>
  </si>
  <si>
    <t>台江区工业路中央第五街大庆河在抽什么？非常臭！望回复。</t>
  </si>
  <si>
    <t>向福州市市政建设开发有限公司了解，市政公司承建的福州市城区排水管网改扩建工程（祥坂片区）在此进行施工，该处由于大庆河中防万宝城南侧截污渠排水不畅，故市政公司在大庆河南侧截污渠进行清淤施工，目前需将南侧截污渠水抽排至北侧截污渠，以降低大庆河南侧截污渠水位。关于诉求所述抽调水产生臭味的问题，市政公司已对该处排水井进行密闭处理（附现场图），以此减少施工期间对周边居民造成的影响。施工期间给您带来的不便，敬请谅解！</t>
  </si>
  <si>
    <t>为什么F公馆沿工业路大庆河边没有绿化？</t>
  </si>
  <si>
    <t>为什么F公馆沿工业路大庆河边没有绿化？现在不是沿着河道边都有做绿化和景观吗？为什么F公馆在工业路大庆河边只有光秃秃的水泥路？请尽快美化下景观。</t>
  </si>
  <si>
    <t>针对您的诉求我办已与中防工程部联系，据回复，根据规划该大庆河F公馆门口没有设计绿化带，沿河步道计划于2019年10月底进行板砖铺设。对此给群众带来的不便，请予谅解。谢谢！</t>
  </si>
  <si>
    <t>大庆河中央第五街段沿岸改造开始施工了吗？</t>
  </si>
  <si>
    <t>现在4月了，开始做了吗？</t>
  </si>
  <si>
    <t>街道、万象社区高度重视您的诉求。针对诉求问题，我街万象社区己联系中央五街的物业管理人员表示沿岸改造工程目前还在投标阶段。还没确定时间，请您耐心等待，感谢您对我街工作的支持。</t>
  </si>
  <si>
    <t>台江区政府工业路改造、大庆河治理时能处理一下华金新村旁的这个臭水沟吗？</t>
  </si>
  <si>
    <t>华金新村旁的这条臭水沟（见附图），它的位置就在红旗饭店和工业路交叉口过个铁桥就能看到，这条臭水沟就在我们华金新村和f公馆中间，这条臭水沟原来是作为大庆河的排污口，从2014年起工业路中防万宝城开工时，建筑工地就经常把建筑垃圾等倾倒在这条臭水沟里，这条臭水沟已经存在了三四年了，从中防万宝城开工时就存在，恶臭难耐，滋生细菌老鼠，住在华金新村的居民都苦不堪言。因为这条臭水沟处于三不管的地带，街道社区说不归他们管，市政部门也说不归他们管，无人认领，很感谢台江区政府能在这次路网改造和水污染治理中能将这条臭水沟一并治理，还绿于周边居民或者能直接把这条臭水沟填掉作为人行道，不仅能造福于我们华金新村的居民，也能提升城市景观形象，毕竟有这样一条臭水沟存在于作为城市主干道的工业路旁边也实在有损城市形象，我们华金新村的所有居民都会从心里感谢台江区政府领导，希望台江区政府领导能听见我们这些最底层市民的声音，真正为老百姓干实事，能协调一下各个单位部门，趁着这次工业路路网改造提升彻底治理一下这条臭水沟，人民会感谢你们。</t>
  </si>
  <si>
    <t>诉求位置的河道已列入我司鼓台中心城区水系综合治理PPP项目-大庆河整治中，目前整治方案仍在制定中，计划2018年年底前完成整治。</t>
  </si>
  <si>
    <t>投诉水系治理大庆河项目的业主单位</t>
  </si>
  <si>
    <t>我住在福州发电厂职工宿舍，投诉水系治理大庆河项目的业主单位，作为业主单位未尽好业主单位对施工方案的审核责任，相关负责人玩忽职守渎职，只顾自身政绩脱离群众，未考虑实际情况，造成小区全部停水，周围商户可以正常用水，对市民生活带来极大不方便，严重影响市民正常生活，请相关部门尽快介入处理。</t>
  </si>
  <si>
    <t>为配合水系综合治理大庆河项目工程建设，我司于2018年6月19日上午9:00至6月20日上午8:00对台江区荷花新村给水管线进行迁改施工，受此影响台江区工业路（白马路至祥坂路）北侧、白马支路（交通路至工业路）两侧沿线用户将暂停供水，辐射周边区域水压下降。本次工程按计划完工，周边小区已在施工完成后均已恢复正常供水。此次计划性停水我司已提前于公司外网（www.fzwater.com）、政府门户网站（中国福州）、政务微博“水务在线”、微信公众号“福州水务”、各大报刊媒体刊登相关停水公告，还请您及时予以关注。由于工程施工给您的正常用水造成的不便，敬请谅解。特此回复，谢谢！</t>
  </si>
  <si>
    <t>水务施工，垃圾，渣土乱放，污水排放到大庆河</t>
  </si>
  <si>
    <t>祥板路口，施工没有围挡，存在极大的安全隐患，渣土路口特别多，不覆盖，向大庆河排放污水</t>
  </si>
  <si>
    <t>祥板路口旁的大庆河已列入鼓台中心城区水系综合治理PPP项目由我司负责整治，诉求反应的道路渣土问题，我司已安排施工方进行清扫到位。此外，沿河排污问题，我司也在抓紧整治中，预计2018年6月份完成沿河截污施工。</t>
  </si>
  <si>
    <t>水务施工严重扰民</t>
  </si>
  <si>
    <t>我是一位居住在工业路闽江大学附近的一位市民。从两个星期前，工业路靠近干休所车站路段进行水系大庆河（工业路）治理工程（业主单位：市水务集团）施工。施工单位中建三局一公司，（项目负责人：肖合顺）在路面多处铺垫了钢板。但是钢板并没铺垫扎实，导致车辆经过，碾压钢板发出巨大响声。由于工业路经过的私家车，公交车以及大型的运输车较多，所以响声在一天24小时内从未间断。巨大的响声，已经让附近的居民无法入睡，达到忍无可忍的地步，严重影响了居民白天的正常的工作和学习。我们小区的居民多次向是施工单位的负责人反应，事情均未得到解决。希望12345平台，能够督促有关部门，加紧解决该问题，让居民有一个安静的休息环境。谢谢。</t>
  </si>
  <si>
    <t>工业路旁的大庆河已列入鼓台中心城区水系综合治理PPP项目由我司负责整治，因地下管槽开挖施工，为确保安全施工才在路面设置钢板。接到诉求后，我司已安排施工方进行整改，目前我司已在钢板下垫上橡胶减小噪音，已撤除一部分钢板，余下钢板也将抓紧施工尽快搬移。我司整治工程计划4月底完工，整治期间给市民造成的不便我司深表歉意，也望市民予以理解支持。</t>
  </si>
  <si>
    <t>工业路万象广场旁的大庆河非常臭，为什么水系治理了还这么赃，都发臭了</t>
  </si>
  <si>
    <t>工业路万象广场旁的大庆河非常臭，为什么水系治理了还这么赃，都发臭了，就在那个万象广场蘑菇云旁边，靠近了都会闻到刺鼻的臭味</t>
  </si>
  <si>
    <t>大庆河已列入鼓台中心城区水系综合治理PPP项目由我司负责整治。经查看，工业路万象段河道水质问题主要因建设局在凤凰路过河道路施工需要，将河段围堰，造成近期水质问题。建设局预计4月初完成道路施工，届时我司将拆除围堰，河水流动后，水质问题将极大改善。</t>
  </si>
  <si>
    <t>一号楼围墙外面的大庆河的内河道很脏，很少有人清理，经常有人在此乱倾卸垃圾。特此投诉，望相关部门介入处理。</t>
  </si>
  <si>
    <t>收到诉求件后，我处即对大庆河进行全线步行检查，检查过程中，河面仅见零星漂浮物，保洁员在岗在位。经与诉求人秦女士联系确认，所反映问题实际是工业路与斗池路交汇处冠坤臻品楼盘靠近大庆河的岸边路面空地上，有大量建筑生活垃圾。街道、环卫所高度重视您的诉求。针对诉求问题，我环卫所已到现场查看，并派遣保洁员对该处垃圾进行清理，目前已清理完毕，感谢您对我街工作的支持。</t>
  </si>
  <si>
    <t>台江区串珠公园（大庆河的化机宿舍旧改项目地块）何时能建成？去现场看过没有任何动静。</t>
  </si>
  <si>
    <t>省化机宿舍1号楼旧楼位于公园规划用地，该地块已列入我区旧屋区改造计划，目前正在进行该楼旧屋区改造前期工作。</t>
  </si>
  <si>
    <t>投诉大庆河改造工程处</t>
  </si>
  <si>
    <t>大庆河改造工程处雇佣了一个疯子在原院后村村头大庆河边每天不分昼夜的焚烧垃圾，制造爆炸，特此投诉，希望相关部门介入处理。</t>
  </si>
  <si>
    <t>我局环境监察人员现场检查未发现有焚烧行为。我局已要求工地负责人加强员工管理，不得焚烧垃圾。</t>
  </si>
  <si>
    <t>将泥土水排放到河内（加急）</t>
  </si>
  <si>
    <t>台江区大庆河旁边工地，福建六建施工队将泥土水排放到河内，造成河水污染。特此投诉，望部门介入处理。</t>
  </si>
  <si>
    <t>投诉中工地为华润万象城三期，我委立即责成施工单位对其不文明行为进行整改。现施工单位回复如下：目前我司施工的华润万象城三期工程处于主体结构施工阶段，施工期间不存在泥土水等，本工程施工前期已经办理工程污水排污证，且工地严格按相关规定要求进行施工废水的排放。投诉人如再次发现施工工地将废水排放入河内现象，可直接拨打福州市建筑文明安全监察站投诉电话：87712109</t>
  </si>
  <si>
    <t>华润万象城工地往福州大庆河排放污水</t>
  </si>
  <si>
    <t>华润万象城工地往福州大庆河排放污水，我向多次拨打城管电话一直打不通，希望相关部门介入处理。</t>
  </si>
  <si>
    <t>经联排联调中心现场查看，该位置位于华润万象城三期，泥浆排放至大庆河已由内河管理处处罚过。现场未发现违章排放，该项目已办理临时排水许可</t>
  </si>
  <si>
    <t>大庆河河道清淤工程是虚假工程</t>
  </si>
  <si>
    <t>大庆河今年7月份开始围挡，但是围挡后并没有进行清淤施工。工程公示说明上写河道清淤完成时间是9月20日，期间根本没有任何施工。现在部分围挡已经拆除，估计这个项目又是虚假工程。去年还是前年这种工程也有，每次都是这样，根本没有施工就结束工程了。福州河道整治了这么多年都没有成果，这就是原因。</t>
  </si>
  <si>
    <t>大庆河已纳入鼓台中心区水系综合治理PPP项目包，由市水务集团做为业主进行治理，目前大庆河已累计完成清淤980米。经了解项目包施工单位（北控水务）诉求者所反映的大庆河围挡拆除，是因防抗台风工作安排，临时拆除施工围挡，待台风过后将恢复围挡继续施工。</t>
  </si>
  <si>
    <t>大庆河什么时候开始施工？什么时候全部做好？</t>
  </si>
  <si>
    <t>大庆河什么时候开始施工？什么时候全部做好？请给出一个具体的完工时间。谢谢。</t>
  </si>
  <si>
    <t>目前大庆河已纳入鼓台中心区水系综合治理PPP项目包开展治理工作。经了解项目包施工单位：大庆河鼓楼段已于7月份进场施工，大庆河台江段已完成施工围挡，正在进行院后村段的截污管道建设，根据计划，将于今年年底初步消除黑臭问题；内河沿线截污、岸上景观提升改造工作计划于2018年12月底完成。</t>
  </si>
  <si>
    <t>大庆河、白马河河水变成乳白色</t>
  </si>
  <si>
    <t>最近半个月来大庆河，白马河河水有时呈现乳白色、有时是深灰色，给沿岸的居民生活带来极大的困扰，我们在河边散步时，不时的会闻到臭味、河里的景色也不如以前那么好，却不见当地的相关部门出来治理，请问这河到底是怎么了，请市政府出面解决下，还百姓一个安居乐业的环境</t>
  </si>
  <si>
    <t>经查，近期因白马河上游西湖整治、大庆河整治正在河床清淤，致使河水较浑浊影响环境。10月底清淤工程将完成，到时河水就会改善。</t>
  </si>
  <si>
    <t>台江区建设局为什么不能帮帮我们？</t>
  </si>
  <si>
    <t>我们华金新村和旁边f公馆小区中间的那条露天臭水沟又没人管没人受理，都在互相推脱，我们居民心里都很着急，如果以后大庆河治理好了，那么我们华金新村旁边的那条臭水沟最后应该怎么办呢？是不是就任由它继续存在在那里，污染着环境，影响着市容？这好像与福州市创建文明城市的构想是相违背的吧。</t>
  </si>
  <si>
    <t>经现场查看，诉求者反映的臭水沟为华金新村、省化机宿舍和F公馆中间的一条排水沟，排水沟直排大庆河。目前大庆河已纳入福州市鼓台中心区水系综合治理PPP项目包进行水系综合治理，我局将协调项目包业主单位市水务集团做好大庆河沿线截污，在设计上妥善解决该排水沟的污水排放问题。</t>
  </si>
  <si>
    <t>华金新村和f公馆之间的这条臭水沟求助政府部门能治理一下</t>
  </si>
  <si>
    <t>台江区华金新村和f公馆之间的这条臭水沟求助政府部门能治理一下，从报纸上看到福州市正在大力整治内河以及环境治理，华金新村和f公馆之间的这条臭水沟存在很久了，夏天经常发臭发黑，小区里的污水通过这个露天污水排水沟直排到大庆河，干涸的时候滋生很多细菌虫鼠，我们华金新村居民期盼市政府领导能借着这次市区内河整改，一并把这条臭水沟整治到位，谢谢</t>
  </si>
  <si>
    <t>目前大庆河已纳入鼓台中心区水系综合治理PPP项目包（项目包2），由市建委牵头，市水务集团为业主负责实施。目前PPP项目包2已开标，中标单位北控水务集团、北京市政院和中建三局正在完善工程设计方案，大庆河上游（福大东门段）已经进场开展围堰清淤工作。</t>
  </si>
  <si>
    <t>瀛洲河</t>
  </si>
  <si>
    <t>台江区新港街道瀛洲河河道水系每天晚上11点多12点还在施工，噪音严重扰民。特此投诉，望相关部门介入处理。</t>
  </si>
  <si>
    <t>我局执法人员在接到投诉后，于9月28日凌晨1点20分左右到光明花园小区周边巡查，到达现场时，执法人员发现工地已经没有施工迹象。今后我局夜间继续加强对周边工地的巡查力度，若市民再次发现夜间施工扰民行为，请拨打24小时投诉电话12345，我局在将第一时间派员前往。</t>
  </si>
  <si>
    <t>台江区新港苑瀛洲河河道水系治理施工，每天晚上22点开始施工，噪音扰民严重，特此投诉，望部门尽快处理。</t>
  </si>
  <si>
    <t>您反映的问题已收悉，因当夜执法人员误前往光明世家小区，导致未能及时发现光明花园施工问题，我局深表歉意。后执法人员于9月27日凌晨0点05分左右到光明花园巡查。到达现场时，执法人员没有发现施工迹象。</t>
  </si>
  <si>
    <t>反映瀛洲河道</t>
  </si>
  <si>
    <t>台江区瀛洲河道做下水沟一直排出臭水，味道很臭，望部门尽快处理。</t>
  </si>
  <si>
    <t>因瀛洲河范围较广，经现场核查并未查询到诉求问题，烦请市民提供详细定位或现场照片以便我司进一步核实处理，感谢市民的关注和监督。</t>
  </si>
  <si>
    <t>投诉福州水务投资发展有限公司</t>
  </si>
  <si>
    <t>福州市水务投资发展有限公司，在新港苑瀛洲河段龙舟亭项目工地，凌晨时间还在施工，小区业主多次投诉施工扰民，根本没有任何结果施工方还是继续的凌晨施工，请问水系治理去年，处于攻坚阶段，难道今年还在攻坚阶段吗？为什么不能合理安排施工时间？施工方不能为了自己的施工进度不顾小区及周边居民的是生活作息时间。请你们不要逼我们小区业主集体去上访。</t>
  </si>
  <si>
    <t>由于白天市政道路不允许混凝土车辆通行，不得不采取夜间施工。现已严令禁止施工单位夜间施工。由于水系现场施工给您及周边居民造成生活上的不便，深表歉意，还望您谅解！</t>
  </si>
  <si>
    <t>新港苑瀛洲河施工扰民</t>
  </si>
  <si>
    <t>台江区新港苑3号楼后面赢洲河施工扰民，经常性都是施工到凌晨，已经严重影响到周边居民的正常休息，请问有关部门内河施工攻坚要到啥时候？从去年开始攻坚到现在，还攻坚完吗?</t>
  </si>
  <si>
    <t>我局执法人员在接到投诉后，于3月1日夜间、2日凌晨两次到新港苑小区周边瀛洲河水系治理工地巡查，但是都没有发现施工迹象（仅发现一次有货车驶离工地）。若市民再次发现夜间施工扰民行为，请拨打24小时投诉电话12345，我局在收到举报后将第一时间调派执法人员前往查处。</t>
  </si>
  <si>
    <t>瀛洲河污水处理新港苑路段施工扰民</t>
  </si>
  <si>
    <t>此时此刻午夜将近一点，还在施工。钻机的声音非常的尖锐，刺耳。非常的吵，简直崩溃。白天不施工，专挑半夜施工。忘各位领导监督处理，改善附件居民睡眠环境。谢谢</t>
  </si>
  <si>
    <t>接到举报后，我局执法人员立即安排队员到新港苑外内河工地查看，并于10月14日夜间到达现场。经了解，该工地属于水系综合治理工程。内河治理正在进行沿线施工，近期的噪音主要是清淤和抽水机发出的。执法人员已要求施工方加强监管，尽量减少施工和抽水机作业带来的噪音，合理安排工序，避免噪音扰民。10月17日凌晨值班人员再次巡查该处时，未发现工地仍存在施工迹象。感谢您对水系治理工作和城市管理工作的理解和支持！</t>
  </si>
  <si>
    <t>瀛洲河新港苑污水治理路段</t>
  </si>
  <si>
    <t>花了1年的时间建立2个水泥井，高考后好久没动工。这几天把井给敲了，是什么情况？工程完成了吗？</t>
  </si>
  <si>
    <t>瀛洲河已列入鼓台中心城区水系综合治理PPP项目由我司负责整治，但我司排查中未查到诉求提及的两个水泥井建了又敲掉的情况，建议请市民提供更详细地址、图片或联系方式，以便我司进一步核查。</t>
  </si>
  <si>
    <t>中选路瀛洲河内河改造工地晚上12点18分还在施工，挖机噪音很大，严重影响休息，已经持续两三个晚上了。特此投诉。</t>
  </si>
  <si>
    <t>我局执法人员在接到投诉后，于5月24日凌晨0点55分左右到达瀛洲河段内河工地巡查，发现是水系治理工地正在施工。执法人员已约谈施工相关负责人，要求其严格遵守市里相关文件精神，文明施工避免扰民。随后的24夜间，我局再次巡查瀛洲河段内河工地，发现新港里段存在夜间施工行为，执法人员已经进行劝导。桥北车站段当时并没有在施工。鉴于市民表示桥北段凌晨存在施工的情况，我局将于25日夜间巡查中，予以处置。此外，该瀛洲河整治工程为为福州市区内河综合治理工程的一部分，为保市区内河水系及早治理，促进城市美化得到进一步提升，根据市委市政府城区水系综合治理百日大会战工作部署，施工单位工期紧任务重，请市民理解支持。</t>
  </si>
  <si>
    <t>台江区瀛洲河段凌晨3:44分还在施工，严重扰民。每次回复说是政府工程，政府工程就是民心工程，民心工程还扰民吗？特此投诉，望处理。</t>
  </si>
  <si>
    <t>台江区瀛洲河段从晚上十二点多开始施工，现在已经凌晨4点了还没有停止，部门一直说是市重点工程，如果是市重点工程为什么白天都不施工？特此投诉，望处理。</t>
  </si>
  <si>
    <t>我局执法人员在接到投诉后，于5月22日凌晨3点35分、4点18分两次到达中选北路南公园旁边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</si>
  <si>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内河整治工程深夜扰民</t>
  </si>
  <si>
    <t>台江区六一中路新港苑南侧瀛洲河的内河整治工程经常半夜2点多还在施工，严重影响周边居民的休息，烦请有关部门协调一下他们的工作时间。谢谢！</t>
  </si>
  <si>
    <t>我局执法人员在接到投诉后，于5月18日夜间23点59分到达桥北车站附近瀛洲河段内河工地巡查，执法人员到达现场时，工地已经没有施工迹象。该工地为福州市区内河综合治理工程工地，为保市区内河水系及早治理，促进城市美化得到进一步提升，根据市委市政府城区水系综合治理百日大会战工作部署，施工单位工期紧任务重，请市民理解支持。若市民再次发现夜间施工扰民行为，请拨打24小时投诉电话12345，我局在收到举报后将第一时间调派执法人员前往查处。</t>
  </si>
  <si>
    <t>投诉市政</t>
  </si>
  <si>
    <t>瀛洲河工地经常晚上通宵施工，我拨打12345，转接台江区执法局，台江执法局的人说是市政府的水系工程，希望我能理解市政府的工作，难道市政府的水系工程就可以半夜扰民吗？特此投诉，希望部门尽快处理。</t>
  </si>
  <si>
    <t>关于昨夜瀛洲河工地扰民情况，我局执法人员在接到投诉后，于5月9日夜间22点27分到达瀛洲河老药洲段工地巡查，发现是水系治理工地施工。随后0点18分、23点15分、0点46分、2点14分、2点47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</si>
  <si>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投诉台江区执法局</t>
  </si>
  <si>
    <t>台江区瀛洲河工地经常都是晚上施工，我通过12345转接到台江区执法局很多次，工作人员每次都说城管已经去处理了，可是从晚上10点到现在快两个小时了施工还未停止。水系工程是否可以扰民？特此投诉，望相关部门介入处理。</t>
  </si>
  <si>
    <t>台江瀛洲河工地晚上11点半还在施工，噪音非常大，都没法休息，特此投诉。</t>
  </si>
  <si>
    <t>新港路新港苑后面瀛洲河内河治理工地，已经22：45分还在施工，噪音扰民严重。特此投诉！望处理。</t>
  </si>
  <si>
    <t>关于昨夜瀛洲河工地扰民情况，我局执法人员在接到投诉后，于5月9日夜间22点27分到达瀛洲河老药洲段工地巡查，发现是水系治理工地施工。随后0点18分、23点15分、0点46分、2点14分、2点48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</si>
  <si>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台江瀛洲河工地晚上10点多还在施工，白天都不施工，投诉无数次了一直没有处理，还让不让人休息？特此投诉。</t>
  </si>
  <si>
    <t>关于昨夜瀛洲河工地扰民情况，我局执法人员在接到投诉后，于5月9日夜间22点27分到达瀛洲河老药洲段工地巡查，发现是水系治理工地施工。随后0点18分、23点15分、0点46分、2点14分、2点49分执法人员相继巡查瀛洲河古街段、新港苑段、特艺城段，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</si>
  <si>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投诉台江区执法局，工作人员说很忙，要走路区新港路新港苑后面瀛洲河内河治理工地执法，我在3：15分投诉的工地施工到现在一个小时过去了都没人处理。特此投诉，望处理。</t>
  </si>
  <si>
    <t>当夜我局确实接到多起夜间扰民投诉，我局执法人员再全区范围内来回奔波，确实需要时间。关于该问题，执法人员在接到投诉后，于5月2日凌晨3点58分到达新港苑小区外（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</si>
  <si>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投诉台江执法局</t>
  </si>
  <si>
    <t>今天晚上2点半左右楼下瀛洲河段施工，我通过12345转接台江执法局，台江执法局说会马上处理，但是过了一个小时工地还在施工。我再次通过12345转接执法局，转接台江执法局工作人员态度不耐烦说今晚电话很多要一个一个处理，还说城管已到现场。但现场并无停止施工，而且和我沟通中直接挂我电话。我想问一下一个一个处理为什么不通过电话通知他们停止施工？而且执法局到瀛洲路段的路程大约只要十分钟怎么要这么久？特此投诉，望处理。</t>
  </si>
  <si>
    <t>新港路新港苑后面瀛洲河内河治理工地现在已经凌晨3:17还在施工，噪音扰民。特此投诉，望处理。</t>
  </si>
  <si>
    <t>我局执法人员在接到投诉后，于5月2日凌晨3点58分到达新港苑小区外（瀛洲河）工地巡查，发现是水系治理工地正在施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</si>
  <si>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台江区瀛洲河施工（南台商都附近），凌晨两点多还在施工噪音严重，希望相关部门介入处理</t>
  </si>
  <si>
    <t>因我局未在当夜收到转办投诉或直接投诉，执法人员于4月27日夜间23点45分至59巡查南台商都（新港里）至金色维也纳小区瀛洲河内河工地，发现工地钩机正在作业，存在扰民现象。经查，该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</si>
  <si>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投诉水系治理</t>
  </si>
  <si>
    <t>瀛洲河水系治理工程晚上超过十点还在施工，还没有停止的迹象，白天施工3、4号楼的房屋会震动。特此投诉，望处理。</t>
  </si>
  <si>
    <t>因我局未在当夜收到转办投诉或直接投诉，执法人员于4月8日夜间23点20分巡查新港里30号边瀛洲内河工地。到达现场后，执法人员没有发现施工迹象。若市民再次发现夜间施工扰民行为，请拨打24小时投诉电话12345，我局在收到举报后将第一时间调派执法人员前往查处。</t>
  </si>
  <si>
    <t>内河整治施工</t>
  </si>
  <si>
    <t>台江区新港苑后面瀛洲河正在做内河整治，现在00:25还在施工，严重扰民，望部门尽快介入处理。</t>
  </si>
  <si>
    <t>执法人员接到投诉后，于4月2日夜间23:58到达金色维也纳小区边内河综合整治工地，现场已无发现有施工迹象。</t>
  </si>
  <si>
    <t>新港路新港苑后面瀛洲河内河治理工地0:13分还在施工，噪音扰民。特此投诉，望处理。</t>
  </si>
  <si>
    <t>内河改造工程扰民</t>
  </si>
  <si>
    <t>中选新巷瀛洲河内河改造工程晚上9点46分还在施工回填，噪音很大，已经反映过很多次了。特此投诉。</t>
  </si>
  <si>
    <t>根据规定，夜间施工指的是夜间22点以后至次日上午6点。执法人员于接到投诉后，于3月27日凌晨1点10分到达中选社区附近河道工地现场，没有发现当夜工地有施工迹象。</t>
  </si>
  <si>
    <t>投诉台江区六一中路瀛洲河工地在凌晨0:04分正在施工，噪音影响周边居民休息，特此投诉，望处理。</t>
  </si>
  <si>
    <t>执法人员接到投诉后，于3月14日凌晨1点到达六一路日月星辰背后河道工地，发现施工方确实存在噪音扰民现象。执法人员已对其进行劝阻，要求其停止扰民行为。</t>
  </si>
  <si>
    <t>投诉环卫处</t>
  </si>
  <si>
    <t>台江区建海社区古街瀛环巷厕所管道通居民区下水道，后直排瀛洲河，今天下水道再次堵塞，污水横流，我多次要求环保处设置化粪池，但是环卫处一直将问题推给市政，特此投诉，望处理。</t>
  </si>
  <si>
    <t>感谢您对街道工作的关注与支持，您所反映的问题，我街道领导高度重视，积极与区环卫处和区建设局联系，并协调周边相关单位和居民共同协调解决问题。目前区建设局已安排工人清理，我们将继续跟踪清理状况。</t>
  </si>
  <si>
    <t>台江区中选新巷瀛洲河内河改造工程，晚上快10点还在施工，施工导致我的房子还在震动，希望有关部门尽快处理。</t>
  </si>
  <si>
    <t>我局执法人员在接到投诉后，于3月13日1:00到达中选新巷瀛洲河内河改造工程工地巡查，未发现有夜间扰民情况。</t>
  </si>
  <si>
    <t>台江区中选新巷瀛洲河内河改造工程晚上10点多还在施工，噪音严重扰民。特此投诉，望处理。</t>
  </si>
  <si>
    <t>执法人员当夜未收到该处工地噪音扰民的投诉，在次日巡查（0点22分）中选瀛洲河道内河整治工地时，未见施工。</t>
  </si>
  <si>
    <t>台江区新港苑后面瀛洲河工地，晚上12点后还在施工，噪音扰民，希望部门尽快处理。</t>
  </si>
  <si>
    <t>3月5日凌晨我局并未接到相关投诉电话，在3月5日夜间巡查中（23：16），我局未发现该工地存在夜间施工的情况。如果您在夜间发现噪音扰民的情况，可第一时间拨打12345进行举报投诉，我局将及时派出执法人员现场处理。</t>
  </si>
  <si>
    <t>化粪池直接排到瀛洲河内导致现在堵塞</t>
  </si>
  <si>
    <t>瀛环巷两间厕所没化粪池直接排到瀛洲河内导致现在堵塞，严重影响周边居民生活，反映多次均无彻底解决，特此投诉，望处理。</t>
  </si>
  <si>
    <t>感谢您对街道工作的关注与支持，您所反映的问题，我街道领导高度重视，1、瀛环巷化粪池堵塞问题2018年1月2日已经疏通。2、关于该公厕化粪池问题我街拟将其列入2018年公厕改造项目上报相关部门，已彻底解决排污问题。</t>
  </si>
  <si>
    <t>瀛洲河非常臭</t>
  </si>
  <si>
    <t>台江区瀛洲河非常臭，他们没有把垃圾挖走，而是用石头来填河，把垃圾覆盖在底下，特此投诉，希望上级有关领导换一个河道治理的负责人。</t>
  </si>
  <si>
    <t>瀛洲河已纳入鼓台中心区水系综合治理PPP项目包，由市建委牵头，市水务集团作为业主负责实施。经了解，施工方在完成河道清淤工作后，采用卵石铺盖河床的施工方法，经现场查看，暂未发现用石头覆盖垃圾的现象。</t>
  </si>
  <si>
    <t>光明城小区瀛洲河工地已经0:39分还在施工，每天都施工到凌晨3、4点，噪音扰民严重。特此投诉！望处理。</t>
  </si>
  <si>
    <t>您所反映的问题，我街道领导高度重视，我街城管组织队员到现场巡查，经查，该工程为鼓台水系统综合治理瀛洲河项目，是市重点工程，由水务公司负责实施，我街城管已告知施工方按规定时间施工，减少噪音扰民。</t>
  </si>
  <si>
    <t>台江区瀛洲河水系治理工程工地晚上10点过后还在施工，有时候会施工到凌晨两、三点，噪音严重扰民，希望相关部门介入处理。</t>
  </si>
  <si>
    <t>瀛洲河内河日夜施工，严重扰民</t>
  </si>
  <si>
    <t>瀛洲河近六一路段内河日夜施工，白天尚可，夜晚夜深人静显得声音特别大，严重打扰附近几个小区的居民休息，大家白天上学的上班的都因为没有休息好也显得精神不足。此现象已有一周多，希望政府出面制止一下，晚上施工应不超过22点。</t>
  </si>
  <si>
    <t>瀛洲河那边改造清理半夜施工，扰民严重</t>
  </si>
  <si>
    <t>在五一南路金色维也纳B区C区那边，应该是瀛洲河的改造或者清理施工，搞到半夜十一二点还在开动机器施工，对周围居民的休息影响非常大，不管是不是市政工程，总要对自己的工期有个合理的安排，为什么非要到半夜还施工？清有关部门解决，还我们周边居民一个清静</t>
  </si>
  <si>
    <t>摆摊</t>
  </si>
  <si>
    <t>老药洲街是不久前刚翻新的道路，瀛洲河也即将治理，搞沿河景观改造，以后老药洲还能摆摊吗？如果还有摆摊，那就不需要治理啥了，做白工。沿河倒污水，垃圾，惨不忍睹</t>
  </si>
  <si>
    <t>感谢您对街道工作的关注与支持，您所反映的问题，我街道领导高度重视，经查，佬药洲大排档是市里审批的大排档疏导点，针对道路翻新，瀛洲河治理后是否持续存在大排档疏导点，目前，未接到上级部门任何通知。</t>
  </si>
  <si>
    <t>必须将设在瀛洲河边的水产批发市场搬迁，以免再继续严重污染内河和居民小区</t>
  </si>
  <si>
    <t>内河水还是很黑臭，被污染不堪。福州内河经过十多年的不断治理，也花费了巨额资金，但根本毫无效果。河水依然黑臭，如同地沟污水。在瀛洲河沿岸台江区佬药洲街南台商都小区内还设置有水产批发市场不撤也不搬迁，臭污水及海水渗透地下排放至河内，污染内河，也搞得小区卫生脏乱臭、乌烟瘴气，居民投诉不断，要求必须将该市场搬迁。但当地政府及相关部门就是不理不睬、敷衍塞责。虽然现在尚正在治理内河污染，但该水产批发市场仍然未有计划搬撤。现我们再次强烈诉求，必须要尽快把该市场搬撤。以免长期污染内河，并还我小区居民一个整洁，安静，无污染的居住环境。</t>
  </si>
  <si>
    <t>感谢您对街道工作的关注与支持，您所反映的问题，我街道领导高度重视，我街已通知南台商贸市场物业，要求其加强市场规范管理，分区域分时段将管理职责落实到每个市场管理员、保洁员，做到全日制保洁。市场负责人表示加强落实整改。我街将持续予以督促。</t>
  </si>
  <si>
    <t>施工污染环境</t>
  </si>
  <si>
    <t>这几日瀛洲河部分居民进行房屋拆迁，在12日晚施工时未进行降尘处理，导致满天扬尘，试问是否为了工期就不顾附近居民的身心健康，这难道就是福州所提倡的文明城市的做法？</t>
  </si>
  <si>
    <t>已约谈业主单位及施工单位进行告诫，现场已整改并反馈。</t>
  </si>
  <si>
    <t>瀛洲河内河征迁</t>
  </si>
  <si>
    <t>最近四五天老是晚上九点施工到第二天早上六点，机器的声音真的很大，影响周边居民休息，一晚上醒来多次，早上又要早起，你说施工一两天可以接受，天天这样，谁受得了，请相关部门处理下</t>
  </si>
  <si>
    <t>您所反映的问题，我街道领导高度重视，我街城管组织队员到现场巡查，经查，该工程由水务公司负责实施的水系治理工程项目，我街城管已下发整改通知书，并督促施工方按规定时间施工，避免噪音扰民。</t>
  </si>
  <si>
    <t>投诉灰尘污染</t>
  </si>
  <si>
    <t>台江瀛洲河附近工地，灰尘污染，还有噪音。特此投诉。</t>
  </si>
  <si>
    <t>您所反映的问题，我街道领导高度重视，我街已告知附近相关工地按规定时间，不得噪音扰民，今后，我街城管加强巡查，一经发现依法查处。</t>
  </si>
  <si>
    <t>台江区瀛洲河内河征迁</t>
  </si>
  <si>
    <t>瀛州河征迁工程白天施工的话，大家都没什么意见，但是最近白天不施工，到晚上十点外边的机器声就响起了，一直持续到早上六点多。噪音非常大，周边居民晚上无法好好休息，严重扰民，老人大人孩子白天要上课要上班。内河整治本是民生工程，却这样不为民，有违市委书记初衷，请相关部门及时整改。</t>
  </si>
  <si>
    <t>瀛洲河的工地最近都是晚上11点开始有人施工，噪音扰民，望部门尽快处理。</t>
  </si>
  <si>
    <t>瀛洲河改造要偷偷摸摸进行吗？</t>
  </si>
  <si>
    <t>连着第二天半夜十一点进场作业，一作业就是一整个晚上，吵死人了！！！瀛洲河改造这是什么便民工程，还有没有人管。正常白天作业人躲哪去了，工也不见开。见不得人吗，有必要半夜作夜。真是火大。有没有人管！！</t>
  </si>
  <si>
    <t>瀛洲河半夜开工扰民。</t>
  </si>
  <si>
    <t>半夜开工有没人处理一下，11点开始作业，现在凌晨4点37分了，还在动工，白天都没见开工，大半夜了开始做事。有没人管一下？什么情况这是，白天随便你怎么做，半夜吵着，怎么睡？整个地板会震，谁能站出来管一下，实在不行就是这里所有居民自行处理了。</t>
  </si>
  <si>
    <t>特艺城二期为我街辖区在建工地。针对部分居民反映的该工地夜间施工扰民问题，我街城管中队近期联合区渣土中队加强巡查，执法人员已对夜间施工进行劝停，并要求施工单位严格按规定时间施工，如需夜间施工需按规定办理审批手续并采取降噪措施。市民如发现该工地夜间施工扰民情况，可拨打台江区市容局值班室电话（83209856）反映，执法人员将跟进查处。</t>
  </si>
  <si>
    <t>瀛洲河内河改造工程现在已经晚上十点半还在施工，影响周边居民休息，请有关部门处理。</t>
  </si>
  <si>
    <t>您所反映的问题，我街道领导高度重视，经查，该工程由水务公司负责实施的水系治理工程项目，我街城管已下发整改通知书，并督促施工方按规定时间施工，避免噪音扰民。</t>
  </si>
  <si>
    <t>瀛洲河水很臭</t>
  </si>
  <si>
    <t>瀛洲河水很臭，好几天了，垃圾还很多，望尽快处理。</t>
  </si>
  <si>
    <t>关于瀛洲河垃圾很多的问题，台江区环卫处已责令瀛洲环卫所，加强内河保洁力度，加派保洁人员，及时清理河道垃圾。下一步，我处也将加大督促检查力度，确保整治到位。</t>
  </si>
  <si>
    <t>红星河</t>
  </si>
  <si>
    <t>长乐南路闽运驾校东侧红星河工地晚上10点43分还在施工，噪音很大，特此投诉。</t>
  </si>
  <si>
    <t>接到投诉后，我局执法人员于3月13日凌晨1:20到达红星河工地，未发现该工地存在夜间施工扰民。</t>
  </si>
  <si>
    <t>投诉光明港苑后面深夜施工扰民</t>
  </si>
  <si>
    <t>光明港苑后面红星河治理项目，已经两个多月连续施工，深夜不停了，严重影响整个光明港苑小区居民的正常休息！请问相关部门到底管不管此事？之前投诉过，12月18日刚刚回复的下达整改书给施工方，要求他们按规定时间施工，然而12月19日晚上，噪音比之前更大！！！这下达的是什么整改书？请相关部门给市民一个明确的答复，不要只会黏贴复制，不办实事！</t>
  </si>
  <si>
    <t>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t>
  </si>
  <si>
    <t>投诉鼓台水系统综合治理红星河项目</t>
  </si>
  <si>
    <t>近几个月，所谓鼓台水系统综合治理红星河项目，24小时不间断施工，给周边小区特别是光明港苑小区居民生活休息造成严重影响，很多人在此投诉，然而得到的回复都是清一色市民您好！感谢您对街道工作的关注与支持，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请问相关部门真的有落实到位，督促施工方整改吗？今天噪音愈发严重，我写这份诉求件时已然是晚上8点之后，然而噪音巨大，请问相关部门让整个小区居民如何休息？市重点工程，就可以如此肆无忌惮，为所欲为？为了你们的政绩，完全不顾百姓？你们所谓的督促施工方按规定时间施工，规定时间是什么时间，给广大群众一个明确的答复！麻烦相关部门作出有实际意义的动作，去严格要求施工方整改，而不是只在纸上忽悠广大群众。光明港苑众多居民也会密切关注此事，希望你们不要只会拿着纳税人的钱不干实事！</t>
  </si>
  <si>
    <t>光明港苑小区门口的河道治理非要半夜施工吗？太扰民了！</t>
  </si>
  <si>
    <t>光明港苑小区门口的光明河二支河以及红星河的治理工程为何要挑在深夜才开始施工？昨天晚上（12月1号）十二点多开始就有敲钢筋，砸水泥板的噪音不断从施工地传出，一直持续到半夜三点多，早上不到六点又开始施工，气人的是白天居然停止施工，为何该治理工程非要在小区居民睡觉的时间进行施工，影响了居民的休息对你们工程有何益处？希望有关部门及时查处，对这样的扰民工程进行整改，不要在晚上施工，还光明港苑居民安宁的休息时间。</t>
  </si>
  <si>
    <t>您所反映的问题，我街道领导高度重视，我街城管组织队员到现场巡查，经查，该工程为鼓台水系统综合治理红星河和光明港二支河项目，是市重点工程，由水务公司负责实施，鉴于市区交通状况白天禁止运输建材，施工常在夜间进行，我街城管已下发整改通知书，并督促施工方按规定时间施工，减少噪音扰民。</t>
  </si>
  <si>
    <t>一整晚施工噪音扰民</t>
  </si>
  <si>
    <t>鼓台水系统综合治理红星河项目，是市重点工程，由水务公司负责实施，举报很多次了，夜间施工有严格的规定，即使是利民工程也要遵守。半夜施工到天亮，天亮了另一批继续做工，何来利民根本无法睡觉。请监察部门给予帮助，不要复制黏贴回复。谢谢！</t>
  </si>
  <si>
    <t>接到诉求后，我司已要求施工方严格按照规定的施工时间合理安排夜间施工工作，减小施工对周边居民的影响。目前整治项目处于治理的攻坚阶段,预计于2017年年底完成整治任务。由于水系治理给您生活上带来的不便，我司深表歉意，同时为了能为河道周围居民营造一个良好且舒适的生活环境，也希望您能理解和支持我们对河道的整治工作。</t>
  </si>
  <si>
    <t>红星河黑臭水体治理怎么还不执行！</t>
  </si>
  <si>
    <t>排尾一带的红星河是断头河，平时就是死水一片，夏天到了，河水又脏又臭，蚊虫也特别多！平时都不敢开窗户，最近到处都在综合治理内河水系工程，为什么红星河都没人管了？</t>
  </si>
  <si>
    <t>台江区红星河为福州市鼓台中心区水系综合治理PPP项目包内河道，中标单位为由北控水务集团有限公司牵头的联合体，由中建三局一公司负责施工，该项目为市委市政府“攻坚2017”行动清单中任务，目前四城区已开展城区污染物排查工作，排查结果可以结合水系治理项目消除污染源，红星河规划为填埋河道，计划将红星河于2017年通过临时治理措施使水质达到考核指标，于2018年填埋。</t>
  </si>
  <si>
    <t>红星河(台江区光明社区)脏乱臭</t>
  </si>
  <si>
    <t>何日能给予解决</t>
  </si>
  <si>
    <t>您所反映的问题，我街道领导高度重视，立即组织环卫工人对红星河周边垃圾乱堆放进行清运，督促护河员对河道的漂浮物进行打捞清理，现已清理完毕。今后我们将加强红星河沿河两岸卫生保洁工作，岸边乱堆放及时清运，另外该河已列入今年内河黑臭水体改造项目。</t>
  </si>
  <si>
    <t>东郊河</t>
  </si>
  <si>
    <t>投诉路灯不亮</t>
  </si>
  <si>
    <t>晋安区三八路东郊河河边的路灯全部都不亮，给夜间出行的市民带来不便，我们之前反映了好几次，部门都是回复在这个月上旬来处理，可是路灯现在还书不亮。特此投诉，望处理。</t>
  </si>
  <si>
    <t>经核实，东郊河景观灯配电柜已安装完成，目前东郊上游到塔头段景观灯已亮灯，其余段正在陆续调试，预计本周内可全部亮灯，给您造成不便之处，敬请谅解！</t>
  </si>
  <si>
    <t>晋安区三八路东郊河公园的路灯全部不亮，给夜间出行的市民带来不便。特此投诉，望处理。</t>
  </si>
  <si>
    <t>经核实，东郊河景观灯配电柜已到货并安装，目前正在调试，预计8月上旬可亮灯。给您造成不便之处，敬请谅解！</t>
  </si>
  <si>
    <t>投诉东郊河公园内路灯不亮和公厕未开放的问题</t>
  </si>
  <si>
    <t>马上八月了可是晋安区三八路东郊河公园内的路灯到现在还未恢复亮灯，公园内的公厕也没有对外开放使用。再次投诉！</t>
  </si>
  <si>
    <t>投诉东郊河公园相关的问题</t>
  </si>
  <si>
    <t>对答复不满意。路灯至今还没有亮，厕所也还没开放使用。继续投诉，望部门处理。</t>
  </si>
  <si>
    <t>路灯不亮</t>
  </si>
  <si>
    <t>晋安区金鸡山到立洲大厦的东郊河，路灯一整年不亮，存在安全隐患。特此投诉，望处理。</t>
  </si>
  <si>
    <t>东郊河景观灯配电柜目前已订货，预计10天内到货并安装完成，届时将正常亮灯。给您造成不便之处，敬请谅解！</t>
  </si>
  <si>
    <t>福州市城乡建设发展总公司施工质量问题</t>
  </si>
  <si>
    <t>由福州市城乡建设发展有限公司为业主单位的东郊河改造项目，从塔头路到立洲大厦河段的路灯前段时间一直不亮，不知道什么原因经多次投诉后前几天修复了立洲大厦到紫金苑路段但也是有时亮有时不亮，而紫金苑到塔头路这段路灯安装后两年多了虽经多次投诉，但作为业主单位和施工单位还是根本没有修复亮灯过，现请有关单位和部门切实负起责任来将该路灯修复并进行有效养护和维保，不要随便浪费纳税人的钱施工出这种极不负责任的工程来。</t>
  </si>
  <si>
    <t>经核实，东郊河水系项目紫金苑到立洲大厦段景观灯，此前因漏保跳闸，导致缺亮，现已修复完成并亮灯。紫金苑到塔头段，电线已敷设到位，电控柜尚在预定中，预计7月底前安装完成并亮灯。给您造成不便之处，敬请谅解！</t>
  </si>
  <si>
    <t>晋安区三八路东郊河公园已经建了2年多了，路灯都没有开，厕所都没有开放。特此投诉，望相关部门介入处理。</t>
  </si>
  <si>
    <t>东郊河路灯电缆已铺设，目前施工单位正在采购控制柜，预计7月20日安装完成并亮灯。关于厕所开放问题，请咨询晋安区环卫处。给您造成不便之处，敬请谅解！</t>
  </si>
  <si>
    <t>路灯未开启</t>
  </si>
  <si>
    <t>三八路东郊河未开启路灯，且旁边公共卫生间未开放，给市民带来不便。特此投诉，望处理。</t>
  </si>
  <si>
    <t>东郊河改造路灯一直不亮</t>
  </si>
  <si>
    <t>由福州市城乡建设发展有限公司为业主单位的东郊河改造项目，从塔头路到立洲大厦河段等路灯一直不亮，投诉后前几天刚修复，就亮了两天，现在又坏了已经一周多不亮了，现请有关单位和部门负起责任来将该路灯修复并进行有效养护和维保</t>
  </si>
  <si>
    <t>该处因新埋设的电缆被偷盗，导致路灯不亮。目前我司已安排施工单位重新埋设电缆，预计本周内可恢复供电。给您造成不便之处，敬请谅解！</t>
  </si>
  <si>
    <t>由城乡建总为业主单位的福州市东郊河改造项目，已改造完成近两年，但从立洲大厦到塔头路段路灯从安装到现在一直未亮灯过，不知道这工程当初是怎么验收通过的，市民投诉到12345后城乡建总在4月份回复会在5.20日前开通亮灯（见回复附件），现在已经5月26号了，但没有任何亮灯或者动工的迹象，请问城乡建总负责东郊河改造的项目部是不是还在继续忽悠广大市民？请市效能办和城乡建总高层领导关注一下此事是否有人在其中有什么不可告人的目的和猫腻。</t>
  </si>
  <si>
    <t>该处路灯我司已安排施工单位修复完成并亮灯。给您造成不便之处，敬请谅解！</t>
  </si>
  <si>
    <t>晋安区长乐北路由城乡建总负责东郊河改造项目立州大厦到塔头路段路灯已经安装快两年了从没通电亮灯过，请问有这么浪费纳税人不负责任的施工单位吗？这种工程是这么通过最终验收的呢？特此投诉，望处理。</t>
  </si>
  <si>
    <t>诉件所诉路段路灯缺亮问题，我司已安排施工单位排查修复，预计5月底前修复完成并亮灯。给您造成不便之处，敬请谅解！</t>
  </si>
  <si>
    <t>投诉河段施工验收单位</t>
  </si>
  <si>
    <t>由福州城乡建总为业主单位晋安区长乐北路东郊河段内河改造已完成近两年，从世纪城小区到立洲大厦段路灯也已安装好近两年，一直没有通电亮灯过，请问这个河段施工就是已这样的验收方式通过的吗?请有关部门调查，特此投诉，望部门回复。</t>
  </si>
  <si>
    <t>东郊河景观灯前期投入使用后电缆曾多次被盗。目前我司已安装监控并开始投入使用，并已要求施工单位重新敷设电缆，预计5月20日前完成。给您造成不便之处，敬请谅解！</t>
  </si>
  <si>
    <t>东郊河路灯增设</t>
  </si>
  <si>
    <t>位于晋安区长乐北路西侧的东郊河，经过改造，变得非常漂亮，周边群众都称赞福州市政府为百姓办了大好事。目前，周边有很多群众都在东郊河边散步，但是，有的河段（如：世欧澜山旁）晚上没有路灯，给群众散步造成一定安全隐患。建议有关部门能参照晋安河沿岸做法，给东郊河沿岸也安装些灯光，便于群众更好的夜行。谢谢。</t>
  </si>
  <si>
    <t>东郊河路灯前期已安装完成并已启用，现因路灯电缆多次被偷盗，施工单位损失惨重，经协商，预计本月底周边监控系统完善后，再统一重新敷设电缆，启用路灯。给您造成不便之处，敬请谅解！</t>
  </si>
  <si>
    <t>晋安区塔头路东城公寓旁边东郊河内河改造，现在凌晨2:48分还在施工，噪音扰民，影响周边居民正常休息，特此投诉，望相关部门介入处理。</t>
  </si>
  <si>
    <t>关于诉求件中反映的问题，经核实该处目前正在实施地铁四号线岳峰站施工，镇城管中队已于2019年11月4日3:20分到现场进行了制止并告知该处施工方须严格按照《福州市环境噪声污染防治若干规定》第十三条规定，禁止在午、夜间进行产生噪声污染的施工作业，控制施工时间，避免扰民现象。</t>
  </si>
  <si>
    <t>东郊河污染依然严重，请环保部门介入</t>
  </si>
  <si>
    <t>塔头路东城公寓旁边的东郊河，现已进行污水改造，但是改造完还是非常的脏，河水像可口可乐一样的颜色，可见度有时不到5厘米，而且非常的臭，黑色污水积在东城公寓旁，不停的冒沼气泡泡，东郊河成为露天的化粪池和沼气池了，几个月的时间积累，工人就可以从河里打捞出上百麻袋的黑色淤泥。不知道上游到底有什么工厂，排出的水这么脏（有时候透明度会好一点，不知是不是应付检查），希望环保部门查一下到底什么工厂在偷偷排放污染严重的水，光靠污水净化根本达不到作用。</t>
  </si>
  <si>
    <t>东郊河源头处因暗涵格栅安装问题，导致排口污泥直接排至净化站提升泵房，造成超磁无法运行。我司现已要求施工单位11月底前完成整改。给您造成不便之处，敬请谅解！</t>
  </si>
  <si>
    <t>东郊河再现臭水沟</t>
  </si>
  <si>
    <t>东郊河整治是为民办的实事，好事。但相关职能部门及养护单位，失职失责，建议追究相关人员责任，从重处理！</t>
  </si>
  <si>
    <t>东郊河源头暗涵内1.4米的排口为三八路雨污混流管道，雨天时，雨水流量大，净化站超负荷运营，暗涵内水溢流至河道内，会造成源头段部分河道积淤，需定期处理，近期运营部正对塔头桥段经营干塘清淤，预计本周内处理完成。给您造成不便之处，敬请谅解！</t>
  </si>
  <si>
    <t>投诉福州市城乡建设发展有限公司对于东郊河改造工程的还建工程一直拖拉不动工</t>
  </si>
  <si>
    <t>晋安区长乐北路60号紫金苑小区积极配合政府部门河道整治，可从施工到现在已经一年多了，小区内部的还建工程基本也完成，为何大门一直拖拉不动工，造成目前小区处于开放式状态，人生安全，财产安全得不到保障，请不要以小区内部居民要求不统一，我司无法按照已出图纸施工导致停工为理由，紫金苑小区本来物业就是形同虚设，请抓紧施工！</t>
  </si>
  <si>
    <t>经核实，紫金苑小区还建工程，目前小区内化粪池截污、混凝土道路及停车场还建已完成，剩余大门及部分围墙因小区内部居民要求不统一，我司无法按照已出图纸施工导致停工。</t>
  </si>
  <si>
    <t>诉件所述东郊河水质问题，因三八路市政雨水管雨污混流，雨水夹杂污水流入源头暗涵，目前源头净化站未安装完成，暂无法启用，源头暗涵内雨污混流水溢流至河道内，待后期净化站启用后，将保持河道水质清澈，空气也将得到改善。给您造成不便之处，敬请谅解！</t>
  </si>
  <si>
    <t>东郊河改造工程问题</t>
  </si>
  <si>
    <t xml:space="preserve">1.东郊河水质没有根本改善，改造工程已经做了一年半了，水质与改造前没有多少改变，水面满是油沫、沼气泡泡，散发阵阵恶臭。附图拍摄于2019年6月30日。现在施工队还驻扎在这里就这样，以后撤走还不更糟糕。
2.有安全隐患，河边的栏杆窟窿很大，小孩容易从中掉落河里，见照片。
3.进展缓慢，改造工程已经做了1年半，还没完成，平时也不怎么施工，只是隔三差五的有几个人在做，隔壁被破坏的小区绿化也不给恢复，一年了都是工地状态，破破烂烂的。
</t>
  </si>
  <si>
    <t>经核实，诉件所问题答复如下：1、东郊河水质：因三八路市政雨水管雨污混流，雨水夹杂污水流入源头暗涵，目前源头净化站未安装完成，暂无法启用，源头暗涵内雨污混流水溢流至河道内，待后期净化站启用后，将保持河道水质清澈，空气也将得到改善；2、河道栏杆样式我司严格按照设计图纸施工，且设计图纸均通过政府相关单位审核；3、目前我司正与施工单位协商签订还建工程合同，待协商完成后将继续进行还建建设，后续我司将督促施工单位加紧建设，争取早日完工。给您造成不便之处，敬请谅解！</t>
  </si>
  <si>
    <t>河传来恶臭望尽快处理</t>
  </si>
  <si>
    <t>晋安区岳峰镇塔头路北段的东郊河这边有居民闻到河里传来臭味，天气一热就这样，河水也很浑浊，建议有关部门过来处理一下。</t>
  </si>
  <si>
    <t>经核实，塔头路北段东郊河臭味原因为塔头路污水混流至塔头桥桥底设置的截流渠内，并通过截污管流向调蓄池，天气炎热，截流渠内污水散发出来臭气，截流渠已采用盖板覆盖，后续我司将建议管网公司尽快对塔头路雨污进行分流处理，污水直接通过污水市政管网流入处理厂，从根本上解决臭味问题；东郊河河水浑浊原因为三八路市政雨水管雨污混流，雨水夹杂污水流入源头暗涵，目前源头净化站未安装完成，暂无法启用，源头暗涵内雨污混流水溢流至河道内导致河水浑浊，待后期净化站启用后，将保持河道水质清澈。给您造成不便之处，敬请谅解！</t>
  </si>
  <si>
    <t>福州市城乡建设发展总公司东郊河水系治理工程</t>
  </si>
  <si>
    <t>晋安区东城公寓围墙外头（东城公寓大门与粮库之间）有一段河沟，叫东郊河。河沟中间的位置有一个石头垒出来的简易小水坝，可是这个小水坝漏水导致无法蓄水，里面的小鱼小虾可能都无法生存，建议福州市城乡建设发展总公司东郊河水系治理工程项目部用水泥把水坝漏水的地方堵住保留蓄水功能，望采纳！</t>
  </si>
  <si>
    <t>东郊河暂时处于施工阶段未开始进行补水，因此导致河沟缺水，鱼虾缺少生存环境。水系治理已处于收尾阶段，待补水后水位将长期保持在一定水位，鱼虾生活环境将会更好。感谢您的关注与理解！</t>
  </si>
  <si>
    <t xml:space="preserve">东城公寓旁边东郊河改造违法侵占小区私有土地
</t>
  </si>
  <si>
    <t xml:space="preserve">关于河道清理占用东城公寓小区公共用地的诉求件（编号FZ18081200550），
福州市城乡建设发展总公司回复：
东郊河（包括东城公寓小区段）两岸6米线内将进行步道等景观建设，届时需要占用贵小区部分绿化带，建设完成后的东郊河景观将更加优美，贵小区业主也是最大的受益者。东郊河属市政府黑臭水体重点督办项目，是为民办实事、重大公益事业，内河治理时间紧任务重，恳请贵小区全体业主给予大力支持，并为打造“水清、河畅、岸绿、景美”的福州内河新环境作出应有的贡献。
=========
不管说的多好听，建设部门违法占用小区私有土地，这是事实！我们有关部门做事能否按照法律来？明明违法了，却美其名曰要老百姓做贡献？把你家的地随意占用，不给任何补偿，你愿意？请按照正规的法律程序来做事，要么给征地补偿方案，要么就不要建围墙，把小区私有绿地变成公共的公园，不然我们会告状到底！！
</t>
  </si>
  <si>
    <t>根据市政府专题会议纪要〔2017〕158号精神，按照因地制宜和确保不少6米、能宽则宽的原则要求进行河道建设。福州市城区水系治理按借地方式进行，小区土地所有权仍归整个小区。</t>
  </si>
  <si>
    <t>立洲大厦和世纪城门口的东郊河改造违法占地</t>
  </si>
  <si>
    <t xml:space="preserve">立洲大厦和世纪城门口的东郊河改造本是利于民生的工程，但由于相关部门规划不到位，沟通不及时，又为了达到工期要求，在世纪城业主为同意情况下，贴出告示，企图强行在8月底进入世纪城围挡，进行步道施工。
该地块属于红线以内，属于小区业主共同所有，非公共用途，前期小区业主投票表示不同意借用土地。
业委会发出公告得知：晋安区、岳峰镇、城乡建总、清控办、栈道指挥部、岳峰派出所、晋安区城乡执法局、社区书记均于2018年8月23日到世纪城施压业主委员会，要求无条件满足其政治任务。在未能和业主达成协商一致前提下，就计划开工。由于多部门联合行动，述求无门，望该平台有效反应情况，依法制止其违法行为，政府相关部门能够同世纪城小区业主依法沟通。
</t>
  </si>
  <si>
    <t>经了解该处业主单位为福州市城乡建设发展总公司，关于东郊河改造违法占地问题可向业主单位详细反映咨询。</t>
  </si>
  <si>
    <t>立洲大厦和世纪城小区门口的东郊河改造</t>
  </si>
  <si>
    <t>这个河道改造，致使人行通道狭窄，环境差。想了解该河道改造的完工日期是到2018年9月30日么？目前看工地没有什么进展，是否能如期完工？如果无法按时完工，居民该向什么部门提出诉求？</t>
  </si>
  <si>
    <t>东郊河计划9月30日可完成施工。</t>
  </si>
  <si>
    <t>河道清理占用东城公寓小区公共用地</t>
  </si>
  <si>
    <t>东城公寓边上的东郊河在清理河道，当时通知上写着借用小区绿化带施工，现在发现好像准备做在绿化带上做栈道，那不是永久占用了吗？怎么没有跟业主沟通过，这可是业主的公共财产啊！请给个说法！</t>
  </si>
  <si>
    <t>目前施工方正在恢复绿化景观工作，为给贵小区带来更加宜居舒适的内河环境，在原绿化带上增加休闲步道、夜间灯光照明与种植绿化苗木等，敬请继续支持内河改造工作！</t>
  </si>
  <si>
    <t>河道改造问题</t>
  </si>
  <si>
    <t>晋安区塔头路366号旁边的东郊河做改造，导致附近的东城公寓煤气管道被挖坏了，小区业主现在无法使用燃气，另外，小区网络的线路也被破坏掉，门口有些树木都被毁坏，我们业主对这个工程的指挥非常不满意，该工程影响交通，给业主带来很大的不便，特此投诉，希望有关部门介入处理，杜绝影响市民生活的行为的出现。</t>
  </si>
  <si>
    <t>晋安区塔头路336号东城公寓处为配合东郊河黑臭水系治理而增加过河倒虹管施工。该处倒虹管施工由市水务投资发展有限公司作为业主单位，河南清鸿建设咨询有限公司为监理单位，天津第四市政建筑工程有限公司为施工单位。感谢这位热心市民的投诉，现对您的诉求反馈如下：1、该工程为水系治理配套项目，由于现场作业空间有限，且为缩短施工对周边居民的影响周期，加快过河倒虹管施工工期，由水系治理业主城乡建总协调，申请并委托市园林局下设花木公司于5月8日上午对该点榕树进行局部修枝。2、因5月6日现场施工时导致燃气管道出现问题，现场燃气公司工作人员立即安排抢修，并当日恢复使用。3、在过河管网施工过程中未发现小区网络线路出现故障。我司在施工过程中为减少对周边居民的影响加班加点缩短施工工期，原计划该处过河倒虹管施工工期为5月10日，现已提前于5月8日完成并撤场。施工给您带来不便敬请谅解。</t>
  </si>
  <si>
    <t>工地噪音污染</t>
  </si>
  <si>
    <t xml:space="preserve">长乐北路世欧澜山东门，紫金苑旁的一片空地，原先是世欧澜山临时停车场，五一期间都是深夜施工，大型机械挖土机作业，声音异常巨大。
现在想了解一下，是否是东郊河治理项目，河道旁边的这片空地挖了主要是做什么？
为什么白天不挖，非得晚上挖？晚上才能运渣土，为什么不先挖好，深夜直接开走
大半夜开了大灯作业，然后作业结束了，灯一直亮到天亮。
这块地大概还要深夜加班做多久？
</t>
  </si>
  <si>
    <t>诉求提及施工内容为我司东郊河治理项目，五一期间由省二建在该场地埋设截污管，目前已埋设完成，准备恢复场地。施工期间给您带来不便敬请谅解！</t>
  </si>
  <si>
    <t>请还给紫金苑小区业主的一个知情权</t>
  </si>
  <si>
    <t xml:space="preserve">晋安区建设局领导、清控人居（福州）水环境科技有限公司：
东郊河治理项目工程施工已半年有余。半年来，施工方不顾紫金苑小区的实际情况强行围档，野蛮施工，给小区业主的生产生活造成了极大影响。目前，本小区沿东郊河河岸的所有化粪池（大约有七八口）全部遭到损坏，粪便到处溢流，臭气冲天。这种状况不知要维持到何年何月才能到头。原先本小区化粪池的粪水均是直排东郊河，不知整治之后，施工方有否考虑本小区化粪池的排水问题，一旦河岸切成，本小区化粪池的排水就直接被档住了。也许施工方已有了一个解决方案，但还是希望有关领导及施工方还小区业主的一个知情权，给业主一个解释，让我们这些业主放心。
根据东郊河治理项目的业主方福州市城乡建设发展总公司反馈,东郊河施工占用的紫金苑小区地块属“借地施工”,用于埋设截污管,以确保东郊河黑臭治理的顺利进行。既然是“借地施工”，希望贵局能责成项目业主方市城乡建总和施工设计方(清控人居(福州)对施工方案进行优化，在完善东郊河治理的前提下兼顾本小区业主的要求,进行后续施工。同时将具体“借地面积”，化粪池的排水方案，以及小区的后期修复方案等告知本小区的业主，还小区业主的一个知情权。
</t>
  </si>
  <si>
    <t>经了解您所述东郊河综合治理项目业主单位为福州市城乡建设发展总公司。经市城乡建总反馈，目前紫金苑小区段沿河岸退距6米的范围属借地施工，用于东郊河埋设截污管、建设驳岸、截流井、补水管等内河治理施工。在后续沿河景观建设过程中，项目业主方市城乡建总和施工设计方（清控人居（福州）水环境科技有限公司）结合实际情况，在完善东郊河治理的前提下兼顾小区业主的要求，在紫金苑小区段沿河岸边建设适当宽度的步栈道及绿化景观，并建设栅栏式围墙确保小区的封闭性。同时做好借地区域的后期修复工作，还小区业主一个干净，舒畅的居住环境。有关该段东郊河具体施工情况及后续修复方案等事宜请转业主单位福州市城乡建设发展总公司咨询办理。</t>
  </si>
  <si>
    <t>投诉污染排放</t>
  </si>
  <si>
    <t>现在东郊河在进行内河治理，位于河沿岸的圣洪大酒楼将污水排放到内河没有任何处理，这边在进行治理，那边又在污染排放，内河治理只是政府工程的一个项目而已吗？只是为了做项目而做，沿岸周边这些污染企业没有任何的治理，那现有内河治理好，过一段时间河水又将变臭变黑，这就是我们要的青山绿水？</t>
  </si>
  <si>
    <t>经查，圣洪大酒楼位于晋安区长乐北路，主要经营中餐，经工商注册及卫生许可。该酒楼二楼厨房污水管道有破损，少量废水流至酒楼地面，我局已要求该酒楼维修污水管道。现场检查时，未发现污水排入内河行为。</t>
  </si>
  <si>
    <t>投诉晋安区东郊河改造指挥部</t>
  </si>
  <si>
    <t>东郊河世欧澜山段那一侧居然连截污管都没有埋，污水没有截断还是会流入河内的，这怎么能算改造呢？与原先的规划不符，强烈要求恢复原先规划三米的栈道和三米的绿地。福州市内河改造上了央视的新闻联播，如果没有按照市委书记原先说的规划做，那政府的公信力何在？望处理。</t>
  </si>
  <si>
    <t>河道两侧均要埋设截污管，包括世欧澜山段。还未施工的截污管与景观步道等计划春节后进场施工。感谢您对内河治理工作的关注与支持！</t>
  </si>
  <si>
    <t>河道清淤问题</t>
  </si>
  <si>
    <t>福州市最近都在做河道清淤，省二建公司做的东郊河清淤为了赶工将淤泥都是直接用竹排和石子铺上，没有真正做到清淤，望部门尽快介入调查处理。</t>
  </si>
  <si>
    <t>据省二建反馈东郊河可施工作业河段已完成清淤工作，诉件反映的在河底铺石子是为了修复河底生态系统和增加感观效果。东郊河因存在征地拆迁问题，局部有新淤泥产生现象，待征地拆迁问题解决后将与驳岸修复时一并处理，届时将彻底清淤。感谢您对市政建设的关注与支持！</t>
  </si>
  <si>
    <t>投诉晋安区东郊河改造项目</t>
  </si>
  <si>
    <t>投诉晋安区东郊河改造项目，我是长乐北路紫金苑的业主，规划局的规划上是说两边各拆六米，为何只拆我们这边没有拆对面世欧澜山小区？甚至现在的河道有的地方不足一米，难道拆迁还有分等级吗？施工时间经常是中午和晚上十点以后非正常施工时间，严重扰民。福州市委书记不是说要串珠公园吗？现在根本桥都没有动，走都走不过去，这还叫串珠公园吗？特此投诉，希望相关部门介入处理。</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</si>
  <si>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东郊河的串珠公园位于东郊米业公司地块。
目前施工方、设计方在设计，施工过程中将尽量满足业主实际述求，因地制宜开展施工，保障沿岸居民的合法权益。另责令该单位针对施工时间段予以整改，应合理安排施工时间，避免影响周边居民休息。
我们热切希望广大群众对福州市内河水系综合治理工作予以支持和配合。有关施工问题可咨询项目业主单位福州市城乡建设发展总公司。
</t>
  </si>
  <si>
    <t>东郊河问题</t>
  </si>
  <si>
    <t>晋安区紫金苑旁的东郊河河道不够宽，河面上的垃圾也没有清走，小区的路面比河岸低，一下雨路就变成河，无法行走，特此投诉，希望相关部门介入处理。</t>
  </si>
  <si>
    <t>首先感谢您对内河整治的关心与支持，目前建设内容仅对河道黑臭问题进行治理，下一阶段将按规划宽度进行拓宽与驳岸建设工作。再次感谢您提出的建议和意见！</t>
  </si>
  <si>
    <t>东郊河改造侵犯业主权益</t>
  </si>
  <si>
    <t>近期将对东郊河进行改造，是造福百姓的好事。但办好事不应侵犯居民的物权。一是，东郊河改造要占用沿岸左右各6米，这些土地是小区红线范围内，也就是纳入小区业主公摊，没有赔偿的说法直接占用是否合法？二是，目前没有详细的方案，那小区居民很担心对沿岸小区原有绿化、景观破坏后怎么恢复？小区在改造时如何保持封闭、改造后如何保持封闭？等等，这些都没有明确，草草开工，我们小区居民无法接受，应在明确上述相关问题后再进行改造！</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</si>
  <si>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
目前施工方、设计方在设计，施工过程中将尽量满足业主实际述求，因地制宜开展施工，保障沿岸居民的合法权益。我们热切希望广大群众对福州市内河水系综合治理工作予以支持和配合。有关具体施工问题可咨询项目业主单位福州市城乡建设发展总公司。
</t>
  </si>
  <si>
    <t>东郊河改造侵犯小区居民利益</t>
  </si>
  <si>
    <t>近期将对东郊河进行改造，是造福百姓的好事。但办好事不应侵犯居民的物权。一是，东郊河改造要占用沿岸左右各6米，这些土地是小区红线范围内，也就是纳入小区业主公摊，没有赔偿的说法直接占用是否合法？二是，目前没有详细的方案，那小区居民很担心对沿岸小区原有绿化、景观破坏后怎么恢复？小区在改造时如何保持封闭、改造后如何保持封闭？等到等，这些都没有明确，草草开工，我们小区居民难以接受。</t>
  </si>
  <si>
    <t xml:space="preserve">东郊河是今年福州市城区水系综合治理内河之一，此次水系治理工程将开展河道清淤、沿河铺设截污管道、驳岸修复、绿化补植等施工。在施工过程中，将对部分内河沿岸建筑与围墙进行拆除退距或借地施工。
目前施工方、设计方在设计，施工过程中将尽量满足业主实际述求，尽最大限度保障沿岸居民的合法权益，因地制宜开展施工。我们热切希望广大群众对福州市内河水系综合治理工作予以支持和配合。有关具体施工问题可咨询项目业主单位福州市城乡建设发展总公司。
</t>
  </si>
  <si>
    <t>投诉东郊河水系治理部门</t>
  </si>
  <si>
    <t>东郊河水系治理部门在未和小区业主协商完毕的情况后，强行把晋安区长乐北路60号紫金苑小区用工程车把小区围墙推倒，大门摧毁，路面压坏，健身器材和休息区毁坏，并将施工材料强行运进小区，还雇佣保安用盾牌把在家的业主挡在小区外。现在小区环境恶劣后影响小区业主正常生活，存在安全隐患。特此投诉，望处理。</t>
  </si>
  <si>
    <t xml:space="preserve">东郊河整治是今年福州市城区水系综合治理内河之一，此次内河治理工作将在河道沿岸铺设截污管道、步行道和进行绿化补植等工程。
该项目业主方福州市城乡建设发展总公司此前曾向福州市城乡规划局调阅紫金苑小区土地权属及东郊河河道绿线的档案，根据档案显示，紫金苑小区沿河6米系规划市政绿地；即该小区沿河6米不属紫金苑小区业主所有，现该规划市政绿地已被紫金苑小区占用作为小区停车场，并在河道上砌墙封闭于小区内。
目前施工方、设计方在设计，施工过程中将尽量满足业主实际述求，尽最大限度保障沿岸居民的合法权益，根据实际，因地制宜开展工作。我们热切希望广大群众对福州市内河水系综合治理工作予以支持和配合。有关具体施工问题可咨询项目业主单位福州市城乡建设发展总公司。
</t>
  </si>
  <si>
    <t>关于东郊河的改造直接影响了紫金苑小区所有业主的居住生活</t>
  </si>
  <si>
    <t>尊敬的市长、区长、市、区建设局领导
关于晋安区东郊河的改造工程，直接影响了紫金苑小区所有业主的居住生活环境。同时占用了所有业主的共同财产，使得小区无绿化带可言，不符合城市居民居住条件。
恭请市长、区长能够抽出时间亲临小区实地考察，为小区所有业主们主持公道，依法、依据实际情况处理好符合城市居民小区的居住条件。小区所有业主大力支持福州内河整治改造工作，同时也不愿紫金苑小区拖后腿。让我们一起在治理改造内河的同时保住城市小区的整体面貌，为美丽大福州，我们都来负起责任。
紫金苑小区全体业主恭候领导的到来，我们共同来商讨解决的方案。</t>
  </si>
  <si>
    <t>东郊河整治是今年福州市城区水系综合治理内河之一，此次内河治理工作将在河道沿岸铺设截污管道、步行道和进行绿化补植等工程。
该项目业主方福州市城乡建设发展总公司此前曾向福州市城乡规划局调阅紫金苑小区土地权属及东郊河河道绿线的档案，根据档案显示，紫金苑小区沿河6米系规划市政绿地；即该小区沿河6米不属紫金苑小区业主所有，现该规划市政绿地已被紫金苑小区占用作为小区停车场，并在河道上砌墙封闭于小区内。
目前施工方、设计方在设计，施工过程中将尽量满足业主实际述求，尽最大限度保障沿岸居民的合法权益，根据实际，因地制宜开展工作。我们热切希望广大群众对福州市内河水系综合治理工作予以支持和配合。有关具体施工问题可咨询项目业主单位福州市城乡建设发展总公司。</t>
  </si>
  <si>
    <t>三八路晋安区东郊河水系治理工程项目晚上11点多还在施工，施工噪音严重影响三八新村居民休息</t>
  </si>
  <si>
    <t>您好，三八路晋安区东郊河水系治理工程项目晚上11点多还在施工，一路之隔不到10米处就是三八新村小区。噪音巨大，家里小孩多次被吵醒，严重影响居民休息。水系治理是一件大好事，但施工也应该遵纪守法确定好时间，最大限度的避免扰民同时兼顾效率。请妥善解决好晋安区东郊河水系治理工程工地施工的噪音扰民问题，这不是菜市，也不是自家建房，噪音实在是太大了，是个正常人都要崩溃了。</t>
  </si>
  <si>
    <t>市容局三中队已派执法人员告知施工方须严格按照《福州市环境噪声污染防治若干规定》第十三条规定，禁止在午、夜间（“午间”是指12时至14时、“夜间”是指22时至次日6时）进行产生噪声污染的施工作业，控制施工时间，避免扰民现象。今后市容局三中队也将加强对该处的巡查力度，一经发现超时施工，市容局三中队将立即予以制止。</t>
  </si>
  <si>
    <t>内河臭味问题</t>
  </si>
  <si>
    <t>晋安区东郊河世欧澜山段整治内河的围挡围了2、3个月了，至今没有动工，现在河水还是很臭。特此投诉，希望相关部门尽快介入处理。</t>
  </si>
  <si>
    <t>诉求内容反映的是今年市政府为民办实事项目之一的东郊河除黑臭项目，目的是为解决市区洪涝、河道黑臭问题，同步改善河道及沿河两岸景观。在进行河道除黑臭改造之前，需要将影响改造工程的相关管线、绿化苗木进行迁移，目前正在办理相关报批手续，迁改工作也在同步进行中。河道在改造过程中给周边居民造成临时不便敬请谅解，感谢您对政府民生工程的支持和关注！</t>
  </si>
  <si>
    <t>尽快整治晋安区塔头路东城公寓右侧东郊河</t>
  </si>
  <si>
    <t>晋安区塔头路东城公寓右侧是东郊河，河水污浊，河内恶臭。已多次投诉请求整治，几次回答说已完成河道清淤云云，但一直无果，一直很臭。现在天气渐渐热了，以后更臭，过往行人都忍受不了，何况小区内的居民。强烈要求政府有关部门尽快整治，为老百姓办一点实事，也为美丽福州建设做一点实事。</t>
  </si>
  <si>
    <t>感谢您对内河的关心和关注。我局派人员到现场勘查，东郊河由于是断头河，加上现在为沽水期，没有活水补充，造成东郊河较臭原因，目前已将东郊河列入整治计划。</t>
  </si>
  <si>
    <t>东城公寓旁边的东郊河进入2017年整治，如何整治？是通入活水么？</t>
  </si>
  <si>
    <t>东城公寓旁边的东郊河进入2017年整治，如何整治？是通入活水么？能否不要简单敷衍，我们想知道具体的整治办法！身为附近居民，已经多次投诉，但是每次经过，阵阵恶臭，不知道相关地区环保局能否彻底解决，做到真正为人民服务！</t>
  </si>
  <si>
    <t>东城公寓旁边的东郊河是条断头河，且无天然水源。造成东郊河水流不能顺畅排出，淤积在东城公寓河段内，日久发黑发臭。现已列入城区综合治理项目，目前正在按程序进行。</t>
  </si>
  <si>
    <t>浦东河</t>
  </si>
  <si>
    <t>美城每天清晨洗化工路入三环高架桥污水入河</t>
  </si>
  <si>
    <t>美城每天清晨洗化工路入三环高架桥污水入浦东河、积步道、腐蚀浦东河岸景观灯电缆，与保洁人员沟通2次污水走雨水口无效</t>
  </si>
  <si>
    <t>关于化工路三环高架桥每天清晨冲洗化工路污水入浦东河、积步道、腐蚀浦东河岸景观电缆的问题，经核实：保洁公司车辆在三环桥上正常作业，因桥上雨水管网堵塞，导致水自动往下流。感谢您对晋安区城市管理工作的关心与支持。关于您反映“美城每天清洗化工路入三环高架桥污水入浦东河、积步道、腐蚀浦东河岸景观灯电缆，与保洁人员沟通2次污水走雨水口无效。”的问题。经我区环卫处了解，该车辆为东飞保洁公司所属，在高架桥上正常作业。因该路段的排水管道损坏导致水无法排出，且该路段的排水管道由市政部门进行维护。待排水管道恢复正常使用，我区环卫处将督促东飞保洁公司规范作业，将水正常排入管道。</t>
  </si>
  <si>
    <t>关于投诉浦东河两边景观路灯经常不亮的问题</t>
  </si>
  <si>
    <t>晋安区沃尔玛超市旁边浦东河两边的景观路灯经常不亮，夜间影响市民通行，老人、小孩经常摔倒。特此投诉！</t>
  </si>
  <si>
    <t>经现场核实，浦东河沃尔玛段景观灯正常。感谢您的关注与支持！</t>
  </si>
  <si>
    <t>浦东河黑臭，有排污问题</t>
  </si>
  <si>
    <t>晋安区鼓山镇，浦东河治理完成后，黑臭问题有很大改善。
但是近期又愈加严重，且发现东方伟业广场东侧有排黑水的问题。
希望相关部门治理，不要将来之不易的治理成果毁于后期的管理。</t>
  </si>
  <si>
    <t>经核实，浦东河已完成整治，转入运行。近期因管道修复，导致短暂性污水入河。现阶段已经恢复正常，河道无黑臭情况。给您造成不便之处，敬请谅解！</t>
  </si>
  <si>
    <t>浦东河被填埋</t>
  </si>
  <si>
    <t>晋安区鼓山镇人民政府后面原来是闽东电机七厂宿舍，浦东河被填埋，被围起来作为车库使用，若今后下大雨容易引发洪水，特此投诉，望处理。</t>
  </si>
  <si>
    <t>经查，浦东河闽东电机段为S形走势较狭窄河段，因其主河道承载上游排水功能，2018年水系综合治理过程中设计取直施工，方便排浚。因该地块属水系治理后剩余空地，部分周边居民私自侵占围垦种植。考虑到安全问题，原河段由施工单位清控人居公司采取回填处置。施工过程也仅对路面进行平整、护坡加固修复并预留防洪通道，确保雨天不发生内涝问题。若遇到台风暴雨持续降雨引发洪涝时，我镇会组织人员进行紧急排险，并转移该区域人员至安全地带，确保居民人身财产安全。我镇防汛办、前横社区会密切关注。</t>
  </si>
  <si>
    <t>浦东河淌洋河怎么又变臭了</t>
  </si>
  <si>
    <t>前期已经治理好了，近日河水发黑，阵阵恶臭。</t>
  </si>
  <si>
    <t>诉件所诉问题，系淌洋河桥下排口近期因市政疏通此排口被打开，导致污水大量入河，现我司拟新寻班组对排口进行封堵处理，预计工期1个月。给您造成不便之处，敬请谅解！</t>
  </si>
  <si>
    <t>几乎完工的内河整治现场排污口大量排污</t>
  </si>
  <si>
    <t>浦东河整治现场，排污管已经完工，河道已经清淤完成，为何还剩余一个排污口不断再排出黑色或者白色污染物，整段河道都受到影响！请有关部门及时整治！</t>
  </si>
  <si>
    <t>经核实，浦东河治理项目调蓄池截污系统目前尚未完善，预计今年9月投入使用，待截污系统完善并启用可改善水质，彻底解决排污黑臭问题。给您造成不便之处，敬请谅解！</t>
  </si>
  <si>
    <t>浦东河整治收尾</t>
  </si>
  <si>
    <t>浦东河整治工程一直拖拖拉拉，给周围居民出行带来严重不便，好不容易春节前把围挡拆除了，但几个月过去了，工程却一直不能及时收尾，施工压坏的路面也没有修复，影响出行。且发现工人把建筑垃圾倒回刚清理的河道，真不知道是清淤还是造淤。</t>
  </si>
  <si>
    <t>浦东河整治已进入收尾阶段，因部分截污管及景观未全部完工，现正进行此类工作的最后施工。待截污管及景观完成后，将对周边损坏的路面及绿化进行修复。河道清淤作为河道治理的重要组成部分，清淤完成后河道水质方能保持，建筑垃圾倒进河里系附近居民个人所为，已安排施工单位进行清理。将加强管理，制止小区居民乱倒垃圾。</t>
  </si>
  <si>
    <t>恒宇国际公园旁边浦东河道改造凌晨0:48还在施工，噪音扰民，望部门尽快介入处理。</t>
  </si>
  <si>
    <t>针对恒宇国际公园旁边浦东河道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</si>
  <si>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投诉河道暴力施工</t>
  </si>
  <si>
    <t>晋安区鼓山镇浦墘路316号世纪金辉1期沿浦东河一侧昨天晚上发现有煤气泄漏，燃气公司过来检查发现是因为河道施工把管道挖破了，但是施工方没有及时上报直接用土覆盖，施工比较粗暴，存在安全隐患，特此投诉，望相关部门介入处理。</t>
  </si>
  <si>
    <t>我司已及时与燃气公司进行了沟通确认，对该处燃气管道进行修复，同时对施工单位进行批评教育，要求其严格做好安全文明施工。给您造成的不便敬请谅解。</t>
  </si>
  <si>
    <t>投诉河道施工不规范</t>
  </si>
  <si>
    <t>晋安区鼓山镇边上的浦东河河道工程施工时不规范，设备出现故障的时候直接在路上进行维修，严重阻碍交通，妨碍市民出行，特此投诉，望部门可以督促其改正，规范施工。</t>
  </si>
  <si>
    <t>我司已责令施工单位立即进行整改，给您造成的不便敬请谅解。</t>
  </si>
  <si>
    <t>晋安区鼓山镇浦东河改造施工，白天不施工，都是晚上施工到凌晨，噪音扰民，严重影响市民正常休息，去年内河都整治一半了，这次重新整治整条河垮了一半，这是浪费国家财产。特此投诉，望相关部门介入处理。</t>
  </si>
  <si>
    <t>针对鼓山镇浦东河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</si>
  <si>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晋安区连洋路与连福路之间的浦东河河道施工往河里倒巨石，导致房屋都在震动，严重扰民，向110投诉，110说没有执法权，特此投诉，希望相关部门介入处理。</t>
  </si>
  <si>
    <t>针对晋安区连洋路于连福路之间浦东河噪施工音扰民的问题。接到投诉后，我镇城管中队立即组织执法人员到现场进行巡查。现场确有发现机械作业噪音扰民的情况。执法人员已责令工人立即停工，并要求对方按照规定时间施工，禁止在午间和夜间施工，避免噪音扰民。</t>
  </si>
  <si>
    <t>晋安区鼓山镇浦乾路浦东河市政工程改造内河，晚上10点42分还在施工，填石块的时候，我们房子都会震动，已经持续一个星期了，特此投诉，希望相关部门介入处理。</t>
  </si>
  <si>
    <t>针对晋安区鼓山镇浦乾路浦东河市政工程改造内河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</si>
  <si>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重复施工拖延时间浪费资源</t>
  </si>
  <si>
    <t>在钱隆世家南门与好来屋北门浦东河旁的污水治理工程，存在重复施工拖延时间浪费政府资源的现象。即浇筑好了钢筋混凝土的构件之后，又把它拆掉，改用砖头砌。砌好之后又拆掉，又浇筑混凝土，之后又拆掉，又改用砖砌。如此反复重复，从施工初到现在快要一年了，两个治污构件还没建好，一直围档施工，严重影响了周边居民的日常生活。</t>
  </si>
  <si>
    <t>钱隆世家南门和好来屋北门浦东河顶管接收井17号和21号并不存在建了又拆又改的情况，该两处施工初至今仅三个月，此井前期做为顶管接收井，顶管完成后现做为截流井，现截流井正在进行接驳施工。</t>
  </si>
  <si>
    <t>晋安区鼓山镇福马路浦东河改造工程（靠近恒宇国际闽东电机厂宿舍生活区），已经凌晨2:20分还在施工，噪音很大声，严重扰民，每天晚上都通宵施工。特此投诉！希望有关部门介入处理。</t>
  </si>
  <si>
    <t>针对晋安区鼓山镇福马路浦东河改造工程（靠近恒宇国际闽东电机厂宿舍生活区）工地噪音扰民的问题。接到投诉后，我镇城管中队立即组织执法人员到现场进行巡查。现场确有发现工人作业噪音扰民的情况。执法人员已责令工人立即停工，并要求对方按照规定时间施工，禁止在午间和夜间施工，避免噪音扰民。</t>
  </si>
  <si>
    <t>晋安区浦东河（沃尔玛那一段）河道施工都是施工到半夜12点，周边都是居民区，严重扰民，望部门尽快介入处理。</t>
  </si>
  <si>
    <t>接到投诉后，我镇城管中队立即组织执法人员到现场进行巡查。经查，该工地为浦东河道内河改造工地。现场发现勾机施工噪音扰民，执法人员已责令其立即停工，并要求对方按照规定时间施工，禁止在夜间施工，避免噪音扰民。</t>
  </si>
  <si>
    <t>投诉晋安区鼓山镇福马路浦东河改造工程（靠近恒宇国际和福兴妇产医院），白天晚上都在施工，噪音很大声，严重扰民，特此投诉，希望有关部门介入处理。</t>
  </si>
  <si>
    <t>福马路浦东河改造工程施工扰民：针对鼓山镇福马路浦东河水系治理工地夜间施工噪音扰民的问题。我镇城管中队夜间多次巡查该工地并及时制止其夜间施工噪音扰民。接到投诉后，我镇城管中队再次组织执法人员到现场进行巡查，现场发现勾机施工噪音扰民，执法人员已责令其立即停工，并要求对方按照规定时间施工，禁止在夜间施工，避免噪音扰民。</t>
  </si>
  <si>
    <t>浦东河改造</t>
  </si>
  <si>
    <t>福州市晋安区鼓山镇浦东河改造年前开挖围档后，好久没动静了，浦东河什么时候可以改造好，还有浦东河的5个串珠公园什么时候能建成呢？</t>
  </si>
  <si>
    <t>浦东河改造项目因受春节假期影响，目前已按施工计划恢复建设中，计划2019年全部建成。</t>
  </si>
  <si>
    <t>福马路鼓山沃尔玛对面（福新女子医院隔壁）浦东河河道施工，现在是晚上10点42分了，噪音很大，影响休息，望部门处理。</t>
  </si>
  <si>
    <t>福马路鼓山沃尔玛对面（福新女子医院隔壁）浦东河河道施工，现在是晚上10点42分了，噪音很大，影响休息的问题：接到投诉后，我镇城管中队已组织执法人员到现场查看，责令施工单位停止施工，要求施工方在规定时间内施工，做到文明施工，避免噪音扰民。</t>
  </si>
  <si>
    <t>连洋路一户人家排放出大量的黑水，臭水，使得浦东河水又脏又臭.</t>
  </si>
  <si>
    <t>十多天来，连洋路连洋桥靠北的东侧有一户148号人家后院一天到晚不断地排放出大量的黑水，脏水，使得这一段的浦东河水脏稀稀的，又黑又臭，刺鼻难闻（现在还是不停地在排放），使得这一段浦东河大面积沉积厚重污泥，河床日趋浅低。请求相关职能部门及领导阻止这种有损内河清澈，危害居身健康的行为。</t>
  </si>
  <si>
    <t>经了解，现晋安东区水系治理已经开始治理，开始对所有排放至内河的污染源进行截污，今年年底消除黑臭。</t>
  </si>
  <si>
    <t>浦东河的连洋路的连洋桥北侧整天不停排放黑水，臭水.</t>
  </si>
  <si>
    <t>十几天来，连洋路连洋桥靠北的东侧有一户人家148号后院整天不停地排放出大量的黑水，臭水，使得浦东河水又黑又臭，刺鼻难闻。由于不断的排出脏水，现在这一段河底沉积了厚重的污泥，河床日渐浅低，河水越来越臭。这一来，有损市言市貌，又危害周围居民身心健康。恳求相关职能部门和领导给予关注，及时处理，还浦东河水清澈。</t>
  </si>
  <si>
    <t>晋安区的浦东河改造是否会牵扯到沿河的宿舍(闽东电机七厂)拆迁？</t>
  </si>
  <si>
    <t>晋安区的浦东河改造是否会牵扯到沿河的宿舍(闽东电机七厂)拆迁？望回复。</t>
  </si>
  <si>
    <t>经向我司下属福州捷诚房屋征收工程处了解，由于采取河道取直的方式，故不会涉及到宿舍楼，仅拆除周围单层建筑。</t>
  </si>
  <si>
    <t>咨询是否会对沿河的宿舍进行拆迁？</t>
  </si>
  <si>
    <t>我们是晋安区福州闽东电机七厂宿舍的居民。我们小区后面有一条晋安区浦东河，河水非常臭，政府准备对河道进行拓宽，想咨询一下，是否会对沿河的宿舍进行拆迁？</t>
  </si>
  <si>
    <t>浦东河已列入城区水系综合治理PPP项目，该项目由市有关规划设计部门统一设计。治理时按设计图纸，对河道沿岸进行建设。</t>
  </si>
  <si>
    <t>浦东河河道改道</t>
  </si>
  <si>
    <t>四月底，浦东河就已经进入河道改造阶段。告知我们会在六月底完成改造计划，请问政府打算怎么安置沿河流域的居民呢？她们已经饱受臭河摧残几十年了！！！</t>
  </si>
  <si>
    <t>浦东河已按城区水系综合治理的工作要求，有序得开展工作。将逐渐改善河道状况。</t>
  </si>
  <si>
    <t>晋安区水上公园和浦东河水体黑臭的问题何时整治？</t>
  </si>
  <si>
    <t>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浦东河、水上公园的水质将得到改善</t>
  </si>
  <si>
    <t>关于晋安区浦东河水污臭情况反映</t>
  </si>
  <si>
    <t xml:space="preserve">尊敬的领导：
我目前在上海工作，但家人住在君临东城，隔壁就是浦东河，虽然河边的走道已经修好，但河道发出恶臭，使得旁边的居民苦不堪言，我的家人已经在那里住了三年，我经常回福州，但河水的恶臭让我难以忍受，希望有关单位能出来管管，我曾经看过一份报纸，说福州在内河整治上花费了xx亿元，但说实话我没有看到效果，除了修理了河道旁边的绿化，还请相关部门尽快解决内河问题，还河边居民一个良好的生活环境，我目前在上海，上海的内河整治工作非常好，是否是福州的环境管理制度不合理还是费用不足，我想应该由有关部门出面解决，请各相关部门尽快解决，我代表河边的居民谢谢各位，这是我第一次反映问题，请多多包涵！
</t>
  </si>
  <si>
    <t>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t>
  </si>
  <si>
    <t>浦东河补水</t>
  </si>
  <si>
    <t>浦东河与磨洋河的补水泵何时可以建好？</t>
  </si>
  <si>
    <t xml:space="preserve">现将福州市国有资产投资发展集团有限公司核实情况反馈如下：
目前,福州市市容建设开发公司正在协调晋安区区政府先行交地，以便进行起点泵房建设。
特此反馈
</t>
  </si>
  <si>
    <t>浦东河治理</t>
  </si>
  <si>
    <t>年年治理，年年依旧。希望政府能够加大力度，加快速度，早日还市民一个碧水蓝天</t>
  </si>
  <si>
    <t>由于浦东河属断头河，沿线村庄较多，居民生活垃圾经常直接倒入河内，且日常补水量较少，造成目前浦东河水质黑臭。目前由福州市市容建设开发公司为业主的磨洋河与浦东河补水泵站正在建设中，待建设完成工后可增加浦东河流水量，改善浦东河水质。</t>
  </si>
  <si>
    <t>咨询何时清淤</t>
  </si>
  <si>
    <t>晋安区鼓山镇浦东河几年前市政府已经在规划治理清淤，但是至今都还没有治理，请问何时开始清淤呢？</t>
  </si>
  <si>
    <t>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t>
  </si>
  <si>
    <t>浦东河整治工程什么时候能完工？</t>
  </si>
  <si>
    <t>浦东河作为东区流入光明港公园的主要内河，早在多年前就开始进行内河整治，但当时只完成了南段福马路至光明港的治理，而北段福马路至化工路这段却一直处于截流状态，导致南段无活水引入，臭气熏天，造成光明港如死水一般，没有水源流入。现北段接近干枯，河床裸露，前期修好的沿河步道也已破败不堪。作为市政府为民办实事的重要内河整治工程为何拖了这么多年都一直未完工，沿河居民都怨声载道。</t>
  </si>
  <si>
    <t>您所反映的河道为浦东河，该河道水质较差，主要是因为该河道是断头河，上游无来水且无生态补水，河水流通不畅，水体交换缓慢所致，为改善东区内河水质，计划实施磨洋河、浦东河水系生态补水工程。目前，正在规划设计论证阶段，前期修好的沿河步道已在维护。</t>
  </si>
  <si>
    <t>磨洋河</t>
  </si>
  <si>
    <t>投诉鼓山苑小区内磨洋河发黑发臭无人清理</t>
  </si>
  <si>
    <t>投诉鼓山苑小区内磨洋河发黑发臭无人清理，特此投诉，望处理。</t>
  </si>
  <si>
    <t>经专管员现场查看，该河段为淌洋河，并与管养单位清控人居（福州）水环境科技有限公司沟通过了，该单位确认是因为这两天下雨，水出不去，雨水污水溢流，光明港那边没退，昨晚退了比较多水置换出去了，现在水质比较好，没有污水排放。</t>
  </si>
  <si>
    <t>鼓山镇磨洋河河道破坏</t>
  </si>
  <si>
    <t>党的十八大以来生态文明建设提到了新高度，治理内河花费巨大财力，可是这破坏问题也像“星星之火”，一边治理，一边破坏，几时休？！</t>
  </si>
  <si>
    <t>诉件所诉问题此前施工单位已反复清理多次，因我司无执法权，收效甚微，现我司已安排施工单位本周内再次清理完毕。关于村民在河道内种菜，希望镇街加强宣传及执法力度，共同维护内河干净整洁。感谢您的理解与支持！</t>
  </si>
  <si>
    <t>投诉污水管道的问题</t>
  </si>
  <si>
    <t>晋安区远洋路三远佳园前面的磨洋河和光明港河排污水管道，一直在流污水，污水很臭，严重影响周围居民的正常生活。特此投诉，望相关部门介入处理。</t>
  </si>
  <si>
    <t>因该处抽水泵故障导致污水溢流至河道，目前抽水泵已修复完成。给您造成不便之处，敬请谅解！</t>
  </si>
  <si>
    <t>磨洋河水系治理后的效果差</t>
  </si>
  <si>
    <t>附件两张图：第一张图片是城乡建总公司员工正在磨洋河水系治理游步道施工图。第二张图片是磨洋河游步道目前的状况。从两张对比图片就可以看出工程质量极差，短短几个月时间道路就破损成这个样子了。</t>
  </si>
  <si>
    <t>诉件所诉远东村该段村道未在我司磨洋河水系工程治理范围内，图片内工人施工内容为我司义务对道路破坏部分进行局部修复。感谢您的理解与支持！</t>
  </si>
  <si>
    <t>磨洋河水系治理效果差</t>
  </si>
  <si>
    <t>磨洋河水系治理远东村段，河边游步道三个情况：靠近福马路一段修的非常漂亮，路面铺着漂亮的地砖。中间一段倒水泥，效果差了很多。后面一段泥土路段，开始扯皮（说是村道不属于磨洋河治理，实际早已经被征收不属村道）。一到晚上黑压压的，连个路灯都没有。</t>
  </si>
  <si>
    <t>磨洋河整治业主单位是城乡建总，在施工过程中该路段被城乡建总作为施工便道使用，经大型车辆碾压造成该路段严重破损，虽经城乡建总简易修复但又被内河施工时大型车辆碾压造成损坏。我镇将组织各个相关部门到现场一同核实，待现场确认后尽快进行道路修复。</t>
  </si>
  <si>
    <t>污水排放</t>
  </si>
  <si>
    <t>晋安区远洋路磨洋河口最近有污水排放，很臭。特此投诉，望处理。</t>
  </si>
  <si>
    <t>三远佳园小区外该排口为市政开发公司负责的福马路下穿涝点泵站抽排至磨洋河，目前我司针对这一排口已委托规划院进行规划设计，待设计完成后立即整改。给您造成不便之处，敬请谅解！</t>
  </si>
  <si>
    <t>远东村磨洋河水系拆迁何时启动？</t>
  </si>
  <si>
    <t>鼓山镇埠兴村启动了水系拆迁，为何远东村磨洋河不启动水系拆迁？三远家园配套道路还在等这块地修建道路</t>
  </si>
  <si>
    <t>远东村水系整治项目不涉及拆迁。</t>
  </si>
  <si>
    <t>磨洋河水系治理无效果。同一条游步道靠近福马路一段靓丽光鲜，靠近远洋路一段破破烂烂堆着垃圾。</t>
  </si>
  <si>
    <t>磨洋河水系治理远东村段游步道修建的破破烂烂，堆满垃圾。请问城乡建总现场负责人（庄工13509388687）到底是如何修建养护的？</t>
  </si>
  <si>
    <t>1、远东村段游步道堆满垃圾的问题，远东村每天均有派员对该处进行清理。下一步，远东村将加强路段巡查，及时制止人员乱倒垃圾，保持路面整洁。2、远东村段游步道修建的破破烂烂的问题，经了解，此道路整地块已被征收过，且三远片区也列入市旧改范围，为了村民出行方便，我镇派人对坑洼路面进行修补。</t>
  </si>
  <si>
    <t>垃圾问题</t>
  </si>
  <si>
    <t>远东村磨洋河旁边垃圾堆积如山，这几天都没有人来清理，特此投诉，望处理。</t>
  </si>
  <si>
    <t>远东村已派员对该处垃圾予以清理。下一步，该村将加大巡查力度，及时发现并制止人员乱倒垃圾。</t>
  </si>
  <si>
    <t>磨洋河水系治理无效果</t>
  </si>
  <si>
    <t>磨洋河水系治理无效果，河边游步道路破破烂烂，污水流。</t>
  </si>
  <si>
    <t>我镇已组织各个相关部门到现场一同核实，该道路已于2009年磨洋河综合整治项目时被征收，征收实施单位为区房屋征收工程处。经了解，该区域原用于沿河绿化，后期被村民当作出村便道，今后待三远片区征收后将结合规划道路予以修复建设，为了村民出行方便，我镇派人对坑洼路面进行修补。</t>
  </si>
  <si>
    <t>磨洋河水系治理工程质量差</t>
  </si>
  <si>
    <t>城乡建总公司磨洋河边水系治理工程质量差！不要拿好路段的照片忽悠群众，请到诉求件所拍摄照片位置查看！</t>
  </si>
  <si>
    <t>关于磨洋河水系治理后道路泥泞难行问题，经远东村与镇河长办组织相关单位派员共同到实地查看核实，该道路已于2009年磨洋河综合整治项目时被征收，征收实施单位为区房屋征收工程处。经了解，该区域原用于沿河绿化，后期被村民当作出村便道，今后待三远片区征收后将结合规划道路予以修复建设。目前为了村民出行方便，我镇派人对坑洼路面进行修补。</t>
  </si>
  <si>
    <t>三远佳园外面污水直排磨洋河，恐怖有关部门能不能有点</t>
  </si>
  <si>
    <t>三远佳园远洋路桥边附近有一个口，排的水额非常臭</t>
  </si>
  <si>
    <t>诉件所述位置排口为福马路下穿涝点抽排管道，施工时磨洋河截污管道已施工完，未列入磨洋河截污系统。根据市领导要求，现将该排口纳入牛田溪综合整治工程，该工程目前已启动前期手续，预计2020年6月底完成。</t>
  </si>
  <si>
    <t>磨洋河远东村段何时完工？</t>
  </si>
  <si>
    <t>请问下城乡建总公司：磨洋河远东村段水系治理何时能够完工？不要拖太久了</t>
  </si>
  <si>
    <t>经核实，磨洋河远东村段，预计7月份完成河道治理。给您造成不便之处，敬请谅解！</t>
  </si>
  <si>
    <t>远东村磨洋河水系拆迁拖了好多年了</t>
  </si>
  <si>
    <t>请问鼓山镇埠兴村有水系拆迁，牛山村有水系拆迁，为什么远东村磨洋河没有水系拆迁？三远家园配套道路与大门还在等待远东磨洋河水系拆迁呢，福州唯一一个没有小区大门的三远家园安置房。按照我的理解水系拆迁应该是与村庄的整体拆迁是两个不同的项目，因为目前牛山村与埠兴村也只启动了水系拆迁，整个村子拆迁项目没有开始。</t>
  </si>
  <si>
    <t>经现场核实，关于远东村磨洋河水系拆迁问题，我镇内河办并未接到任何有关磨洋河水系拆迁通知。</t>
  </si>
  <si>
    <t>远东村磨洋河边为何没有水系拆迁？</t>
  </si>
  <si>
    <t>鼓山镇各条水系都有拆迁，为何远东村磨洋河水系无拆迁？你们不拆迁，三远佳园小区规划的大门十几年了都无法修建，配套道路无法修建，现在一直使用临时大门。请问晋安区旧改办是不是遗忘了这个地方了？</t>
  </si>
  <si>
    <t>投诉污水池导致路面塌陷</t>
  </si>
  <si>
    <t>樟林站门口的磨洋河改造工程，因为挖了一个污水池，导致进樟林站的路面塌陷，特此投诉，希望相关部门介入处理。</t>
  </si>
  <si>
    <t>因磨洋河截污工程施工导致樟林站桥头路面塌陷，我方将于12月30日前完成该处路面修复，受影响的单位及市民望谅解，感谢支持我方实施的河道治理工程。</t>
  </si>
  <si>
    <t>磨洋河，远东村河段水系治理何时能够完工？</t>
  </si>
  <si>
    <t>磨洋河计划今年底前完成全线治理工作，感谢您的关注与支持！</t>
  </si>
  <si>
    <t>晋安区三远佳园小区旁边磨洋河河道施工，现在0:27还在施工，都是晚上开始施工，噪音扰民，特此投诉，望处理。</t>
  </si>
  <si>
    <t>针对三远佳园小区旁边磨洋河河道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</si>
  <si>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磨洋河河道全封闭施工</t>
  </si>
  <si>
    <t>磨洋河河道口全封闭施工，现在台风要来了。希望施工单位提前做好泄洪准备！避免水淹村庄！</t>
  </si>
  <si>
    <t>您所述磨洋河河口闸坝问题，经了解该处施工属磨洋河治理项目，业主单位为福州市城乡建设发展总公司。经我局人员于7月10日17点现场查看，施工方正在对该河道的闸坝进行拆除（附图所示），确保台风来临前做好泄洪准备。</t>
  </si>
  <si>
    <t>磨洋河河道远东段全封闭施工</t>
  </si>
  <si>
    <t>磨洋河河道全封闭施工，下暴雨，洪水来了怎么办？6月20日一场暴雨远东村村庄全部被淹！马上台风季来了，希望施工单位能够立即改善目前的状况！</t>
  </si>
  <si>
    <t>磨洋河现已挖通钢坝闸进行泄洪导流，目前泄洪开口还在扩大中，给您造成的不便敬请谅解。</t>
  </si>
  <si>
    <t>河道改造施工扰民</t>
  </si>
  <si>
    <t>晋安区东山新苑四区后面的磨洋河河道改造施工扰民，导致我们每天晚上都无法睡觉，特此投诉，望处理。</t>
  </si>
  <si>
    <t>东山新苑四区后面的磨洋河河道改造施工扰民的问题：接到投诉后，我镇城管中队立即组织执法人员到现场进行巡查。现场确有发现工人作业噪音扰民的情况。执法人员已责令工人立即停工，并要求对方按照规定时间施工，禁止在午间和夜间施工，避免噪音扰民。</t>
  </si>
  <si>
    <t>磨洋河整治后为何依然黑臭</t>
  </si>
  <si>
    <t>磨洋河整治没有治根本，河里没挖污泥没铺鹅卵石。河水依然黑臭！请问磨洋河整治后验收是哪家机构？</t>
  </si>
  <si>
    <t>福州内河本次治理采用3+12模式，3年建设期，12年运营期，目前尚处于建设阶段，磨洋河清淤因2017年上半年已完成清淤施工，本次将不再进行清淤，仅处理面上浮泥，另，因每条内河设计方案不同，并非所有内河河底都设计铺设鹅软石。感谢您对内河治理的关注和支持。内河整治完后将由建委相关部门进行验收。</t>
  </si>
  <si>
    <t>磨洋河整治后为何还是黑臭？</t>
  </si>
  <si>
    <t xml:space="preserve">磨洋河远东村段整治后为何还是黑臭？
我看见台江区河道治理都是用钩机把污泥挖上岸晒干后运走，河底铺上鹅卵石。整治后特别干净！
磨洋河边没看到挖污泥与铺鹅卵石，依然还是黑臭啊！
</t>
  </si>
  <si>
    <t>磨洋河清於工作于2017年上半年已完成，此次施工内容为冲面上浮泥，并没有挖淤泥。因每条河道设计不同，并不是所有河道都有铺设鹅卵石。目前截污工程由临时转入永久建设，我司会督促施工单位尽快完成永久截污建设，早日给居民带来良好的河道环境。施工过程中给您带来的不便，敬请谅解！</t>
  </si>
  <si>
    <t>河道污染</t>
  </si>
  <si>
    <t>晋安区鼓山镇埠兴村磨洋河支流两侧的居民都将生活垃圾往河流里丢，共享单车也丢到河里，河道污染严重。特此投诉！望处理。</t>
  </si>
  <si>
    <t>该段河流属于磨洋河支流，现已纳入晋安东区水系综合治理项目中，近期将启动摸底工作，摸底结束后启动整治项目。</t>
  </si>
  <si>
    <t>磨洋河水黑臭问题</t>
  </si>
  <si>
    <t>晋安区前屿东路77号鼓山苑小区境内的磨洋河，之前做内河整治，现在水还是黑臭的，没有任何改善，特此投诉，希望相关部门介入处理。</t>
  </si>
  <si>
    <t>晋安区前屿东路77号鼓山苑小区境内的河道是淌洋河，目前晋安东区水系综合治理项目已全面启动，其中含淌洋河。内河治理工程是一项复杂的系统工程，这次内河治理将对河道开展清淤、截污、生态补水、驳岸修复、景观改造、绿化美化等工程。将在水系综合治理项目结束后，并进入有序的日常维护及管养机制运行下，淌洋河将会呈现给周边居民水清、河畅，焕然一新的面貌。我们热切希望广大群众对内河水系综合治理工作予以支持和配合。</t>
  </si>
  <si>
    <t>磨洋河东山新苑段是否也会建串珠式公园，若是，要多久完工？</t>
  </si>
  <si>
    <t>磨洋河东山新苑段该处按市规划局规划，将在东山三路东侧建设串珠公园，预计2018年5月完成。</t>
  </si>
  <si>
    <t>你好城乡建总公司我想咨询二个问题：
1.磨洋河远东村段驳岸建议开始动工了吗？
2.磨洋河边社会主义核心价值观广告牌旁边边的那条土路已经拆迁交地多年为何迟迟不见修路？</t>
  </si>
  <si>
    <t>您所诉求的磨洋河边上的道路问题，目前我局暂无修建该道路计划。</t>
  </si>
  <si>
    <t>磨洋河问题</t>
  </si>
  <si>
    <t>晋安区磨洋河，河地底下淤泥没挖，目前就建起河堤，台风一来铁路肯定被淹，目前居民都在河面种菜了，望有关部门重视此问题。（横屿鳝溪家园西侧河岸一建，台风天水肯定流向铁路）。</t>
  </si>
  <si>
    <t>横屿鳝溪家园西侧河岸一建：经查，目前磨洋河正在有序改造中，针对河面种菜的问题，市容法尚未有相关规定予以处置，针对诉求我镇城管中队已派员前往该处对相关人员进行劝导。</t>
  </si>
  <si>
    <t>磨洋河污染太严重</t>
  </si>
  <si>
    <t>远东村磨样盒路段实在是太脏了，天气一热整个恶臭，再加上远东村很多外地打工的人租在村里，经常把生活垃圾往河里扔，或者扔在河边，河上都飘浮着许多垃圾，政府一直强调内河整治，但是都不见磨洋河干净过，政府应该想点方法对破坏河道的人做点措施，还磨洋河一个好的环境。</t>
  </si>
  <si>
    <t>远洋村磨洋河污染严重：针对诉求者所诉情况，磨洋河现已纳入立项整治，待统一整治时，一并予以处理。</t>
  </si>
  <si>
    <t>淌洋河</t>
  </si>
  <si>
    <t>投诉河水污染</t>
  </si>
  <si>
    <t>现在有人正在往晋安区远东村的淌洋河倒化学污水，位于福州春天后面，整条河变为了黑色。希望部门尽快前来处理。特此投诉，望处理。</t>
  </si>
  <si>
    <t>淌洋河因昨日堰门设备故障存在污水入河现象。我司已第一时间修复设备，并通过补水纳潮置换等应急措施对入河污水进行处理，现河道已恢复正常水质。给您造成不便之处，敬请谅解！</t>
  </si>
  <si>
    <t>淌洋河治理</t>
  </si>
  <si>
    <t>很多鼓山苑小区和钱隆世家群众反映，最近淌洋河水又开始发臭，现临近夏季蚊虫多，请相关部门把这条内河整治清楚，不要让附近居民怨声载道。</t>
  </si>
  <si>
    <t>淌洋河为浦东河支流，是一条断头河。水源补给主要来自连接浦东河补水干管的dn400补水管，相比较淌洋河断面水流流动肉眼难以发现。淌洋河散发臭味是因为受到前段时间管道清淤疏浚影响，目前我司已采取加长补水时间等措施减少河道臭味。给您造成不便之处，敬请谅解！</t>
  </si>
  <si>
    <t>福州内河治理后还是很臭</t>
  </si>
  <si>
    <t>淌洋河经过治理后水流依旧不动，还是黑色，而且伴随着恶臭，花了那么多钱来治理，也打扰周围居民一年，完全没成效，既然没有能力治理，你们是否应该评估一下是否填埋</t>
  </si>
  <si>
    <t>淌洋河目前试运行阶段已结束，下一步我司将会进行上游的永久截污管、补水管及调蓄池建设，完成时间预计为2018年6月份，施工期间给您造成不便之处，敬请谅解！感谢您对福州市内河治理的关注和支持！</t>
  </si>
  <si>
    <t>关于内河治理</t>
  </si>
  <si>
    <t>请问淌洋河现在治理到什么阶段了，工程已经结束了吗？现在的淌洋河并没有达到清澈见底，同时这两天又开始发臭了，希望有关部门能够重视，还福州一个清新，舒适的环境</t>
  </si>
  <si>
    <t>淌洋河目前试运行阶段已结束，下一步我司将会进行上游的永久截污管、补水管及调蓄池建设，完成时间预计为2018年6月份，在此施工期间给您带来的不便敬请谅解，感谢您对福州市内河治理的关注和支持！</t>
  </si>
  <si>
    <t>鼓山苑小区内河整治</t>
  </si>
  <si>
    <t>鼓山苑小区内河道内的水十分浑浊，河面上漂浮着厚厚一层污垢，散落着部分生活垃圾，散发出阵阵腥臭味，很多物业反应连窗户都不敢开。这个问题我2016年9月5日反应的。2016年9月9日你们回复：经现场查看，所述问题位于淌洋河，造成内河黑臭原因，主要是因为上游村庄和周边居民较多，生活垃圾经常直接扔到河内，自2015年9月1日起，根据区里工作安排，由区市容局负责内河水面保洁，绿地保洁，岸线保洁，行政执法等相关工作。目前，淌洋河已纳入我区黑臭水体整治任务。我想问一下，这个黑臭水体整治任务整治任务有没有具体的时间表。很多人都反应味道实在是太重了，特别是下雨时。</t>
  </si>
  <si>
    <t xml:space="preserve">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</si>
  <si>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淌洋河实在太臭了，治理了这么多年，一年成效都没有。</t>
  </si>
  <si>
    <t>穿过鼓山苑的臭水沟淌洋河，实在太臭了，沿岸居民根本不敢开窗户，每次投诉说治理治理，都好几年了，毛都没动过。省住建厅、省环护厅日前联合转发了住建部、环保部《关于印发城市黑臭水体整治工作指南的通知》提到2017年要消灭臭水沟，请问你们具体规划，措施是什么，请具体一点，不要每次都拿下游违章建筑说事。如果你们没这个能力，就索性填埋，这样根本就不是内河，完完全全的臭水沟，福州这样的臭水沟太多了。</t>
  </si>
  <si>
    <t xml:space="preserve">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</si>
  <si>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淌洋河太臭了，什么时候能治理？</t>
  </si>
  <si>
    <t>从搬进鼓山苑开始，每天都是被臭水沟给臭醒的。一直听说要治理，可是从来没有看到有动静。这样的臭味严重影响了人们的生活，不敢开窗，还经常被臭醒，希望政府能帮忙解决这个问题</t>
  </si>
  <si>
    <t>经现场查看，所述问题位于淌洋河，造成内河黑臭原因，主要是因为上游村庄和周边居民较多，生活垃圾经常直接扔到河内，自2015年9月1日起，根据区里工作安排，由区市容局负责内河水面保洁，绿地保洁、岸线保洁、行政执法等相关工作。我局负责内河建设、设施维护等工作。目前，淌洋河被纳入“海绵城市”建设计划项目，由设计院进行统一规划设计。</t>
  </si>
  <si>
    <t>陈厝河</t>
  </si>
  <si>
    <t>河道不流通</t>
  </si>
  <si>
    <t xml:space="preserve">位于闽侯县南通镇陈厝村街西附近的一条陈厝河，最近一周水阀估计没打开，河里面一直没什么水，水流不通，河里面阵阵发臭，位于陈厝村街西2号附近的最为严重，请求有关部门打开水阀，促进陈厝河河水流通。
还有一些农民反应因为目前河水不流通，河里面基本没什么水，再加上河水阵阵发臭，导致周边农田缺乏水灌溉。
</t>
  </si>
  <si>
    <t>您所反映的问题已知悉，南通镇陈厝村陈厝河正在进行河道整治，目前处于清淤、清污阶段，为便于施工需要控制水位，待清淤、清污阶段结束，将恢复正常水位，对您造成不便，敬请谅解。施工进度也将在陈厝村委会公告栏及时公布。</t>
  </si>
  <si>
    <t>半夜挖掘机作业，噪音扰民严重</t>
  </si>
  <si>
    <t>刃具厂宿舍小区后面陈厝河改造，半夜挖掘机还在工作，一直到半夜1点多，已经持续很久了，环保部门能否处理下？</t>
  </si>
  <si>
    <t>接到诉求后我镇城管中队即组织人员到现场查看，该处属于内河提升改造工程工地，因施工导致扰民，执法人员已责令其立即整改，并要求对方按照规定时间施工，避免噪音扰民。</t>
  </si>
  <si>
    <t>保护陈厝河</t>
  </si>
  <si>
    <t>近期有发现，有人随意往陈厝河倾倒稻草等垃圾，一方面会污染水源，另一方面，使的河道变窄，影响了河道泄洪排污的功能！请有关部门给予关切，谢谢！</t>
  </si>
  <si>
    <t>经调查，该处所倒垃圾为外来人员所倒，陈厝村已派保洁员清理干净。同时将进一步加强巡查，做好河道日常清洁工作。</t>
  </si>
  <si>
    <t>琴亭河</t>
  </si>
  <si>
    <t>关于投诉公园遭到破坏</t>
  </si>
  <si>
    <t>晋安区晋安河和琴亭河交界的地方（高校新村琴亭村210号）这边的公园。旁边有栋建筑大楼，可是他们在公园这边挖了个污水处理系统，想要让污水从这经过，现在导致公园遭到破坏。特此投诉，望部门处理。</t>
  </si>
  <si>
    <t>我司工作人员到达晋安区晋安河和琴亭河交界的地方（高校新村琴亭村210号）这边的公园，经核实，该处正在进行洋里改扩建雨污水管网修复改造，对于公园内绿化苗木移植已报福州市园林中心审批许可，待管道施工完成后恢复公园景观，已督促施工单位天津市政第四集团有限公司对现场做好文明施工维护。给您造成不便敬请谅解！</t>
  </si>
  <si>
    <t>怡馨苑小区半夜高空丢垃圾外卖入内河</t>
  </si>
  <si>
    <t>怡馨苑小区半夜丢垃圾外卖入琴亭内河</t>
  </si>
  <si>
    <t>经向社区了解，工作人员前往查看，已要求物业加强对小区高层住户乱扔垃圾的行为进行劝导，加强巡查，如有发现及时劝导，如有疑问可前往小区物业反映，感谢您的理解与支持。</t>
  </si>
  <si>
    <t>晋安区（靠南平东路公交站、福州市第七中学对面）八一水库下来琴亭湖河道都是污水，特此投诉，望处理。</t>
  </si>
  <si>
    <t>诉件所诉位置污水问题，我司已安排人员进行对相关排口进行排查，预计本月底前彻底解决该问题。给您造成不便之处，敬请谅解！</t>
  </si>
  <si>
    <t>晋安区东浦路琴亭河臭味扰民（加急）</t>
  </si>
  <si>
    <t>晋安区东浦路琴亭河，污水过滤的渣土，臭味会熏到小区里面。另外，过滤池里面的管道，臭气也会排上来，影响到周边居民的正常生活。特此投诉，望部门介入处理。</t>
  </si>
  <si>
    <t>诉件所述琴亭河臭味问题，河道管理部门已采取以下措施解决臭味问题：1、已增加相应的臭味处理设备；2、加强运营管理。尽量减少对周边市民生活的影响，给您造成不便之处，敬请谅解！</t>
  </si>
  <si>
    <t>晋安河旁边的琴亭河不知道是发动机的声音还是抽水机的声音，总是很大声，从前天开始就24小时在作业，严重影响周边居民的正常生活。之前已反映过多次，也给环保局长写信，但目前还没有给予解决。特此投诉，望相关部门介入处理。</t>
  </si>
  <si>
    <t>城管中队对您反映的问题高度重视，立即组织执法人员前往诉求件中所指工地进行勘查，经查后情况反馈如下：12月10日晚执法人员到达现场后，未发现诉求件中所指工地有施工扰民现象。中队执法人员已联系负责人并要求对方按规定时间施工，不得使用高噪声作业设施设备，必须加强施工现场管理，避免对周边居民造成影响。根据《福州市环境保护条例》第三十九条规定，在市区和城镇进行建筑施工和其他作业的单位和个人，不得在午间十二时至十四时和夜间二十二时至次日六时进行产生噪声污染的活动。如投诉人发现该工地擅自在限制时间内施工可拨打12345转中队办理，中队将及时派员到现场查处。</t>
  </si>
  <si>
    <t>晋安河旁边的琴亭河不知道是发动机的声音还是抽水机的声音，总是很大声，经常不定时的发出噪音，影响周边居民的正常生活。特此投诉，望处理。</t>
  </si>
  <si>
    <t>目前琴亭河净化站正在进行扫尾施工，车辆及材料卸放造成噪音污染，我司已要求施工单位进行整改，同时相关收尾工作将于月底完成。给您造成的不便敬请谅解。</t>
  </si>
  <si>
    <t>我是晋安区东浦路100号怡馨苑小区的居民，琴亭河水系治理项目的设备声音非常响，扰民严重，业主单位是清控水务，特此投诉，希望有关部门介入处理。</t>
  </si>
  <si>
    <t>琴亭河目前正在进行净化站组合池内，填料支架以及曝气管的安装。期间，切割机间歇性切割加工管材造成的噪音，对附近居民造成的影响，深感抱歉。目前我司已要求施工班组，按正常上班时间进行施工，避开午休以及夜间时间。并注意噪音扰民的影响，尽量减少噪音。该项目预计10月5日完成剩余工程量。给您造成的不便敬请谅解！</t>
  </si>
  <si>
    <t>晋安区琴亭河污染问题</t>
  </si>
  <si>
    <t>晋安区琴亭河经常有污水排入，我们向环保部门反映多年，污染源始终存在，现在河水还是非常黑，前几天刚冲洗的河道，现在又黑了，希望环保部门尽心尽力查找污染源，解决河水黑臭问题。</t>
  </si>
  <si>
    <t>我司已督促施工单位对周边污染源进行排查，并安排对周边小区、道路等进行管网修复。给您造成的不便敬请谅解。</t>
  </si>
  <si>
    <t>晋安区五四北琴亭高架桥下面的琴亭湖河道治理工程凌晨0点47分还在施工，噪音严重扰民。特此投诉，望处理。</t>
  </si>
  <si>
    <t>中队十分重视，立即组织执法人员前往诉求件中所指工地进行勘查，经查后情况反馈如下：5月15日00时07分执法人员到达现场后，未发现诉求件中所指工地有施工扰民现象。中队执法人员已要求对方按规定时间施工，不得使用高噪声作业设施设备，必须加强施工现场管理，避免对周边居民造成影响。</t>
  </si>
  <si>
    <t>河道臭味冲天</t>
  </si>
  <si>
    <t>晋安区琴亭高校新村旁边新挖了一条河道，名称是琴亭河，这条河臭味冲天，严重影响居民的生活，河水还是黑的，特此投诉，希望有关部门介入处理。</t>
  </si>
  <si>
    <t>该河段为琴亭河，现该处正在进行河道治理，河道节流，无流动水源，施工后淤泥翻动且近期天气炎热，淤泥经阳光暴晒后产生难闻气味，待河道治理结束将改善。</t>
  </si>
  <si>
    <t xml:space="preserve">1、福州市省体中心晋安河旁边的琴亭河和晋安区洋下河改造完后还是非常臭。2、鼓楼区安泰河也是一样河水黑臭，请问福州市河道何时才能完全改造完毕？望部门尽快介入处理。
</t>
  </si>
  <si>
    <t>城区内河目前正在进行截污管网建设，因施工造成部分河段水质较差，计划今年9月份施工基本完成</t>
  </si>
  <si>
    <t>抽水声扰民</t>
  </si>
  <si>
    <t>琴亭河有两个水泵24小时都在抽水，声音非常大，夜间居民无法入睡，特此投诉！</t>
  </si>
  <si>
    <t>该项目目前正在进行河道截污施工，预计下月完成建设。施工期间给您造成不便敬请谅解。</t>
  </si>
  <si>
    <t>内河整治排水的声音太响了</t>
  </si>
  <si>
    <t>晋安区东浦路100号怡馨苑小区门口的琴亭河内河整治，排水的声音太响了，噪音严重扰民，望施工单位改进一下，望处理。</t>
  </si>
  <si>
    <t>我司已安排施工单位进行整改，计划近期即可完成整改。</t>
  </si>
  <si>
    <t>你好，我是家住东浦路怡馨苑居民，琴亭河的源头的净化设备是好，但是净化设备到河流的水流声音比较大尤其是晚上影响我们小区的居民睡眠，本来我们小区边上就是铁路白天比较吵，现在晚上都是听这边净化设备到河流的流水声影响休息，希望能够改进，把水流以其他安静的办法排放到河流里比如建个缓坡留下来什么的。谢谢</t>
  </si>
  <si>
    <t>我司已安排施工单位进行整改，计划近期即可完成。</t>
  </si>
  <si>
    <t>琴亭河夜间施工</t>
  </si>
  <si>
    <t>高校新村后面的琴亭河夜间施工，经常搞到天快亮才停工，严重影响居民休息，望部门尽快处理。</t>
  </si>
  <si>
    <t>区市容局二中队派队员到现场查看，并联系负责人要求其按照规定施工，禁止超出规定时间施工扰民。中队将加强巡查，及时制止施工扰民行为。如诉求者发现该处有施工扰民的行为，日间可拨打投诉电话：87950616，夜间投诉可通过拨打12345转中队办理，中队将及时派员到现场查处。</t>
  </si>
  <si>
    <t>工地施工扰民</t>
  </si>
  <si>
    <t>晋安区琴亭高校新村旁边的琴亭河工程昨天晚上通宵施工，噪音严重扰民。希望相关部门尽快介入查处。</t>
  </si>
  <si>
    <t>中队派队员到现场查看，并联系负责人要求其按照规定施工，禁止超出规定时间施工扰民。中队将加强巡查，及时制止施工扰民行为。如诉求者发现该处有施工扰民的行为，日间可拨打中队投诉电话：87950616，夜间投诉可通过拨打12345转到中队办理，中队将及时派员到现场查处。</t>
  </si>
  <si>
    <t>东浦路琴亭河项目晚上10点17分还在施工，噪音很大，一整晚都在施工，特此投诉。</t>
  </si>
  <si>
    <t>中队将加强巡查，及时制止施工扰民行为。如诉求者发现该处有施工扰民的行为，日间可拨打中队投诉电话：87950616，夜间投诉可通过拨打12345转到中队办理，中队将及时派员到现场查处。</t>
  </si>
  <si>
    <t>晋安区琴亭河到十二亭这一段，晚上十一点还在施工，噪音扰民，已经第五次反映了，每次反映停两天又开始施工，到底是政府部门不作为还是施工单位不听话？特此投诉。</t>
  </si>
  <si>
    <t>中队将加强巡查，及时制止施工扰民行为。如诉求者发现该处有施工扰民的行为，日常投诉可拨打中队投诉电话：87950616，夜间投诉可通过12345平台及时转到中队办理，中队将及时派员到现场并依法予以查处。</t>
  </si>
  <si>
    <t>晋安区琴亭河现在已经三点半还在施工，噪音影响周边居民休息，请有关部门处理。</t>
  </si>
  <si>
    <t>市容局二中队将加强巡查，及时制止施工扰民行为。如诉求者发现该处有施工扰民的行为，日常投诉可拨打我中队投诉电话：87950616，夜间投诉可通过12345平台及时转到我中队办理，中队将及时派员到现场并依法予以查处。</t>
  </si>
  <si>
    <t>施工工程噪音扰民</t>
  </si>
  <si>
    <t>我是晋安区琴亭高校新村的住户。最近省二建公司负责在整治琴亭河。工程队在晚上9点多到次日4点多施工，噪音扰民，附近居民，尤其是老人无法入睡，导致老人血压升高。特此投诉，希望有关部门介入处理。</t>
  </si>
  <si>
    <t>中队派员到现场巡查，现场未发现有施工扰民行为。同时中队将加强巡查，及时制止施工扰民行为。如诉求者发现该处有施工扰民的行为，日常投诉可拨打中队投诉电话：87950616，夜间投诉可通过12345平台及时转到中队办理，中队将及时派员到现场并依法予以查处。</t>
  </si>
  <si>
    <t>我们家住晋安区琴亭河附近，这条河改造施工已有月余，以前在晚10点就会停到早上7点。可是从21日开始，每晚都是施工到凌晨3至4点，各种施工工具发出的噪音，扰的附近居民无法入眠，严重影响我们的生活和工作。之前也向鼓楼区执法局反映，他们迅即处理，效果显著。可昨天晚上又施工到凌晨2、3点，后得知：一条河段施工，分为两个执法部门。靠琴亭村的归晋安区执法局管。迫于无法入眠，即于凌晨1：30分致电反映，晋安区执法局值班人员接电后答复派员查看，但至凌晨近3点施工的噪声才落幕。这几天来我们已被噪音骚扰的烦燥难忍，晚上不能入睡，白天还得上班，工作时晕头转向，严重影响我们身心健康。为此希望有关部门本箸为民办实事的精神，根据施工噪声管理有关法律，尽快予以解决，还我们一个正常的作息空间。谢谢！</t>
  </si>
  <si>
    <t>关于您反映琴亭环岛旁晋安河施工扰民的问题。我局二中队派队员到现场查看，并联系负责人要求其按照规定施工，禁止超出规定时间施工扰民。同时我局中队将加强巡查，及时制止施工扰民行为。如诉求者再次发现该处有施工扰民的行为，日常可拨打我局二中队投诉电话：87950616，夜间投诉可通过拨打12345转接到我局中队办理，我局中队将及时派员到现场查处。</t>
  </si>
  <si>
    <t>竹屿河</t>
  </si>
  <si>
    <t>竹屿河恶臭问题还未解决，化工路上还能闻到臭味。</t>
  </si>
  <si>
    <t>前期投诉反馈说12月中旬能解决，现在已经1月下旬，竹屿河恶臭问题还未解决，化工路上还能闻到臭味。</t>
  </si>
  <si>
    <t>晋安区竹屿河属晋安东区水系综合治理PPP项目，净化站自2019年8月份生化调试完成后，均安排运营人员24小时运营维护，确保污水处理工艺系统和除臭暖通系统设备24小时运行，目前净化站的除臭系统运行良好，暗涵产生的大量臭味及污泥叠螺压泥产生臭味基本上都已通过出除臭暖通系统吸走并转化处理解决。针对异味溢散问题，我司年前已安排施工单位整改，该处暗涵闸门无法完全封闭，异味飘散属于正常现象。给您造成不便之处，敬请谅解！</t>
  </si>
  <si>
    <t>互相推诿，竹屿河恶臭问题如何解决</t>
  </si>
  <si>
    <t>见图。互相推诿，竹屿河恶臭问题如何解决</t>
  </si>
  <si>
    <t>晋安区竹屿河属晋安东区水系综合治理PPP项目，净化站自2019年8月份生化调试完成后，均安排运营人员24小时运营维护，确保污水处理工艺系统和除臭暖通系统设备24小时运行，目前净化站的除臭系统运行良好，暗涵产生的大量臭味及污泥叠螺压泥产生臭味基本上都已通过出除臭暖通系统吸走并转化处理解决。针对异味溢散问题，我司已制定在暗涵缝隙处通过加盖地毯等措施使整个暗涵完全密闭，及改进污水处置设备密封等整改方案，预计12月份中旬整改完成。届时净化站异味污染源基本上属于完全密闭状态，在后期运行时将不会再有异味飘散，河道运营过程中的异味外溢问题将得到有效解决。给您造成不便之处，敬请谅解！</t>
  </si>
  <si>
    <t>重新投诉。竹屿河现在非常臭，在化工路上骑车经过都很臭</t>
  </si>
  <si>
    <t>重新投诉。竹屿河现在非常臭，在化工路上骑车经过都能闻到恶臭。典型的面子工程</t>
  </si>
  <si>
    <t>竹屿河净化站每日正常运行，将净化过的污水排放至河道，相较于治理前，已大幅度降低河道黑臭问题。经核实，臭味来源为净化站以及源头暗涵，河道其余部分正常。除臭设备周边存在臭味为正常现象，且因化工路污水管以东呈废弃状态，以西为满管状态，导致泰禾周边污水均集中排往竹屿河暗涵，超出净化站处理能力，从而加重臭味。竹屿河污水管仅为支管，污水处理能力有限，每逢大雨暗涵垃圾均冲至河道，若要减轻竹屿河臭味，还需化工路污水管能承担周边地区污水处理任务。经向管网修复公司了解，化工路污水管难以修复，导致竹屿河产生现状。给您造成不便之处，敬请谅解！</t>
  </si>
  <si>
    <t>香开新城和新南方之间的竹屿河重新散发阵阵恶臭</t>
  </si>
  <si>
    <t>香开新城和新南方之间的竹屿河经过整治，现在景观还行，但是这阵子又重新散发阵阵恶臭，净化器也未见开启使用，河里的水还是死水，这就算治理结束了吗？</t>
  </si>
  <si>
    <t>竹屿河属于断头河，污水排口位于源头暗涵内，主要为化工路市政污水干管破损污水以及周边小区生活污水直排；设计采用拦污坝将源头污水截至净化站处理后排河，并采用末端补水至源头，达到河道水清水动效果；源头暗涵及净化站空气存在异味，现已采取通风除臭设施处理；河道目前已完成治理，但化工路市政污水干管未修理完成，导致暗涵雨天水量暴增，净化站无法及时处理，暗涵水未经过处理直接溢流至河道内，出现河道水质变差及空气变臭现象。现已催促市政管网公司及时修复市政污水干管，避免我司运营时出现超负荷。给您造成不便之处，敬请谅解！</t>
  </si>
  <si>
    <t>晋安区香开新城旁边的竹屿河工地凌晨0:05分还在施工扰民，望部门尽快介入处理。</t>
  </si>
  <si>
    <t>镇城管中队执法人员已于2019年6月22日00:21到达现场，现场因化工路改造破路施工导致扰民，执法人员已现场责令停工并告知施工方须严格按照《福州市环境噪声污染防治若干规定》第十三条规定，禁止在午、夜间进行产生噪声污染的施工作业，控制施工时间，避免扰民现象。</t>
  </si>
  <si>
    <t>后浦路香开新城西区后面的竹屿河治理工程晚上10点多还在施工，噪音严重扰民。特此投诉，望处理。</t>
  </si>
  <si>
    <t>中队已派执法人员到现场查看，该处施工工地属于凤坂河清淤工地，现场确有发现在进行施工，执法人员已责令工人立即停工，并要求施工方须严格按照《福州市环境噪声污染防治若干规定》第十三条规定，禁止在午、夜间进行产生噪声污染的施工作业，控制施工时间，避免扰民现象。</t>
  </si>
  <si>
    <t>尽快疏通治理化工河、竹屿河水污染问题</t>
  </si>
  <si>
    <t xml:space="preserve">晋安区竹屿河、化工河(位于南方建材以东，香开新城以西地段)严重堵塞，污水发臭，污染气体弥漫，广大群众苦不堪言，请有关部门尽快疏通，严格按规定治理污染。
据了解，竹屿河上游的秦禾污水管未设专管，排入河道，问题也十分严重，须截污并通过专管引出净化处理。
</t>
  </si>
  <si>
    <t>晋安区竹屿河、凤坂河已列入水系治理PPP项目，目前正在进行河道整治截污管网建设施工，计划今年年底完成河道整治工程，河道水质将改善</t>
  </si>
  <si>
    <t>香开新城旁竹屿河流入凤坂河的水流声过大</t>
  </si>
  <si>
    <t>香开新城旁竹屿河流入凤坂河的水流声过大，没日没夜，影响沿河居民休息。建议接入水管，让竹屿河水通过水管排入凤坂河，谢谢。</t>
  </si>
  <si>
    <t>因凤坂河正在低水位治理中，待治理完成后会保持高水位，到时竹屿河河水流入凤坂河时就不会有声音，给您带来不便敬请谅解，请继续支持内河改造工作！</t>
  </si>
  <si>
    <t>竹屿河未治理好还是很臭</t>
  </si>
  <si>
    <t>新闻已报道晋安区香开新城C区背后的竹屿河已治理好，可是实际上河道根本没有治理好，根本没有截污，还是很臭，尤其是闷热的天气特别臭，居民生活受到影响，特此投诉！</t>
  </si>
  <si>
    <t>近期竹屿河水质净化设备故障，待厂家替换设备到场更换后，将有效改善河道水质，感谢您对内河治理工作的关注与支持！</t>
  </si>
  <si>
    <t>香开新城与新南方旁边、背后的竹屿河太臭了</t>
  </si>
  <si>
    <t>香开新城与新南方旁边、背后的竹屿河太臭了，住在香开新城都能闻到一股恶臭，平日里都不敢开窗。想问下具体什么时间能整治好？</t>
  </si>
  <si>
    <t>竹屿河已纳入晋安东区水系综合治理项目，该河道沿线现已全面围挡施工中，整个工程在无阻碍、可实施的条件下预计一年完工。</t>
  </si>
  <si>
    <t>洋下河</t>
  </si>
  <si>
    <t>关于投诉溢水口发臭问题</t>
  </si>
  <si>
    <t>仓山区洋下河榕城广场7号、8号、9号溢水口这一段非常臭，晚上无法睡觉，严重影响居民生活。特此投诉！望处理。</t>
  </si>
  <si>
    <t>我司工作人员到达横江渡河排查，横江渡河位于榕城广场，7、8、9号排口无溢流，河面水质良好，不黑不臭。如有发现溢流请拍照留存，以便排查。</t>
  </si>
  <si>
    <t>洋下河恶臭严重扰民</t>
  </si>
  <si>
    <t>晋安区六一北路92号实发九江大厦一段的洋下河恶臭严重扰民。治理多年问题仍未解决，特此投诉，望处理。</t>
  </si>
  <si>
    <t>经排查，诉件所诉问题系雨天山体沙石流入上游桂后溪湖体，且雨季各排口开放排涝，导致下游沿线涧田湖、洋下河、晋安河水质浑浊、产生异味，天气转晴后即可恢复正常水质。感谢您的理解与支持！</t>
  </si>
  <si>
    <t>投诉私自排污</t>
  </si>
  <si>
    <t>晋安区西园雅居洋下河有人私自排污，臭味熏天，特此投诉，望部门及时处理。</t>
  </si>
  <si>
    <t>诉件所述位置因周边市政管网堵塞，造成污水溢流，我司现已安排人员进场疏通，预计本月底处理完成。给您造成不便之处，敬请谅解！</t>
  </si>
  <si>
    <t>咨询晋安区洋下河的治理规划</t>
  </si>
  <si>
    <t>晋安区洋下河污染严重，请问相关部门是否有治理规划？具体的治理规划是怎样的？望答复。</t>
  </si>
  <si>
    <t>经现场核实洋下河水存在黑臭问题，主要原因如下:1、洋下河截污井部分阀门及水泵等设备未安装完成；2、洋下河涉及其他单位负责的项目还有2处排口截流井未正在施工中未完成；3、洋下河上游河道桂后溪由于受村民阻工、拆迁征地等原因施工受影响，两处3米大排口正在施工中。以上设施及净化站计划下半年完工投入使用后，届时将大幅改善洋下河水质。给您造成不便之处，敬请谅解！</t>
  </si>
  <si>
    <t>站东路洋下河改造何时竣工问题</t>
  </si>
  <si>
    <t>站东路洋下河内河改造自从2018年上半年起就处在围挡治理的状态，为此，站东路往二环斗门高架桥方向被占去了一大段车道，作为一名上下班都要经过站东路的群众来说，因改造带来的暂时不便可以表示理解，可一转眼到了2019年元月，对于这建起的改造围挡何时拆除除，却始终遥遥无期！之前，施工方曾两次延长了该段内河改造工期（公告显示每次延长2个月），我们就想问问相关部门，站东路（下穿涵洞到汽车北站前到这段）的这段洋下河改造究竟何时能够拆除围挡，还百姓交通通行的便利？
每天上下班高峰期，尤其是通往斗门高架桥的这段路，总是塞得严严实实，这是一条通往五四北居住区的交通要道，希望相关部门能够加快工期，早日还站东路宽敞舒心的通行条件，让百姓回家的路更加顺畅便捷，谢谢！</t>
  </si>
  <si>
    <t>经咨询本项目代建单位福州城市客运场站运营有限公司确认，该处围挡工程已完工并于2019年1月16日移交给市政工程管理处实施路面修复工作，待路面修复完成后施工单位立即将围挡拆除。</t>
  </si>
  <si>
    <t>洋下河整治导致两旁数目倾倒，无人处理</t>
  </si>
  <si>
    <t>因洋下河整治砍伐了两旁的树木，只砍了靠河那侧，导致离陆地这侧树荫林立，部分树木已经倾倒，无人处理，堵住了小区通道及停车位，望有关部门移除倾倒树木，修剪离楼房这侧的树木，以免树木一边倒的局面造成危险。</t>
  </si>
  <si>
    <t>您反映的问题我局已派员处理完毕。</t>
  </si>
  <si>
    <t>站东路深夜施工扰民</t>
  </si>
  <si>
    <t>站东路洋下河段施工投诉后凌晨1点仍然在施工，施工车辆和施工产生的噪音扰民仍然存在。什么工程不能白天做非要半夜施工！？而且三天两头就有工程全都是深夜施工，什么公司这么无良不处罚的吗！？</t>
  </si>
  <si>
    <t>经查该工地属于洋下河清淤清障整治工程，对于该工地施工噪音扰民一事，现区市容管理局派驻我街四中队工作人员已于2018年4月9日派人前往施工现场对其（福建二建建设集团清控水环境人居投资发展有限公司洋下河清淤清障整治工程项目部）发放责令整改通知单（编号A384号）责令其须文明施工采取减噪措施不得噪音扰民，对于该工地我们后续还将派出工作人员前往工地加强巡查。</t>
  </si>
  <si>
    <t>晋安区洋下河打地基，导致湖塍新村房屋震动，存在安全隐患</t>
  </si>
  <si>
    <t>洋下河正在施工打地基，临近不足4米的湖塍新村11座和12座，每次打地基，整座楼都在震动，存在安全隐患，根据福州市政府出台的内河整治公告，必须在离岸6米的基础上施工治理，为什么湖塍新村11座和12座与洋下河相隔就3-4米就启动施工，是否进行过公示？是否经过勘察？是否征求过周边业主意见？？</t>
  </si>
  <si>
    <t>关于您反映对的洋下河湖塍新村施工打地基问题：经核实为内河治理在河中搭设钢便桥做为临时施工通道，由于此处河岸宽度不够，施工车辆无法通行，同时也是为减小临近小区的影响，特此采用临时钢便桥措施，施工完成后将拆除。另外，此次内河驳岸至外侧6米范围均是施工治理范围，局部河道段因房屋征迁未到位，根据现场情况近期适当予以调整宽度。公示、勘察均按相关规定办理。施工给您造成的不便敬请谅解。</t>
  </si>
  <si>
    <t>施工单位乱挖树木破话环境</t>
  </si>
  <si>
    <t>福州市政府对市内河道清淤是件好事，但施工单位在清淤河道时却很不规范，有时可以说是乱来。施工单位在清理洋下河过程中，对河道周围进行围挡，本无可厚非，但在西园雅居段，施工单位把河道旁的大小树木几十颗挖掉，丢在旁边，以至于很多树木枯死，这些树木是属于雅居全体业主的财产，这样无辜伤害很没有道理，要求主管部门严肃督查，查处这种破坏环境的事件，并要求施工单位补种被破坏枯死的树木！！！</t>
  </si>
  <si>
    <t>关于西园雅居小区树木移植、砍伐审批确认问题，因水系综合治理项目建设需要，须对河道两岸小区污水管道排污口进行截污（含西园雅居段），目前由于管位处遇到小区苗木导致无法施工需迁移。水系治理项目涉及西园雅居段相关问题我司与新店镇政府、社区及小区物业、业主代表于2017年沟通协调并张贴公告。我司严格按照园林部门苗木砍伐、移植相关规定进行报批。此次苗木移植我司也已应西园雅居物业和部分居民代表要求，将苗木部分移植到小区空旷场地。另外，待截污管道完工后水系整治项目还将对河道两岸沿线景观进行恢复。给您造成的不便敬请谅解。</t>
  </si>
  <si>
    <t>制止噪声</t>
  </si>
  <si>
    <t>我是洋下新村93座居民。多日来附近的洋下河污水处理（在洋四段）机器的噪音日夜24小时不停，且噪声大，已严重影响附近居民的生活，特别是夜间休息。请即时予以制止。洋下目前大部份已拆迁，但还有未列入拆迁住户，不能野蛮施工。</t>
  </si>
  <si>
    <t>经查该工地系洋下河清淤清障整治工程，对于该工地施工噪音扰民一事，现区市容管理局派驻我街四中队工作人员已于2018年1月5日派人前往施工现场对其（福建清控水环境人居投资发展有限公司洋下河清淤清障整治工程项目部）发放责令整改通知单（编号A339号）责令其须文明施工采取减噪措施不得噪音扰民，对于该工地我们后续还将派出工作人员前往工地加强巡查。</t>
  </si>
  <si>
    <t>站前路夜间施工扰民</t>
  </si>
  <si>
    <t>诉求编号：（FZ17121200007），答复收悉。之前反应的夜间施工扰民现象还是存在，这是凌晨十二点多拍到的在站东路洋下河边，至少到凌晨一点钟仍在施工。</t>
  </si>
  <si>
    <t>经现场查看该处噪音扰民系洋下河清淤清障整治工程（铺设河底石），对于该工地施工噪音扰民一事，现区市容管理局派驻我街四中队工作人员已于2017年12月31日派人前往施工现场对其（福建清控水环境人居投资发展有限公司洋下河清淤清障整治工程项目部）发放责令整改通知单（编号A334号）责令其须文明施工采取减噪措施不得噪音扰民，对于该工地我们后续还将派出工作人员前往工地加强巡查。</t>
  </si>
  <si>
    <t>福州火车站洋下河地段，通宵施工卡车倾倒石渣，噪音扰民，无法入睡！</t>
  </si>
  <si>
    <t>福州火车站洋下河地段，通宵施工卡车倾倒石渣，噪音扰民，无法入睡。希望部门给予处理！</t>
  </si>
  <si>
    <t>关于您反映站东路洋下河边工地夜间施工扰民的问题。我局四中队已安排夜班人员对该处工地进行巡查，并已对其发出整改通知单，要求施工方合理规划施工流程，不得夜间噪音扰民。同时，我局中队也将加强对该工地的日常巡查和监管工作，及时制止施工扰民行为。</t>
  </si>
  <si>
    <t>晋安区铁三小区旁边的洋下河工地凌晨0点23分还在施工，噪音严重扰民。特此投诉，望处理。</t>
  </si>
  <si>
    <t>经查该工地系洋下河清淤清障整治工程，对于该工地施工噪音扰民一事，现区市容管理局派驻我街四中队工作人员已于2017年12月26日派人前往施工现场对其（福建清控水环境人居投资发展有限公司洋下河清淤清障整治工程项目部）发放责令整改通知单（编号A330号）责令其须文明施工采取减噪措施不得噪音扰民，对于该工地我们后续还将派出工作人员前往工地加强巡查。</t>
  </si>
  <si>
    <t>24小时施工扰民</t>
  </si>
  <si>
    <t>火车站洋下河全天施工扰民，通宵倾倒石渣，无法休息，建议晚10点停止施工。</t>
  </si>
  <si>
    <t>感谢您对晋安区市容管理工作的关心和支持。关于您反映站东路洋下河施工扰民的问题。我局四中队已安排夜班人员对该处工地进行巡查，并已对其发出整改通知单，要求施工方合理规划施工流程，不得夜间噪音扰民。同时，我局中队也将加强对该工地的日常巡查和监管工作，及时制止施工扰民行为。</t>
  </si>
  <si>
    <t>火车北站铁山小区旁边洋下河河道治理，最近晚上基本都是通宵施工，噪音扰民，希望部门尽快处理。</t>
  </si>
  <si>
    <t>水系工程项目噪音扰民</t>
  </si>
  <si>
    <t xml:space="preserve">晋安区洋下河水系治理工程项目工地，不分昼夜，不分节假日，早可至早上七点，夜间十二点依然可以听到工人在为明天的工作做准备。三台大型水泥搅拌机，没日没夜的运作，一街之隔不到15米处就是香开新城1，2号楼居民区。噪音巨大，不堪受扰，本人三十青壮年尚且承受不了，何况小区里那么多老人小孩。
水系治理是一件大好事，但施工也应该遵纪守法确定好时间，最大限度的避免扰民同时兼顾效率，工地外挂着一些学习廖俊波的标语，我觉得施工方现在的做法和廖俊波精神是背离的。
请妥善解决好洋下河水系治理项目工地施工的噪音扰民问题，这不是菜市，也不是自家建房，噪音实在是太大了，持续全天，是个正常人都要崩溃了。
</t>
  </si>
  <si>
    <t>香开新城附近河道治理项目为晋安区竹屿河治理工程项目，为彻底治理内河污染、改善城市生态环境，今年福州市政府下大力开展城区黑臭水体综合治理工作，将在年底消除黑臭。我局将会督促该项目施工方，合理安排施工时段，避免施工过程中产生的声音，对周边居民生造成影响。</t>
  </si>
  <si>
    <t>望有关部门先改造洋下河、树兜河</t>
  </si>
  <si>
    <t>现在晋安河正在进行清理改造，然而洋下河、树兜河仍然是黑水滚滚流向晋安河。因此首先要把洋下河、树兜河进行清理改造，否则晋安河还是变成臭河，希望福州市内河整治指挥部工作要做深、做细、做实，不要去忽悠广大市民，真正要把福州内河变成水绿天蓝的美丽城市。</t>
  </si>
  <si>
    <t>晋安区洋下河已列入晋安区2017年内河黑臭治理整治计划。鼓楼区树兜河已列入鼓楼区2017年内河黑臭治理计划。预计年底完成整治工作</t>
  </si>
  <si>
    <t>洋下河整治湖塍段严重危及延岸住户</t>
  </si>
  <si>
    <t>洋下河湖塍段延岸3幢居民楼未达到六米的距离内强制进行施工，楼房地表已经开始产生崩裂严重危及楼房安全及住户生命安全，湖塍新村B11座离洋下河最近只有3米距离，便开始施工，以政府部门出台内河整治必须扩宽出两岸六米的宽度，湖塍新村延岸远远达不到标准，上游洋下段延岸已全部拆迁，唯独湖塍新村在未达到标准的情况下强制施工，严重危及住房安全，望内河整治部门认真处理，予以重视！</t>
  </si>
  <si>
    <t>诉件所述位置不在本次拆迁实施范围内，本次洋下河改造只进行河道补水管道施工，改埋管道深浅位置，不会对周边房屋造成影响。同时我司已责令施工单位严格按照规范施工。给您造成的不便深表歉意。</t>
  </si>
  <si>
    <t>茶园河</t>
  </si>
  <si>
    <t>建议及时治理河道</t>
  </si>
  <si>
    <t>福建省环境科学研究院后面的茶园河散发恶臭味，建议及时治理河道，望采纳。</t>
  </si>
  <si>
    <t>茶园河已治理完成。因近期福州频繁大雨，为防止茶园河沿线小区内涝，需要及时打开沿河排口，在水质恢复前难免会有些异味，目前我司已解决臭味扰民问题。给您造成不便之处，敬请谅解！</t>
  </si>
  <si>
    <t>街道不作为，排水口深夜扰民</t>
  </si>
  <si>
    <t>茶园河补水口（经贸委宿舍旁）噪音过大，影响居民休息，特此投诉，望街道办本着实事求是的态度，为民办实事，不推脱！</t>
  </si>
  <si>
    <t>经查，该处位于境边路经贸委宿舍附近，该排水口为茶园河补水用。经我街河长办与清控公司协调，目前清控公司已将补水时间调整至白天8点至晚上8点。</t>
  </si>
  <si>
    <t>茶园河整治问题</t>
  </si>
  <si>
    <t>晋安区晋安河支流茶园河有一、两公里的长度，前一两年改造时就有问题，淤泥没有挖出来，施工队把建筑垃圾（砖头、水泥和大块的水泥板）都倒在茶园河里，当时市民意见就很大。现在这条河非常臭，上游有补水就好一些，不补水就臭气冲天。为了整治茶园河，在茶园环南公园做了一个污水处理厂，但是这个污水处理厂至今没有起作用，也导致公园和公厕没有还给市民。有施工队来疏通管道，但是不知道在做什么？市民在香槟路都能闻到污水管道中的臭气，总的来说茶园河的整治是有问题。而且老人和小孩会在河里大小便，希望将诉求件批转到福州市级部门办理，不要再转到区里。特此投诉！望处理。</t>
  </si>
  <si>
    <t>经核实，诉件所述问题，答复如下：1、前期施工中，因施工场地限制，河道内搭设钢便桥进行施工。拆除过程中掉落建筑垃圾在河道内，我司已要求施工单位清理完成，且河道已多次进行清淤；2、因二环路南侧有1个1.2m排口为火车站片区老旧雨污混流口，汇集火车站片区的雨污水，非雨天情况下为关闭状态。暴雨天气易造成积水，为保证火车站片区人民群众生命财产安全，按福州市联排联调中心指令进行开启泄洪，部分雨污水排入河道，雨天过后将会开启净化站进行处理，恢复清澈水质；3、环南公园内正进行景观绿化施工，含有新建公厕，完成后将对外开放；4、水务管网公司疏通茶园片区污水管道，清理污水井内杂乱垃圾、疏通管道。给您造成不便之处，敬请谅解！</t>
  </si>
  <si>
    <t>豪柏大酒店旁的内河整治噪音污染</t>
  </si>
  <si>
    <t>豪柏大酒店旁的内河（茶园河）整治噪音污染，自10月7号以来，凌晨3点施工，严重影响周边居民休息，且施工方随意向内河倾倒建筑垃圾，特此投诉。</t>
  </si>
  <si>
    <t>经联系茶园河河道负责人了解，豪柏大酒店旁内河施工预计在五天内完工，给您造成的不便，敬请谅解</t>
  </si>
  <si>
    <t>投诉内河整治</t>
  </si>
  <si>
    <t>晋安区环南二村附近茶园河的内河整治公告说会在6月底全部完成，快到8月份了内河都还没施工好，现在天气这么热，味道很臭，蚊虫肆虐，离居民楼很近，窗户不敢开，严重影响周边居民正常生活，望部门尽快处理。</t>
  </si>
  <si>
    <t>茶园河治理项目因提高治理标准，预计11月份完成整治。给您造成的不便敬请谅解。</t>
  </si>
  <si>
    <t>投诉茶园河施工问题(加急）</t>
  </si>
  <si>
    <t>我是晋安区北环中路环南一村的业主，近期茶园河施工，大型设备施工时我们整幢房屋都在摇晃，我们去项目部找领导也找不到，已经十几天了，担心影响房屋安全，望部门尽快介入处理。</t>
  </si>
  <si>
    <t>目前该段打桩施工已完成，且根据第三方监测房屋安全。</t>
  </si>
  <si>
    <t>晋安区香槟路茶园河环南公园和茶园公园工地，已经22:53分还在施工，噪音非常大，整个房子都在震动，噪音扰民严重，已经投诉多次得不到解决。特此投诉！希望相关部门何时该项目夜间施工是否有相关部门批复？</t>
  </si>
  <si>
    <t>茶园河近期正在实施河道治理施工，计划5月份完成建设。给您造成的不便敬请谅解。</t>
  </si>
  <si>
    <t>环南五村茶园河道工程开工</t>
  </si>
  <si>
    <t>我们五村7座是空心板老房子了，近几个月只要河道一开工我们就象生活在海上房子整个摇啊晃啊，生怕一不小心房子塌下来。一天开工近10几个小时怕10几个小时。这日子什么时候是头？</t>
  </si>
  <si>
    <t>已督促施工单位采取相应措施，保证河道施工同时，不对周边房屋造成影响，河道将于7月份完工。给您造成的不便敬请谅解。</t>
  </si>
  <si>
    <t>晋安区香槟路茶园河环南公园和茶园公园凌晨两点还在施工，噪音非常大，整个房子都在震动，第二次投诉了，希望相关部门介入处理。</t>
  </si>
  <si>
    <t>晋安区香槟路茶园河华南公园和茶园公园的工地，晚上十点还在施工，噪音扰民，希望部门尽快处理。</t>
  </si>
  <si>
    <t>经查该工地属于茶园河整治工程，对于其施工噪音扰民一事，现区城市管理局派驻我街四中队工作人员于2017年4月15日派人前往施工现场对其（福建清控水环境人居投资发展有限公司茶园河清淤清障整治工程项目部）发放责令整改通知单（编号A389号）责令其须按规定时间文明施工并采取减噪措施不得噪音扰民，对于该工地我们还将派员前往工地加强巡查。</t>
  </si>
  <si>
    <t>茶园路38号旁边的茶园河24小时没有停的施工，我也和工地反映过，工地置之不理，整治内河是好事，至少要给我们百姓留个睡觉时间，噪音影响周边居民休息，特此投诉，请有关部门处理。</t>
  </si>
  <si>
    <t>针对该情况，现区市容管理局派驻我街城管四中队已派员前往现场巡查，经查该处工程确有存在吸淤泥泵施工情况，现已责令施工方合理安排施工时间段，优化工序避免营销周边市民的生活休息。</t>
  </si>
  <si>
    <t>茶园河污染治理进展情况</t>
  </si>
  <si>
    <t>茶园河的污染问题已在中央环保督察组的反馈报告中被点名，请问接下来将如何治理茶园河的污染问题，具体的工作安排和时间节点？</t>
  </si>
  <si>
    <t>茶园河计划河两侧设置截污管，将两侧污水截到市政污水管，避免污水直排河道。同时设置水质净化设置，净化茶园河源头水质。该项目预计今年底建成。感谢您对水系治理项目的关注与支持！</t>
  </si>
  <si>
    <t>教室紧挨黑臭河水学生不敢开窗</t>
  </si>
  <si>
    <t xml:space="preserve">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
</t>
  </si>
  <si>
    <t>所述问题位于茶园河，由于茶园河属断头河，河流水量较少。现在正值河道沽水期，没有活水补充，水位低，导致河水黑臭。目前茶园河已纳入我区黑臭水体整治任务。</t>
  </si>
  <si>
    <t>洋里溪</t>
  </si>
  <si>
    <t>岭兜养鳗场污水直排</t>
  </si>
  <si>
    <t>岭兜养鳗场100多亩，污水直排洋里溪后进入岭兜水源地，严重影响百姓健康生活环境</t>
  </si>
  <si>
    <t>经查，该养鳗场名为闽侯县新日水产养殖有限公司的，养殖面积约20多亩，现场检查该公司已建有尾水处理池，尾水经简单沉淀处理后排放，我局已要求其完善处理设施，避免养殖废水影响周边环境。对此，我局将继续跟踪督促。</t>
  </si>
  <si>
    <t>破坏绿地</t>
  </si>
  <si>
    <t>清控人居治理洋里溪没有施工通告破坏绿地300平米左右，希望园林执法队介入处理</t>
  </si>
  <si>
    <t>我队执法人员于10月8日前往诉求件举报现场，位于福州机场高速玉封三和殿附近确有绿地施工行为。经调查，该工程系福州市城乡建设发展有限公司承建的晋安东区水系综合治理及运营维护的PPP项目，施工项目涉及的绿化移植及占用问题已经通过福州市园林局审批（编号为：201802377）。</t>
  </si>
  <si>
    <t>臭味扑鼻</t>
  </si>
  <si>
    <t>投诉晋安区鼓山镇福马路998号石鼓琴湾（鼓山花苑）旁边洋里溪经过改造后，溪内没有水，目前臭味扑鼻，业主都有意见，希望部门尽快处理。</t>
  </si>
  <si>
    <t>洋里溪整治项目现已开启补水，感谢您对城区水系治理项目的关注与支持！</t>
  </si>
  <si>
    <t>工程质量问题</t>
  </si>
  <si>
    <t>举报闽侯县洋里乡洋里溪安全水系建设项目，施工单位偷工减料严重，不按设计标准施工，施工材料不达标，施工材料进场没有送检。河道两旁基础宽度没有按照设计图纸要求进行施工。严重违反水利工程建设标准，恳求中央巡视组进驻调查！</t>
  </si>
  <si>
    <t>洋里乡洋里溪安全生态水系建设项目已通过我乡组织市县有关部门进行的完工验收,我乡已督促施工单位尽快做好相关内业资料的完善，并做好工程后期的维护管理工作。</t>
  </si>
  <si>
    <t>偷工减料，不按图纸施工</t>
  </si>
  <si>
    <t>举报闽侯县洋里乡洋里溪安全水系建设项目，施工单位福建省红日水利水电工程有限公司偷工减料，不按图纸施工，施工材料没有达标，建设水泥没有使用合同规定品牌，波纹管没有使用合同规定型号，河道两旁基础宽度和深度没有挖到设计图纸标准就开始切护坡，还有许多隐蔽工程都是不按图纸施工，材料没有按照合同规定品牌和质量就使用到项目里。恳请上级领导和监管部门严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</si>
  <si>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</si>
  <si>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严重偷工减料，不按图纸施工</t>
  </si>
  <si>
    <t>举报闽侯县洋里乡洋里溪安全水系建设项目，施工单位不按图纸施工，并且严重偷工减料，河道两旁基础宽度和深度没有挖到设计图纸要求就开始切护坡，铁网没有按照合同规定的质量，水泥没有使用规定品牌标号不达标，使用的波纹管品牌和质量跟合同规定的不一致，都是使用质量差的材料，许多材料没有送去检测，还有许多材料都是伪造的，骗取检测报告……种植树木都是不符合合同规要求的大小。还有许许多多的东西都是偷工减料！请上级领导严查这些没有良心的施工单位！</t>
  </si>
  <si>
    <t>针对您所反映的问题，我乡已和监理单位会同县水利工程质量监督站对整个河岸施工范围进行全面巡查，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</si>
  <si>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图纸施工，偷工减料严重，建设出豆腐渣工程，给洋里乡老百姓带了严重损失。河岸两旁基础宽度和深度没有挖到设计图纸要求，就开始切护坡，公园花草树苗没有按照规定大小去购买。建设材料都有不达标的、请相关部门领导介入调查</t>
  </si>
  <si>
    <t>举报闽侯县洋里乡洋里溪安全水系建设项目，施工单位不按图纸要求施工，而且偷工减料严重请有关部门领导介入调查</t>
  </si>
  <si>
    <t>举报闽侯县洋里乡洋里溪安全水系建设项目，施工单位不按图纸施工还偷工减料严重，河道两旁基础宽度和深度没有挖到设计图纸要求就开始切护坡，许多隐蔽项目更是偷工减料严重，河岸边上建设公园种植的树苗，没有按照合同规定大小购买，都是种植比合同小的树种下去，明显不按合同施工。恳求相关部门领导进行调查</t>
  </si>
  <si>
    <t>举报闽侯县洋里乡洋里溪安全水系建设项目，施工单位不按图纸施工，偷工减料严重还有河道两旁基础，宽度和深度没有挖到设计图纸要求，就开始切护坡，还有许多隐蔽项目更是偷工减料严重。请纪委和相关部门领导高度重视！</t>
  </si>
  <si>
    <t>举报闽侯县洋里乡洋里溪安全水系建设项目，施工单位偷工减料不按图纸施工，河道两旁基础没深度和宽度没有挖到设计标准就开始切护坡，许多隐蔽项目更是偷工减料严重，公园休闲道，没有倒稳定层，公园树苗没有按照合同规定的大小，都是购买直径不够大的树苗种植。请求纪委和相关部门领导接入调查</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</si>
  <si>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</si>
  <si>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队偷工减料严重，不按设计图纸施工，河岸两旁基础宽度和深度没挖到设计图纸要求就开始切护坡，还有许多隐蔽项目没有按照设计要求施工严重偷工减料，河岸旁边建设公园也是偷工减料严重，花草树木都没用按照合同规定进行……请闽侯县纪律检查委员会深入调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</si>
  <si>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</si>
  <si>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偷工减料严重
</t>
  </si>
  <si>
    <t>举报闽侯县洋里乡洋里溪安全水系建设项目，施工单位不按图纸要求，河岸基础没有按照设计图纸标准进行施工偷工减料严重</t>
  </si>
  <si>
    <t>针对您所反映的问题，我乡已和监理单位会同县水利工程质量监督站对整个河岸施工范围进行全面巡查，对部分工程建设存在的质量问题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</si>
  <si>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建设豆腐渣工程</t>
  </si>
  <si>
    <t>举报闽侯县洋里乡洋里溪安全水系建设项目，施工单位建设豆腐渣工程，在建设项目里不按图纸要求施工并且偷工减料严重，使用质量差不达标的材料，施工单位在建设河岸护坡和基础没有按照设计图纸标准施工，建设公园也是偷工减料严重，种植花草树木没有按照合同规定树的大小直径购买，都是购买直径不达标的树木。希望纪委部门介入调查……严惩无良建筑商</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</si>
  <si>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</si>
  <si>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举报闽侯县洋里乡洋里溪安全水系建设项目，施工单位偷工减料不按图纸施工，使用不达标的建设材料，河岸两旁基础深度和宽度没有挖到设计图纸要求就开始切护坡，公园树、木没有按照合同规定</t>
  </si>
  <si>
    <t>针对您所反映的问题，我乡已和监理单位会同县水利工程质量监督站对整个河岸施工范围进行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工程现场检查中发现的问题，我乡已发文要求施工单位立即按设计图纸要求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</si>
  <si>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设计图纸施工，施工材料质量差不达标，在整项目里有许多地方没有按照设计图纸施工，并且偷工减料严重，整条河岸基础宽度跟深度没有挖到设计图纸要求标准，就开始切护坡，明显偷工减料</t>
  </si>
  <si>
    <t>举报闽侯县洋里乡洋里溪安全水系建设项目，施工单位不按图纸施工，河岸两旁基础没有没有挖到设计图纸标准就开始切护坡，施工材料都是使用不达标的严重偷工减料</t>
  </si>
  <si>
    <t xml:space="preserve">对于该诉求件,我局领导高度重视,已多次派技术人员前往现场检查。施工单位采购的相关建筑材料，按规定提供材料合格证和出厂检验报告，部分材料有委托第三方检测机构检测，并经监理单位核查同意后进场使用。
对工程现场检查中发现的不符合设计要求和施工质量问题，我局已发文要求业主单位严格履行职责，督促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</si>
  <si>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举报闽侯县洋里乡洋里溪安全水系建设项目，施工单位不按图纸施工，河岸两旁基础深度和宽度没有挖到设计图纸要求，就开始切护坡，河岸护坡没有切到施工图纸高度，施工材料都是使用不达标的材料还有许多隐蔽项目偷工减料严重，请上级领导严查这些无良心的施工方！</t>
  </si>
  <si>
    <t>偷工减料</t>
  </si>
  <si>
    <t>举报闽侯县洋里乡洋里溪安全水系建设项目，施工单位建设出豆腐渣严重工程偷工减料，不按图纸施工，特别是隐蔽项目偷工减料最为严重，还有河道两旁基础没有按照设计图纸进行施工</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</si>
  <si>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</si>
  <si>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举报闽侯县洋里乡洋里溪安全水系建设项目，施工单位不按图纸施工，偷工减料严重，施工材料质量差，河岸两旁基础宽度和深度没有挖到设计图纸标准就开始切护坡。建设出豆腐渣工程</t>
  </si>
  <si>
    <t>举报闽侯县洋里乡洋里溪安全水系建设项目，施工单位不按图纸施工而且偷工减料严重，一天条河岸两旁基础没有挖到设计图纸要求，就开始切护坡，许多隐蔽项目也没有按照图纸施工，严重偷工减料，请相关部门严查！</t>
  </si>
  <si>
    <t>偷工减料，豆腐渣工程</t>
  </si>
  <si>
    <t>举报闽侯县洋里乡洋里溪安全水系建设项目，施工单位不按图纸施工偷工减料严重，河岸两旁基础深度和宽带没有挖到设计图纸要求，就开始切护坡，建设出豆腐渣工程</t>
  </si>
  <si>
    <t>举报闽侯县洋里乡洋里溪安全水系建设项目，施工单位不按图纸施工，河岸两旁基础宽带和深度没有按照设计图纸要求施工，偷工减料严重，施工材料没有按照合同规定品牌都是使用质量差便宜的施工材料</t>
  </si>
  <si>
    <t>举报闽侯县洋里乡洋里溪安全水系建设项目，施工单位偷工减料严重，河岸基础没有按照设计图纸标准施工</t>
  </si>
  <si>
    <t>举报闽侯县洋里乡洋里溪安全水系建设项目，施工单位没有按照图纸施工，偷工减料严重，施工材料没有按照合同规定品牌，河岸两旁基础，宽度和深度没有挖到设计单位要求，就开始切护坡</t>
  </si>
  <si>
    <t>举报闽侯县洋里乡洋里溪安全水系建设项目，施工单位偷工减料，不按图纸施工，河岸两旁基础宽度和深度没有挖到，设计图纸标准，就开始切护坡</t>
  </si>
  <si>
    <t>举报闽侯县洋里乡洋里溪安全水系项目，施工单位不按图纸施工，施工材料没有按照合同规定品牌，河岸基础深度和宽度没有挖到设计图纸标准，就开始切护坡，严重偷工减料</t>
  </si>
  <si>
    <t>举报闽侯县洋里乡洋里溪安全水系建设项目，施工单位偷工减料严重，还不按设计图纸施工，河岸基础没有挖到设计图纸标准就开始切护坡</t>
  </si>
  <si>
    <t>举报闽侯县洋里乡洋里溪安全水系建设项目，施工单位偷工减料，一整天河岸基础宽度和深度没有挖到设计标准就开始切护坡</t>
  </si>
  <si>
    <t xml:space="preserve">针对您所反映的问题，我乡已和监理单位会同县水利工程质量监督站于2017年7月12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</si>
  <si>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不按图纸施工</t>
  </si>
  <si>
    <t>举报闽侯县洋里乡洋里溪安全水系建设项目，施工单位不按图纸施工，河岸基础宽度和深度没有挖到设计图纸标准就开始切护坡，严重偷工减料</t>
  </si>
  <si>
    <t>举报闽侯县洋里乡洋里溪安全水系建设项目，施工单位不按图纸施工，建设材料没有使用合同规定品牌</t>
  </si>
  <si>
    <t>举报闽侯县洋里乡洋里溪安全水系建设项目，施工单位不按图纸施工，河岸基础深度和宽度，没有挖到设计图纸要求就开始切护坡严重偷工减料</t>
  </si>
  <si>
    <t>闽侯县洋里乡洋里溪安全水系建设项目，施工单位不按图纸施工，偷工减料，建设材料没有使用合同规定品牌</t>
  </si>
  <si>
    <t>洋里乡洋里溪水系建设项目不按图纸施工</t>
  </si>
  <si>
    <t>闽侯县洋里乡洋里溪安全水系建设工程，承包商没有按照设计图纸施工，整条河岸基础都没有按照设计图纸要求，基础深度和宽度都没有挖到设计图纸标准，就开始切护坡，严重偷工减料！请上级领导严惩这些无良心的承包商……为洋里乡人民群众做好事</t>
  </si>
  <si>
    <t xml:space="preserve">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于2017年7月12日再次对整个河岸施工范围进行全面巡查，对部分工程建设存在的质量问题，我乡已要求施工单位严格按设计图纸整改到位，并责成监理单位加强现场质量监督，我乡今后将加强监管，严格要求施工单位务必按施工图和规范要求施工，以保证工程质量。
</t>
  </si>
  <si>
    <t>闽侯县洋里乡洋里溪安全水系建设项目，施工单位偷工减料非常严重，河岸基础没有按照设计图纸施工</t>
  </si>
  <si>
    <t>没有按照合同购买材料</t>
  </si>
  <si>
    <t>闽侯县洋里乡洋里溪水系建设项目，工程建筑商没有按照合同规定品牌购买材料，违反合同约定，都是使用质量差的材料品牌。希望领导严肃查处！</t>
  </si>
  <si>
    <t>洋里乡洋里溪水系建设河岸基础偷工减料</t>
  </si>
  <si>
    <t>闽侯县洋里乡洋里溪水系建设项目，河岸基础没有挖到设计单位要求，就开始建设河岸护坡，偷工减料严重！</t>
  </si>
  <si>
    <t>闽侯县洋里乡洋里溪安全水系建设项目，施工单位不按图纸施工，偷工减料，施工材料没有按照合同规定品牌，河岸两旁基础没有挖到设计标准就开始切护坡，建设出豆腐渣工程。</t>
  </si>
  <si>
    <t>举报闽侯县洋里乡洋里溪安全水系建设项目，施工单位不按图纸施工，偷工减料，施工材料没有使用合同规定品牌，河岸两旁基础没有挖到设计标准就把护坡切上来。</t>
  </si>
  <si>
    <t>针对您所反映的问题，我乡已和监理单位会同县水利工程质量监督站于2017年7月13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</si>
  <si>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偷工减料，建筑材料没有按照合同品牌</t>
  </si>
  <si>
    <t>闽侯县洋里乡洋里溪安全水系建设项目，施工单位没有按照合同品牌购买材料，都是用质量差没有按照合同规定的品牌，施工时没有按照设计图纸施工，河岸两边基础没有挖到设计图纸要求标准就开始切护坡。请相关部门处理！</t>
  </si>
  <si>
    <t>针对您所反映的问题，我乡已和监理单位会同县水利工程质量监督站于2017年7月14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</si>
  <si>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闽侯县洋里乡洋里溪安全水系工程项目，施工单位偷工减料，买有按照设计图纸施工，建设材料买有按照合同规定品牌</t>
  </si>
  <si>
    <t>买有按照合同规定品牌购买施工材料</t>
  </si>
  <si>
    <t>闽侯县洋里乡洋里溪安全水系建设项目，施工单位买有按照合同规定品牌购买材料，都是使用便宜质量差的材料使用到项目里。买有按照设计图纸施工，偷工减料严重！</t>
  </si>
  <si>
    <t>不按设计图纸施工</t>
  </si>
  <si>
    <t>闽侯县洋里乡洋里溪安全水系建设项目，施工单位没有按照设计图纸施工，施工质量没有达到要求，偷工减料严重，河岸基础没有挖到图纸标准就开始建设护坡</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</si>
  <si>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与对整个河岸施工范围进行全面巡查，并责成监理单位加强监督，我乡今后将加强监管，严格要求施工单位务必按施工图和规范要求施工，以保证工程质量。</t>
  </si>
  <si>
    <t>没有按照设计图纸施工</t>
  </si>
  <si>
    <t>闽侯县洋里乡洋里溪水系建设项目，施工单位没有按照图纸施工，河岸基础没有挖到设计图纸要求，就开始切护坡</t>
  </si>
  <si>
    <t>建设单位偷工减料</t>
  </si>
  <si>
    <t>闽侯县洋里乡洋里溪安全水系建设项目，承包工程施工单位偷工减料，建设出豆腐渣工程，没有按照设计图纸施工，建设材料没有按照合同规定品牌购买材料，河岸基础没有挖到设计图纸深度就开始把护坡石头切上去。请相关部门查处！谢谢！</t>
  </si>
  <si>
    <t>偷工减料不按图纸施工</t>
  </si>
  <si>
    <t>举报闽侯县洋里乡洋里溪水系建设项目，施工单位不按图纸施工，河岸两旁护岸基础没有挖到设计标准就开始施工，严重偷工减料，建设出豆腐渣工程。</t>
  </si>
  <si>
    <t xml:space="preserve">在收到该处相关诉求件后，我局派员会同洋里乡工作人员于2017年6月20日到现场检查，对检查中发现的问题,我局已要求工程业主单位尽快督促施工单位整改到位，并要求监理单位应认真履行职责，加强现场质量监督，严格按设计图纸施工，确保工程质量和安全.
</t>
  </si>
  <si>
    <t>偷工减料，没有按照设计单位要求施工</t>
  </si>
  <si>
    <t>举报洋里乡洋里溪水系建设项目工程施工单位，不按设计单位要求施工，河岸两旁基础没有挖到设计单位要求的深度，就开始施工，这样以后容易塌方，建设材料没有按照合同规定的品牌，施工单位自己随便改变这些材料品牌进行施工。</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</si>
  <si>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质量监督站与2017年6月2日对整个河岸施工范围进行全面巡查，并责成监理单位加强监督，我乡今后将加强监管，严格要求施工单位务必按施工图和规范要求施工，以保证工程质量。感谢您的监督！</t>
  </si>
  <si>
    <t>工程不按照图纸设计要求施工</t>
  </si>
  <si>
    <t>举报闽侯县洋里乡洋里溪安全水系建设项目，施工单位没有按照设计单位要求施工，并且严重偷工减料。</t>
  </si>
  <si>
    <t>洋里乡洋里溪安全生态水系建设（一期）项目系省委、省政府确定的为民办实事项目，也是福州市百日攻坚项目之一，乡党委政府高度重视，执行严格的规范管理，并委托监理单位进行监督。针对您所反映的问题，我乡已和监理单位会同县水利工程治理监督站对整个河岸施工范围进行全面巡查，并责成监理单位加强监督，我乡今后将加强监管，严格要求施工单位务必按施工图和规范要求施工，以保证工程质量。感谢您的监督！</t>
  </si>
  <si>
    <t>君竹河</t>
  </si>
  <si>
    <t>君竹河河水被污染变黑</t>
  </si>
  <si>
    <t>马尾区二附中后门君竹河河水被污染变黑，可能有工厂乱排污，望相关部门介入处理。</t>
  </si>
  <si>
    <t>2019年5月10日，我局执法人员会同内河管理人员到君竹河巡查，现场未发现河水漆黑的情况。内河管理人员在君竹明渠上游沉砂池和师大二附中后门小桥处采集水样化验，化验结果显示水质达标。巡查照片和水质检测报告见附件。
欢迎您继续关注和支持环保工作。</t>
  </si>
  <si>
    <t>马尾区君竹河河水漆黑，污染严重，怀疑有工厂往河里排放污水，特此投诉，望及时处理。</t>
  </si>
  <si>
    <t>水系治理后垃圾未清理</t>
  </si>
  <si>
    <t>福州市马尾区罗星街道培英社区金门新村门前的君竹河水系治理，2018年9月即已完成，人员退场。但施工过程中用到的泡沫砖、方砖、砂子至今未及时清理。面临学生放假，在小区内外玩耍，存在安全隐患，春节将至，小区内外环境污染。请相关部门及时处理。</t>
  </si>
  <si>
    <t>我处已派人到现场进行清理，目前已清理干净。感谢对市政公用设施的热心关注！</t>
  </si>
  <si>
    <t>君竹河非常臭</t>
  </si>
  <si>
    <t>马尾区君竹河非常臭，领导一来检查都非常漂亮，最近河水像墨水一样黑，严重影响附近居民的生活，特此投诉，要求尽快落实排污工程。</t>
  </si>
  <si>
    <t>马尾君竹河综合治理项目于2017年底已完成消除黑臭工作。由于沿山片区旧棚屋区未开始改造，位于君西支渠上游修建一座截污闸，闸内为该片区雨污混流的生活污水排入君西支渠暗涵后通过君竹截污泵站提升输送到青州污水处理厂处理后排入闽江。由于近段时间，青州污水厂进行设备技改，污水处理量暂时减少，造成君西支渠截污闸内污水无法全部进入污水厂进行处理而从钢坝闸溢流到君西支渠，造成河水黑臭现象。市政已安排河道治理运营公司加强管理并要求青州污水厂加快技改进度，早日还市民一条水清岸绿的君竹河。感谢市政对公用设施的热心关注！</t>
  </si>
  <si>
    <t>福州市马尾区水系治理问题等</t>
  </si>
  <si>
    <t>福州市马尾区罗星街道君竹内河水系治理，可以从君竹内河上游一块治理，拆迁金门新村，及旁边旧屋，顺着君竹内河，两岸打造精致公园，配合君竹游泳池，形成小桥流水，风景独特马尾君竹串珠后花园。文体路接着延伸至水岸君山小区后门，这样马尾人步行文体路直达马尾君山风景区，水岸君山住户也可以下来。这样形成马尾新风景，同时很好配合马尾天马山公园，师大二附中。</t>
  </si>
  <si>
    <t>我处已计划将君竹河上游的截污与河道两岸的景观并入君竹河综合治理范围一并实施。感谢对市政公用设施的热心关注!</t>
  </si>
  <si>
    <t>马尾区君竹河突然流入大量黑水</t>
  </si>
  <si>
    <t>马尾区君竹河前日上午起从山上流下大量黑色污水，污染河水十分污臭，严重影响周边居民正常生活和身体健康。希望有关部门帮助周边居民尽快回复正常生活！</t>
  </si>
  <si>
    <t>君竹河上游截污管道治理已列入计划，目前正在制定设计方案中，我处将尽快解决污水排放问题。感谢对市政公用设施的热心关注！</t>
  </si>
  <si>
    <t>金门新村门口大的臭水塘</t>
  </si>
  <si>
    <t>金门新村门口大的臭水塘都没了管了。君竹河治理源头都臭了。望有关部门尽快解决问题。</t>
  </si>
  <si>
    <t>君竹河上游的污水截污及周边景观提升已列入计划，目前正在设计中。感谢对市政公用设施的热心关注！</t>
  </si>
  <si>
    <t>为什么马尾君竹游泳池到文体路2号这段君竹河没有治理？</t>
  </si>
  <si>
    <t>你好，目前福州全面进行水系治理？为什么马尾君竹游泳池到文体路2号这段君竹河没有治理？脏，黑，臭。。这可是君竹河上游哦。同时，这段君竹河这中间段，也就是文体路3号金门新村小区，老旧小区，生活污水直排到君竹河，你怎么看？</t>
  </si>
  <si>
    <t>马尾君竹河水系治理已开始，马尾君竹游泳池到文体路这段脏、黑、臭、有安排治理。同时，金门新村、老旧小区的污水已计划接入市政污水管道，整个项目预计2018年9月全部完成。感谢对市政公用设施的热心关注！</t>
  </si>
  <si>
    <t>龙津一支河究竟啥时候整治</t>
  </si>
  <si>
    <t>龙津一支河目前行洪通畅，已纳入仓山龙津阳岐水系综合治理及运营维护PPP项目，于2017年2月20日开标，中标单位正在进行规划设计，4月份即可安排进场，2017年底前先行消除黑臭。</t>
  </si>
  <si>
    <t>仓山区龙津河恶臭旁边居民无法居住</t>
  </si>
  <si>
    <t>二十年来一直反应，无法解决。烦请市领导查实相关部门的责任问题</t>
  </si>
  <si>
    <t>龙津河纳入仓山阳岐龙津水系PPP项目治理，已于2月20日开标，项目已开工。安排2017年底前全线打通并消除黑臭。</t>
  </si>
  <si>
    <t>下湖村排水沟变河道浪费国家资金为求个人利益</t>
  </si>
  <si>
    <t>仓山区马洲支河去年内河改造，2019年9月份的时候河道两边涉及拆迁的房屋已清走安置，拆迁垃圾都清走，唯独仓山区通鹤路59号背后这块的拆迁垃圾还未清走，导致周边生活垃圾也都扔在这里。之前有钩机到现场，可是一看到有很多大型建筑垃圾有稍微动了一下然后就开走了，但后来越堆越多，到现在都没有清干净。天气炎热，滋生许多蚊虫，严重影响周边住户生活，也存在传播疫情隐患。特此投诉！</t>
  </si>
  <si>
    <t>您所反映的问题，经了解，已对接清渣单位到场查看并督促尽快处理。</t>
  </si>
  <si>
    <t>投诉仓山区盖山镇红星农场大头村马洲支河1号运送渣土，噪音扰民严重。我们天天投诉，天天都是噪音扰民。特此投诉，望处理。</t>
  </si>
  <si>
    <t>匿名</t>
  </si>
  <si>
    <t>12/31/2016</t>
  </si>
  <si>
    <t>无</t>
  </si>
  <si>
    <t>您好！仓山区建新镇高宅路与百花洲路交接处的浦上河属区管河道，建议转仓山区建设局办理你好。浦上河的整治工作，目前已完成立项并进场实施拆迁。
 </t>
  </si>
  <si>
    <t>仓山万达旁小河水体黑臭，何时动工治理??</t>
  </si>
  <si>
    <t>匿名者</t>
  </si>
  <si>
    <t>12/27/2016</t>
  </si>
  <si>
    <t>万达旁小河水体黑臭，河里垃圾多，何时动工整治</t>
  </si>
  <si>
    <t>您好！仓山区万达边河道是金港河，该河整治由仓山区内河指挥部负责，建议转仓山区建设局办理你好。金港河已列入2017年重点整治项目，我区已指定区建设开发公司作为业主单位负责实施，目前正在着手办理立项准备材料，按照计划安排2017年4月份进场施工，2017年底前完工。 </t>
  </si>
  <si>
    <t>建议启动浦东河上游拆迁改造</t>
  </si>
  <si>
    <t>陈先生</t>
  </si>
  <si>
    <t>12/26/2016</t>
  </si>
  <si>
    <t>远洋路水上公园是光明港公园的重要组成部分，但多年来，由于上游浦东河沿岸的生活、商业及工业等废水直排河中，造成水上公园水体黑臭甚于化粪池污水。附近各小区居民苦不堪言，并屡次向有关部分反映，以请求解决问题。两三年前，有关部门答复，待浦东河沿岸截污工程建成后，水上公园水质便可得到根本改善。如今，浦东河沿岸截污工程早已竣工多时，但水上公园水体依然黑臭如故。经查才发现，原来大量污水仍由浦东河沿岸多个排水口直排河中，根本就没有真正接入新建的截污工程，以致截污工程形同虚设，徒耗宝贵的财政资金。更严重的是，这些污水已成为光明港的最主要污染源，其汇入光明港后，严重影响了光明港水质，汇入口上下游的水质明显不同，一望便知。光明港公园扩建改造是市政府花费巨资兴建的利民工程，但却由于水体的污染，以致于市民们在公园中游玩时竟不敢近岸而行。如今，新购置的画舫已停泊在光明港水面上，这些画舫造价不菲、富丽堂皇，但会有游客上船去“享受”那水里扑鼻而来的异味吗？光明港污水最终还要汇入闽江，并随潮汐扩散到我市城区主要取水口所在水域，严重影响到市民饮用水的安全卫生。
对此,内河及环卫等部门反馈说当前浦东河污染源主要来自其上游沿岸城中村的生活垃圾和污水,只有对上游城中村进行改造才能根本解决浦东和污染问题.因此,强烈建议启动浦东河上游沿岸城中村拆迁改造工程,从而彻底解决浦东河、水上公园及光明港的水体污染问题。不然今后随着晋安河直通闽江工程的竣工，光明港上游净水补水量将大大减少,一旦汇入浦东河污水,整条光明港都将变为臭水沟,那真是不进反退,根本就不可能完成市政府提出的城区内河治理目标</t>
  </si>
  <si>
    <t>您好！晋安区浦东河属区管河道，建议转晋安区建设局办理您好！
   浦东河下游与远洋路水上公园相连，河水一并汇入光明港。但因浦东河属断头河，且日常补水量较少，造成河道水质黑臭。目前，由福州市市容建议开发公司为业主的磨洋河与浦东河补水泵站正在建设中，待建设完工后可增加河流水量，逐渐改善浦东河水质。 </t>
  </si>
  <si>
    <t>万里公寓无人管理</t>
  </si>
  <si>
    <t>12/08/2016</t>
  </si>
  <si>
    <t>我是首山路43号万里公寓的业主，这个小区原本属于师大的教师楼，后面转手卖掉了，现在就变成无人管理状态。小区里面卫生脏乱差，还有居民在绿化带上种菜，小区旁边有一泓死水，紧挨着小区，又黑又臭。希望社区能够接受这个小区的管理，或者说请社区接头找物业进来管理也可以。</t>
  </si>
  <si>
    <t>您好！您反映的问题经了解：万里公寓目前未实行专业化物业管理，小区属于业主自治管理及属地镇政府（街道）、社区监督管理，关于您诉求的问题，建议转仓山镇协调处理。您好，诉求内容非我镇管辖范围，建议转对湖街道办理，谢谢！您好，首山路43号共2座楼，一直以来是居民自管。如果选聘物业费用相对较高，根据物业法规定选聘物业需经专有部分占建筑物总面积过半数的业主且总人数过半数的业主投票同意。另，业主所提到的一滩死水系龙津河。 </t>
  </si>
  <si>
    <t>闽侯一中的内河臭气熏天，为何没人解决！！！</t>
  </si>
  <si>
    <t>一个学生</t>
  </si>
  <si>
    <t>11/30/2016</t>
  </si>
  <si>
    <t>闽侯一中校园内有一条由内河，长期以来周围工厂工业污水和生活污水直接排入该河，河水乌黑，臭气熏天，滋生大量蚊虫，影响我们学生的生活与学习，希望领导及有关部分帮忙解决，还我美丽的校园。</t>
  </si>
  <si>
    <t>收悉FZ16113000393号诉求件，现将办理情况反馈如下：
经调查，上述投诉件反映的情况属实，甘蔗铁岭工业区流经闽侯一中段的内河污染严重，我校也多次向相关部门呼吁解决，均未果。现已向县委、县政府打报告解决内河污染问题，希望相关部门能有效解决内河污染问题，我校会继续跟踪此事件的解决结果，还广大师生一个清洁美好的校园。
闽侯县教育局
                                2016年12月6日
收悉FZ16113000393号诉求件，现将办理情况反馈如下：
经调查，投诉件反映一中内河污水问题情况属实，流经闽侯一中段的内河污水，是由铁岭工业区排放的工业污水及附近居民生活污水造成的，一中已采取措施，堵了污水管漏点处，并清理河中污泥等工作，但无法彻底解决污水源问题，一中领导已向县委、县政府打报告解决内河污染源问题，希望相关部门通力协作，才能有效解决内河污染问题。
闽侯县教育局
2016年12月8日
县信访局
经现场查看，投诉中所反映的污水排放口主要来源于工业区内的企业所排放的废水，通过早期的污水管道排入内河，其确实对内河造成一定影响。我局将对工业区内的企业进行排查，要求其确保做到生产废水全部进入县城污水处理厂处理。同时，建议由建设部门对该污水排放口进行封堵。
特此反馈
县信访局
经查，投诉中所反映内河为洽浦河，其水体发黑发臭，存在受生活污水严重影响的特征。主要影响为两个方面：首先，该河流经闽侯县铁岭工业区二期内的部分区域，沿线部分企业在后期的厂房改造、出租等过程中出现了未按规范修改排水管道的情况，特别是将后期设置的卫生间排水直接接入雨水窨井的情况，导致部分企业通过早期的雨水管道将生活污水排入内河；其次，该河除经过铁岭工业区区域后，后续继续流经闽侯一中校园、昙石村、洽浦村等居民聚居区，由于这些聚居区的市政污水管网尚不配套，所产生的生活污水直排该河，导致水体黑臭。
下一步，我局将加强对铁岭工业区二期内企业雨污分流情况的核查，对于雨污混流的现象，及时要求企业整改。同时，建议住建部门及甘蔗街道办事处尽快开展昙石村、洽浦村等居民聚居区的生活污水管网接驳工作，将洽浦河沿线的生活污水通过市政污水管网统一收集至县城污水处理厂集中处理，从源头上切断污染源，彻底改善洽浦河的水质状况。
特此反馈
你好：您反映闽侯一中内河，污水问题我街道报县政府批准，对南山溪水改造工程已中标，将尽快进场开工建设。按县环保局建议，我局市政工程管理处于12月4日已对闽侯一中旁内河污水截污干管溢流口处理好。 </t>
  </si>
  <si>
    <t>河流发黑发臭</t>
  </si>
  <si>
    <t>水</t>
  </si>
  <si>
    <t>11/19/2016</t>
  </si>
  <si>
    <t>您好！仓山区金山水口苑内的内河系洋洽河，该河来水主要由上游洪湾河洪塘泵站抽取乌龙江进行水生态补水，提供水动力保持河水流动。近期，因福州市地铁2号线土建05标林州西路桥改造工程需要，在洋洽河与洪湾河交接口金祥路桥下拦河围堰，致使生态补水无法正常流入，影响河道水质。建议转市地铁公司办理您好！因福州地铁2号线建设需要，对林州西路桥进行改造。在洋洽河与洪湾河交接口金祥路桥下拦河围堰,并预埋一根1米直径的钢管，保证河道河水的流动，在河道水位较低的时候将采用水泵抽水。此工程计划明年春节后完成。 </t>
  </si>
  <si>
    <t>胡某</t>
  </si>
  <si>
    <t>11/16/2016</t>
  </si>
  <si>
    <t>您好！仓山区龙津河属区管河道，整治工程计划由仓山区内河指挥部安排，建议转仓山区建设局办理你好。龙津河目前已着手整治中，由于出口未打通，故会发生发臭现象，待出口打通后，可缓解。经了解内河指挥部，龙津河的主河道打通工作预计将争取在今年打通。给您造成的不便敬请谅解。 </t>
  </si>
  <si>
    <t>发臭污水抽了破损管道也修了</t>
  </si>
  <si>
    <t>市民</t>
  </si>
  <si>
    <t>长乐首占新区广场南路的东岱湖防洪渠近期有不明污水流入，变得黑臭难闻，令人无法忍受，镇政府治理了一个多月仍毫无效果。
昨日下午，在林先生的带领下，记者来到首占新区广场南路与和谐路交叉口，刚靠近东岱湖防洪渠，一股恶臭味就扑鼻而来。记者捏着鼻子走到渠边，看到里面流淌的水黑如墨汁，还漂浮着一层污秽。一名正在抽水的工人告诉记者，每隔五六天，他们就抽一次，但不知什么原因，渠水很快又变黑臭。记者沿着防洪渠走了六七百米，一路都能闻到水体散发出的阵阵恶臭，渠水同样黑如浓墨（如图）。</t>
  </si>
  <si>
    <t>水已抽干，正在整治 </t>
  </si>
  <si>
    <t>污水管道损坏防洪渠又变黑臭</t>
  </si>
  <si>
    <t>记者</t>
  </si>
  <si>
    <t>11/04/2016</t>
  </si>
  <si>
    <t>首占新区广场南路与凯歌路交叉口，看到防洪渠水和原先一样黑臭，气味令人作呕。而在广场南路与和谐路交叉口，一段二三十米长的防洪渠水同样黑如墨水，散发阵阵恶臭。家住防洪渠附近筹岐明珠小区的陈先生说，前一段时间福州晚报报道此事，很快有人过去将渠里的黑水抽走，换成清水，可是过了一段时间，又成了这个样子。</t>
  </si>
  <si>
    <t>根据9月23日新区建设工作指挥部要求，我局需将东岱湖广场南路段渠道内受污染的水抽排干净。经过前后三次（9月23日至9月28日、10月9日至10月23日、11月5至11月8日）近24天的抽排污水及引进干净水源，河道已于11月8日第三次从受污染的状态恢复到正常状态。同时，我局已恳请新区建设工作指挥部协调有关部门尽快解决污染源问题，以避免河道反复受污染。 </t>
  </si>
  <si>
    <t>屏东河旁管道排污水</t>
  </si>
  <si>
    <t>10/26/2016</t>
  </si>
  <si>
    <t>家住福州市华林路附近的居民发现，屏东河河水又出现脏臭。记者沿线巡查，发现在营迹路和观风亭街交界处的桥底下，有污水管道正在向内河排放污水。此处的污水管道是市政污水管，福州市建委内河处相关负责人说，由于地铁施工阻断污水管，造成部分污水流到内河里，目前已经着手修复，完工后屏东河水质将得到改善。
生活污水直排入内河
昨日中午，海都记者沿着屏东河一路排查发现，福建省渔港建设工程公司宿舍一号楼边上，小区的污水管道虽然接入了市政污水管，但依然有很多污水渗出，流到内河中。记者现场寻找该公司相关负责人，但未联系上。
海都记者沿着河边再往下游排查，发现在营迹路和观风亭街交界处的桥底下，有几根污水管道，正在往屏东河里排放污水，又黑又臭，水里还有很多杂质。记者注意到，此处的排污口共有4个，很隐蔽。</t>
  </si>
  <si>
    <t>您好，屏东河（营迹路—环保路）截污工程于2011年按照设计完成施工，污水通过沿河截污管流向提升泵井。因华林路上市政旧管被地铁施工损坏未修复，故沿河截污污水无法提升输送至市政干管，建议提请市建委督促市地铁公司尽快修复华林路损坏旧管。
屏东河（营迹路—三港路）不在水环境公司施工范围，该段业主单位为市政开发公司，建议该段问题转询市政开发公司核查处理。
您好，来件收悉，现将福州市市政建设开发有限公司对诉求件（编号FZ16102500334、FZ16102600350）核实情况反馈如下：
市政公司修建的观凤亭街为冶山路至三港路，全段设计有截污管道并已完成施工。营迹路和观凤亭街交界处桥底下管道不属市政公司观凤亭街本次修建范围，建议转市政工程管理处咨询。
特此反馈
您好，感谢您对市政设施管养工作的关心，来件收悉，营迹路和观凤亭街根据（榕政综【2012】247号）的文件精神，宽度20米以下道路由各区建设局负责管理，您的问题建议向鼓楼区建设局咨询办理，屏东河问题请向内河管理处咨询。谢谢您对我们工作的支持。您好！屏东河（营迹路—环保路）因华林路地铁施工市政旧管被损坏未修复，沿河截污污水无法提升输送至市政污水干管，致使污水时常溢出流入河道。经市政府协调，已安排市水务管网维护公司对该片区屏东河、龙峰河、树兜河的截污管网及提升泵站等设施进行排查、清疏、修复，预计明年上半年完成根据福州市城市内河管理办法实施细则（草稿）第二十八条“在内河管理范围内排放污水、泥浆的，由福州市内河管理处直接或委托专业队伍开展来源调查”奸计转市内河管理处进行排查，确定来源后，再派至相关单位处理。根据福州市城市内河管理办法实施细则（草稿）第二十八条“在内河管理范围内排放污水、泥浆的，由福州市内河管理处直接或委托专业队伍开展来源调查”建议转市内河管理处进行排查，确定来源后，再派至相关单位处理。 </t>
  </si>
  <si>
    <t>您好！鼓楼区杨桥路文藻河属区管河道，建议转鼓楼区建设局办理针对文藻河黑臭现象，我区已将黑臭整治列入2017年计划，计划在2017年底前完成文藻河黑臭水体整治，待整治完成，文藻河水质将明显改善。 </t>
  </si>
  <si>
    <t>仓山区人民法院旁内河黑臭水体已达数日，影响数个流经小区的日常生活</t>
  </si>
  <si>
    <t>林先生</t>
  </si>
  <si>
    <t>近几日，仓山区人民法院旁内河变黑变变臭，影响数个流经小区的日常生活。日常无法开门，儿童平常在小区玩耍，被动吸入内河异味，具体影响无法估量，同时给前往法院的各地人员带来非常差的印象，不符合福州、仓山的美丽、环保形象。
该内河断断续续黑臭已经十几年，请市长先生重点关注。</t>
  </si>
  <si>
    <t>您好！仓山区石边路仓山区人民法院边河道系洋洽河，属仓山区管河道，黑臭水体整治建议转仓山区建设局办理你好。洋洽河本身水质非黑臭水体，每天都从乌龙江引入活水进行冲刷，如果出现黑臭，怀疑有人偷排生活污水，会联合环保部门、属地政府加强巡查。我局执法人员通过对该河段巡查，未发现工业企业向该河段排放废水，主要是周边居民生活用水排入内河，依据《福州市内河管理条例》建议由内河管理处加强巡查，并将排污口报市政管理处，加大截污接驳建设。您好，关于内河问题，请转内河管理局予以处理，同时我街道工作人员也将加强周边路段巡查，禁止随意倾倒现象。您好,您所反映的问题,我局内河所反馈如下：我所职责仅负责打捞河面漂浮物、清除驳岸杂草等。我所已将排污口问题上报有关部门，我所也将积极配合区建设局等相关部门进行处理。 </t>
  </si>
  <si>
    <t>10/24/2016</t>
  </si>
  <si>
    <t>您好！台江区苍霞片区三捷河属区管河道，建议转台江区建设局办理您好!感谢您的来件。三捷河南园路至隆平路段水位低、水质脏臭问题主要有以下几方面原因，一是该河段为感潮河段，上游连接达道河，整个河道坡度平缓，水流速度慢，动力差，涨潮时，水质偏黄，水位偏低；退潮时，河床底泥凸显，底泥偏黑。二是近几年达道河因地铁施工长期围堰，致达道河三捷河水流不畅，加剧黑臭现象。三是三捷河虽经全线截污，但由于旧金铛泵站污水输送能力有限，所截污水无法全部输送出去，部分仍滞留在河中，造成河水污染。四是清淤不彻底，由于三捷河位于上下杭历史文化街区中心地带，周边保护建筑众多，而清淤需要动用大型机械设备作业，经设计论证不适合进行大面积及深度清淤。为此，在2016年水质有所改善，但存在局限，效果并不明显。此外，由于三捷河补水（包括南园路至隆平路段）主要依靠与闽江连接处的三捷河水闸开启补水，该水闸由闽江下游管理处洪山管理所管控。
为了彻底系统的解决三捷河行洪、生态及污染问题，保持河道畅通，增强河水流动性，确保水质良好，给广大群众提供一个优美的自然环境，市、区党委、政府都对三捷河水质问题都给予高度重视。目前，三捷河水质治理中短期方案已初步成形并已在实施中，经向市建委了解主要有以下措施：
1、由市地铁公司负责，于2017年上半年拆除围堰并清淤，让达道河恢复正常通水，届时将改善达道河与三捷河之间河水流动性问题。
2、由市水务集团负责，加快新光明港泵站建设。届时三捷河所截污水将全部由该泵站输送出去。
3、市直项目晋安河-打铁港分流、调水工程已在实施中，计划于2017年上半年完工。泵站运行后将在一定程度上补充三捷河水量。
另，诉件中反映的河道垃圾问题，请转保洁单位区市容局下属台江区环卫处及属地苍霞街道加强三捷河水面日常保洁工作。
另诉件中反映的隆平路桥下水泥堤坝系建设单位三坊七巷保护开发公司设置，请转该单位反馈。
三捷河水位低，需要开闸补水问题请转市水利局闽江下游管理处洪水管理所安排。
同时，也希望沿河小区居民、餐饮店等不要向内河排放污水、抛掷倾倒垃圾，共同维护内河水环境，内河治理需要全社会的共同努力。
区环卫处已要求街道环卫所加强三捷河河面及河岸的卫生保洁，同时，我处配合街道、社区，对河道两岸居民及店面，加大宣传力度，动员大家共同维护内河卫生。经了解该河段的保洁工作街道环卫部门每天都有环卫工人在做清洁，保持河道的干净。污水排放问题建议批转至环保部门处理。您好，来件收悉，现将福州文化旅游投资集团有限公司对诉求件（编号FZ16102100085、FZ16102400175）核实情况反馈如下：
三捷河南园桥排污口产生的污水不在上下杭改造的红线范围内。目前,改造工程中三捷河三通桥至隆平路段已完成全线截污和清淤施工。受达道河地铁施工围堰影响，虽然每天涨潮都有水流入，但流速较慢，水量不大，退潮后河内水量基本见底，仅剩10公分左右。为确保游客进入上下杭游览时河内能有河水，市三坊七巷公司在隆平路段设置了一道60公分高的围堰，该围堰仅起到蓄水作用，不会阻碍涨潮时河水流入下游河段。
特此反馈
您好，诉求件FZ16102400175收悉，现将有关情况反馈如下：
在汛期，我局闽江下游管理处管理的三捷水闸主要根据防洪排涝情况和防汛指令进行调度；在非汛期一般是挂闸自行纳潮排污，日常基本处于常开状态，每个潮汐三捷河自行纳潮补水。您好！近期以来，我局环境监察人员已先后多次对三捷河沿岸进行摸排，未发现沿河两岸有餐饮废水直排内河的行为。关于您投诉的社区居民生活废水直排内河，根据职责分工，建议转建设部门查处。 </t>
  </si>
  <si>
    <t>10/22/2016</t>
  </si>
  <si>
    <t>这是光明港公园福州市政工程的全民健身通道被一个将军庙和一个天下为公的孙中山塑像堵死了，每天成千上万的健身者被迫回头，人们很不理解的问，据说是这个地方有一个地头蛇地霸不让把路修通，是什么人竟然拿国父和将军堵人民的路？败坏伟人的形象，***告诫我们人民群众对美好生活的期盼就是我们要奋斗的目标，建议福州市政工程领导学习市委书记暗访的典范，不能让负能量欺负我们，开通人们期盼的全民健身的将军庙的健身通道吧！这是水上公园黑臭的让人无法呼吸的污水，多少年一直流到光明港，建议福州市环保部门也学习福州市委书记暗访到此一走体会体会，不要把我们碧水青山的福州市形象抹黑，住在这里的人多年吸到有害物质不知道有多少，此公园的修建就没有论证水源，全部是生活污水池子，福州市内河清污处理有没有一个时间目标呀？</t>
  </si>
  <si>
    <t>您好！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水上公园的水质将得到改善。光明港公园业主单位是市城乡建设发展总公司，光明港将军庙的健身通道建设问题，建议转市城乡建总办理您好！1、光明港公园综合改造建设由福州市城乡建设发展总公司负责，目前靠近将军庙片区正处于改造中，建议转请福州市城乡建设发展总公司处理，并反馈。2、光明港公园管理处负责水上公园沿河驳岸内的绿化养护、保洁工作，内河水质建议转请内河管理处办理，并反馈。谢谢！您好，您的诉求已收悉，诉件所述路段因涉及民俗文化建筑未搬迁，导致我司无法进场施工建设，我司正协调相关部门尽快完成搬迁工作，力争早日进场施工，给您造成的不便望予以谅解为盼。 </t>
  </si>
  <si>
    <t>10/21/2016</t>
  </si>
  <si>
    <t>您好！仓山万达C区旁的金港河已列入金港河及龙津河流域等内河黑臭水体治理PPP项目，目前该实施方案在市政府审定“城区内河水系综合整治计划”后，再行研究审核，预计年底启动招标工作 </t>
  </si>
  <si>
    <t>10/20/2016</t>
  </si>
  <si>
    <t>您好！
   1、水上公园区域的主管单位是水上公园管理处，有关问题请咨询水上公司管理处。
   2、由于浦东河属断头河，沿线村庄较多，居民生活垃圾经常直接倒入河内，且日常补水量较少，造成目前浦东河水质黑臭。目前由福州市市容建设开发公司为业主的磨洋河与浦东河补水泵站正在建中，待建设完工后可增加浦东河流水量，改善浦东河水质。您好，光明港公园管理处负责水上公园沿河驳岸内的绿化养护、保洁工作，内河水质污染问题建议转请福州市城乡建设委员会内河处办理，并反馈，谢谢。您好，诉求件中所反映的浦东、磨洋河补水工程由市容公司负责建设。该项目分为管道铺设及起点泵房建设两个阶段，其中：管道铺设工作已于2015年铺设完成。目前，补水工程项目已纳入“百日攻坚”中，起点泵房正在抓紧建设，计划于2016年12月31日前建设完成。您好！晋安区水上公园上游接浦东河，由于浦东河上游无来水只靠光明港涨潮来换水致使水质较差。为改善浦东河、磨洋河等东区河道水质，市政府启动凤坂河--磨洋河分流工程，引凤坂河水对浦东河、磨洋河进行生态补水，目前已完成管道建设，正在进行引水泵站主体施工计划年底完成，明年上半年完成设备安装调试，到时浦东河、水上公园的水质将得到改善 </t>
  </si>
  <si>
    <t>河水又黑又臭</t>
  </si>
  <si>
    <t>蒋先生</t>
  </si>
  <si>
    <t>10/14/2016</t>
  </si>
  <si>
    <t>仓山区万达B区中国银行和仓山万达商场之间有条河，河水又黑又臭已经有多年了。希望相关单位尽快处理。</t>
  </si>
  <si>
    <t>您好！仓山区万达B区中国银行和仓山万达商场之间的河道系金港河。目前，已列入金港河及龙津河流域等内河黑臭水体治理PPP项目实施方案。经市政府审定后，即可实施，预计年底启动招标工作，明年完成治理 </t>
  </si>
  <si>
    <t>新榕金城湾小区旁边的断头河什么时候开始整治</t>
  </si>
  <si>
    <t>雪花</t>
  </si>
  <si>
    <t>10/10/2016</t>
  </si>
  <si>
    <t>我居住在新榕金城湾小区，今天在海峡都市报上看到仓山拟明年底前整治18条黑臭水体打通6条断头河。因为我所居住的小区旁边也有个黑臭的断头河。所以特地上12345进行咨询，我所居住的新榕金城湾小区旁边的黑臭断头河什么时候开始整治。望相关部门能尽快解答。谢谢！</t>
  </si>
  <si>
    <t>你好。新榕金城湾旁边的主河道为横江渡，并非是断头河。该河已完成整治任务，水质非黑臭水体，每天都从乌龙江引入活水进行冲刷。 
黑臭问题可能由旁边地铁围挡施工造成，请转地铁部门咨询答复。您好！接到诉求件后，我司立即要求施工单位进行现场核实，并未发现水质为黑臭水体。该地排放水质均经过设计规范进行施工，设置2个三级沉淀池过滤，水质洁净。 </t>
  </si>
  <si>
    <t>再次投诉建新南路内河（丽兹公馆侧）内河</t>
  </si>
  <si>
    <t>10/08/2016</t>
  </si>
  <si>
    <t>仓山区建设局领导，您好！
   请您们再次前往再次投诉建新南路内河（丽兹公馆侧）内河去看看吧，最近可没有什么大台风，河体又发黑发臭了。请问国家投资百亿的项目，怎么建成的结果就是这样的。隔三差五出现这样的情况，请你们不要再拿其他河段不通来说事了，新任书记已经明确要求你们今年内必须解决内河问题。请你们不要再辜负人民对你们的期待，若此情况从今天算起7天还没有改善，我们将向住建部“城市黑臭水体整治监管平台”进行举报！</t>
  </si>
  <si>
    <t>你好。该河道为台屿河，台屿河奥体周边河段已完成整治，台屿河北段还余建平村段、洋洽旧改段正在施工，台屿河南段（东岭路至流花溪段）正在办理前期手续。
由于内河整治是一项大型系统工程，故给您造成的不便敬请谅解。 </t>
  </si>
  <si>
    <t>林女士</t>
  </si>
  <si>
    <t>您好！
   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</si>
  <si>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仓山区则徐大道西侧，白湖亭正祥广场和万科金域华府之间的内河（下濂河）问题</t>
  </si>
  <si>
    <t>吴先生</t>
  </si>
  <si>
    <t>09/29/2016</t>
  </si>
  <si>
    <t>您好！仓山区则徐大道西侧，白湖亭正祥广场和万科金域华府之间的河道属区管河道，建议转仓山区建设局办理你好。下濂河应属跃进河，跃进河属断头河范畴，已列入2017年重点整治计划，届时将进行内河的整治工作。 </t>
  </si>
  <si>
    <t>09/26/2016</t>
  </si>
  <si>
    <t>您好！金港河及龙津河流域等内河黑臭水体治理PPP项目实施方案须在市政府审定“城区内河水系综合整治计划”后，再行研究，预计年底启动招标工作。 </t>
  </si>
  <si>
    <t>一公里防洪渠成了“臭水沟”</t>
  </si>
  <si>
    <t>09/23/2016</t>
  </si>
  <si>
    <t>   我局已于9月23日上午组织施工单位和有关人员到现场察看情况并制定了抽排污水方案。当天下午就着手采购电缆、水泵等抽水设备进行抽排污水工作。经过近10天的抽排污水及引水冲洗，目前，河道已恢复到正常状态。 </t>
  </si>
  <si>
    <t>龙津河金港河河流</t>
  </si>
  <si>
    <t>金港禾</t>
  </si>
  <si>
    <t>09/22/2016</t>
  </si>
  <si>
    <t>您好！金港河及龙津河流域等内河黑臭水体治理PPP项目实施方案须在市政府审定“城区内河水系综合整治计划”后，再行研究，预计年底启动招标工作 </t>
  </si>
  <si>
    <t>刘先生</t>
  </si>
  <si>
    <t>09/18/2016</t>
  </si>
  <si>
    <t>您好！晋安区淌洋河属区管河道，河道整治计划安排，建议转晋安区建设局办理您好！
   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</si>
  <si>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下水管道问题</t>
  </si>
  <si>
    <t>09/05/2016</t>
  </si>
  <si>
    <t>您好，管网公司工作人员与仓山区建设局工作人员已于9月9日10时到达现场，经查看东升路雨水主管堵塞，此路段属区管道路，现受仓山区建设局委托，由管网公司对此路段进行雨水管道维护，预计两周内完成清疏工作。 </t>
  </si>
  <si>
    <t>09/01/2016</t>
  </si>
  <si>
    <t>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t>
  </si>
  <si>
    <t>您好！
   所述问题位于茶园河，由于茶园河属断头河，河流水量较少。现在正值河道沽水期，没有活水补充，水位低，导致河水黑臭。目前茶园河已纳入我区黑臭水体整治任务。您好！河道治理不属我局权限范围，请转相关单位进行咨询回复。谢谢！ </t>
  </si>
  <si>
    <t>咨询流花溪改造工程高宅段工程何时动工？</t>
  </si>
  <si>
    <t>陈</t>
  </si>
  <si>
    <t>08/26/2016</t>
  </si>
  <si>
    <t>咨询流花溪改造工程高宅段工程何时动工？流花溪高宅段有一级古榕保护群，现在古榕旁边就是黑臭的河水，千年古榕树只能吸取有毒的黑臭内河水已经影响到树的健康，希望早点改造早点救救这些古榕树，谢谢！</t>
  </si>
  <si>
    <t>你好。流花溪第一标段工程进展情况：施工单位已于2016年3月开始进场施工（该标段已完成相关手续报批）。高宅段为第二标段，流花溪第二标段进展情况：业主单位福州市市容建设开发公司已于7月份在市招标办挂标，原定于8月初开标，开标过程由于受到了不确定因素影响延缓开标，业主单位正与市招标办协商尽快重新组织开标，争取9月份开标进场。
同时，市区两级政府都非常重视流花溪项目整治工作，但内河整治任务繁重、前期手续复杂、困难很多，望市民予以理解和支持，耐心等待。 </t>
  </si>
  <si>
    <t>尽快动工治理江南乡魁歧村河流</t>
  </si>
  <si>
    <t>周</t>
  </si>
  <si>
    <t>江南乡魁歧村河水又黑又臭，希望尽快动工治理</t>
  </si>
  <si>
    <t>您好：经实地勘察，魁岐村内河道干净，无漂浮垃圾，河道内为流动水，无臭味。谢谢！ </t>
  </si>
  <si>
    <t>您好，仓山万达边的金港河，由于上游河段尚未开挖截污，生活污水较多，影响水质。目前，该河道已列入金港河及龙津河流域综合整治PPP试建项目，计划今年年底启动工程整治 </t>
  </si>
  <si>
    <t>投诉琴亭湖清淤效率低下</t>
  </si>
  <si>
    <t>琴亭湖周边居民</t>
  </si>
  <si>
    <t>08/23/2016</t>
  </si>
  <si>
    <r>
      <rPr>
        <sz val="11"/>
        <color theme="1"/>
        <rFont val="等线"/>
        <family val="4"/>
        <charset val="134"/>
        <scheme val="minor"/>
      </rPr>
      <t>琴亭湖自今年7月份启动清淤以来，只初步完成了新店镇政府前湖水的清淤，然而该片区湖水依旧黑臭。而且琴亭湖西南主体部分以及东侧只在8月份进行了围堰渣土，三个月内迟迟不见清淤动工。目前已造成大面积的淤泥堆积，发臭发黑。市</t>
    </r>
    <r>
      <rPr>
        <sz val="11"/>
        <color rgb="FFFF0000"/>
        <rFont val="等线"/>
        <family val="4"/>
        <charset val="134"/>
        <scheme val="minor"/>
      </rPr>
      <t>容工程效率如此低下，工程质量不高，请有关部门重视并督促。</t>
    </r>
  </si>
  <si>
    <t>您好，您的诉求已收悉，琴亭湖清淤工程现已完成1#湖体清淤工作，现在2#、3#湖体正在进行清淤前准备工作，给您造成的不便望予以谅解为盼。 </t>
  </si>
  <si>
    <t>希望相关部门帮忙督察南通派出所（新址）对面的污水处理厂</t>
  </si>
  <si>
    <t>08/13/2016</t>
  </si>
  <si>
    <t>污水处理厂本该是净化污水减少环境污染的重要环节，具体的操作需要很严谨，但是，南通这家是我们愚昧村民都能看得出来，他们不是在集中处理，可以说是集中排放污水，内河水闸本来换水就不频繁，再加上污水厂又黑又臭的排污，整条内河不用几天就又黑又臭。当值夏季，蚊虫又多。庆幸的是我村镇还未发现有蚊虫疫情。这水源的严重污染，及不负责任的排放，将会是重要的安全隐患。恳请相关部门帮我们加强督察。谢谢。</t>
  </si>
  <si>
    <t>关于群众反映南通污水厂污水乱排问题，我局工作人员会同南通镇政府工作人员前往现场进行检查，现将有关情况反馈如下：
经现场查看该厂总排口排放的水质较为清澈，其近期监测报告及在线监测数据显示各项指标均达到排放标准。我局已要求其在日常运行过程中应正常运行污水治理设施，对汇入污水厂内的污水进行有效处理，确保其达标排放。
经调查，南通污水处理厂自投产以来，一直保持正常运行，出水均达到一级B排放标准。处理后的污水均通过紫外C消毒后，排入文山河中，并在规范排污口安装有在线监测设备，目前各在线设备及处理设施均运行正常。近期，县相关部门已经对全镇河道水源进行检测，我镇将根据检查结果对相关河道进行整治。 </t>
  </si>
  <si>
    <t>海峡奥体边内河恶臭扑鼻</t>
  </si>
  <si>
    <t>沈女士</t>
  </si>
  <si>
    <t>07/25/2016</t>
  </si>
  <si>
    <r>
      <rPr>
        <sz val="11"/>
        <color theme="1"/>
        <rFont val="等线"/>
        <family val="4"/>
        <charset val="134"/>
        <scheme val="minor"/>
      </rPr>
      <t>青运会期间青山绿水，青运会后山依然青水却臭了，市民们一直以为是市政没有治理这带水，其实不是，市政治理了，只治理了飞凤山的水，明明是一带互通的水，奥体外围的水却臭气冲天，东南快报记者专门去找原因，原来在盘宇路和建新路那个口底下故意拿挡板挡住了，好好的流动水变成了死水，能不又黑又臭吗？</t>
    </r>
    <r>
      <rPr>
        <sz val="11"/>
        <color rgb="FFFF0000"/>
        <rFont val="等线"/>
        <family val="4"/>
        <charset val="134"/>
        <scheme val="minor"/>
      </rPr>
      <t>有关部门可真会顾全大局，脑子可真好！知道飞凤山有人去，别的地方就不理会了是吗？有关部门就不能认真办事吗？不要在</t>
    </r>
    <r>
      <rPr>
        <sz val="11"/>
        <color theme="1"/>
        <rFont val="等线"/>
        <family val="4"/>
        <charset val="134"/>
        <scheme val="minor"/>
      </rPr>
      <t>推卸责任了！请认真处理！谢谢！</t>
    </r>
  </si>
  <si>
    <t>您好！仓山区建新南路奥体边河道系飞凤河，属仓山区区管河道，建议转仓山区建设局办理你好。奥体周边包括台屿河、飞凤河和阳岐河与台屿河连接段，在去年青运会召开前，三条河道的整治工程已全部完成，日常水质相对较好。但河道是一个系统，飞凤河、台屿河等与其他尚未整治的河道仍有相连。为应对突然来临的强降雨，福州市水利和建设部门对外江水闸和河道上的水闸不再进行日常普通调度，全部放倒或关闭以保障排水通畅，但这也让其他尚未治理的河道如浦上河、流花溪等河道相对水质较差的水体，也与飞凤河、台屿河串联，导致水质恶化，加之降雨期间外江水闸受控，排水不畅，因此，水体感官和水质远远差于平时。
但此情况不会持续很长时间，外江水闸和内河水闸恢复正常调度后，即可逐步恢复。
同时，奥体周边的浦上河、流花溪等均已启动整治。 </t>
  </si>
  <si>
    <t>融侨地产和物业无视业主居住环境污染</t>
  </si>
  <si>
    <t>小张</t>
  </si>
  <si>
    <t>07/20/2016</t>
  </si>
  <si>
    <t>业主投诉：融桥外滩地产在建最后一期工程的地面和地下污水，直接通过管道排放到江南水都丽岛内河内，造成江南水都丽岛内河水质破坏，内河水严重污染，水质发黄发黑有臭味，水面杂物漂浮，对江南水都丽岛和意境的业主生活造成了极大的影响，业主意见很大已向物业投诉多次！福州市近几年一直在治理内河水质工程，而融侨外滩地产无视政策，工程污水没有按照工程要求专门处理排放，却直接排放江南水都丽岛小区内河，请严查整改！</t>
  </si>
  <si>
    <t>您好！您诉求的问题经了解：江南水都丽岛北侧内河水体发黄，即为江南水都5C项目地下室施工降水排入的地下水影响，经核查岩石工程勘察报告，5C项目地下水化学类型为HCO３＋CL＋SO４－Ca+Na+K型水，其中微量化学元素遇空气氧化后呈现淡黄水，无臭，对周边环境不会造成影响。我局已责成物业企业加强小区卫生管理，若业主还有疑议，可到物业服务处咨询。 </t>
  </si>
  <si>
    <t>江南水都丽岛内河污染</t>
  </si>
  <si>
    <t>小陈</t>
  </si>
  <si>
    <t>投诉：融桥外滩地产在建最后一期工程的地面和地下污水，直接通过管道排放到江南水都丽岛内河内，造成江南水都丽岛内河水质破坏，内河水严重污染，水质发黄发黑有臭味，水面杂物漂浮，对江南水都丽岛和意境的业主生活造成了极大的影响，业主意见很大已向物业投诉多次！福州市近几年一直在治理内河水质工程，而融侨外滩地产无视政策，工程污水没有按照工程要求专门处理排放，却直接排放江南水都丽岛小区内河，请严查整改！</t>
  </si>
  <si>
    <t>您好！经查，江南水都、融侨美域内的人工河是融侨集团自行设计，自行建设的小区水体景观设施，没有移交市区内河部门管理。人工河的垃圾清理、日常管理整治应由物业负责，建议转融侨物业处理您好！您诉求的问题经了解：江南水都丽岛北侧内河水体发黄，即为江南水都5C项目地下室施工降水排入的地下水影响，经核查岩石工程勘察报告，5C项目地下水化学类型为HCO３＋CL＋SO４－Ca+Na+K型水，其中微量化学元素遇空气氧化后呈现淡黄水，无臭，对周边环境不会造成影响。我局已责成物业企业加强人工河的卫生管理，若业主还有疑议，可到物业服务处咨询。 </t>
  </si>
  <si>
    <t>江南水都丽岛内河受污染</t>
  </si>
  <si>
    <t>张先生</t>
  </si>
  <si>
    <t>07/15/2016</t>
  </si>
  <si>
    <t>你好。阳岐河已列入整治计划，已经启动前期相关报批手续，2017年可动工。同时阳岐村专项提升整治和保护建设方案也正在进一步研究完善中，届时环境将得到大大改善。 </t>
  </si>
  <si>
    <t>左海西门到省博物院一路环境整治</t>
  </si>
  <si>
    <t>老赵</t>
  </si>
  <si>
    <t>07/13/2016</t>
  </si>
  <si>
    <t>从左海西门到省博物院有两条路，一条是左海西门内的栈道，靠湖头街一侧的的湖面又黑又臭，另一条是左海公交总站经司法厅，这两条路的空气都不好，弥漫着垃圾味道，尤以晚上8点多左右在司法厅大门对面一段路为甚，这段路本是游客游览公园的必经之路，却是这种环境，实在无法令人满意，希望有关部门能整治一下，谢谢！</t>
  </si>
  <si>
    <t>现将有关情况反馈如下：该诉求件所指的“从左海西门到省博物院有两条路，一条是左海西门内的栈道，靠湖头街一侧的的湖面又黑又臭，另一条是左海公交总站经司法厅的道路”，接到诉求件后，我们实地查看了该地段，靠湖头街一侧的湖面应该是指栈道出口处的那条河道（栈道内的湖面现已被高高的荷叶覆盖），该河道也经过司法厅至左海公交总站，现整条河道水面偏低，河水又黑又臭，这条河道不在左海公园管理范围内，左海公交总站经司法厅的道路也不是左海公园管理范围，建议转属地（五凤街道）办理。您好，经了解，该段是梅峰河，梅峰河保洁工作由鼓楼区环卫所负责管理，建议转环卫所办理。您好，经了解，靠湖头街一侧湖面是梅峰河，梅峰河保洁工作由鼓楼区环卫所负责管理，另一条由左海公交总站经司法厅的道路是由鼓西路桥保洁公司进行保洁。收到诉求件后，我局环卫处安排专门人员到现场查看，梅峰河河面漂浮垃圾由我处管理的保洁公司负责日常保洁，保洁公司都在正常保洁中，目前河面无漂浮垃圾。同时，现场人员发现该内河河底有部分前期施工的沙包袋叠成的围挡，造成河水无法流动，影响水质，目前该内河水质有脏臭现象，以上问题及诉求件要求对该内河实施综合整治的问题均属建设部门的管理职责，建议转建设部门办理。如有异议，可安排相关部门同时到场明确各自职责。 </t>
  </si>
  <si>
    <t>河流跃进河</t>
  </si>
  <si>
    <t>政府如何规划跃进河的出江口?</t>
  </si>
  <si>
    <t>07/03/2016</t>
  </si>
  <si>
    <t>跃进河本来是有出江口的，在鼓山大桥下面，但现在出口被堵，出口左边是东部办公区，东部办公区背面河流花大力气弄的美美的，要让污水汇入怕是很难；出口右边是浦下河，每年划龙舟比赛的地方，浦下河环会展中心，也不可能让臭臭的污水汇入浦下河，会展外来客商多，会影响会展形象。那回到我一开始的问题，现在跃进河没出江口了，没出江口意味着跃进河水成死水，这会让跃进河水黑的更黑，臭的更臭，就跟一条露天化粪池一样，还不如填埋掉做路不至于如此影响周边居民。
所以请问，跃进河如何规划出江口？</t>
  </si>
  <si>
    <t>您好,您所反映的问题,我局内河所反馈如下：该河未列入我所管辖,根据市政府办公厅会议纪要[2007]66号：“凡未列入市、区内河管理部门正常管理的河道，均由当地政府实行属地管理。”建议可转盖山镇予以解决。您好，跃进河问题，建议转区建设局予以办理。你好。跃进河出口不是被堵，鼓山大桥下面只是进行适当的围堰,主要是跃进河目前拆迁遇到阻力，尚未打通主河道。目前拆迁主要在盖山镇范围内，需盖山镇做细工作加快拆迁扫尾力度。 </t>
  </si>
  <si>
    <t>刘祥</t>
  </si>
  <si>
    <t>06/12/2016</t>
  </si>
  <si>
    <t>你好。跃进河全长5920米，业主福州市市容建设开发公司，目前跃进河拆迁工作遇到较大阻力，横穿多个村庄，东部指挥部、盖山镇正在积极解决中，做细化工作，争取年内先行打通主河道。另跃进河具备条件时同步考虑黑臭水体整治。给您造成的不便敬请谅解。 </t>
  </si>
  <si>
    <t>关于龙旺臭水沟问题</t>
  </si>
  <si>
    <t>隔壁老王</t>
  </si>
  <si>
    <t>06/06/2016</t>
  </si>
  <si>
    <t>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</si>
  <si>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16060600930件收悉。乌龙江南大道的公交线路问题，将在下一轮公交规划中予以考虑，给您造成的不便敬请谅解。目前您可以行至就近的晓岐村站乘坐326路出行。您好！经了解，1、龙旺地产康桥丹堤楼盘边的元峰河改造驳岸及环境整治工程目前因征地问题进展缓慢，南屿镇针对征地专门成立了元峰河改造工作小组。目前元峰村正在全力交地中，并责令工程建设方尽快进场复工，限定时间完成建设，下一步会跟踪并督促工程进度，确保整治元峰河周边的环境。2、关于公交路线问题，建议转公交集团公司答复。 </t>
  </si>
  <si>
    <t>关于请求福州市政府尽快协调解决高新区龙旺康桥丹堤臭水沟整治和周边楼盘配置公交线路...</t>
  </si>
  <si>
    <t>林誉</t>
  </si>
  <si>
    <t>您好FZ16060600915件收悉。乌龙江南大道的公交线路问题，将在下一轮公交规划中予以考虑，给您造成的不便敬请谅解。目前您可以行至就近的晓岐村站乘坐326路出行。您好！经了解，1、龙旺地产康桥丹堤楼盘边的元峰河改造驳岸及环境整治工程目前因征地问题进展缓慢，南屿镇针对征地专门成立了元峰河改造工作小组。目前元峰村正在全力交地中，并责令工程建设方尽快进场复工，限定时间完成建设，下一步会跟踪并督促工程进度，确保整治元峰河周边的环境。2、关于公交路线问题，建议转公交集团公司答复。 </t>
  </si>
  <si>
    <t>关于福州市仓山区埔南路旁污水河的投诉</t>
  </si>
  <si>
    <t>居民</t>
  </si>
  <si>
    <t>05/27/2016</t>
  </si>
  <si>
    <t>仓山区埔南路旁，东升小区东聚苑与南台十六府之间的小河，多年来，垃圾遍布，蚊蝇滋生，臭不可闻........不可形容。
   欣闻《福建省水污染防治2016年度计划》发布，要消灭“垃圾河”，福州市也投入大量资金对黑臭水体治理。
   不知对此处“垃圾河”如何治理，居民甚为盼望！</t>
  </si>
  <si>
    <t>你好。该处河段为半洋亭河，目前已列入黑臭水体整治计划。
 </t>
  </si>
  <si>
    <t>又黑又臭</t>
  </si>
  <si>
    <t>包</t>
  </si>
  <si>
    <t>白马南路白马河段河水又黑又臭，水面漂浮物污物非常多，水质非常恶劣，浑浊发臭，还没走到河边就能闻到臭味，夏天的夜晚让人感到非常恶心！城市形象大打折扣，花了大钱大力的内河整治有何成效？</t>
  </si>
  <si>
    <t>您好！经查白马河水质差，因该处中防万宝城人防施工将大庆河部份河段填埋，目前又恰好地铁施工，导致大庆河形成断头河，河水无法流通，排入白马河水质差，待该处施工结束后该情况将得到改善。 </t>
  </si>
  <si>
    <t>连江县人民广场后下山河污水黑臭</t>
  </si>
  <si>
    <t>王</t>
  </si>
  <si>
    <t>05/11/2016</t>
  </si>
  <si>
    <t>人民广场后下山河污水黑臭群众避而远之。晴天太阳一晒，臭气熏天，严重影响周边群众心情。希望有关部门能注意到这样的一条河存在。</t>
  </si>
  <si>
    <t>我局环境监察人员已前往查处，人民广场后下山河旁边新建小区和工厂的生活污水和生产废水已接入市政污水管网，由市政污水管输送到连江污水厂处理，未发现有偷漏排放污水现象。我局将继续跟踪督查。内河水变黑问题建议转相关水行政部门处理。关于12345便民呼叫中心
FZ16051100580号的反馈件
“王”同志：
你好！你在“12345”诉求编号为FZ16051100580号的诉求件已收悉。现将情况反馈如下：
人民广场后下山河段是由水利局负责，我镇将配合县水利局清理好污水黑臭问题，改善污水河段周边的空气。
特此反馈                
           敖江镇人民政府
           2016年5月23日您好！您提到的有关内河水质污染问题：
一、根据我县委托福州市城建设计研究院内河整治项目组对我县内河黑臭现状调查，我县城区黑臭原因为群众垃圾漂浮物污染，沿线群众生活污水、基建废水、青塘片区工厂（石厂、铝合金厂）污水排放，造成了下山河水体发黑、发臭。据此该院提出的包括城建、环保、水利及沿线乡镇等多部门联合整治黑臭水体的方案，主要措施有乡镇宣传教育群众不向潘溪渠道城区内河乱扔垃圾，及时清除渠道内河垃圾，有关部门管住污染源等。
二、我局及潘溪管理站负责的工作：①在潘溪北干渠沿线的鲤鱼山、青塘村分别设置内河四个分水闸，进入下山河的分水闸是位于小湾村的鲤鱼水闸和青塘潘厝穴水闸，鲤鱼闸分配水量为0.4m3/s，青塘闸分配水量为0.25m3/s。由于青塘村段的青塘河上游当地村民违章侵占，形成盲肠，渠水流入青塘河及下山河的流量小、效果差，目前仅靠鲤鱼闸分配的水量经鲤鱼河流入下山河，调节内河的浊度，无法达到水清、河畅的效果；②利用每个月的两次天文大潮期间，通过乌石浦水闸用于纳潮引入部分海水，更换水体冲淡内河污水浊度；③利用观音阁泵站抽水补充城区内河水量。因潘溪北干渠正在施工，目前主要靠观音阁泵站抽敖江水补充城区内河水量，但由于解放大桥潜水坝拆除，造成敖江观音阁段水位下降，潘溪观音阁泵站抽水点受到影响，只能利用敖江涨潮时段进行抽水补充内河水量。一天仅能抽3-4个小时，只能缓解内河黑臭问题。
目前内河黑臭问题引起了县政府重视，正按市城建设计研究院内河黑臭整治方案，任务分解到相关乡镇、部门，共同解决内河黑臭问题。
谢谢！
 </t>
  </si>
  <si>
    <t>反映2个问题</t>
  </si>
  <si>
    <t>1、仓山区世欧上江城后面这条内河这几天突然变得非常黑非常臭，肯定是有什么原因造成的，请相关部门介入处理调查一下。2、世欧上江城后面的临江新天地的江景苑1楼沿街店面开了4、5家小餐馆，没有按规定排放油烟，油烟污染非常大。他们还把垃圾直接往下水道倒，小区内的下水道都已经溢出堵塞，请求相关部门介入处理。</t>
  </si>
  <si>
    <t>你好。该处河道为港头河。港头河两头都与闽江相接，河水水位与闽江水位同步，涨潮时水位上升，退潮时水位下降。当初河道设计时有设计亲水平台，故而水位上升时河水漫过旁边的步道，但遇退潮时步道上会留下些许青苔、污物，当初设计时考虑不周。该河已整治多年，且近期季节多雨，造成淤泥较多。下步我们将积极与市里相关部门沟通，争取对该河进行清淤。
另外，小区内的污水管网堵塞问题，请直接向小区物业进行反应处理。我局执法人员通过对该河段巡查，未发现工业企业向该河段排放废水，主要是周边居民生活用水排入内河，依据《福州市内河管理条例》建议由内河管理处加强巡查，并将排污口报市政管理处，加大截污接驳建设。1、我局执法人员通过对该河段巡查，未发现工业企业向该河段排放废水，主要是周边居民生活用水排入内河，依据《福州市内河管理条例》建议由内河管理处加强巡查，并将排污口报市政管理处，加大截污接驳建设。2、关于江景苑1楼沿街餐馆排放油烟及污水问题，我局检查中发现这四家餐饮店均未办理营业执照，属非法经营，不具备整改条件，我局已抄告工商部门依法取缔。1、我局执法人员通过对该河段巡查，未发现工业企业向该河段排放废水，主要是周边居民生活用水排入内河，依据《福州市内河管理条例》建议由内河管理处加强巡查，并将排污口报市政管理处，加大截污接驳建设。2、四家店“福州市仓山区鲜速达食品商行”不存在油烟问题；"福州市仓山区川南快餐店、福州市仓山区炳安沙县小吃店”2家店均承诺对油烟进行整改；“莆田卤面馆”市场监督管理局已对其发了责令停止经营活动通知书。您好！诉求人！关于您诉求的事情不属于我局职能范围，关于河道问题，建议转内河管理处咨询处理。关于江景苑店面没有按规定排放油烟的事，建议转环保局处理。您好!您诉求的问题反馈如下：
1、关于河道问题，建议转内河管理处咨询处理。
2、关于小区内的污水管网堵塞问题，经查，江景苑小区未实行专业化物业管理，小区属于业主自治管理及属地街道、社区监督管理，建议转下渡街道咨询处理。若发现店面有油烟乱排放问题，建议向环保部门进行举报。接到诉求件后，执法人员前往诉求地点世欧上江城后面的临江新天地的江景苑1楼沿街店面检查，经现场检查，沿街店面并排共有四家餐饮店，其中三家有照，一家无照。三家有照分别是1、福州市仓山区鲜速达食品商行，注册号：350104600441863；2、福州市仓山区川南快餐店，注册号：350104600380355；3、福州市仓山区炳安沙县小吃店；注册号：350104600385724。一家无照的是莆田卤面馆，执法人员已对其发出了责令停止经营活动通知书。您好，您所反映的问题已收悉。我街道已督促安翔物业加强对江景苑小区的日常管理，及时对堵塞的下水道进行清理疏通。 </t>
  </si>
  <si>
    <t>河水污染严重</t>
  </si>
  <si>
    <r>
      <rPr>
        <sz val="11"/>
        <color theme="1"/>
        <rFont val="等线"/>
        <family val="4"/>
        <charset val="134"/>
        <scheme val="minor"/>
      </rPr>
      <t>仓山区上渡路河水污染严重，又黑又臭，无人管。</t>
    </r>
    <r>
      <rPr>
        <sz val="11"/>
        <color rgb="FFFF0000"/>
        <rFont val="等线"/>
        <family val="4"/>
        <charset val="134"/>
        <scheme val="minor"/>
      </rPr>
      <t>环保局不要只翘个二郎腿，整天玩乐，</t>
    </r>
    <r>
      <rPr>
        <sz val="11"/>
        <color theme="1"/>
        <rFont val="等线"/>
        <family val="4"/>
        <charset val="134"/>
        <scheme val="minor"/>
      </rPr>
      <t>不作为。望有关部门处理。</t>
    </r>
  </si>
  <si>
    <t>你好。由于近段时间以来，闽江上游多地暴雨，外江水位较高，水闸多数时间处于关闭状态，无法正常定期补水，河底淤泥经过河水冲刷，导致河水成黑色状。待水闸正常补水后，情况会缓解。我局执法人员通过对该河段巡查，未发现工业企业向该河段排放废水，主要是周边居民生活用水排入内河，依据《福州市内河管理条例》建议由内河管理处加强巡查，并将排污口报市政管理处，加大截污接驳建设。您好,您所反映的问题,我局内河所反馈如下：我所职责仅负责打捞河面漂浮物、清除驳岸杂草等。至于黑臭问题，是污水管网未接驳市政管网造成的，建议可转市水环境公司予以解决。您好，诉求中所反映的河道为洋洽河，我司所属水环境公司只负责该河道的截污工程，目前具备截污条件的排污口均已按设计施工完毕。河道黑、臭是由于河底淤泥经过河水冲刷，导致河水成黑色状，具体事宜建议转市建委内河处答复处理。您好！仓山区上渡路边的河道系洋洽河，属区管河道，建议转仓山区建设局办理 </t>
  </si>
  <si>
    <t>QQ</t>
  </si>
  <si>
    <t>请求福州市政府尽快协调解决高新区龙旺康桥丹堤臭水沟整治</t>
  </si>
  <si>
    <t>05/03/2016</t>
  </si>
  <si>
    <t>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t>
  </si>
  <si>
    <t>您好！经了解，元峰河改造项目（驳岸及环境整治）建设工程已经招投标，目前工程进展缓慢，下一步指挥部会抓紧督促项目建设方加快工程建设进度，争取下半年完成建设。
 </t>
  </si>
  <si>
    <t>龙旺臭水沟以及公交线路少的问题</t>
  </si>
  <si>
    <t>龙旺业主</t>
  </si>
  <si>
    <t>您好！FZ16050300523件收悉。乌龙江南大道的公交线路问题，将在下一轮公交规划中予以考虑，给您造成的不便敬请谅解。目前您可以行至就近的晓岐村站乘坐326路出行。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</si>
  <si>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民生大计</t>
  </si>
  <si>
    <t>江</t>
  </si>
  <si>
    <t>您好！FZ16050300423件收悉。乌龙江南大道的公交线路问题，将在下一轮公交规划中予以考虑，给您造成的不便敬请谅解。目前您可以行至就近的晓岐村站乘坐326路出行。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</si>
  <si>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amp;#160;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</si>
  <si>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16050300420件收悉。乌龙江南大道的公交线路问题，将在下一轮公交规划中予以考虑，给您造成的不便敬请谅解。目前您可以行至就近的晓岐村站乘坐326路出行。
 </t>
  </si>
  <si>
    <t>范精灵</t>
  </si>
  <si>
    <t>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</si>
  <si>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您好！FZ16050300394件收悉。乌龙江南大道的公交线路问题，将在下一轮公交规划中予以考虑，给您造成的不便敬请谅解。目前您可以行至就近的晓岐村站乘坐326路出行。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</si>
  <si>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高新区元峰河河道治理和周边几万人出行交通配套问题</t>
  </si>
  <si>
    <t>陈由进</t>
  </si>
  <si>
    <t>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 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</si>
  <si>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16050300385件收悉。乌龙江南大道的公交线路问题将在下一轮公交规划中予以考虑，目前该片区市民可以行至三盛托斯卡纳站乘车。给您造成的不便敬请谅解。
 </t>
  </si>
  <si>
    <t>大头妹</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</si>
  <si>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16050300370件收悉。乌龙江南大道的公交线路问题，将在下一轮公交规划中予以考虑，给您造成的不便敬请谅解。目前您可以行至就近的晓岐村站乘坐326路出行。
 </t>
  </si>
  <si>
    <t>及时整治臭水沟</t>
  </si>
  <si>
    <t>左兰</t>
  </si>
  <si>
    <t>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</si>
  <si>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经了解，诉求者所反映的情况系元峰河改造项目（驳岸及环境整治）建设工程，已经招投标，目前工程进展缓慢，下一步小城镇指挥部会抓紧督促项目建设方加快工程建设进度，争取下半年完成建设，改善环境，解决臭水沟问题。 </t>
  </si>
  <si>
    <t>04/30/2016</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</si>
  <si>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2、关于公交线路规划问题，建议转公交集团公司答复。您好！我是没有开辟公交线路的权限，请向主管部门反映。您好！FZ16043000283    件收悉。乌龙江南大道的公交线路问题，将在下一轮公交规划中予以考虑，给您造成的不便敬请谅解。目前您可以行至就近的晓岐村站乘坐326路出行。 </t>
  </si>
  <si>
    <t>环境污染严重</t>
  </si>
  <si>
    <t>丸子</t>
  </si>
  <si>
    <t>关于请求福州市政府尽快协调解决高新区龙旺康桥丹堤臭水沟整治和周边楼盘配置公交线路的诉求
14稿:
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</si>
  <si>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您好！FZ16043000138件收悉。康桥丹堤等乌龙江南大道楼盘的公交线路问题，将在下一轮公交规划中予以考虑，给您造成的不便敬请谅解。您好！经了解，现将您所反映的问题反馈如下：
1、元峰河改造项目（驳岸及环境整治）建设工程已经招投标，目前工程进展缓慢，下一步指挥部会抓紧督促项目建设方加快工程建设进度，争取下半年完成建设。
2、关于公交线路规划问题，建议转公交集团公司答复。 </t>
  </si>
  <si>
    <t>关于请求福州市政府尽快协调解决高新区龙旺康桥丹堤臭水沟整治和周边楼盘配置公交线</t>
  </si>
  <si>
    <t>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周边四大楼盘入住率相继提升，但是公交线路迟迟未规划，请求政府提供便民服务，尽早安排公交线路，方便大家出行。路的诉求
尊敬的市委市政府领导，您好！
诉求一:
1、现状:位于福州市高新区南屿镇的元峰河，河水乌黑，臭味缭绕，特别是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</si>
  <si>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您好！FZ16043000135件收悉。乌龙江南大道的公交线路问题，将在下一轮公交规划中予以考虑，给您造成的不便敬请谅解。目前您可以行至就近的晓岐村站乘坐326路出行。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</si>
  <si>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关于请求福州市政府尽快协调解决高新区龙旺康桥丹堤臭水沟整治和周边楼盘配置公交线路的诉求
尊敬的市委市政府领导，您好！
诉求一:
1、现状:位于福州市高新区南屿镇的元峰河，河水乌黑，臭味缭绕，夏天临近，滋生了很多蚊虫细菌，严重影响了周边楼盘（龙旺康桥丹堤、阳光城翡丽湾、乌龙江大区、泰禾红悦）及周边居民近几万居民的居住环境和百姓的生活品质。同时也严重影响了福州市高新区的整体形象。
2、诉求:希望政府予以重视，尽快解决环境保护和民生问题。及时整治臭水沟环境污染问题。
诉求二:
    周边四大楼盘入住率相继提升，但是公交线路迟迟未规划，请求政府提供便民服务，尽早安排公交线路，方便大家出行。</t>
  </si>
  <si>
    <t>您好！FZ16043000123件收悉。乌龙江南大道的公交线路问题，将在下一轮公交规划中予以考虑，给您造成的不便敬请谅解。目前您可以行至就近的晓岐村站乘坐326路出行。
您好！经了解，1、元峰河改造项目（驳岸及环境整治）建设工程已经招投标，目前工程进展缓慢，下一步指挥部会抓紧督促项目建设方加快工程建设进度，争取下半年完成建设。
2、关于公交线路规划问题，建议转公交集团公司答复。 </t>
  </si>
  <si>
    <t>阿捷</t>
  </si>
  <si>
    <t>您好！经了解，1、元峰河改造项目（驳岸及环境整治）建设工程已经招投标，目前工程进展缓慢，下一步指挥部会抓紧督促项目建设方加快工程建设进度，争取下半年完成建设。
2、关于公交线路规划问题，建议转公交集团公司答复。您好！FZ16043000121件收悉。乌龙江南大道的公交线路问题，将在下一轮公交规划中予以考虑，给您造成的不便敬请谅解。目前您可以行至就近的晓岐村站乘坐326路出行。
 </t>
  </si>
  <si>
    <t>关于水上公园及城区内河截污的建议</t>
  </si>
  <si>
    <t>04/20/2016</t>
  </si>
  <si>
    <t>远洋路水上公园是光明港公园的重要组成部分，但多年来，由于上游浦东河沿岸的生活、商业及工业等废水直排河中，造成水上公园水体黑臭甚于化粪池污水。附近各小区居民苦不堪言，并屡次向有关部分反映，以请求解决问题。两三年前，有关部门答复，待浦东河沿岸截污工程建成后，水上公园水质便可得到根本改善。如今，浦东河沿岸截污工程早已竣工多时，但水上公园水体依然黑臭如故。经查才发现，原来大量污水仍由浦东河沿岸多个排水口直排河中，根本就没有真正接入新建的截污工程，以致截污工程形同虚设，徒耗宝贵的财政资金。更严重的是，这些污水已成为光明港的最主要污染源，其汇入光明港后，严重影响了光明港水质，汇入口上下游的水质明显不同，一望便知。光明港公园扩建改造是市政府花费巨资兴建的利民工程，但却由于水体的污染，以致于市民们在公园中游玩时竟不敢近岸而行。如今，新购置的画舫已停泊在光明港水面上，这些画舫造价不菲、富丽堂皇，但会有游客上船去“享受”那水里扑鼻而来的异味吗？光明港污水最终还要汇入闽江，并随潮汐扩散到我市城区主要取水口所在水域，严重影响到市民饮用水的安全卫生。
我市城区众多内河中,存在着像浦东河这般情况的不在少数,媒体就曾多次报道截污工程未能有效截污以致污水仍旧直排内河。由于历史原因造成我市城区地下排污管线复杂而实在难以彻查改造,对内河沿线进行有效截污确实难度不小，本人有个建议，或许能以相对低廉的成本最大程度减轻内河污染：在沿河两岸各排水口内部开一个小口以安装排污管连接市政污水管网,同时在排水口外安装水压感应自动阀门。晴天时水压小,阀门关闭,污水由排水口内部进入入市政污水管网；雨天时水压大而阀门自动开启排水，雨污水一同排入内河，此时污染物经过雨水稀释，对环境污染程度也较轻。为避免雨天时进入市政污水管网的水量过大，以致超出市政污水管网的输送能力或污水厂的处理能力，可在排水口内部与污水管的接口处也安装一个水压感应自动阀门，感应方向与前者相反：晴天开启阀门以令污水进入污水管网，雨天关闭阀门而不让雨污水进入。
希望以上建议能够为我市内河污染治理提供有益思路。谢谢</t>
  </si>
  <si>
    <t>您好！光明港公园管理处日常仅负责公园绿地的绿化养护和环卫保洁等工作，内河水域具体问题建议转请福州市内河整治综合指挥部办理并反馈。谢谢。您好!
   感谢您对内河的关心与关注。水上公园位于远洋路，上游接浦东河，下游接光明港，目前属市园林局下属单位水上公园管理处管理；光明港公园属市园林局下属单位光明港公园管理处管理；光明港河道属市建委直接管理。由于浦东河属断头河，沿线村庄较多，居民生活垃圾经常直接倒入河内，且日常补水量较少，造成目前浦东河水质黑臭。目前由福州市市容建设开发公司为业主的磨洋河与浦东河补水泵站正在建设中，待建设完工后可增加浦东河流水量，改善浦东河水质问题。您好！感谢您对内河工作的关注和支持，您的意见与建议我们将转给内河截污管网规划设计部门，作为管网设计的参考。谢谢 </t>
  </si>
  <si>
    <t>省团校旁边那条河啥时候开始治理</t>
  </si>
  <si>
    <t>余生</t>
  </si>
  <si>
    <t>04/08/2016</t>
  </si>
  <si>
    <t>又黑又臭。</t>
  </si>
  <si>
    <t>您好！仓山区上三路省团校边的河道系龙津浦河，该河已列入今年市政府PPP试点项目，目前正进行前期工作，计划下半年入场整治。 </t>
  </si>
  <si>
    <t>内河污染何时休，百姓生活真堪忧</t>
  </si>
  <si>
    <t>毛毛</t>
  </si>
  <si>
    <t>04/04/2016</t>
  </si>
  <si>
    <t>福州市仓山区上三路牛眠山巷内有条内河蜿蜒而过，黑臭逼人，一到雨季或者炎炎夏日，更是浊臭袭人，让人难以忍受，严重影响周边居民生活，而且，河边有所幼儿园，河里的臭味更是直接影响孩子们的健康，不知道政府何时出手，搞定这条河，解百姓生活之忧，望政府能听到百姓心声，为百姓办实事办好事！</t>
  </si>
  <si>
    <t>您好！仓山区上三路牛眠山巷边的河道系龙津浦河，该河已列入今年市政府PPP试点项目，目前正进行前期工作，计划下半年入场整治。 </t>
  </si>
  <si>
    <t>市政的排水口堵了</t>
  </si>
  <si>
    <t>04/02/2016</t>
  </si>
  <si>
    <t>晋安北路罗马假日花园门口的绿化带旁边的路面会积水，查看后发现路边市政的排水口堵了，积水发黑，很臭。希望有关部门可以前来处理此事。</t>
  </si>
  <si>
    <t>您好，该路段属区管道路，建议转晋安区建设局核查处理，谢谢！您好！
感谢您的诉求，经查，您所诉求的晋安北路积水问题，我局已安排施工人员进行疏通，目前，已疏通完毕。 </t>
  </si>
  <si>
    <t>生活污水直接流入大樟溪</t>
  </si>
  <si>
    <t>关注环保的人</t>
  </si>
  <si>
    <t>03/28/2016</t>
  </si>
  <si>
    <t>位于永泰县中心市场处防洪堤上有一处涵洞是一个污水排放口，又黑又臭的生活污水直接流入大樟溪，在河面形成一块污水区，建议将此处的污水接入污水管网。</t>
  </si>
  <si>
    <t>你好，诉求者：该处涵洞污水排放口已安装污水提升设备，可将该处污水提升至污水主干管。目前，该污水提升设备正在调试运行中。
 </t>
  </si>
  <si>
    <t>金彩新村附近臭水沟问题</t>
  </si>
  <si>
    <t>admin</t>
  </si>
  <si>
    <t>02/14/2016</t>
  </si>
  <si>
    <t>金彩新村附近臭水沟都好几年了，又黑又臭，什么时候才能解决好</t>
  </si>
  <si>
    <t>您好，管网公司工作人员已于2月16日11时到达现场，经查看金彩新村外污水冒溢为小区内部污水环网堵塞造成，属小区内部维护范围，根据《福州市城市排水设施建设与管理办法》第二十二条城市排水设施管护责任，按照下列规定划分：（三）住宅小区内的排水设施，由产权人或其委托的单位负责。市政污水管道畅通，非我司维护范围，建议转金彩新村物业如无物业应由管辖社区核查处理。您好！您反映的问题经了解：金彩小区未实行专业化物业管理，小区属于业主自治管理及属地街道、社区监督管理，您诉求的问题，建议转下渡街道协调处理。您好，您所反映的问题已收悉。您所反映的是龙津河的问题，不属于我街道及物业管辖范围，建议转内河管理处办理。谢谢。你好。龙津河目前已着手整治中，由于出口未打通，故会发生发臭现象。待出口打通后，可缓解。经了解内河指挥部，该段将预计在今年内打通。 </t>
  </si>
  <si>
    <t>龙舟河的源头汇入的内河流黑臭，影响福州新区、自贸区形象</t>
  </si>
  <si>
    <t>先生</t>
  </si>
  <si>
    <t>01/27/2016</t>
  </si>
  <si>
    <t>鼓山大桥旁，濂水路头汇入龙舟河的内河黑臭，影响龙舟河水质，影响福州新区城市形象，请加快截污和治理</t>
  </si>
  <si>
    <t>您好！鼓山大桥旁，濂水路头汇入龙舟河的内河主要是跃进河和龙津河，目前由仓山区内河整治指挥部负责实施整治，建议转仓山区建设局办理你好。该处河道为跃进河，为今年重点内河整治项目之一。该河目前已在整治中，对于截污与治理都将在整治过程中进行。对此，我局将持续跟踪该河的整治情况。 </t>
  </si>
  <si>
    <t>投诉污水排放到人工河</t>
  </si>
  <si>
    <t>01/04/2016</t>
  </si>
  <si>
    <t>我是仓山区上渡江南水都美域31号楼业主，他们在小区内挖了一条人工的河，30号楼跟31号楼之间排放污水，非常臭，上周天拨打环保局电话12366反映，他们说小区内不管，管道流出来的水都是黑的，奇臭无比，金山污水处理厂就在附近，为什么不转到那边处理？怎么把污水排到内河？要求相关部门介入处理。要求市环保，市规划，市建委，三部门来协调解决这个问题。谢谢。</t>
  </si>
  <si>
    <t>你好！诉求件中提及的人工河为小区配套，应由小区物业管理单位负责。建议咨询房管局办理您好!您诉求的问题经了解：美域30#楼与31#楼间内湖系江南水都景观湖，按照规划设计小区雨水排入景观湖，污水接驳市政管网排污。湖水变臭，系因2015年10月底因市政污水管堵塞水务管网公司将污水管直接接驳雨水管向内湖排污，目前堵塞管网已经疏通，排污源头已经解决。 </t>
  </si>
  <si>
    <t>12/22/2015</t>
  </si>
  <si>
    <t>2015年1月5日，我局执法人员前往现场，经现场检查，发现天源水产没有生产，日兴水产当日正常生产，现已要求日兴水产停止生产。 </t>
  </si>
  <si>
    <t>仓山区龙津河水体黑臭严重</t>
  </si>
  <si>
    <t>旷野</t>
  </si>
  <si>
    <t>12/14/2015</t>
  </si>
  <si>
    <t>仓山区龙津河水体黑臭严重，严重影响周边居民生活，望有关部门予以处理。</t>
  </si>
  <si>
    <t>你好。龙津河已在整治中，但在连江南路段受阻，导致部分段出口未打通，故会发生发臭现象。目前市建委已和业主单位已在细化有效的整治方案，争取早日打通出口。同时，我局也会继续跟踪该河整治的最新情况 </t>
  </si>
  <si>
    <t>碧水龙庭边上的内河很臭</t>
  </si>
  <si>
    <t>林</t>
  </si>
  <si>
    <t>12/04/2015</t>
  </si>
  <si>
    <t>原来的水还行，至少没有味道，现在一到周末，河水就变的又黑又臭，不知道是哪个企业在趁周末的时候排放污水，既然环保局说不是他们管的，那这该由谁来管？已经投诉好几回了，不要再这么推过推去的，难道这个污染的源头很难查吗？还是因为其它的一些原因呢？</t>
  </si>
  <si>
    <t>我局环境监察人员已前往查处，“碧水龙庭”及周边小区的生活污水已接入市政污水管，其周边的工厂排放的生产、生活污水已接入市政污水管网，由市政污水管网输送到连江县污水厂处理。在现场未发现周边企事业单位有偷漏排放污水的情况。我局将继续跟踪督查。内河水黑问题建议转相关水行政部门处理，加快潘溪水渠工程进度，以便及时引水促进内河水循环。 </t>
  </si>
  <si>
    <t>建议白水湖列入城市黑臭水体整治</t>
  </si>
  <si>
    <t>12/03/2015</t>
  </si>
  <si>
    <t>城市黑臭水体整治全面启动了，建议白水湖列入城市黑臭水体整治。</t>
  </si>
  <si>
    <t>您好!
  至去年以来管理单位对于白水湖的垃圾清理工作已制定了定期清理计划并按清理计划及时对白水湖的垃圾进行清理并做好相应记录。现已建议列入龙江两岸景观改造工程实施综合治理，对于是否列入城市黑臭水体整治建议将诉求件转至市环保局。转来编号FZ15120300614关于“建议龙江白水湖列入城市黑臭水体整治”的诉求件收悉，现将有关办理情况反馈如下：
目前，各级政府正在着手于开展城市黑臭水体整治工作，现阶段主要整治范围为建成区、河道干流区域。黑臭水体整治工作是一个逐步推进的过程，由河流主干道逐步向支流、湖泊、排洪沟等逐步推进。我市将逐年推进黑臭水体的整治工作，以确保我市整体水质的提高。今后我市将根据环境管理工作情况，定期增补消除劣V类水体清单。
专此答复
 </t>
  </si>
  <si>
    <t>12/01/2015</t>
  </si>
  <si>
    <t>我是仓山区上渡江南水都美域31号楼业主，他们在小区内挖了一条人工的河，30号楼跟31号楼之间排放污水，非常臭，上周天拨打环保局电话12366反映，他们说小区内不管，管道流出来的水都是黑的，奇臭无比，金山污水处理厂就在附近，为什么不转到那边处理？怎么把污水排到内河？要求相关部门介入处理。</t>
  </si>
  <si>
    <t>您好，您所反映的问题，我局内河所反馈如下：该河未列入我所管辖，据了解，该河系水都社区景观河，建议可转水都社区予以解决。您好！接到诉求后，我街道市容办责令融侨美域物业整改，该物业负责人称该人工河不是业主挖的，而是地产商施工时就已经存在30至31号楼之间的内湖。谢谢！您好！经查，该污水流出是因为污水管与雨水管之间泄漏引起。目前我街道市容办已与水务局金山片区联系，该局着手在处理。谢谢！您好！您诉求的问题经了解：30至31号楼之间的人工河不是业主挖的是地产商施工时就已经存在，按照设计雨水管是排到内湖，污水是排到市政污水管道。关于污水排到内河的问题，不属于我局职能监管范围，建议向环保部门反映。您好，江南水都美域位于上渡街道辖区地块，请转上渡街道进行办理。小区居民生活用水排入内河，依据《福州市内河管理条例》建议由内河管理处加强巡查，并将排污口报市政管理处，加大截污接驳建设。你好。上渡街道已答复详尽，请参考。 </t>
  </si>
  <si>
    <t>治理内河</t>
  </si>
  <si>
    <t>黄宇</t>
  </si>
  <si>
    <t>11/15/2015</t>
  </si>
  <si>
    <t>鼓山大桥旁，濂水路头汇入龙舟河的内河黑臭，影响龙舟河水质，影响城市形象，请加快截污和治理。</t>
  </si>
  <si>
    <t>您好,您所反映的问题,该河未列入我所管辖,根据市政府办公厅会议纪要[2007]66号：“凡未列入市、区内河管理部门正常管理的河道，均由当地政府实行属地管理。”建议可转城门镇予以解决。诉求者：您好！
关于你诉求一事，我镇环保站正于相关部门研究处理中。 </t>
  </si>
  <si>
    <t>远洋路179#福州春天小区12号楼后面的河道河水乌黑臭气熏天影响居民日常生活...</t>
  </si>
  <si>
    <t>周先生</t>
  </si>
  <si>
    <t>11/02/2015</t>
  </si>
  <si>
    <t>远洋路179#福州春天小区12号楼后面的河道河水乌黑臭气熏天影响居民日常生活</t>
  </si>
  <si>
    <t>您好，福州春天小区12号楼后面河道污染严重：诉求者所诉问题不在我镇管辖范畴内，建议转区内河管理处办理。您好！
春天小区周边河道有：磨洋河、淌洋河、浦东河等多条河道。且没有投诉人反映的浏阳河名称，因无法确定投诉人所反映河道的具体位置。经现场勘查福州春天小区12号楼小区边的河道系淌洋河，该河道已被纳入福州“海绵城市”建设计划项目，预计2018年底完成整治。 </t>
  </si>
  <si>
    <t>流花溪全面整治是2015年福州市政府为群众办实事的重大事项之一，年底了请问可以动...</t>
  </si>
  <si>
    <t>人民群众</t>
  </si>
  <si>
    <t>10/26/2015</t>
  </si>
  <si>
    <t>浦上大道到泰禾红树林段的流花溪，无人管理，附近的村民生活垃圾乱倒，一些建筑工地把渣土倒在溪里面，周边的违建工厂也把有毒工业废水排入溪水中。现在的情况是流花溪水浮莲疯长，臭水横流，老鼠乱窜，苍蝇蚊子肆虐，溪水几乎断流，溪水的臭味令附近的居民常年无法开窗，忍受煎熬。受污染的有毒溪水直接排向乌龙江，在乌龙江靠近流花溪出口处，黑臭的污水和江水泾渭分明，长长的一片可谓触目惊心，环保问题已经刻不容缓，在此不远处的是海峡奥体中心饮用水的取水点，流花溪的废水已经直接影响人民群众的生命安全。
这景象对于年年获得卫生城市复审的福州市来说是一种讽刺，在这期间人民的新闻媒介积极介入报道，如福建电视台、福州电视台、海都报、福州日报福州晚报等都在为群众疾苦大篇幅的报道和呼吁。
可喜的是福州市政府部门已经意识到流花溪污染的严重性，从2007年开始规划整治到现在已经将近十年的，福州市政府和仓山区政府在2015年已经把治理流花溪作为今年为群众办实事的重大事项之一，在年内全面开工建设流花溪。我们感谢福州市政府和仓山区政府的关心和重视。
从前期12345投诉热线来看，流花溪污染，群众投诉量很大，相关部门的流花溪的整治的时间上答复发生很大变化，现在涉及需要拆迁的自然村没有得到任何拆迁通知，施工时间不断在往后推移，从规划整治到现在已经将近十年了，大家有几个十年，十年可以实施两次国家五年规划了，请问这件为民办的实事是2015年不办了吗？那请问时候可以办成？
现在全国各地都在学习“三严三实”，最基本要求这两项，“谋事要实”、“做人要实”。引申为人民服务的理念上就是，不能当“官老爷”，高高在上、自以为是，只懂得吹牛，不干实事，人民需要的是，敦本务实的作风、勇于担责的精神、直面问题的气度。应该时刻把手中的权力视为为人民服务的责任和义务，始终牢记人民群众是的衣食父母。
广大人民群众呼吁，请各级政府将“三严三实”的理论付诸于实践，请兑现你们的诺言。</t>
  </si>
  <si>
    <t>您好，流花溪整治项目是福州市为民办实事项目，拟定于年内启动流花溪整治项目。 </t>
  </si>
  <si>
    <t>台江光明港二支河何时整治</t>
  </si>
  <si>
    <t>10/24/2015</t>
  </si>
  <si>
    <t>您好！有关光明港二支河岸边违建拆除，请转属地街道鳌峰街道及区市容局处置；另光明港二支河整治业主单位为区江滨公司，详情请询该公司。鳌峰街道城管科反馈如下：光明港二支河水岸的违建铁皮房目前我科已按《福州市城区两违查处规程》进行立案查处，已列入近期拆除计划。您好！位于连江中路至光明路的光明港二支河综合整治工程目前已基本完成前期相关工作，待沿河违章拆除后及财政资金到位后可进场施工，沿河违章建筑何时拆除，转属地街道以及区市容局答复。 </t>
  </si>
  <si>
    <t>内河又黑又臭</t>
  </si>
  <si>
    <t>10/11/2015</t>
  </si>
  <si>
    <t>晋安区前屿东路77号鼓山苑小区内一条内河又黑又臭，一直反映都没有治理，严重影响居民生活，特此投诉。</t>
  </si>
  <si>
    <t>您好！
经现场勘查，所诉问题应为浦东河，造成内河黑臭原因主要是因为上游村庄和周边居民较多，生活垃圾经常直接仍到河内，自9月1日起，根据区里工作安排，由区市容局负责内河水面保洁、绿地保洁、行政执法等相关工作，我局负责内河建设、设施维护等工作。有关浦东河黑臭问题，请转市容局办理。关于反映前屿东路77号鼓山苑小区内河卫生差。接到诉求件后，我局环卫处领导十分重视，立即通知我局环卫处内河管理部门进行处理。经查，关于内河又黑又臭的问题，因涉及水质问题建议转水环境管理部门进行处理。您好！福州市晋安区鼓山苑内河系浦东河。浦东河水质较差，主要因为该河道是断头河，上游无来水且无生态补水，河水流通不畅，水体交换缓慢所致。为改善东区内河水质，计划实施磨洋河浦东河水系生态补水工程，目前，正在规划设计论证阶段 </t>
  </si>
  <si>
    <t>有些单位趁黑排放臭气，请处理。。。</t>
  </si>
  <si>
    <t>陈陈</t>
  </si>
  <si>
    <t>08/01/2015</t>
  </si>
  <si>
    <t>晚上11点多左右，南风吹来，都会伴有一股鱼腥臭味，非常恶心的臭，难以忍受，请有关部门及时查处，还我们一个良好的居住环境。</t>
  </si>
  <si>
    <t>你好，你所反映的事项没有明确的位置，我镇相关部门无法立即查处。相关部门将针对你所反映的事项进行排查，一经发现，立即查处。 </t>
  </si>
  <si>
    <t>上渡河黑又臭</t>
  </si>
  <si>
    <t>唐小姐</t>
  </si>
  <si>
    <t>07/23/2015</t>
  </si>
  <si>
    <t>上渡河黑又臭仓山区环保局不作为</t>
  </si>
  <si>
    <t>你好。福州市管网公司近期都在逐步进行排查中，并对排污现象进行查处制止，对违规排污管道进行封堵。由于管道的隐蔽性强，排查存在困难，故需要一段时间。具体排查时间还无法明确，但该项工作已经在实施中。给您造成的不便，敬请谅解。我局执法人员通过对该河段巡查，未发现工业企业向该河段排放废水，主要是周边居民生活用水排入内河，依据《福州市内河管理条例》建议由内河管理处加强巡查，并将排污口报市政管理处，加大截污接驳建设。 </t>
  </si>
  <si>
    <t>港头旁边的洋洽半道内河，黑脏臭，看了都令人恶心严重污染</t>
  </si>
  <si>
    <t>陈某某</t>
  </si>
  <si>
    <t>07/08/2015</t>
  </si>
  <si>
    <t>内河前两年进行了整治，好像现在更差了，黑脏臭，黑到可以当墨汁，看了都令人恶心，从旁边走过都要离得远远的，不然扑鼻而来的臭味令人恶心，通过糟蹋地球的方式发展已经让现在的内核千疮百孔，污染到不能再严重了，希望相关部门可以正视这个问题，做些实际的行为来爱护我们赖以生存的土地，而不是睁一只眼闭一只眼，让后人辱骂我们这辈人。内河整治有困难，找懂得整治内河的人，拿出实际行动，不要坐以待毙。
希望内河边上“禁止下水”变成真正的警示标语而不是一句笑话。</t>
  </si>
  <si>
    <t>您好！仓山区洋洽河属区管河道，建议转仓山区建设局办理你好。关于洋洽河受违规排污遭污染的问题，近期经过正常补水和市管网公司开展的排查封堵行动，水质已有明显进展，但是排查工作还在进行。由于偷接污水管隐蔽性强，查起来难度大，需要时间进行，请予以谅解。 </t>
  </si>
  <si>
    <t>内河被堵住了</t>
  </si>
  <si>
    <t>07/01/2015</t>
  </si>
  <si>
    <t>台江区长乐南路和排尾路交界处有一条内河被堵住了，水流不出去，又黑又臭，望相关部门尽快介入调查处理。</t>
  </si>
  <si>
    <t>您好！诉件中反映的情况为光明港一支河水质生态修复试点工程的围堰，该项目施工单位为福州市开朗生态科技有限公司。目前项目已停工，市内河管理处已派施工队对该处围堰进行拆除。 </t>
  </si>
  <si>
    <t>内河堵塞，污水奇臭</t>
  </si>
  <si>
    <t>郑</t>
  </si>
  <si>
    <t>06/25/2015</t>
  </si>
  <si>
    <t>在仓山区金山建新中路水口苑、龙凰苑以及麒麟苑小区旁边内河前几年整改一半停止，在金康路桥上很能看到当时留下的沙袋，现在河水很少，水位下降，又黑又臭，滋生蚊蝇，望相关部门尽快介入处理。</t>
  </si>
  <si>
    <t>你好。该河为浦下河，目前正在着手相关前期工作。目前其业主单位为区建设开发公司，建议请咨询该司答复办理。  您好：您所反映的问题我司主要领导高度重视，浦下河目前正在办理前期征地、工程报建手续。待审批完成即可进场施工，施工后内河黑臭问题即可解决。 </t>
  </si>
  <si>
    <t>港头河河水变黑问题（加急）</t>
  </si>
  <si>
    <t>06/21/2015</t>
  </si>
  <si>
    <t>港头河世欧上江城后面河道的最近几天卫生状况变差，河水都变成很黑，味道很臭，望部门予以调查处理！</t>
  </si>
  <si>
    <t>诉求所反映问题河段是港头河，由仓山区内河管理所负责日常保洁管理。收到诉求件后市环卫处即会同仓山区内河管理人员到现场查看，河面卫生状况较好，无明显漂浮物。市环卫处要求仓山区内河管理所加强日常巡查和保洁力度，做到保洁时段内河面整洁美观。河水发黑发臭的问题建议转市建委和环保部门办理。您好！港头河属仓山区管河道，建议转仓山区建设局你好。港头河由于长期受到龙津一支河水质的影响导致会出现黑臭现象。目前，市建委已制定初步改善方案，预计近期会进行具体部署。同时，生活污水的排入请转辖区街道加强日常巡查工作。我局执法人员通过对该河段巡查，未发现工业企业向该河段排放废水，主要是周边居民生活用水排入内河，依据《福州市内河管理条例》建议由内河管理处加强巡查，并将排污口报市政管理处，加大截污接驳建设。您好，所反应的世欧上江城后面河道位于下渡街道，请批转办理。您好：港头河由于长期受到龙津一支河水质的影响导致会出现黑臭现象，现还没经过内河改造。建议转区内河管理所办理。您好,您所反映的问题,我局内河所反馈如下：我所已通知该河段管理员和护河员对河面漂浮物、驳岸杂草及时打捞和清除。至于黑臭现象，是污水管网未接驳市政管网造成的，建议可转市水环境公司予以解决。 </t>
  </si>
  <si>
    <t>红旗浦河污染真就不能解决吗</t>
  </si>
  <si>
    <t>骏夷花园业主</t>
  </si>
  <si>
    <t>红旗浦河今天又变黑了，非常的臭，以下是上次投诉的反馈：
您好，诉求件中所提到的内河为红旗浦河，目前红旗浦河截污工程已基本结束，导致河水发臭的原因有如下几点：1、红旗浦河上游多为棚户区，居民将生活垃圾直接扔入内河中；2、河水流经榕城监狱段后，河水上明显垃圾及油污漂出，该段河道被监狱覆盖，无法对该段进行排查。建议：1、仓山区组织相关部门对上游的脏乱差进行整改；2、市容管理局引水管理所对河道加强河道补水(福州市城乡建设委员会于2014年12月1日回复)。
您好！您所反映的问题，该河系红旗浦河，仓山区内河所职责仅负责打捞河面漂浮物，清楚驳岸杂草等。1.至于黑臭问题，是污水管网未接驳市政管网造成的，建议可转市水环境公司予以解决。2.河水补水问题，建议可转福州市内河引水管理所予以解决，我所将加强日常巡查和保洁力度。(仓山区执法局于2014年12月4日回复)。
金山骏夷花园与金山明珠之间的内河为红旗浦河，该河由市内河引水所洪塘泵站负责内河生态补水。该站自今年十月份设备改造完成后，在规定时段4-5台机组，以每秒15立方米的流量对金山内河进行生态补水，其中红旗浦河分流每秒3立方米的水量。12月11日，市内河引水所派专人沿红旗浦河全线查看，该河道水流量和流速基本能满足补水量的需要，但发现沿河仍有排污管向河道排放污水以及生活污水和各类垃圾进入内河。请内河建设部门进一步完善污水管网建设和加强对内河违法行为的查处，杜绝污染源进入内河，改善内河水质。请转市建委内河管理处办理。(福州市市容管理局于2014年12月17日回复)
福州市便民呼叫中心12345
2014年12月19日
  上面提到的榕城监狱段以及沿河排污管，是不是真就不能解决了，怎么就允许他们制造这么严重的污染？！</t>
  </si>
  <si>
    <t>您好！仓山区红旗浦属仓山区管河道，建议转仓山区建设局办理你好。红旗浦河已整治完毕。目前存在的沿线一些污水偷排现象下一阶段需要委托市管网公司进行排查治理并结合补水来缓解水质。由于，排查存在困难，需要时间。给您造成的不便敬请谅解。 </t>
  </si>
  <si>
    <t>洪阵河长期污染直排闽江,政府视而不见,只做表面文章,应该要问责</t>
  </si>
  <si>
    <t>黄先生</t>
  </si>
  <si>
    <t>06/18/2015</t>
  </si>
  <si>
    <t>你好。目前洪阵河的清淤方案已上报区政府研究议定，但审批议定后可拟进场清淤。经查，该河污水是河周边村民及小区居民生活污水流入所致，根据《福州市内河管理条例》生活污水流入内河，属内河管理处管辖，请转内河管理处查处。 </t>
  </si>
  <si>
    <t>首占村的河水非常的黑脏臭！</t>
  </si>
  <si>
    <t>06/17/2015</t>
  </si>
  <si>
    <t>夏天到了，整条村河水发黑！臭气熏天！这难道也算是国家环保模范新区的么？</t>
  </si>
  <si>
    <t>经了解，诉求人所映的首占村内河污染问题，是由于该村村民群众的生活污水直接排放和乱倒建筑垃圾，造成河道堵塞，河水发臭，水质变差。今年，首占村将与上洋村、鹏上村一起对河道进行清淤，确保排水畅通、改善水质。 </t>
  </si>
  <si>
    <t>洋洽半道内河严重污染，水色黑亮恶臭</t>
  </si>
  <si>
    <t>赵文博</t>
  </si>
  <si>
    <t>06/02/2015</t>
  </si>
  <si>
    <r>
      <rPr>
        <sz val="11"/>
        <color theme="1"/>
        <rFont val="等线"/>
        <family val="4"/>
        <charset val="134"/>
        <scheme val="minor"/>
      </rPr>
      <t>亲爱的环保局同志，我是工作地点为洋洽半道内河旁，天气热了，每日都被内河发出</t>
    </r>
    <r>
      <rPr>
        <sz val="11"/>
        <color rgb="FFFF0000"/>
        <rFont val="等线"/>
        <family val="4"/>
        <charset val="134"/>
        <scheme val="minor"/>
      </rPr>
      <t>来的阵阵恶臭熏的想跳楼</t>
    </r>
    <r>
      <rPr>
        <sz val="11"/>
        <color theme="1"/>
        <rFont val="等线"/>
        <family val="4"/>
        <charset val="134"/>
        <scheme val="minor"/>
      </rPr>
      <t>，然而，内河的水不是总是脏臭的，经常看到有黑亮恶臭的黑水从内河的西方流向东方，每次流的方向都一样</t>
    </r>
    <r>
      <rPr>
        <sz val="11"/>
        <color rgb="FFFF0000"/>
        <rFont val="等线"/>
        <family val="4"/>
        <charset val="134"/>
        <scheme val="minor"/>
      </rPr>
      <t>，而当水流从西方流向东方的时候，水不是黑臭的，所以我认为有人在内河排污水，地球只有一个，福州只有一个，生命只有一次，所以请地球保护者——环保局同志能够给那些乱排污水，污染福州的人给予痛击。如果您还可怜平民的生命，还良心未泯，请出手相救！</t>
    </r>
  </si>
  <si>
    <t>你好。我局会通知市管网公司予以排查，对于存在的排污现象予以查处。您好，我所属管网公司已接到仓山区建设局通知，现已对洋洽半道内河进行排查，预计于6月15日全面排查完毕。届时，管网公司会将排查结果报仓山区建设局，后续处理情况建议由仓山区建设局答复，谢谢！ </t>
  </si>
  <si>
    <t>市人大：面向全球招商的立州大厦面前的河流又黑又臭，影响招商！</t>
  </si>
  <si>
    <t>05/12/2015</t>
  </si>
  <si>
    <t>您好！立洲大厦边的河道系东郊河，属晋安区管河，建议转晋安区建设局办理您好！
   立洲大厦前的河流是凤坂河，该河目前水质属地表水五类，尚属正常的内河水质。
   刚建成的立洲大厦对河流有要求是可以理解的，但治水不是一朝一夕的，需经过不断的努力，改善内河水环境。
   我们已将凤坂河清淤的计划上报给福州市内河整治指挥部，市里也派人到现场查看，并且已列入今年的全市清淤计划之中。
   同时，我们在市领导调研内河工作中，现场给市领导建议，在凤坂河与晋安河交汇处，挖宽进水口，使晋安河河水能更多地补充凤坂河。市领导已同意，并交福州市规划设计院进行设计。凤坂河口挖大了，就会有更多的活水补充到凤坂河来，届时水质会有更大的改善。此项工作正在进行。 </t>
  </si>
  <si>
    <t>面向全球招商的立州大厦面前的河流又黑又臭，影响招商！</t>
  </si>
  <si>
    <t>05/08/2015</t>
  </si>
  <si>
    <t>您好！立州大厦边的内河系东郊河属晋安区区管河，建议转晋安区建设局办理您好！
   立州大厦面前有两条河流，靠东的是东郊河，面南的是凤坂河。
   靠东的东郊河与立洲大厦相邻，2012年至2013年，该大厦未办任何审批手续，擅自覆盖东郊河河面，长度达80米至100米，使东郊河水不能正常流动。今年3月，福州市内河整治指挥部现场检查时，要求对该覆盖的河道进行清理，纠正违法行为。目前，我区提出的解决办法是清淤，但由于河道被覆盖，清淤存在很大的难度。另一种办法是对东郊河补水，引晋安河水，通过凤坂河，埋设管道至东郊河上游进行补水。目前已请有关设计单位进行初步设计。
   凤坂河的水质达到地表水五类，达到城市内河景观水水质。但由于几年来清淤，在其中鼓一村河段有点淤积，已向福州市内河整治指挥部申报列入今年内河清淤项目。市内河指挥部上月已派人到现场查看。 </t>
  </si>
  <si>
    <t>晋安地税边河水黑臭无比！</t>
  </si>
  <si>
    <t>05/07/2015</t>
  </si>
  <si>
    <t>您好！晋安地税边的内河系风坂河，属晋安区区管河道，建议转晋安区建设局办理您好！
   晋安区地税边的河流是凤坂河。凤坂河全长5.2公里，从晋安河至光明港，是晋安区主干河流，平时水质达到地表水五类，基本达标。近期由于凤坂河中段鼓一村河段有淤积水流较少，有时有黑臭情。
   解决办法：我们早就将此情况上报福州市内河整治指挥部，市里也于上月到现场调研，要进行河泥的清淤工作，挖深挖宽，解决水流不是问题。此方案市里已同意，将列为今年内河清淤项目。清淤后凤坂河有时黑臭问题将会得到解决。 </t>
  </si>
  <si>
    <t>一前年投诉工业和生活污水直排闽江迄今臭气冲天（色如墨水）的污水还在直排福州市水源...</t>
  </si>
  <si>
    <t>懒得糊涂</t>
  </si>
  <si>
    <t>05/04/2015</t>
  </si>
  <si>
    <t>2014年曾经就位于淮安大桥北岸下一百米内（二级水源保护区）一个直排闽江的排污口进行过投诉，可时过一年该排污口还在肆无忌惮地将乌黑奇臭无比的工业和生活污水直排闽江，在闽江上形成一乌黑的水带，令人发指。不知职能部门的官员都干嘛去了，把市民饮用水的重大民生事项抛于脑后。如今，该排污口的及时处置是否要给市民一个交代了！市民将拭目以待。（附拍摄的几张相片）</t>
  </si>
  <si>
    <t>县信访局：
接投诉件（编号FZ15050400018）关于群众反映淮安大桥北岸下直排闽江的排污口污染闽江的问题，我局现将办理情况反馈如下：
经实地踏看，群众所反映的排污口，实为十六浦排涝站，由于附近居民的生活污水未经有效处理汇入排涝站，长期以来导致该处外排的水体水质较差，排涝水道底泥乌黑。据我局了解，目前荆溪镇政府已计划对该排涝站采取截污措施，将排涝站所排放的水体拦截后引入市政污水管网，由污水处理厂集中处理。目前截污工程前期工作已在开展，预计下半年即可动工，待截污工程完工后，该排涝站即关闭不再对闽江排放。
特此反馈
闽侯县环境保护局 </t>
  </si>
  <si>
    <t>洪阵河耗巨资轰轰烈烈整治两年停工，至今4年河道不挖通，比未整治更臭</t>
  </si>
  <si>
    <t>河边居民</t>
  </si>
  <si>
    <t>04/13/2015</t>
  </si>
  <si>
    <t>附近的居民对河道的整治很是不满，福州市政府拨巨款整治，为什么是这个样子？请福州市政府过问此事，给出一个解决办法，尽快治理好这条河。
   福州市政府拨巨款，整治内河，2011年3月仓山区郑板至洪塘的洪阵河轰轰隆隆开工整治，好不热闹，附近居民很是高兴，感谢市政府的决定。
   洪阵河的规划河道全长2300米，整治目标是打通河道后，直入闽江，将通过相连的洪湾河，引入乌龙江水，全面改善洪阵河内河水质。
   但2012年年底，工程未完工就停下了，至今4年多，留下黑臭的死水，没有下文，2013年10月28日，海峡都市报关于“内河整治完工，喝上活水”进行了虚假报道，可实际却是河道极臭熏跑游客，河水臭得让附近的居民窒息，海峡都市报随后有一更正报道：“洪阵河河水极臭熏跑游客”。
   没有整治前臭水缓慢流动，整治后“花好月圆”小区西侧的桥下被堵死，使得河水几乎不流动，变成死水、臭水。
内河整治期间，福州武警指挥学院为了私利，占用河道在内河边建一小房，治理单位应该是没有办法，只能多花钱让本来就窄的河道在此处长一大肌瘤。</t>
  </si>
  <si>
    <t>您好！洪阵河属于区管河，建议转仓山区建设局办理你好。洪阵河目前还有部分段尚未整治完毕，导致河水黑臭，目前后半期工程也正在积极整治中。目前该项工作正在积极推进中。给您造成的不便敬请谅解。 </t>
  </si>
  <si>
    <t>海峡奥体周边上歧村与下歧村段的阳歧河迟迟不整治，何时整治</t>
  </si>
  <si>
    <t>林晴</t>
  </si>
  <si>
    <t>你好。经了解市建委，该河道的截污尚未具备条件，需结合周边市政道路建设时一并实施河道截污。同时，我局也会持续跟踪该河的相关情况。 </t>
  </si>
  <si>
    <t>光明港二支河何时整治及岸边违建何时拆除</t>
  </si>
  <si>
    <t>普通市民</t>
  </si>
  <si>
    <t>02/25/2015</t>
  </si>
  <si>
    <t>您好！有关河岸边违建拆除，此前已发函通知鳌峰街道及区市容局拆违，请转属地鳌峰街道及区市容局处置；光明港二支河整治业主单位为区江滨公司。据了解，目前已在市规划设计院进行施工图设计，详情请询区江滨公司。鳌峰街道城管科反馈如下：光明港二支河两岸的违法建筑，目前我科已着手处理，列入本年度清违计划中，现正将两岸的违法情况进行摸底，配合内河整治展开拆除。经查，投诉者所提到的鳌峰路原瓜果综合批发市场南面一层饮食店面为榕江新天地楼下餐饮店，该处餐饮店污水已接入榕江新天地小区管网，不存在直排内河现象。福州旧蔬菜瓜果批发市场内紧靠着沿河有一家用铁皮搭盖的餐饮店，店名为兄弟菜馆，现场检查无工商证和餐饮服务许可证，我局已责令其立即停违法行为，不得将污水直排内河，因该餐饮店无证经营建议转工商和食药部门予以查处，同时我局也将根据相关环保法律法规对其进行查处。经查，光明港二支河两岸均系违法建筑，根据法律规定该地点不符合办理餐饮卫生服务许可证条件。建议相关职能部门对该违法建筑予以拆除。您好！您提出的信访事项，现反馈如下：
位于连江路至光明路段的光明港二支河已列入今年整治计划，目前已在市规划院进行施工图设计。有关违章问题，建议转鳌峰街道及市容局办理。
 </t>
  </si>
  <si>
    <t>跃进河牛眠山巷至福建警察学院段河道河水又黑又脏又臭求根治</t>
  </si>
  <si>
    <t>金灶</t>
  </si>
  <si>
    <t>02/16/2015</t>
  </si>
  <si>
    <t>跃进河曾经进行过治理，如在河底铺石，河岸砌水泥杆等，但治标不治本。一段时间后，跃进河牛眠山巷至福建警察学院段河道河水又变回到治理之前的黑、脏、臭、乱。希望相关部门提出切实可行的治理内河的方案并尽快付诸实施，从根本上解决城市环保问题。</t>
  </si>
  <si>
    <t>您好，诉求中反映的内河为跃进河，该内河黑臭的主要是因为：跃进河流经区域内多工厂、农田、棚户区等未开发地块，河道周边规划路尚未形成，市政管网不健全，致使污水无出路，截污无工作面。我们将继续关注，待有工作面时，及时进场施工。跃进河整治工程北园村段齐天大圣庙处地尚未完成交地，需该段完成整治后才能彻底打通，完成整治 </t>
  </si>
  <si>
    <t>强烈呼吁整治琴亭湖，马上拆除钉子户，做好浮村路</t>
  </si>
  <si>
    <t>琴亭湖</t>
  </si>
  <si>
    <t>02/02/2015</t>
  </si>
  <si>
    <t>琴亭湖污染的原因是其上游新店片区未完成内河综合整治，加上该片区存在大量的棚户区，市政管网不完善，大部分污水排入河道。新店片区马沙溪、解放溪、厦坊溪、新店溪、杨廷溪等河道综合整治工程什么时候能完成？
琴亭湖遭内河污染严重，内河污染破坏了琴亭湖的美景，特别是琴亭湖靠南平东路那侧湖水浑浊不堪，湖面散发的恶臭扑鼻而来，令人作呕，湖面上漂垃圾，污黑臭水直排琴亭湖，湖水水肮脏、臭气熏天，路人纷纷捂鼻而过，严重危害居民健康。我们广大市民恳切要求并强烈呼吁整治琴亭湖，马上拆除钉子户，做好浮村路，缓解五四北的交通压力，广大市民恳切要求并强烈呼吁对新店片区琴亭湖上游河道全面综合整治，保证琴亭湖的水质。非常感谢！</t>
  </si>
  <si>
    <t>您好！
新店片区琴亭湖上游的内河整治尚未完成。福州市内河整治指挥部和晋安区政府决定2015年继续整治新店片区马沙溪、厦坊溪、杨廷溪等主要内河的上段部分，目前已安排进行规划设计，今年上半年启动整治。1、关于河道综合整治工程问题：按照区内河指挥部部署，我镇已完成解放溪、新店溪、马沙溪及部分厦坊溪等内河综合整治，尚未完成的内河整治需咨询区内河指挥部工作安排；2、具体征收问题，请转福州捷诚征收工程处办理。3、琴亭湖被污染的现象存在较多因素，除上游水流少、村民生活垃圾污染等原因外，湖区自净能力较弱、蓄水量少也是其中的原因。我镇会督促居住于内河上游处的村民正确地清理生活垃圾及污水，营造清新、整洁的环境，湖区卫生建议转市内河管理处办理。新浮小区项目地块南平东路仅剩下被拆迁户张贞汉一户拆迁未到位，针对该户长期未签未搬原已向市房管局申请裁决，期间由于该户因房屋拆迁原因向法院对市房管局提起行政诉讼，申请裁决程序被迫中止。整个行政诉讼直至2014年4月份才审理终结，福州捷诚房屋征收工程处即向市房管局申请重新启动对张贞汉户裁决程序，2014年10月10日进行了质证，2014年11月又针对张贞汉户原房及安置房评估报告进行鉴定，目前尚待市房管局下发裁决书，依据裁决结果处理解决南平东路仅剩的张贞汉一户拆迁及旧房拆除问题。福州绕城高速18#安置地（福州七中）项目地块尚余15户拆迁未到位，我司下属福州捷诚房屋征收工程处仍在依法依规启动裁决程序，加快对未搬未签户进行下一步处置，以配合市政加快浮村路修建。您好，琴亭湖靠近南平东路一侧湖体建设未完成，未移交琴亭湖管理处。为不影响公园整体景观，琴亭湖管理处现暂时负责湖面垃圾的打捞清理工作，使湖面不存在漂浮垃圾的现象，有关湖水水质问题，建议转市内河管理处办理反馈，谢谢！根据榕政办（2011）94号《福州市市容管理局主要职责、内设机构和人员编制规定》，内河建设、管理职责属市建委，建议转该单位办理，谢谢。您好！新店片区马沙溪、解放溪、厦坊溪、新店溪、杨廷溪等河道综合整治工程已列入2015年内河整治计划。福州市琴亭湖配套工程施工项目由福州市城乡建设发展总公司负责建设，该项目已完成拆迁的部分已于2013年3月全部完工并移交市园林局琴亭湖管理处管理。剩余浮村七中地块因各种原因至今无法完成拆迁，尚有11户未搬迁，导致目前该地块周边景观工程无法建设，最终甩项，也未纳入公园管理范围。经了解，目前晋安区拆迁办正启动裁决程序，拟对未拆户进行下一步处置。同时，由于新店溪与南平东路交叉口张贞汉户（南平东路项目涉迁户）索要超出合理范围的补偿，始终拒绝配合搬迁，导致新店溪截污系统已建成却无法接入南平路市政管道，不能正常使用，大量污水仍会溢流入河并最终进入琴亭湖，给上游其他市民的排水也带来较大问题。因此，建议晋安区继续加大工作力度，推动张贞汉户尽快拆除，使相关市政工程得以完善 </t>
  </si>
  <si>
    <t>公园</t>
  </si>
  <si>
    <t>02/01/2015</t>
  </si>
  <si>
    <t>光明巷公园有人将内河的臭水抽到公园内湖当中，使得原本清澈的内湖变得黑臭</t>
  </si>
  <si>
    <t>您好，经现场查看，是市水环境公司施工时将沉水井内的地下水抽至渔池，再抽到内河。光明港公园管理处已经督促市水环境公司施工方停止抽水。谢谢。 </t>
  </si>
  <si>
    <t>恳切要求并强烈呼吁整治琴亭湖，治理马沙溪、解放溪！</t>
  </si>
  <si>
    <t>01/13/2015</t>
  </si>
  <si>
    <t>您好！
  改善内河生态环境，一直是福州市委、市政府多年来的民生工程之一。我们很高兴看到2015年1月12日福州晚报A2版《29条内河完成阶段性整治》的报道，可是很遗憾，琴亭湖遭内河污染严重，内河污染破坏了琴亭湖的美景，特别是琴亭湖西段湖水浑浊不堪，湖面散发的恶臭扑鼻而来，令人作呕。马沙溪漂垃圾，污黑臭水直排琴亭湖，新店镇政府前面的解放溪溪水肮脏、臭气熏天，路人纷纷捂鼻而过，严重危害居民健康。我们广大市民恳切要求并强烈呼吁整治琴亭湖，治理马沙溪和解放溪，广大市民恳切要求并强烈呼吁对新店片区琴亭湖上游河道全面综合整治，保证琴亭湖的水质。非常感谢！</t>
  </si>
  <si>
    <t>您好！琴亭湖已完成整治移交琴亭湖公园管理处管理，造成琴亭湖污染的原因是其上游新店片区未完成内河综合整治，加上该片区存在大量的棚户区，市政管网不完善，大部分污水排入河道。新店片区马沙溪、解放溪、厦坊溪、新店溪、杨廷溪等河道综合整治工程已列入今年内河整治计划 </t>
  </si>
  <si>
    <t>河流污染严重</t>
  </si>
  <si>
    <t>习大</t>
  </si>
  <si>
    <t>01/08/2015</t>
  </si>
  <si>
    <t>南屿镇内河污染严重，南屿镇国道边，南屿镇镇政府边，等多条河流严重污染，河边垃圾成堆，各家庭下水道污水直入河中，现在河水乌黑，臭气熏天，每天晚上9点左右空气中弥漫着猪粪的臭味，让人无法呼吸，周边芝田村庄附近发现还有养猪场，请相关部门领导给予重视谢谢谢谢谢谢
，</t>
  </si>
  <si>
    <t>你好，南屿镇今年猪栏已列入全部搬迁，需要一些时间。锦溪也已列入改造，正在做设计，今年5月份进入招投标程序。同时加大上游猪栏拆迁进度。届时锦溪污染可以得到缓解。 </t>
  </si>
  <si>
    <t>国光公园内排水沟恶臭</t>
  </si>
  <si>
    <t>爱福州</t>
  </si>
  <si>
    <t>12/02/2014</t>
  </si>
  <si>
    <t>国光公园建设太好了,绿化环境也太好了!每逢周末有很多市民在公园内休闲锻练,对公园内环境卫生也自觉爱护。美中不足的是，公园内有两处城市向闽江排水口，一处在旧码头附近，一处在江边永辉超市对口附近，每天排出黑臭污水，排水时臭气四处弥漫，行人一路掩鼻绕开远远的走开。希望公园管理处及时对两处排水沟进行治理，完善公园文明优美的自然环境！！！福州市民谢谢你们。</t>
  </si>
  <si>
    <t>接到诉求件后，我镇辖区社区已及时将该问题通报给国光公园管理处。妥善处理好群众的诉求。 </t>
  </si>
  <si>
    <t>浦东河真的很黑臭哟!</t>
  </si>
  <si>
    <t>小学生</t>
  </si>
  <si>
    <t>11/07/2014</t>
  </si>
  <si>
    <t>政府叔叔位,请问:
  2014年底是指在2014年12月31日前可以解决黑臭问题吗?现在是2014-11-7了,因我常从附件经过,现在以及冬天,这条仍很臭哟!
今年（2014年），福州市内河指挥部已指定福州市市容公司作为业主，从凤坂河排水、理管、引晋安河水补充浦东河，计划工期半年，到今年底，引水工程可完工，届时浦东河黑臭问题可以解决。
护城河一到夏天就发出阵阵臭味
诉求编号： FZ14031400214 
诉求标题：护城河一到夏天就发出阵阵臭味 
诉求内容：晋安区鼓山沃尔玛旁边的护城河非常臭，一到夏天就更臭，影响周边居民健康，望有关部门前往施工处理。 
转办意见：福州市信访局1、请晋安区信访局在2014-3-1714:40前批转。(2014-3-1414:40)
晋安区信访局 1、请晋安区建设局在2014-3-2815:49前回复。(2014-3-1415:49)
市领导批示： 
区(市)县 
领导批示： 
回复意见：您好！
鼓山沃尔玛边的内河是浦东河，目前该河因为是断头河，无活水补充，所以黑臭。
今年（2014年），福州市内河指挥部已指定福州市市容公司作为业主，从凤坂河排水、理管、引晋安河水补充浦东河，计划工期半年，到今年底，引水工程可完工，届时浦东河黑臭问题可以解决。(晋安区建设局于2014-3-1810:20回复)
诉求人：郑女士 事件地点：晋安区鼓山沃尔玛旁边的护城河 
诉求时间：2014-3-1410:47 截止日期：2014-3-2815:49</t>
  </si>
  <si>
    <t>您好，浦东河和磨洋河补水工程，还处于施工阶段，已完成管道铺设约1515米，正在加大力度协调起点泵房和化工路的拆迁问题您好！
浦东河引水工程目前正在施工。由于涉及拆迁问题，工程进展不太顺利。工程引水管部分基本贯通，但引水泵站（面积几百平方米）的地块拆迁未完成交地，影响速度，我局已催促工程建设业主——福州市市容公司。该公司说，有关部门正积极协调，争取早日征迁交地，交地后即可建设引水泵站。 </t>
  </si>
  <si>
    <t>内河又黑又脏又臭</t>
  </si>
  <si>
    <t>10/11/2014</t>
  </si>
  <si>
    <t>盖山镇红星农场边上的利嘉国际商贸城在施工的时候，把内河堵掉，导致内河里的水又黑又脏又臭，多次向部门反映没有彻底解决，望有关部门给予解决。</t>
  </si>
  <si>
    <t>诉求中反映因利嘉商贸城项目施工造成红星农场场内内河堵塞又脏又臭问题，红星农场已多次向仓山区等相关政府部门反映，要求尽快疏通河道并对农场辖区内内河全面进行综合整治，以改善农场居住环境。你好。该项目为马洲支河，目前已列入计划,由福州市市容公司建设。目前方案已定，正在着手办理前期手续。不久后即可开工，后续的马洲河等项目也在积极跟进中。 </t>
  </si>
  <si>
    <t>内河河水污染发黑发臭</t>
  </si>
  <si>
    <t>刘</t>
  </si>
  <si>
    <t>09/22/2014</t>
  </si>
  <si>
    <t>洋洽支河被严重污染！又黑又臭，严重污染影响到内河环境，请管理单位及时到现场查勘！</t>
  </si>
  <si>
    <t>您好，该河道属仓山区管辖，有关河道的管理问题建议转仓山区建设局办理你好。经查看，该处黑臭是由于金港河流入，同金港河上、下游均为打通，中段水质恶化，通过临时管道流入洋洽河，造成不定期的黑水现象。金港河上、下游的整治工作已在前期准备阶段中，一旦打通将有效缓解此种现象。 </t>
  </si>
  <si>
    <t>流花溪污染问题</t>
  </si>
  <si>
    <t>09/03/2014</t>
  </si>
  <si>
    <t>仓山区流花溪联接桔园洲排涝站通向乌龙江的出水口，每天都是乌黑乌黑的，臭气熏天，作为周边住户实在难忍，每天窗户都都不敢多开，环境质量堪忧。希望有关部门能重视，大力整改！周边还有小学，别让孩子们的健康毁在臭溪上！</t>
  </si>
  <si>
    <t>该内河已列入今年内河整治计划，现已完成大部分前期工作。目前正着手准备进入拆迁阶段。我局执法人员联合市环境综合执法支队于9月3日对流花溪全线排查，该流域内排放口主要是生活污水排放口，大量生活垃圾及生活污水直接排放河内，未发现明显的工业企业排污口，依据《福州市内河管理办法》建议转市内河管理予以查处，另建议市政建设单位加强对该地区的管网建设。您好！您所反映的问题，流花溪未列入仓山区内河所管辖范围，根据市政府办公厅会议纪要【2007】66号：“凡未列入市、区内河管理部门正常管理的河道均由当地政府实行属地管理。”建议转建新镇政府办理。您好，经了解流花溪已列入今年内河整治计划，目前正着手准备进入拆迁阶段。建新镇将积极配合征迁工作。 </t>
  </si>
  <si>
    <t>蘑菇厂污水直接排放，影响村民饮水健康安全</t>
  </si>
  <si>
    <t>小蒋</t>
  </si>
  <si>
    <t>09/02/2014</t>
  </si>
  <si>
    <t>你好，我们要投诉福州市晋安区新店镇泉头村山顶一处蘑菇厂，他们的污水直接排放到山下，山下就是村民长期饮用的水井，那又黑又臭的水肯定会影响到村民的正常饮水，存在严重的健康安全问题，村民叫苦连天，希望有关部门能尽快查查，不甚感激！</t>
  </si>
  <si>
    <t>因诉求地址不明确，我局联系晋安区泉头村村委会共同前往查处。检查发现，被投诉对象位于晋安区新店泉头村山顶石顺模山地，由廖建林等向泉头村租赁约800平米山地开办的食用菌生产加工点。该生产加工点系违章搭盖，无任何生产许可证照，整改无望，我局现场告知泉头村委应积极做好承租户的思想工作，收回出租的土地，并将情况报告上级主管部门，由主管部门牵头联合相关部门集中整治。关于反映新店镇泉头村山顶一处违章搭盖的蘑菇厂污水直接排放，影响村民饮水健康安全。我局直属中队即派人员现场查看，经现场勘查及村委询问相关人员，确认该蘑菇加工点进入泉头村约三年时间，是转租至泉头村民承租的果园进行蘑菇生产。蘑菇房占地约800平方米，为简易木棚搭盖。村委相关人员表示他们近期正积极与农林水局和环保局研究蘑菇厂的搬迁事宜。我中队会与泉头村委及相关部门积极配合，对该蘑菇厂的搬迁进行督促，确保其违章搭盖的蘑菇厂房拆除到位。接到诉求后，我所工作人员立即与晋安区环保监察大队前往泉头村了解情况，现已由区环保局监察大队现场告知泉头村委应积极做好承租户的思想工作，收回出租的土地，并将情况报告上级主管部门农林水局，由其牵头联合相关部门集中治理。有关泉头村蘑菇厂污水直接排放的问题，现反馈如下：农场已责令蘑菇厂负责人择期搬迁，但农场无行政执法权，请求环保部门协助集中整治，农场方面将积极配合。 </t>
  </si>
  <si>
    <t>内河整治亟待解决！</t>
  </si>
  <si>
    <t>08/31/2014</t>
  </si>
  <si>
    <t>您好！
  请教以下问题：
1、龙头路旁边的那条河叫什么河或什么溪？
2、秀峰路旁、新店镇政府前面的那条河叫什么河或什么溪？
3、为什么以上这两条河特别脏、特别臭，污染特别严重？
4、对这两条河有什么整治措施？
5、这两条河的污黑臭水直接流入琴亭湖，问题很严重，有关部门如何考虑？
6、内河整治亟待解决！希望有关部门为民办实事、办好事，尽快解决
非常感谢！</t>
  </si>
  <si>
    <t>您好！龙头路旁边的河道是马沙溪，秀峰路旁、新店镇政府前面的那条河叫解放溪，目前，市水环境公司已经完成新店片区已整治河道的截污工程。这两条河道的综合整治工作由晋安区内河整治指挥部负责，有关问题建议转晋安区建设局办理您好！
   经现场查看，流经新店镇龙头路旁边的内河是马沙溪，流经新店镇政府门前的内河是解决溪。
   这两条河黑臭的原因是上游的村庄、居民小区、企业工厂等日夜不停地往内河排放生活污水、工业废水。
   解放这两条河的黑臭问题有两种办法：
   1、河道两侧截污，将各种污水截住通过管道输送到新店浮村污水处理厂。该项工作正在做目前干管（主管）的施工，因拆迁问题受阻，有关施工方正与拆迁户协商。拆迁后即动工修建截污主干管，完成这两条河及新店片区内河的截污工作。
   2、补水。引闽江水通过新店地区几座水库向新店片区12条内河补水，全称叫“高水高排和内河补水工程”，由福州市政府出资，市水利局具体实施，目前正进行工程设计及论证阶段，明年（2015年）动工，工期三至五年。完工后，新店片区12条内河水质将有明置的改善。 </t>
  </si>
  <si>
    <t>淌洋河磨洋河浦东河</t>
  </si>
  <si>
    <t>内河长年臭味难闻</t>
  </si>
  <si>
    <t>08/20/2014</t>
  </si>
  <si>
    <t>诉求编号：（FZ14081100539），答复收悉。晋安区建设局回复“……在今年年底会完工，届时引凤坂河水补充浦东河、磨洋河、淌洋河、黑臭问题有望解决”，“年底有望解决”这样答复很含湖，建议上洋村流入鼓山苑小区的这条河上，当下暂时先做一个隔离网，防止脏物流入鼓山苑小区。</t>
  </si>
  <si>
    <t>您好！
谢谢您对内河建设与管理的关心和支持，您所反映的淌洋河黑臭问题是长久以来沉积下来的问题，应采取多种措施才能从根本上解决，包括补水、截污和疏通全条河，使水活起来“水动则清、水滞则臭”由于靠东头上洋村拆迁问题目前尚无法解决，上洋村村民在二、三十年前已将淌洋河通往磨洋河的水道堵塞建房，形成现在的断头河，拆迁工作要待上洋村整体拆迁到时才能修道全条淌洋河。
我们目前所采取的措施是补水工作，这项工作是由福州市市容公司来做的，引晋安河水补充浦东河、淌洋河。工程目前正在做，年底可完工通水，黑臭问题会得到解决。
修建隔离网问题，目前规定河道内不允许修隔离网，因为会阻水。浦东河水上公园前几个月修了隔离网，今年10号台风阻水，将上游村庄淹掉，村民将隔离网拆掉后水才退去。垃圾问题要靠水上保洁工人打捞，我们会加强这个河道的水上保洁工作。 </t>
  </si>
  <si>
    <t>上渡河为什么经常流又黑又臭的水？</t>
  </si>
  <si>
    <t>测试</t>
  </si>
  <si>
    <t>08/17/2014</t>
  </si>
  <si>
    <t>上渡河有时候流的水还是很清澈的，河里还有很多鱼。可是为什么有时候河里流的水又黑又臭，闽江里的水也不可能这样，到底谁在排黑水？实在看不下去了，这阵子都是黑水，内河成了臭水沟，环保部门都在干嘛！</t>
  </si>
  <si>
    <t>你好，我局将委托市管网公司予以协助排查处理。 </t>
  </si>
  <si>
    <t>市区河道整治及污染问题</t>
  </si>
  <si>
    <t>黄健</t>
  </si>
  <si>
    <t>08/08/2014</t>
  </si>
  <si>
    <t>1、南台岛三盛巴厘岛楼盘边的水闸，每当闽江落潮时特别是接近最低潮位时，该条内河（联通港头河)通过水闸和南江滨路的涵洞向闽江排除大量又黑又臭、非常刺鼻的乌黑脏水，常常把该出口的闽江都大片染黑。这股污水源源不断的随着闽江潮水涨退向闽江上下游扩散目不忍睹，希望能有负责的单位认真了解实际情况彻底治理。
2、前一段福州来了一个台风，带来的暴雨使医大及付一医院全部淹水了。主要原因是茶亭河长期堵塞流水不畅，脏臭污染也长期得不到治理，已整治的一段河道过流断面和整治前相比较被人为严重减小，说变成茶亭沟也不为过。被占用的河道改成停车场等，福州内河本来就被挤占填埋太多，如遇台风大潮河道排水不畅城区多处就会被淹成水灾，这已有多次现成例子，不能再为了个别的蝇头小利让整个城市受灾。</t>
  </si>
  <si>
    <t>您好！诉求内容回复如下：1、诉求中反映的内河为港头河，目前港头河全部19个排污口已全部截流污水，现港头河主要污水来源为龙津河污水。因龙津河流经的区域较广，且大多为菜地、农田及建筑物等未经开发的区域，市政污水管网尚未覆盖，导致污水无出路。现市水环境正积极协调设计单位对部分河段进行优化设计后，进场施工。2、茶亭河工业路至交通路段正在进行整治，茶亭河属区管河道，河道两岸被占用为停车场等管理问题建议转台江区建设局办理您好！茶亭河目前市城乡建总正在进行内河综合整治，相关问题请转市城乡建总答复。您好！当前茶亭河工业路至交通路段正在进行整治，岸线范围内停车场属茶亭河内河整治施工单位临时占用，完工后将予以恢复。占用河道经市建委审批由施工单位临时占用。 </t>
  </si>
  <si>
    <t>距淮安大桥100米内有二个污水排放沟严重影响下游饮水水源的安全</t>
  </si>
  <si>
    <t>糊涂难得</t>
  </si>
  <si>
    <t>08/01/2014</t>
  </si>
  <si>
    <t>距淮安大桥100米内有二处污水排放沟严重影响下游饮水水源的安全，尤其是上一排水沟的污水黑臭无比，流到闽江里形成一长带式黑水带，望有关部门能予以治理，还我市民饮水安全。</t>
  </si>
  <si>
    <t>接到信访件（编号FZ14080100458）关于群众反映淮安大桥两处污水排放沟污染水源问题，我局执法人员即到现场调查,现将调查情况反馈如下：
经调查了解，这两处排水沟分别位于十六浦与桐溪两内河汇入闽江的入口处。其中十六浦处排水沟确偶有存在带状黑色水带的现象，造成该现象的原因主要为部分群众生活污水直排，同时该河段有较多的生活垃圾且没有及时进行清淤工作。我局将会把当前情况反映给荆溪镇政府和水利局，建议荆溪镇政府和水利局对该处内河进行整治清淤。届时我局将积极配合开展相关整治工作。
关于FZ14080100458诉求内容现反馈如下：我局与荆溪镇相关人员于2014年8月19日到现场勘查及据周边群众反映：目前水污染主要原因是由大世界橄榄厂、桐口粉干厂等企业历年的生产排污和周边居民的生活污水直接排入桐口溪、十六浦河引起的。建议环保部门对大世界橄榄厂、桐口粉干厂等企业污水排放进行规范管理。据了解生活污水：桐口、厚屿村及周边企业的生活污水排放问题，目前已纳入荆溪小城镇污水管网配套工程建设规划，并将以上地方的生活污水引到溪下污水厂进行处理。关于群众反映淮安大桥两处污水直排闽江影响下游饮水安全的问题，我镇高度重视，联合有关部门到现场查勘，并委托市规划设计院进行截污方案设计，目前已完成荆溪污水厂至十六浦河道下游截污工程方案设计，该设计方案主要包括十六浦河道截污工程和片区污水干管建设，拟对小桥溪、十六浦等河道沿线污水进行截流后排入拟建的甘洪路污水干管，通过设立污水提升泵站将污水提升到荆溪大道拟建的污水干管，以解决荆溪、杜坞片区污水排放问题，待方案评审后，我镇立即组织实施。 </t>
  </si>
  <si>
    <t>博士后缘墅与云母天朗之间的河道水浮莲肆虐</t>
  </si>
  <si>
    <t>雨中行</t>
  </si>
  <si>
    <t>06/18/2014</t>
  </si>
  <si>
    <t>博士后缘墅与云母天朗之间的水道水浮莲肆虐，大家多次诉求，至尽无人处理。水质已经发黑变臭，严重影响了居民的生活，恳请政府协助处理。</t>
  </si>
  <si>
    <t>你好，诉求人所反映的云母天朗与博士后缘墅河道位于沙堤村和庄南社区地界，该处地块已于十几年前被台湾新东阳高尔夫球场征用，诉求人所反映河道属新东阳高尔夫球场内池塘，我镇已与该高尔夫球场及博士后缘墅负责人协调，新东方高尔夫球场及博士后缘墅将共同出资，整治池塘内的水浮莲。 </t>
  </si>
  <si>
    <t>琴亭湖公园西侧部分何时才能竣工？湖水何时不再又黑又臭？</t>
  </si>
  <si>
    <t>05/31/2014</t>
  </si>
  <si>
    <t>琴亭湖公园是建设五四北宜居环境的重要因素。但琴亭湖的建设和管理现状让人失望，特别是西侧部分。湖水又黑又臭，湖体有大量水泥块、砖头、木条等各种垃圾堆积可见，湖边绿化也低级，无层次感，无名贵树，无观赏性。而且每天都有人在垂钓、捕鱼，大煞风景。这些都不是一个公园所应该有的现象！
  以前有其他热心群众投诉过，有关单位的回复是，琴亭湖西侧部分尚未竣工交付使用，所以才导致上述种种乱象。若真如此，请问，这么长时间过去了，琴亭湖西侧部分何时才能竣工？何时才能不黑不臭？何时才能把绿化搞得更好，对得起“公园”二字？</t>
  </si>
  <si>
    <t>您好！关于治理琴亭湖周边的内河水质问题回复如下：琴亭湖上游共有9条溪流，目前三环以南的河段均已阶段性完成整治，但是三环路外围的上游段河段由于旧屋区改造困难，市政管网配套不完善等原因，尚未启动整治，造成沿河旧屋区污水直排河道。目前我们的工作计划：一是要结合旧屋区成片改造，加快推进上游段河道的综合整治工作，2012年已经完成新店溪整治工作，今年计划实施厦坊溪和杨廷溪的综合整治。二是要加快浮村污水厂厂外管网的建设，扩大污水管网的覆盖面。三是要增加内河的水源。浮村污水厂的中水现为琴亭湖的补水水源，我市还在筹备新建一条贯穿北峰及鼓山的隧洞，串联福州外围的诸多水库，汛期截流山洪排入闽江，平时利用泵站抽闽江水为新店片区所有河道乃至整个江北城区内河提供水源。该项目由市水利局牵头实施，计划今年动工。四是主动借鉴国内其他城市的一些经验，邀请一些在其他地市成功开展过生态修复项目改善内河水质的企业，首批选取了4条河道开展我市的生态修复试验工作，厦坊溪即为其中一条。今年4月份进场，如顺利，国庆节前后可初见成效。关于琴亭湖西侧部分施工问题，因该项目不在内河整治范围，详情请询琴亭湖公园管理处因琴亭湖公园为市园林下属公园，请转市园林局办理。您好，经了解，琴亭湖公园湖体及配套道路工程系市城乡建总开发建设已全部竣工并交付使用，该公园的日常管理由福州市园林局负责，建议咨询市园林局。您好，感谢您对园林事业的关注。首先，福州市琴亭湖公园的绿化、基建等工程，均由福州市城乡建设发展总公司作为业主单位进行招标建设的，现在由于公园西侧沿岸拆迁未完成，湖体以及周边绿化建设等还未竣工验收交付。公园管理单位也已将市民反映的情况转告市城乡建总，并多次发函催促希望其加快建设，改善湖体质量，给市民一个好的休闲环境。其次，针对垂钓及捕鱼等现象，公园管理单位也安排保安人员对垂钓及捕鱼者进行劝导，我局将继续督促公园管理单位加大对此类现象进行劝导。谢谢。 </t>
  </si>
  <si>
    <t>工厂作业，污染水源</t>
  </si>
  <si>
    <t>夏先生</t>
  </si>
  <si>
    <t>05/29/2014</t>
  </si>
  <si>
    <t>连江县花坞村连江嘉彪包装有限公司作业，导致周边水源污染严重，浇灌菜的河水又黑又臭，望相关部门尽快予以处理！</t>
  </si>
  <si>
    <t>经现场检查，连江嘉彪包装有限公司已拉闸停电，处于停产状态。 </t>
  </si>
  <si>
    <t>南台大道是否有规划市政管网</t>
  </si>
  <si>
    <t>05/14/2014</t>
  </si>
  <si>
    <t>仓山老城区内河都是当污水排泄用的，每次咨询内河黑臭问题都是答复没有截污，需配合周边道路建设市政管网，那请问这次南台大道的建设是否有规划市政管网，好接入周边地区的生活污水，避免再次排放内河</t>
  </si>
  <si>
    <t>您好！有规划市政排水管网 </t>
  </si>
  <si>
    <t>内河整治一直得不到成效</t>
  </si>
  <si>
    <t>白马河的水现在还是很黑、很臭，为何内河治理一直没有得到好转？政府拨款用于整治内河的钱都投到哪里去了？特此投诉。</t>
  </si>
  <si>
    <t>您好！经实测，白马河工业路以北至西湖段8个断面有7个断面COD浓度均低于40mg/L，氨氮浓度均在2mg/L左右，主要指标基本达到国家规定的地表V类水标准，工业路以南段水质则不能稳定保持V类水。总体分析，白马河（特别是工业路以南段）确实仍然受到许多污水的影响，主要有以下几个来源：
1、西湖截污渠合流污水排入白马河。环西湖东西两侧截污渠建于2001年，2002年8月完工。修建目的是为了保证西湖水质，将西湖周边原排入西湖的合流污水通过东西侧截污渠转移排放至白马河上游。东侧合流污水渠：沿途接纳钱塘巷、北大、卧湖桥、通湖路西大雨污合流出口的合流污水。西侧合流污水渠：接纳梅峰河晴天的河水（雨天梅峰河河水在芳沁园桥下溢流至西湖）及沿途总院等合流出水口的合流污水。两渠道末端截流后，东侧污水接入湖头街污水干管，西侧污水排入白马河上游，部分污水沿西湖水闸下游直接排入白马河，排入白马河的污水量约3万吨/天。
2、白马河及其支流沿线旧屋区排放污水。白马河沿线仍有部分地块未按规划拆迁到位，无法建设截污系统，污水直接入河，如：台江区江墘下片区、彬德古桥周边尚有部分庙宇未拆除。白马河水系有11条支河汇入白马河，虽然都实施了截污，但新西河、大庆河、茶亭河、浦西河、济南河、新透河沿线仍存在旧屋区，市政管网未覆盖，大量污水仍直排河道，最终汇入白马河，比较大的区块有：新西河福屿片区、浦西河浦西村片区等。
3、白马河及其支流沿线部分片区的老旧污水管网不能正常运行，许多截流的污水不能及时送往污水处理厂，如大庆河祥坂片区、同德帮洲里片区等。
4、雨天时截污系统允许污水溢流入河。
5、长期污染积累在河底淤泥里的内源污染物仍在不断释放。
针对上述情况，目前已经或计划采取的主要工作措施有：
1、结合旧屋区改造工作继续完善白马河及其支流的截污系统。目前白马河干流江墘下地块台江区正在拆迁，计划年底前拆除完成并建设截污管道和沿岸景观。浦西河已建设截流泵井，防止污水进入白马河；大庆河沿线准备结合万宝地下人防设施建设进行部分拆除改造，同步完善截污系统。
2、对白马河沿线片区的雨污水管网开展全面排查。今年拟先开展祥坂片区的排查工作，通过采取堵水、疏浚、水质水位测量、管内ＣＣＴＶ、潜望镜内窥等技术手段对管网状况进行排查，并在此基础上制定管网修复、整治方案。
 </t>
  </si>
  <si>
    <t>连潘河臭气何时了？</t>
  </si>
  <si>
    <t>小平</t>
  </si>
  <si>
    <t>05/13/2014</t>
  </si>
  <si>
    <t>连潘河又黑又臭，天气一天天转热，臭气不断在污染周边的环境，严重影响市容，</t>
  </si>
  <si>
    <t>您好！
   连潘河有引水冲污，因最近一、二个月晋安河河道及市政工程导致晋安河水位下降，连潘河引水泵站工作不能正常进行引水停掉，所以连潘河又发黑发臭。
   据向市有关部门了解，晋安河近日可恢复正常水位，届时连潘河泵站可以正常工作，引水补充连潘河，可以解决连潘河黑臭问题。 </t>
  </si>
  <si>
    <t>龚旻</t>
  </si>
  <si>
    <t>04/18/2014</t>
  </si>
  <si>
    <t>罗源县碧里乡西洋村有一违建养猪场，污染很严重，浊臭周边，污水直排小溪，原本清澈干净的整个溪水变得黑臭无比，已向罗源有关部门反映多次无果，恳请贵中心监管为盼！</t>
  </si>
  <si>
    <t>县信访局：
我局于2014年4月21日接到群众投诉（市政府网FZ14041800415）关于福州东泰农牧养猪场污染的问题，现将处理情况反馈如下：
对于东泰农牧养猪场污染的问题我局已于2013年4月3日具文提请县人民政府对该公司实施关闭。                        
罗源县环境保护局
                               2014年5月4日
 </t>
  </si>
  <si>
    <t>强烈呼吁整治琴亭湖，强烈建议改善琴亭湖周边的内河水质！</t>
  </si>
  <si>
    <t>正义</t>
  </si>
  <si>
    <t>04/07/2014</t>
  </si>
  <si>
    <t>琴亭湖污染严重，恶臭难闻，强烈呼吁整治琴亭湖，强烈建议清理琴亭湖湖内的垃圾、淤泥。秀峰路旁新店镇政府前那条河和龙头路旁的那条河都象是臭水沟（附图），都是又黑又脏又臭，严重污染，沿路走过，河面散发的恶臭扑鼻而来，令人作呕，严重危害周围居民健康，强烈建议改善琴亭湖周边的内河水质，还居民优美健康的环境。谢谢！</t>
  </si>
  <si>
    <t>经我局人员现场实地调查了解，诉求反映的琴亭湖目前由园林部门负责管理，诉求提到的琴亭湖周边内河为解放溪和新店溪，目前由晋安区建设局负责管理，建议此件转以上相关部门办理，谢谢。您好，关于治理琴亭湖周边的内河水质问题回复如下：琴亭湖上游共有9条溪流，目前三环以南的河段均已阶段性完成整治，但是三环路外围的上游段河段由于旧屋区改造困难，市政管网配套不完善等原因，尚未启动整治，造成沿河旧屋区污水直排河道。目前我们的工作计划：一是要结合旧屋区成片改造，加快推进上游段河道的综合整治工作，2012年已经完成新店溪整治工作，今年计划实施厦坊溪和杨廷溪的综合整治。二是要加快浮村污水厂厂外管网的建设，扩大污水管网的覆盖面。三是要增加内河的水源。浮村污水厂的中水现为琴亭湖的补水水源，我市还在筹备新建一条贯穿北峰及鼓山的隧洞，串联福州外围的诸多水库，汛期截流山洪排入闽江，平时利用泵站抽闽江水为新店片区所有河道乃至整个江北城区内河提供水源。该项目由市水利局牵头实施，计划今年动工。四是主动借鉴国内其他城市的一些经验，邀请一些在其他地市成功开展过生态修复项目改善内河水质的企业，首批选取了4条河道开展我市的生态修复试验工作，厦坊溪即为其中一条。计划今年4月份进场，如顺利，国庆节前后可初见成效。关于清理琴亭湖湖内的垃圾、淤泥问题建议转园林部门办理。您好，琴亭湖公园管理处已安排保洁人员进行日间不间断的打捞。至于湖体淤泥较多的问题，是由于西侧湖体工程建设未完成，这部分湖体由市城乡建总负责承建，尚未移交琴亭湖公园管理处管理。
关于水质的问题，琴亭湖是由新店溪、解放溪等上游九条内河汇聚而成，目前新店污水管网尚未全部铺设到位，造成部分生活废水从上游直接汇集排入琴亭湖，产生水质污染，琴亭湖公园管理处无法控制源头污染源，上游河道整治的问题需由市内河管理处解决。因此，建议转市内河管理处和市城乡建总等相关部门协调处理。谢谢。您好，我司近期将派人开启引水泵抽水，将督促施工单位抓紧办理移交工作，望予谅解为盼。您好！
   琴亭湖的水质问题和周边内河环境的治理已列入福州市有关部门的工作日程。从目前到今后两年间，将采取两个办法：1、上游河道的截污和生态修复，这项工作正在开展，包括马沙溪、厦坊溪等在内。2、引闽江水补充新店片区内河。福州市已启动该计划，抽取闽江水经涵洞、水库和补水支洞对新店片区12条内河进行日常补水，可大大改善内河水质，从而改善琴亭湖水质。该工程今年已启动，两年内建成。 </t>
  </si>
  <si>
    <t>养猪场、养鸡场等让猪鸡鸭的粪便随意横流污染水和空气</t>
  </si>
  <si>
    <t>游者</t>
  </si>
  <si>
    <t>03/25/2014</t>
  </si>
  <si>
    <t>   在接到诉求件后，镇党委、政府高度重视，立即组织兽医站，环保站等部门，由分管领导带队，深入到梅洋村实地查看了情况，并现场责令其整改：梅洋自然村池某某的养鸡养鸭场，现已基本处理完毕，同时责令其对其余不多的鸡鸭进行圈养并收集粪便进行无害化处理；汤溪自然村黄某某的养猪场责令其建沼气池，对猪粪进行无害化处理，彻底解决粪便横流污染水和空气的问题。 </t>
  </si>
  <si>
    <t>湖水很黑且很臭</t>
  </si>
  <si>
    <t>02/23/2014</t>
  </si>
  <si>
    <t>晋安区新店镇琴亭湖湖水很黑且很臭，污染严重，还有人在垂钓都没人管。以上问题，希望相关部门介入处理！</t>
  </si>
  <si>
    <t>经查，琴亭湖位于琴亭高架桥两侧，我局组织执法人员对新店溪、解放溪等周边的工业企业排污情况进行摸排，截至目前未发现工业企业污水超标排放，也未发现工业企业将废水排入内河。执法人员在琴亭湖现场检查发现靠七中校区还有部分驳岸尚未建设完成，湖面水位较低，特别是靠近汇入口区域淤泥较多。七中校门口部分房屋未搬迁、拆迁完毕，生活垃圾堆放在沿岸，经雨水冲刷造成污物流入琴亭湖。同时目前新店污水管网未全部铺设到位，造成部分生活废水仍然通过内河排入琴亭湖。鉴于调查结果均非工业污染源所致，建议转相关部门配合共同处理。经查，琴亭湖位于琴亭高架桥两侧，我局组织执法人员对新店溪、解放溪等周边的工业企业排污情况进行摸排，截至目前未发现工业企业污水超标排放，也未发现工业企业将废水排入内河。执法人员在琴亭湖现场检查发现靠七中校区还有部分驳岸尚未建设完成，湖面水位较低，特别是靠近汇入口区域淤泥较多。七中校门口部分房屋未搬迁、拆迁完毕，生活垃圾堆放在沿岸，经雨水冲刷造成污物流入琴亭湖。同时目前新店污水管网未全部铺设到位，造成部分生活废水仍然通过内河排入琴亭湖。
根据福建省信访局和福建省环境保护厅“关于依据职能分类管辖环境保护信访事项的通知”（闽环信访〔2014〕1号）中相关规定，涉及城市管网截污不彻底的由建设主管部门办理。
建议转琴亭湖主管部门市园林局办理。您好，首先感谢您对我市公园建设的关注！关于“琴亭湖公园水质问题”：首先，我局属琴亭湖公园管理处的职责是清理湖面漂浮等垃圾，且管理处已安排保洁人员进行日间不间断的打捞，因此，湖面并未发现有漂浮的垃圾；其次，您提到的“湖水很黑很臭”问题，因琴亭湖是由新店溪、解放溪等上游九条内河汇聚而成，目前新店污水管网尚未全部铺设到位，造成部分生活废水从上游直接汇集排入琴亭湖，产生水质污染，琴亭湖公园管理处的确无法控制源头污染源。同时，由于湖体工程建设未完成，造成湖面水位过低，淤泥较多，水体自净功能较差，且由城乡建总负责承建的靠近七中部分驳岸至今未建设完成，未正式移交给琴亭湖公园管理处管理。因此，建议转请内河管理处和城乡建总等相关部门协调处理。
针对“琴亭湖公园垂钓问题”：我局属琴亭湖公园管理处已安排了人员对垂钓者进行劝导，再次感谢您。
您好！
   琴亭湖属福州市园林局琴亭湖公园管理处管理、保洁。请转福州市园林局办理。您好，琴亭湖属福州市园林局琴亭湖公园管理处管理、保洁。请转福州市园林局办理。您好，我司近期将派人开启引水泵抽水，将督促施工单位抓紧办理移交工作，望予谅解为盼。 </t>
  </si>
  <si>
    <t>仓山区朝阳路与朝阳南路何时打通  龙津河堤坝路河段何时改造</t>
  </si>
  <si>
    <t>高同学</t>
  </si>
  <si>
    <t>12/24/2013</t>
  </si>
  <si>
    <t>1、仓山区朝阳路与朝阳南路何时打通哈。2、同一地点龙津河堤坝路河段，附近河水黑臭何时改造。</t>
  </si>
  <si>
    <t>你好。朝阳南路目前并无相关建设计划；龙津河目前已在整治中。 </t>
  </si>
  <si>
    <t>福州春天后面的河水很黑，很臭</t>
  </si>
  <si>
    <t>好市民</t>
  </si>
  <si>
    <t>12/11/2013</t>
  </si>
  <si>
    <t>福州春天后面的河水很黑，很臭，请有关部门及时、有效的解决一下</t>
  </si>
  <si>
    <t>您好！
   福州春天小区旁边的淌洋河由于是断头河，日活水补充河水黑臭。目前，福州市内河指挥部已指定福州市市容建设公司引水补充浦东河和淌洋河，有活水之后黑问题可以得到改善。目前工程正在进行中，2014年年中会建成投入使用。 </t>
  </si>
  <si>
    <t>洋洽河黑臭飘油</t>
  </si>
  <si>
    <t>11/20/2013</t>
  </si>
  <si>
    <t>仓山区洋洽河河水（金山榕城广场到丽景天成这一段）河面上飘着油，奇臭无比，已经多日。请处理。</t>
  </si>
  <si>
    <t>您好，仓山区洋洽河河水水质不佳的原因是：由于新榕房地产公司开发金城湾楼盘围堰建设桥梁，导致洋洽河无补水源进入。目前，该围堰虽已按期拆除但尚未清除干净，我们已会同仓山区建设局到现场查看并督促新榕房地产公司尽快清理干净。你好。洋洽河目前已正在整治中，但内河整治是一项大型的长期工程，是根据计划以及河道的具体情况分段进行。待整治完毕可缓解发臭现象。 </t>
  </si>
  <si>
    <t>仓山区连江南路731号的跃进河臭气逼人</t>
  </si>
  <si>
    <t>廖小姐</t>
  </si>
  <si>
    <t>11/10/2013</t>
  </si>
  <si>
    <r>
      <rPr>
        <sz val="11"/>
        <color theme="1"/>
        <rFont val="等线"/>
        <family val="4"/>
        <charset val="134"/>
        <scheme val="minor"/>
      </rPr>
      <t>据闻09年就开始整跃进河，可至今为止跃进河越发黑臭，整改前还可以开开窗，整改完后，连窗都不敢开了，请相关人员</t>
    </r>
    <r>
      <rPr>
        <sz val="11"/>
        <color rgb="FFFF0000"/>
        <rFont val="等线"/>
        <family val="4"/>
        <charset val="134"/>
        <scheme val="minor"/>
      </rPr>
      <t>急民众之所争，想民众之所想，而不是永远都是一句正在办理，永远都没有后话。</t>
    </r>
  </si>
  <si>
    <t>你好。跃进河目前已经在积极整治中，由于周边征地拆迁导致工期缓慢。目前内河的整治与周边拆迁工作都已在积极推进中。 </t>
  </si>
  <si>
    <t>国光公园排污口长年累月的往闽江自来水源直接排污难道就没人管了？</t>
  </si>
  <si>
    <t>睁眼说瞎话</t>
  </si>
  <si>
    <t>11/09/2013</t>
  </si>
  <si>
    <t>距西区水厂泵站不到400米的国光公园内一排污口（约有2米宽），设有闸门，将污黑臭气熏天的污水长年累月的、肆无忌惮的往闽江直排，不仅公园内臭气熏天，更难容忍的是该排污口排出的污水在涨潮时可直接流往400米不到的西区水厂泵站，让人看了觉得恶心，难道这就没人管了吗？</t>
  </si>
  <si>
    <t>经查，洪甘路梅亭沟及国光公园排污口属于沟渠，因雨、污混合进入梅亭沟排入闽江，目前水务管网公司正在对梅亭路进行截污工程。预计于年前将污水通过排污管道进入污水处理厂。 </t>
  </si>
  <si>
    <t>闽侯县青口镇东台村、西台村污染严重</t>
  </si>
  <si>
    <t>杨先生</t>
  </si>
  <si>
    <t>11/01/2013</t>
  </si>
  <si>
    <t>闽侯县青口镇东台村、西台村这两个村落溪流污染十分严重，溪水又黑又臭：上游养鸡养鸭养猪污水直排！生活垃圾都倒到溪流里！城乡卫生非常差！以前的水是非常清澈的，现在生活改善物质条件好了污染却变严重了。希望有关部门能够前往处理一下！污染现象已经存在好多年了。</t>
  </si>
  <si>
    <t> 接到诉求件后青口镇立即派员与本镇东、西台村上游养殖户进行协调并责令养殖户建化粪池解决污水横流现象；青口镇环卫所等相关职能部门针对污水、生活垃圾倾倒溪水里一事进行多次研究、讨论并于11月1日、2日对东台村、西台村的安明溪生活垃圾等水面漂浮物进行全面清理目前已清理完毕。
 特此反馈 </t>
  </si>
  <si>
    <t>投诉南屿镇政府不解决水的问题</t>
  </si>
  <si>
    <t>叶美卿</t>
  </si>
  <si>
    <t>09/16/2013</t>
  </si>
  <si>
    <t>自夏季以来，我们大元峰村一直停止自来水供应，没有办法，被迫喝地下水。但是，近年来，南屿镇政府新领导根本不重视环保，每隔三五天，上游猪粪如潮水般排进南屿内河，河水比墨水还黑，臭气冲天，请领导来南屿看看就知道了。因此临近地下水都污染臭了，没办法再喝了。我们请求一如果水源不足，暂以轮流限量通自来水，至少每隔3天给我们大元峰通一次水，以便我们储备一些喝的水，地下水只能用洗东西洗澡。二要坚决堵住没有环保处理的猪粪向内河排放，以避免地下水继续污染，连洗东西都不能用。</t>
  </si>
  <si>
    <t>你好，对于你所反映的问题，现反馈如下：南屿镇日前已派相关人员去现场调查，南屿镇目前还未进行管网改造，因此高峰期水压低，白天会出现断水，夜间个别用户有时也会出现断水。对于此情况，南屿镇已督促上街青源水厂向村民供水,并改善水质。 </t>
  </si>
  <si>
    <t>保利香槟国际46号施工场地有黑臭污水</t>
  </si>
  <si>
    <t>nini</t>
  </si>
  <si>
    <t>09/12/2013</t>
  </si>
  <si>
    <t>保利香槟国际46号施工场地有黑臭污水，请有关部门进行调查下</t>
  </si>
  <si>
    <t>我执法人员根据群众提供的积水位置至工地现场进行调查，该项目工地46#楼低洼地积水已清理。据了解46#楼附近地势低洼，前期台风暴雨造成积水。福州市环境保护局 </t>
  </si>
  <si>
    <t>溪水又黑又臭</t>
  </si>
  <si>
    <t>08/12/2013</t>
  </si>
  <si>
    <t>闽侯县南屿镇正祥橘郡业主反映从森林公园流下来的溪水又黑又臭，业主无法在此居住，请处理。</t>
  </si>
  <si>
    <t>你好，对于你所反映的问题，现反馈如下：经查，锦溪正祥橘郡段的污染主要是由于上游郑祥武猪栏养殖引起的。南屿镇目前与郑祥武已签订了搬迁协议，协议达成9月底将全部2万平方米的猪栏全部搬迁，以尽快解决该河段水域污染问题，保障村民的居住环境。 </t>
  </si>
  <si>
    <t>又见黑河（福清后墓溪）</t>
  </si>
  <si>
    <t>08/03/2013</t>
  </si>
  <si>
    <t>几年前，市政府花巨资进行河道改造，后墓溪黑河不见了，臭气没有了，环境大大改善，河道边的居民鸣炮庆祝！可是好景不长；如今，黑河再现、杂草丛生、臭气冲天，严重污染了空气、破坏了环境，影响了市容市貌，威胁着居民健康。通过长期观察我们认为原因有二：1、河道内铺设的污水管道严重堵塞（雨天可见污水从管道中喷出），2、上游工厂晚上存在偷排偷放工业污水现象（每到清晨流到这里的水特别黑臭）。
  强烈建议政府相关部门加大巡查力度，严惩偷排偷放工业污水的企业，尽快疏通堵塞的管道，清理河道杂草杂物，还后墓溪“清白”，给母亲河———龙江，注入新的生机！我们广大市民期待着！</t>
  </si>
  <si>
    <t>跃进河越发黑臭。</t>
  </si>
  <si>
    <t>李小姐</t>
  </si>
  <si>
    <t>08/01/2013</t>
  </si>
  <si>
    <t>跃进河的部分河段紧挨金辉伯爵山小区。据说去年开始治理，但是今年以来不仅没有看到治理的成效，反而越发的黑臭，严重影响了该小区部门居民的生活质量，早上一开窗就是一股刺鼻的气味，夏天到了也无法开窗通风，希望领导们设身处地的为居民着想，早日还大家一个健康的生活环境！</t>
  </si>
  <si>
    <t>您好！跃进河整治工程已从2009年开始整治，由于仓山区负责的征地拆迁滞后，工程建设难以实施，金辉伯爵小区段因则徐大道两侧拆迁不到位，无法进行则徐大道桥建设，导致河水无法排往下游段，我们正抓紧协调仓山区加快征地拆迁进度，加快该段河道工程建设的实施 </t>
  </si>
  <si>
    <t>请问停工了吗？</t>
  </si>
  <si>
    <t>周边居民</t>
  </si>
  <si>
    <t>06/08/2013</t>
  </si>
  <si>
    <t>马尾兴业银行旁边内河污水发黑，很臭。请问最近是不是停工了？好久没有看到工人在施工了，什么时候可以把内河公园建好？我们都好期待</t>
  </si>
  <si>
    <t>您好！内河景观改造工程前段时间由于设计需要变更，变更图纸还没正式出来原因暂时停工，我们也在督促设计院加快出图，预计下周可恢复施工，整个工程按计划于10月前完工。内河上游将建一座拦污闸，拦截污水进入污水处理厂进行处理，待拦污闸完工后该内河的水质将会得到有效改善。感谢您对市政公用设施的热心关注！ </t>
  </si>
  <si>
    <t>123</t>
  </si>
  <si>
    <t>06/06/2013</t>
  </si>
  <si>
    <t>贯通西园雅居东区的小河多年了又黑又臭，蚊虫滋生，不知道什么时候会进行治理？</t>
  </si>
  <si>
    <t>您好！
   该河系桂后溪，2011年才进行河道清淤，由于上游有大片农田、村庄，遇大雨挟带大量泥沙下泻，又造成河床淤积，目前的办法是又要进行清淤，我区会向福州市有关部门报告，要适时进行新一次清淤工作，但需根据全市内河整治情况统一安排。 </t>
  </si>
  <si>
    <t>河道的水利环境问题</t>
  </si>
  <si>
    <t>爱家</t>
  </si>
  <si>
    <t>04/07/2013</t>
  </si>
  <si>
    <t>关于诉求件河道水利环境问题的反馈
诉求件FZ13040700733反映的河道水利环境问题，现答复如下：
二刘溪小流域主河道长约8公里，主河道涉及岱西、边兰、二刘、文溪、潭头等村，担负7个村的农田灌溉和排洪等主要作用。2010年，潭头镇市人大代表就向市里提出二刘溪小流域整治议案，2013年二刘溪小流域整治工程已列入长乐市为民办实事项目，目前长乐市水利局已进行设计，分期实施，一期工程总投资500万元，从潭头港水闸至潭头中心校，计划在今年9月份动工。
 </t>
  </si>
  <si>
    <t>拆迁后成垃圾场</t>
  </si>
  <si>
    <t>zzh</t>
  </si>
  <si>
    <t>03/02/2013</t>
  </si>
  <si>
    <t>福州马尾区沿山西路上的一个拆迁工地上，倒满了垃圾，又污水横流，影响到了居民的生活。记者来到现场，发现这一片拆迁工地，在一个半山坡上，被沿山西路围绕着，道路两旁布满着各种各样的垃圾，有塑料、废弃家具等生活垃圾，也有建筑废料等，占据了部分路面。在一些垃圾堆上，还能看到明显焚烧过的痕迹。而周围还有一条乌黑的臭水沟，沟里的污水已经漫过路面。据了解，此地夹在卧龙山庄与马限山公园之间，本是远离市区的优美环境，竟满是垃圾与臭水，着实格格不入。希望及时解决以上的问题。</t>
  </si>
  <si>
    <t>经了解，我镇已派人在沿山西路沿线清理卫生死角。 </t>
  </si>
  <si>
    <t>达道河水发黑变臭</t>
  </si>
  <si>
    <t>02/19/2013</t>
  </si>
  <si>
    <t>现已开始进入阳春二月.气温不段上升.
  自达道地铁施工,施工方将达道河填埋,形成断头河现象.外加上,从沙合桥到透龙桥两岸边的餐馆每日往河中排放各种污水使达道河水已经发黑变臭.排放出的炒菜油烟如“仙境云雾”
  这情境已严重影响到福州这座宜居城市的形象.春节期间,来福州的北京\沈阳\上海的朋友们,对福州能评上全国宜居城市和文明城市都大摇头……
  为了和谐福州、美丽福州 希望领导们关注一下。</t>
  </si>
  <si>
    <t>您好，根据文中反映情况，现反馈如下：1、达道河因地铁施工需要将达道路段河道填埋，导致达道河形成断头河。具体填埋时间及施工导流方案建议请地铁公司回复。2、该段达道河沿河截污管道已经完成，两岸餐馆任意排放油烟的问题，建议由工商、卫生等部门加强执法，加大处罚力度，要求商家按标准排放污水并接入污水管，以保证河水不被污染。您好！达道河因地铁围护结构施工需要将达道路段河道填埋，导致达道河形成断头河。地铁建设方案中已充分考虑到河道内水体流动问题，在达道河地铁施工段围堰范围内上下游建成了循环水渠及泵站，对河水进行定期循环，同时地铁施工单位与水利局上游闸门管理处建立联系，组织定期开闸，开放闽江水对河道内水质进行循环更新。感谢您对福州地铁建设的关心与支持！经查达道河因地铁施工需要将达道路段河道填埋，导致达道河形成断头河，待地铁施工结束后该情况将得到改善。您反映有餐饮店向内河排放污水及油烟问题我局立即安排监察人员对该处检查，透龙桥旁达文里新村，餐饮业污水均未发现直接排放内河，该处污水经店里隔油处理后，排往小区管网；该处餐饮业油烟我局已于去年进行专项整治，油烟经处理后排放，我局今后将加大该处巡查力度，如发现其有违规行为，将根据法规进行处理。 </t>
  </si>
  <si>
    <t>南通养猪场必须彻底拆除</t>
  </si>
  <si>
    <t>陈则新</t>
  </si>
  <si>
    <t>02/05/2013</t>
  </si>
  <si>
    <t>南通养猪场对全南通内河的污染已经十分严重，不仅是河水乌黑，而且臭气熏人，已经毒化了全镇的空气。全镇人现在天天24小时被刺鼻的臭气包围着，走路，睡觉，休息闻到的都是猪粪味，就是坐在餐桌上吃饭，闻到的还是猪粪味，南通村民根本没有了正常的生存环境。南通的经济再发展，面貌再变化，村民还是24小时生活在臭气里，而且健康被严重影响，这样的环境，这样的生活有什么幸福可言？南通镇党委和政府，有什么政绩可言？如果生活苦些，有洁净的水，有清新的空气，健康有保证，不是比现在生活在毒化的臭气里好100倍吗？
   南通村民还要在臭气中再受多久的罪？！
   保护环境，这是政府的职责之一，南通镇党委和政府如果真的是为民执政的政府，如果是有良心的镇领导，就应该关心村民的生活环境，同情南通村民今天的生活处境，就不要再继续保护那些以牺牲全镇村民健康换来自己私利的养猪场场主和场地出租者，应该坚决彻底拆除这些天理不容，害人利己的非法养猪场，还村民一个起码的生活环境。</t>
  </si>
  <si>
    <t>   我镇高度重视非法养猪情况，但由于养殖生猪价格上涨，利润大，促使本地部分群众环境污染思想意识不到位及利益驱动，在自己承包土地上违法搭建猪栏，出租给外地人养猪，造成我镇非法养猪不断发生，造成内河环境污染。镇政府也多次组织了土地、建设、畜牧、环保、城管等执法部门进行了拆除。建南村一户猪栏于2012年2月已经拆除。2012年4月，我镇组织人员强制拆除面积近6千平方米，搬迁畜禽4千多头(只)。2012年7月12日镇组织有关部门强制拆除了343平方新建猪栏。2013年1月30日我镇对新建猪栏进行了拆除，面积近一千平方。当初农村农民生产生活增长增收的需要，造成畜禽养殖污染历史遗留问题多，与当前环境政策不适应，整治所需大量资金，我镇财力十分有限，今后积极结合内河整治清理工作及重点项目推进过程中，对已经建成的养殖场将采取分批、分点进行强制拆除。对新建的猪栏发现一起坚决拆除一起。下一段，我镇畜禽养殖污染情况上报职能部门县环保局，提请县环保局根据有关法律法规进行处理，同时我镇将整治畜禽养殖污染纳入工作日程，面对全镇群众要求，面对部分出租户的利益损失，我镇加紧落实具体实施方案，做好宣传工作，再次发放通告，发放通知书，采取设岗限制方法确保生猪只出不进，排出整治日程表，落实责任人，在此基础上将进一步采取断水、断电、断路等措施，确保南通内河污染得到有效遏制。 </t>
  </si>
  <si>
    <t>仓山步行街下藤路美伦雅居旁内河恶臭</t>
  </si>
  <si>
    <t>我有</t>
  </si>
  <si>
    <t>01/14/2013</t>
  </si>
  <si>
    <t>福州内河整治已经很长时间，但不知为何美伦雅居旁这条十分黑臭的内河一直都没人管，周边居民区密集，难以忍受河水的污染和恶臭希望有关部门尽快解决。</t>
  </si>
  <si>
    <t>经查，仓山区步行街下藤路美伦雅居边内河系龙津浦，该河段现配有一名河道保洁员负责日常保洁、清理河面垃圾。该件反映河水黑臭问题，主要原因是该河段尚未截污，且沿河居民区密集，污水排入河道，解决的办法是在该区域尽快实施截污工程，实现“雨污分流”。建议转市建委内河整治指挥部办理。您好，诉求中反映的内河为龙津河，龙津河河水黑臭有两个原因：一是龙津河流水不畅，目前龙津河河水唯一出口是通过龙津一支河进入港头河排入闽江。据了解，龙津河河道建设由于拆迁征地原因尚有约一公里没有贯通，现河道整治单位正极力推动该河道贯通工程；二是龙津河沿线污水直排入内河，需要截污。由于龙津河流经的区域较广，且大多为菜地、农田等未经开发的区域，市政污水管网尚未覆盖，导致污水无出路，另外如六一路附近老城区则因为驳岸边的建、构住物较多，截污没有工作面，导致截污工作进展缓慢。待有施工工作面时，将及时进行截污。 </t>
  </si>
  <si>
    <t>白湖河什么时候能整治</t>
  </si>
  <si>
    <t>GUO</t>
  </si>
  <si>
    <t>12/30/2012</t>
  </si>
  <si>
    <t>请问下相关部门仓山区的白湖河什么时候能整治呢.这条河已黑臭多年,几年前就说要改造了,可是至今都没动静,到底什么时候会动工改造呢?</t>
  </si>
  <si>
    <t>你好，经了解白湖河纳入2014年内河整治项目。 </t>
  </si>
  <si>
    <t>内河黑臭能否尽快整治</t>
  </si>
  <si>
    <t>杨星元</t>
  </si>
  <si>
    <t>12/19/2012</t>
  </si>
  <si>
    <t>晋安区塔头路东城公寓边的内河段长期严重污染，滋生大量蚊蝇，春夏季节更是恶臭难忍！为何晋安河整治初见成效，该河段却始终不见改善？请问可否尽快解决？</t>
  </si>
  <si>
    <t>您好！经过前段时间的内河截污施工，已按设计要求完成东郊河（东城公寓段）截污工作，目前东郊河沿河截污管道已铺设完成，因长乐北路市政污水主干管水位太高，截污管道无法开通排入市政管网。待市政干管水位回落时，立即开通运行，届时水质也会得到一定改善 </t>
  </si>
  <si>
    <t>白马河水黑又臭</t>
  </si>
  <si>
    <t>魏颖强</t>
  </si>
  <si>
    <t>12/11/2012</t>
  </si>
  <si>
    <t>12月11日早上我走过白马河在道山路口的桥上，闻到一股恶臭，向桥下一看，白马河水发黑还在冒着泡。和我之前对治理过后的白马河的印象大相径庭。之前在报纸上说，白马河杨桥路过来到道山西路一段还有小游船，真不知道，这样的河水还如何旅游！想来治理河水应该是长久之计，不可能一时应付了之，请政府有关部门能够引起关注。谢谢。</t>
  </si>
  <si>
    <t>您好！位于白马河下游的白马河景观水闸已进入设备安装阶段，需干塘施工，该情况已于11月16日在福建公共频道、福州综合频道等媒体进行新闻报道。现在白马河同德桥南侧设置了拦水围堰，短期内河水水质会出现暂时性黑臭现象。待设备安装完成，白马河水即可恢复通畅。工程预计12月下旬可基本结束，期间给您带来不便敬请谅解！ </t>
  </si>
  <si>
    <t>白马河的水质又黑又臭，投诉！</t>
  </si>
  <si>
    <t>何女士</t>
  </si>
  <si>
    <t>12/05/2012</t>
  </si>
  <si>
    <t>近期，白马河的水质又黑又臭，附近生活、工作的民众根本无法忍受。对此，提出投诉！</t>
  </si>
  <si>
    <t>洪阵河治理请做得完善些</t>
  </si>
  <si>
    <t>李贤圣</t>
  </si>
  <si>
    <t>11/29/2012</t>
  </si>
  <si>
    <t>洪阵河治理是政府办的实事工程，这是好事，我住在河边，这条河是治理得差不多了，但是剩下一些遗留问题请施工队同志解决下：1.洪阵河靠边闽江大道郭厝里的那个水闸附近垃圾满地，杂草丛生，能否像白马河治理一样弄个景观水闸？2.洪阵河的堤岸都铺好了花岗岩，但是与水面临近的那一段石阶底部为何还是裸露着淤泥，为何不铺上花岗岩呢？3.河边的护栏为何有一段是水泥墙，其它的部份仅是用铁皮来简易地围起来呢？4.能否想办法让河水与闽江水间打通了，让其流动起来，要不然只要几日不下雨，河水就黑臭得厉害。</t>
  </si>
  <si>
    <t>你好。1、白马河是重点景观河道标准，关于洪阵河水闸问题我部会通知建设单位予以清理；2、洪阵河目前还是处于施工阶段，建设好后南北会和乌龙江及闽江连通。 </t>
  </si>
  <si>
    <t>白马河河下街段为何又黑又臭？</t>
  </si>
  <si>
    <t>陈小姐</t>
  </si>
  <si>
    <t>11/21/2012</t>
  </si>
  <si>
    <t>近一周时间在河下街白马河河水又黑又臭，还漂浮有杂物、油污。</t>
  </si>
  <si>
    <t>根据辖区管理职责，请转义洲街道处理。市民你好：
   对于诉求件编号12112100124中反映的问题，现反馈如下：经了解，河下街白马河河水又黑又脏是因为彬德闸在修建造成，工程即将完工。 </t>
  </si>
  <si>
    <t>溪水恶臭</t>
  </si>
  <si>
    <t>小王</t>
  </si>
  <si>
    <t>11/18/2012</t>
  </si>
  <si>
    <t>在院林溪一带生活现在总是闻到一股恶臭的气味，以前溪里还有鱼而现在看到水都是黑的还有臭味，就不用说还有什么鱼了，水黑和恶臭不排除有生活垃圾存在，但主要是工业污染多，是不是上游所管辖的渔溪镇采取的整治措施不到位，还存在一些漏洞，请有关部门立即采取相应的治理措施。</t>
  </si>
  <si>
    <t>目前渔溪镇正在对院林溪上游养猪场、养鸡场进行第一期污染整治，治理范围为上张、前亭、建新、步上、双墩、钟前、下里、虞阳社区等8个村居。 </t>
  </si>
  <si>
    <t>内河排的污水，乌黑乌黑的，臭气冲天</t>
  </si>
  <si>
    <t>福州市政协李靖</t>
  </si>
  <si>
    <t>10/02/2012</t>
  </si>
  <si>
    <t>马尾区快安中华映管旁边的内河，今天早上排的污水，乌黑乌黑的，臭气冲天，严重影响周边居民生活，希望环保局介入处理。</t>
  </si>
  <si>
    <t>关于磨溪内河污水排放问题，我局10月2日接到电话投诉，当天就派执法人员到现场进行调查，并对周边企业进行检查，未发现有违法排污行为。2012年10月10日，我局执法人员再次对周边企业进行排查，未发现企业有违法排污行为。磨溪内河长期受纳快安村、龙门村等存村庄的生活污水，在退平潮时可见部门断面内河底部为黑色底泥。 </t>
  </si>
  <si>
    <t>太脏了 太难了！</t>
  </si>
  <si>
    <t>老人家</t>
  </si>
  <si>
    <t>09/24/2012</t>
  </si>
  <si>
    <t>田乾路5号楼，6号楼后面地下水管堵塞污水从地面上流，水又黑又臭，有人用石板垫着走路，我们这里没有物业没人管这事，不知道哪个部门管这事，过来看看吧，我们老人家不好走啊，帮我们处理一下吧，该出多少钱我们愿意出啊，谢谢啦</t>
  </si>
  <si>
    <t>市民朋友，您好，您反映的情况回复如下：我街道金墩社区第一时间到现场查看，发现事件地点周边正在基建，造成地下水冲破水管管道。金墩社区已经跟相关单位协调沟通，在路面先垫一层沙土做好卫生方便行人过往，待基建完成后在统一进行维修。 </t>
  </si>
  <si>
    <t>龙津河河流</t>
  </si>
  <si>
    <t>龙津河改造，政府不作为</t>
  </si>
  <si>
    <t>龙津河沿岸居民</t>
  </si>
  <si>
    <t>08/29/2012</t>
  </si>
  <si>
    <t>您好！龙津河整治工程从2009年进场施工以来，由于征地拆迁滞后，工程建设长期处在停工半停工状态，加上近几年来工程建设市场物价上涨，目前虽有些地段拆迁已到位，但施工单位要求调价后再进入施工，整治工程难以实施，要明确具体整治完成时间，需协调方方面面的具体问题才能确定。龙津河河水黑臭有两个原因：一是龙津河流水不畅，目前龙津河河水唯一出口是通过龙津一支河进入港头河排入闽江。龙津河河道建设尚有约一公里没有贯通；二是龙津河沿线污水直排入内河，需要截污。由于龙津河流经的区域较广，且大多为菜地、农田等未经开发的区域，市政污水管网尚未覆盖，导致污水无出路，另外如六一路附近老城区则因为驳岸边的建、构住物较多，截污没有工作面，导致截污工作进展缓慢。待有施工工作面时，将及时进行截污(福州市城乡建设委员会于2012、8、611:06回复)
都几年了，难道政府就任由其发臭、难道政府就不想管了吗，至少也要有个方案和日程表啊。特别是拓福进来到江边小学那段，真的是太黑、太臭了。鼓楼区内河改造都搞得很好，我们仓山区呢，有搞好一条像样的内河吗？接下来就要开学了，江边小学的小孩子每天都要忍受这样的臭水沟。想想吧，要是你们的孩子在这里读书，心会安心吗？人家有青山绿水，而我们只有臭水沟相伴着朗朗读书声。</t>
  </si>
  <si>
    <t>您好！拓福段河水原应往闽江方向排放，现因从江边水闸至闽江规划调整，河道已不由原先征用土地上经过，改由公建三地块通过，现公建三地块尚未完成征地拆迁，无法提供规划河道线给该项目业主市市容建设开发公司施工，需待相关部门完成交地后才能连通龙津河与闽江之间的河道，使河水得以正常置换。在截污方面，由于龙津河流经的区域较广，且大多为菜地、农田等未经开发的区域，市政污水管网尚未覆盖，导致污水无出路，并且如六一路附近老城区则因为驳岸边的建、构住物较多，截污没有工作面。根据仓山区内河截污工程（龙津河）施工图纸要求，截污管道须穿过以上区域，施工难度大。现市水环境公司已发函至该工程设计单位福州市规划设计研究院，要求其出具可实施的施工方案与施工图纸。待福州市规划设计研究院出具可实施方案与施工图纸后，将尽快安排施工单位进场截污 </t>
  </si>
  <si>
    <t>内河水发黑，臭气难闻</t>
  </si>
  <si>
    <t>胡先生</t>
  </si>
  <si>
    <t>08/07/2012</t>
  </si>
  <si>
    <t>鼓山派出所大门正对面（汇城雅园大门）内河水发黑，臭气难闻，严重影响周边居民生活。现特此投诉，希望有关部门予以处理。</t>
  </si>
  <si>
    <t>您好！在浦东河截污施工时发现鼓山派出所大门西侧有一个DN800的污水口，市水环境公司正在办理前横路干管审图及规划增项许可的相关手续，手续办结后将安排人员进场施工，到时浦东河（双福路段）水质也会得到一定改善。 </t>
  </si>
  <si>
    <t>新店镇西园雅居内的内河又黑又臭请管理</t>
  </si>
  <si>
    <t>何先生</t>
  </si>
  <si>
    <t>07/31/2012</t>
  </si>
  <si>
    <t>诉求件编号（FZ12070800278），在西园雅居雨污水管未接入城市污水干管之前，内河由谁来整治，现在内河的水又脏又臭，天气炎热，又滋生很多的蚊虫，能不能先解决内河水的问题，再逐步解决雨污水管接入的问题。</t>
  </si>
  <si>
    <t>新店镇西园雅居内的内河整治是由晋安区内河整治指挥部负责，建议转晋安区建设局办理您好！
   已上报市内河指挥部，要求相关部门加快污水干管建设，尽快将污水接入干管。据了解，目前市相关部门正在想办法解决。 </t>
  </si>
  <si>
    <t>连潘河啥时才会干净？？？</t>
  </si>
  <si>
    <t>连潘河边人</t>
  </si>
  <si>
    <t>07/27/2012</t>
  </si>
  <si>
    <t>前阵子，连潘河的河底清淤工作，让我们沿河的居民看到了政府对内河整治的诚信与决心。然而，由于后期的管理没有跟上，导致河道情况依然恶劣：河水时多时少，肮脏黑臭，鲜见有河道清洁工的出现，相反，河岸上连潘村的清洁工为贪图方便，将大车大车的垃圾倒入河中，河面上垃圾漂浮，不堪入目。请问市政府，连潘河是谁管理？管理者究竟有没有为民办实事？！</t>
  </si>
  <si>
    <t>您好！
   1、内河（连潘河）近日河水少的问题：由于连潘河的补水系晋安区管道补水，近日晋安河由于施工，补水时常停顿，解决这个问题要待晋安河完成施工（大约在今年底）。
   2、管理问题（护河问题），待连潘河整治结束后，移交给市容管理部进行日常管理、保洁。 </t>
  </si>
  <si>
    <t>浦东河臭气熏天，何时治理？！</t>
  </si>
  <si>
    <t>周女士</t>
  </si>
  <si>
    <t>今年全市内河整治的宣传做得很热闹，而浦东河治理也已经提了许多年。但直到现在，浦东河还是条黑臭河，自从进入盛夏，河里的臭味越发浓重，住在河边都不敢开窗户，蚊虫也非常多。
  请问政府准备何时治理，如何治理？</t>
  </si>
  <si>
    <t>您好！
   浦东河清淤工作已基本完成，市政府已确定浦东河补水方案解决黑臭问题，补水业主单位为市容公司，现正在进行相关手续审批，抓紧进快完成补水工作，到时即可解决水臭问题。 </t>
  </si>
  <si>
    <t>龙江大北溪恶臭</t>
  </si>
  <si>
    <t>老百姓</t>
  </si>
  <si>
    <t>07/18/2012</t>
  </si>
  <si>
    <t>这几年大北溪经治理恢复了一些生机，最近不知哪里的污染源直排溪中，大北溪又变得又黑又臭，尤其下游从立交桥到明仕花园这段更是臭气冲天，严重影响周边居民生活，我受大家之托在此投诉，请环保部门积极履行自己的职责，有所作为，不要让大北溪的污染死灰复燃！！</t>
  </si>
  <si>
    <t>FZ12071800411号转办件收悉，现反馈如下：
从立交桥到名仕花园大北溪水质变黑臭一事经我大队现场调查，已初步查明原因：一是位于圣帝桥南侧约100米处污水管网破裂，大量污水涌入河道，加上天气炎热引起水质变化；二是临近溪边居民生活污水未接入市政管网直接排入溪内，也是造成水质变化的原因之一。
城市污水管网建设属建设局职责。我局已将大北溪污水管网破裂之事转告龙江办、建设局。
                     福清市环保局
感谢您对市政建设工作的关注与监督，今年6.24强降雨，造成我市城区严重内涝，“一江四溪”河水暴涨，同时对我市河道内的污水管网产生大量破坏。目前我局已修复河道内的污水管网90%以上，其中大北溪段有两个井由于暴雨造成溪水上涨导致管道阻塞及检查井被冲毁。一个是位于名仕花园斜对面，即同发娱乐城一侧的污水检查井阻塞造成西门街一带的生活污水汇入该井后无法排走，直接溢流入大北溪，我局的市政维修队已于8月1日疏通完毕。目前，汇入该检查井的污水已能顺利的汇到污水主干管。
另外大北溪竣和御景段的污水检查井由于暴雨造成检查井连基座被冲毁，致污水管内的污水溢流到大北溪的河流中。目前，由于台风以及该检查井修复的工艺比较特殊的原因无法施工，我局已通知市政维修队等“苏拉”台风通过我市境内后，立即进行维修加固。
 </t>
  </si>
  <si>
    <t>07/08/2012</t>
  </si>
  <si>
    <t>晋安区新店镇西园雅居内的内河，河水又黑又臭，滋生很多蚊虫，影响小区居民生活，产生臭气，请相关部门给予管理。</t>
  </si>
  <si>
    <t>您好！由福州市住宅发展公司承建的西园雅居小区在建成时周边管网未形成，该小区雨污水未接入城市污水干管。目前雅居周边管网已初步形成，待浮村外管西园泵站开通后，将联系雅居开发商将原先预留的接入城市污水干管的堵头打掉，将小区管网接入雨污干管。 </t>
  </si>
  <si>
    <t>投诉公共部门不作为</t>
  </si>
  <si>
    <t>07/03/2012</t>
  </si>
  <si>
    <t>责问人民的政府，什么时候弄清穿过西园雅居的黑臭河啊！每当经过时那种刺鼻的味道，实在让人作呕，严重影响居民健康，小区里蚊虫也特毒，咬的手脚一块一块红肿，生活在这种环境中人的心情极不舒畅，更有一种有气无处喧泄，对问题产生仇恨的感觉。年复一年，那破河，依旧如此。宜居城市就提供给人民这样居住环境吗？如何要求公民、企业和其他组织守法，维护环境整洁？实在难修建成河，干脆填平，搞成绿地，不要硬挖出一条半拉子的臭河放在那。</t>
  </si>
  <si>
    <t>您好！桂后溪已完成截污管铺设，截流的污水需西园泵到浮村污水处理厂，但现在尚未开通运行，原因是截污管管线途经三环的污水压力管由市政开发公司正在修建，待该段压力管完成后即可开通运行 </t>
  </si>
  <si>
    <t>为何光明港南岸西段迟迟未能动迁</t>
  </si>
  <si>
    <t>翁先生</t>
  </si>
  <si>
    <t>06/30/2012</t>
  </si>
  <si>
    <t>地处台江区瀛洲街道红星村的光明港沿岸，垃圾成堆，蚊蝇飞舞，河水黑臭...脏乱差特别严重，多次耳闻内河整治要拆迁，并在六月底拆迁完毕，可现在却迟迟未见动静，不知是何原因？</t>
  </si>
  <si>
    <t>光明港南岸拆迁由台江区房地产拆迁工程处负责，有关拆迁进展情况建议转台江区房地产拆迁工程处办理该项目不属于我局下属拆迁实施单位负责，建议转台江区房地产拆迁工程处办理。现正在市政府协调相关征收事宜。待市政府协调妥当后，将会在征收范围内公示征收补偿安置方案，并征求被征收人的意见.
 </t>
  </si>
  <si>
    <t>建设国家级生态镇</t>
  </si>
  <si>
    <t>公民</t>
  </si>
  <si>
    <t>06/28/2012</t>
  </si>
  <si>
    <t>长庆到嵩口的公路旁边立着一块长庆政府的广告牌，上面写着“建设国家级生态镇”，可立广告牌的公路脚下流着却是又黑又臭的溪水，这样的场面太过于讽刺，有损政府形象！</t>
  </si>
  <si>
    <t>诉求者，您好！
长庆镇为解决长庆溪的污水治理问题，于2011年组织蜜饯企业筹措资金建设2座污水处理厂，其中顺达公司建设的一座日处理废水80吨的污水处理设施已投入使用；另一座是以玉井坊为中心，包括加蜜佳公司等6家在内的日处理废水350吨的治理设施，由福建科宇环保技术有限公司进行技术指导、建设，因受气温等因素影响，目前处于细菌培养试运行阶段，待申请验收合格后即可正式投入使用，到时将极大改善长庆溪水质。对其他零散农户李干蜜饯加工点，我镇将引导加工户尽早淘汰腌制工序，减少对长庆溪的盐度污染。另外，生活污水处理厂也已经动工建设。感谢您对我镇环保工作的关心！ </t>
  </si>
  <si>
    <t>污水污染清凉溪</t>
  </si>
  <si>
    <t>关心环保的人</t>
  </si>
  <si>
    <t>06/25/2012</t>
  </si>
  <si>
    <t>近日沿着我县城关建好的防洪提走了一圈，发现防洪提中的涵洞里流出的水又黑又臭，直接污染了清凉溪。尤以中心市场附近一个涵洞流出的水最臭，试问一下污水为什么不接入污水管网呢？</t>
  </si>
  <si>
    <t>您好，关于您提出的“污水污染清凉溪”的诉求件，现反馈如下：目前，城区部分污水支管已逐步接入污水主管网。有的排水涵洞是雨水排放管，不接入污水主管网。感谢您对建设工作的支持。诉求者您好！2012年06月26日从12345网络
中心转来的（FZ12062500003号）诉求件
已收悉，现将有关情况答复如下：您咨询
的是生活污水管网的规划建设问题，请
向规划建设部门咨询。如果您有发现清凉溪
沿岸的工业、企业向清凉溪直排污水等环境
违法行为，请向我局电话投诉，我们将及时
到达现场处理，感谢您对环保工作的支持！
电话：12369或24851114 </t>
  </si>
  <si>
    <t>墨水河何时能休</t>
  </si>
  <si>
    <t>苏先生</t>
  </si>
  <si>
    <t>06/21/2012</t>
  </si>
  <si>
    <t>仓山区浦上工业区通过好景城钱隆金山的那条内河，很黑又臭已有几年了，为何不见清理，这就是环保模范城市吗？</t>
  </si>
  <si>
    <t>您好！该条内河是浦上河，河水黑臭的原因是由于其下游浦上路与洋洽河之间的河道未连通，截污工程也尚未进行。该段河道已列入今年内河整治计划，现正在进行工程前期工作 </t>
  </si>
  <si>
    <t>白马支路上海派出所门口早市</t>
  </si>
  <si>
    <t>齐人</t>
  </si>
  <si>
    <t>06/04/2012</t>
  </si>
  <si>
    <t>白马支路原本是白马支河，以前白马支河以黑臭出名，现在市政府为民办事实，把这条黑臭河填平了，为民办了一件实事，周边居民都很开心。好景不长，白马支河改成了填平后变成了白马支路，上海街道黎明新村小区居民未享受到政府的关心，却带来更可怕的事实，这里刚填平的路被早市占领，死鱼烂虾、腐臭气味成天弥漫在小区里，从早到晚居民得不到片刻安静（内河改造后小区和路之间没有围墙），请政府能彻底为百姓办实事！！！</t>
  </si>
  <si>
    <t>我街城管科将白马之河路市场取缔后，部分摊点流散在白马之路售卖，我街城管科将加强巡查，纠正占道经营行为，并将他们引导到周边市场经营，对屡纠不改的，将依据市容法规进行查处。 </t>
  </si>
  <si>
    <t>内河臭气熏天，百姓苦不堪言！</t>
  </si>
  <si>
    <t>韦弋</t>
  </si>
  <si>
    <t>06/03/2012</t>
  </si>
  <si>
    <t>我们于4月底搬回位于仓山区朝阳路兴嘉苑1号楼504单元的拆迁安置房，朝南阳台对着一条又黑又臭气熏天并且每天两次退潮时发出轰鸣的内河（此处较窄，且有落差），此河流过的水不象单纯的生活污水，而是发出剧烈硫化氢气味的黑水，让我们不敢开门窗；经常看到垃圾顺流而下，不时还有诸如床垫之类挂在河中木桩上。现在让我们为难的是：刚装修的新家和新家具都有异味和甲醛残留，需要开门和窗通风，而开门窗就被河水发出的轰鸣声和臭气熏得睡不着！之前我们也向海峡都市报热线反映过此事，他们说会尽快反映；作为全国文明城市的福州能容得下这么龌龊的河吗？不知何时我们能有一个良好的生活环境？</t>
  </si>
  <si>
    <t>流经西园雅居的内河太臭蚊子多</t>
  </si>
  <si>
    <t>西园雅居业主</t>
  </si>
  <si>
    <t>05/21/2012</t>
  </si>
  <si>
    <t>由于火车站处的施工未完成，流经新店镇玄南岭路632号的西园雅居的内河水不能顺利排出，内河里到处是垃圾，又脏又黑又臭，现在夏天到了，蚊子多的手都可以抓到，希望政府部门组织相关人员，对该断内河进行必要的杀蚊子处理，或者把水放了，不能一直积在那里。蚊子及容易转播各种疾病。给小区居民带了很多危害。去年就对此事进行了投拆，相关人员进行杀蚊子处理后，整个小区就基本没有蚊子，今年没有处理，蚊子多的实在让人难以忍受了。希望政府能加强内河的环境保护，定期对这些内河进行必要的处理。</t>
  </si>
  <si>
    <t>您好！
   截污工程由市建委下属的市水环境公司负责，目前该小区污水未接入城市污水干管，具体详情请转市水环境公司。关于群众反映的流经西园雅居的内河脏臭问题，经了解，现该处火车站的站东路正在施工中，阻断流经此处的内河水。该内河下游处的火车站工程正在进行施工改造，位于铁路下面涵洞内下水道有堵塞情况。由于现处于夏季时节，上游水量也偏小，导致内河水无法顺畅流往下游。您好！由福州市住宅发展公司承建的西园雅居小区在建成时周边管网未形成，该小区雨污水未接入城市污水干管。目前雅居周边管网已初步形成，待浮村外管西园泵站开通后，将联系雅居开发商将原先预留的接入城市污水干管的堵头打掉，将小区管网接入雨污干管。 </t>
  </si>
  <si>
    <t>长期、脏、恶、臭，愤恕！</t>
  </si>
  <si>
    <t>老张</t>
  </si>
  <si>
    <t>05/07/2012</t>
  </si>
  <si>
    <t>感谢您使用福州市便民呼叫中心12345系统，现将您的诉求件（编号：11111700393；验证码：606353）回复意见反馈给您，请查阅。
你好，你所反映的问题：目前市里正在进行内河截污工程的施工，届时黑臭现象将会缓解。谢谢！(仓山区建设局于2011年11月29日回复)
福州市便民呼叫中心12345
2011年12月01日  
龙津河（仓山步行街头靠近三高路离三高路30米平行）到现在依然如故，脏、恶、臭，愤恕！</t>
  </si>
  <si>
    <t>您好，您所反映的问题：龙津河截污工程已进行施工，由于近期雨季频繁，时有出现脏、臭情况，请谅解，谢谢！ </t>
  </si>
  <si>
    <t>河道恶臭难闻</t>
  </si>
  <si>
    <t>庄先生</t>
  </si>
  <si>
    <t>04/27/2012</t>
  </si>
  <si>
    <t>诉求编号：（12040600318）桥梁工程根本就没有在施工，河道的水也不可能无限期的黑臭，这样，让住户怎么生活？</t>
  </si>
  <si>
    <t>您好！
   淌洋河是磨洋河水系的一条支河，规划设计为淌洋河贯通磨洋河与浦东河，形成一条完整的水能够流通的河道。但现在为复兴大道以北的河道没有贯通，淌洋河现状为一条断头河，河水没有流通，故滞留在河道上的污水发出臭味。这种情况我们会及时向上级部门反映。 </t>
  </si>
  <si>
    <t>请求有关部门治理晋安区塔头路东城公寓右侧臭水沟恶臭问题</t>
  </si>
  <si>
    <t>04/23/2012</t>
  </si>
  <si>
    <t>晋安区塔头路东城公寓右侧有条臭水沟，好象有个名字叫化工河，源头在哪里，流往何处，我们不太清楚，但河水又黑又臭，黑色的河水面上，泛着白灰色的泡沫，水黑不看还好，但那臭味比臭豆腐还臭几倍，挡不挡住，尤其是天热，过往群众无不掩鼻而过。这河臭了附近居民不知道多少年了，请求有关部门能想办法解决这个问题。</t>
  </si>
  <si>
    <t>您好！
   你好，感谢对内河整治的关心与支持。化工河源头为登云水库，下游汇入凤坂河。晋安区塔头路东城公寓右侧为东郊河，目前已完成河道清淤，但河道截污未完成，截污相关情况请咨询福州市水环境公司。您好！晋安区塔头路东城公寓右侧是东郊河，据现场察看下游没有用沙袋堵住，该河属断头河，上游无水源，河水流速缓慢，无法与其相连的凤坂河进行水体交换。东郊河综合整治项目属晋安区指挥部负责，市水环境公司负责内河截污的部分，经过前段时间的截污施工已按设计要求将东郊河东城公寓段的排污口截流，但由于长乐路市政污水主干管水位太高无法接入，尚未开通运行，水环境公司正在协调管网公司清理市政污水干管，待主干管水位下降后即可开通运行，届时河道水质将会得到改善。 </t>
  </si>
  <si>
    <t>确实太脏，太臭了，请仓山区领导到这周边住几天看看。</t>
  </si>
  <si>
    <t>许哲明</t>
  </si>
  <si>
    <t>04/19/2012</t>
  </si>
  <si>
    <t>您好！江边村的龙津河目前还在抓紧整治，从仓山拓福至江边水闸段，除江边村委旁约200米因拆迁未到位，变压器未迁移未整治外，其余河段的驳岸已形成，由于龙津河江边水闸外公建3号二期地块未交地，连接闽江的河道无法施工，致使该河雍堵，修复的驳岸被水淹没，河水黑臭，河道护栏也难以施工，施工后浸泡在水里栏杆会变黑，目前公司正在积极协调仓山区尽快完成交地和拆迁到位，以加快工程建设的实施。(福州市城乡建设委员会于2012.4.1117:05回复)
拆迁好几年了，咋还没拆迁到位，请问仓山区政府啥时才能拆迁到位？
确实太脏，太臭了，特别夏天快到了，请仓山区领导到这周边住几天看看。一段时间可以忍受，几年了，试问人民群众健康如何得以保证。</t>
  </si>
  <si>
    <t>你好，龙津河整治项目确实遇到拆迁困难，我镇相关领导和工作人员已经在积极协调，抓紧早日让施工队进场动工，敬请谅解。 </t>
  </si>
  <si>
    <t>福州春天后面的淌洋河还是发黑发臭</t>
  </si>
  <si>
    <t>04/01/2012</t>
  </si>
  <si>
    <t>现在，福州春天后面的淌洋河还是发黑发臭。
请有关部门保证水流畅通，现在这条河的水是静止的，没有流动。并且经常漂浮恶心的垃圾。为什么这条河的水会如此黑，如此臭呢？？？？</t>
  </si>
  <si>
    <t>您好！
   淌洋河是一条断头河，由于一端的磨洋河还未完全开通，还在进行施工，所以淌洋河沿线水流较慢，天热后容易发臭。鼓山苑小区河道内的堰坝近期将拆除修建涵洞桥，待桥修好后河道水质将会明显改善。 </t>
  </si>
  <si>
    <t>白马河公园河段非常臭</t>
  </si>
  <si>
    <t>03/27/2012</t>
  </si>
  <si>
    <t>经查，近日白马河河水黑臭，水质较差是因东西河污水流入所致，东西河高桥至琼东河口段正进行截污施工，围堰阻塞河道，河水流入白马河。该截污工程由市水环境公司负责实施，诉求问题建议转市城乡建设委员会所属市内河整治指挥部办理。
您好！东西河截污工程已完工，由于地铁施工的需要，在东西河洗马桥处实施围堰已有数月，造成排水不畅，长期排水不畅对内河水质影响较大。地铁施工还需较长时间，为支持地铁施工，东西河洗马桥处围堰暂不能拆除，随着天气转热，因此后期对水质影响将会更大，对白马河的水质影响也将更大。 </t>
  </si>
  <si>
    <t>王先生</t>
  </si>
  <si>
    <t>03/14/2012</t>
  </si>
  <si>
    <t>格致中学鼓山校区那条河臭气熏天，虽然去年内河清污等有开展，但现在又恢复它黑、臭的原貌。我想问到底是河难清还是人难清？
难道没有福州市没有为民办事的官吗？</t>
  </si>
  <si>
    <t>王先生，您好！由水环境公司负责的淌洋河截污工程自2011年5月进场施工至今，已按照设计要求全部完成，目前正准备工程竣工验收。同时经排查发现位于福光南路市政污水支管存在破损堵塞，导致河道截流污水无法排入市政管网。目前已安排进行管道抢修施工，计划3月底完成，之后即可通水运行 </t>
  </si>
  <si>
    <t>河水又黑又臭！</t>
  </si>
  <si>
    <t>02/27/2012</t>
  </si>
  <si>
    <t>晋安区公益路上的河滨花园小区门口段的晋安河最近这两三天又黑又臭！希望有关部门赶紧管管。</t>
  </si>
  <si>
    <t>您好！晋安区公益路河滨花园小区段的晋安河受到污染，是由于华林路地铁施工造成华林路污水主干管损坏，造成污水无法进入污水处理厂，从溢流口排出后排入河道，现已采取临时排水方案您好！
   感谢您对我区内河工作的关心与支持，因晋安河整治工程的业主单位为市建委下属的福州水环境公司，请转市建委。 </t>
  </si>
  <si>
    <t>肮脏乌黑的长庆</t>
  </si>
  <si>
    <t>愤怒的农民</t>
  </si>
  <si>
    <t>02/22/2012</t>
  </si>
  <si>
    <t>长庆至嵩口小溪几年前还是清澈见底的，人们经常在溪边洗菜洗衣服，如今已变成肮脏乌黑的臭水沟。特别在热天，其臭味可飘至几百米之远，严重影响了沿溪一带居民的生活，已达到忍无可忍的地步。12345便民网上已有人反映过，可问题非但没解决，而且还愈来愈严重。前天，本人花了一天时间沿着整条溪拍了一些照片和视频，做为集体上访的依据。本来官民一家亲，如今官不为民，民恨官！政府不作为，只想忽悠老百姓，老百姓怎能不痛恨？！多希望能关注民生，多倾听老百姓的心声，多为民服务！！！</t>
  </si>
  <si>
    <t>诉求者，您好！
   长庆镇为解决长庆溪的污水治理问题，于2011年组织蜜饯企业筹措资金建设2座污水处理厂，其中顺
达公司建设的一座日处理废水80吨的污水处理设施已投入使用；另一座是以玉井坊为中心，包括加蜜佳公司等6家在内的日处理废水350吨的治理设施，由福建科宇环保技术有限公司进行技术指导、建设，因受气温等因素影响，目前处于细菌培养试运行阶段，待申请验收合格后即可正式投入使用，到时将极大改善长庆溪水质。对其他零散农户李干蜜饯加工点，我镇将引导加工户尽早淘汰腌制工序，减少对长庆溪的盐度污染。感谢您对我镇环保工作的关心！
诉求者您好！2012年02月23日从12345网络
中心转来的（12022200553 号）诉求件已
收悉，并立即派员到现场检查，现将有关
处理情况反馈如下：长庆溪的污水治理问
题，于2011年组织蜜饯企业筹措资金建设
2座污水处理厂，其中顺达公司建设的一座
日处理废水80吨的污水处理设施已投入使用；
另一座是以玉井坊为中心，包括加蜜佳公司
等6家在内的日处理废水350吨的治理设施，
由福建科宇环保技术有限公司进行技术指导、
建设，目前处于细菌培养试运行阶段，待申
请验收合格后即可正式投入使用，到时将极
大改善长庆溪水质。感谢您对环保工作的支持！ </t>
  </si>
  <si>
    <t>流经西园雅居的晋安河段治理工程什么时候能做完！</t>
  </si>
  <si>
    <t>12/30/2011</t>
  </si>
  <si>
    <t>流经西园雅居的晋安河段治理工程，从今年六七月就开始进行，进行不到四分之一，就开始暂停，一直到现在没人处理。由于施工的原因，把原来流通的河，拦起来了，现在整条河都不流通，导致整个河段积压的很多污水，又黑又臭，到处是虫子和蚊子，给我们的生活带来了非常严重的后果。
本人多次看到新闻报纸说工程都已经全部完成，为什么我们这段却没有动，你们是怎么验收的。难道只是为了应付文明城市的评比吗？真的是太不文明了,希望西园村以及相关的单位能在春节前把该段河处理完，就是不清污也要把拦起来的地方弄通，这样就不会积水了。</t>
  </si>
  <si>
    <t>您好！
   目前因上游还在挡墙施工，故桥下无法完全清理赶紧，请谅解。桂后溪西园雅居段还在清淤施工，春节前能够完成。 </t>
  </si>
  <si>
    <t>肮脏乌黑的长庆——嵩口小溪</t>
  </si>
  <si>
    <t>12/22/2011</t>
  </si>
  <si>
    <t>长庆至嵩口小溪几年前还是清澈见底的，人们经常在溪边洗菜洗衣服，如今已变成肮脏乌黑的臭水沟。特别在热天，其臭味可飘至几百米之远，严重影响了沿溪一带居民的生活，已达到忍无可忍的地步。12345便民网上已有人反映过，可问题非但没解决，而且还愈来愈严重。前天，本人花了一天时间沿着整条溪拍了一些照片和视频，做为集体上访的依据。本来官民一家亲，如今官不为民，民恨官！政府不作为，只想忽悠老百姓，老百姓怎能不痛恨？！多希望新任县长能关注民生，多倾听老百姓的心声，多为民服务！！！</t>
  </si>
  <si>
    <t>您好！
长庆镇十分重视长庆溪的污水治理，于2011年组织蜜饯企业筹措资金建设2座污水处理厂，其中顺达公司建设的一座日处理废水80吨的污水处理设施已投入使用；另一座是以玉井坊为中心，包括加蜜佳公司等6家在内的日处理废水350吨的治理设施，由于技术原因，目前仍正施工建设中，预计2月底可正式投入使用，到时将极大改善长庆溪水质。感谢您对我镇工作的关心。
诉求者您好！2011年12月23日从12345网络
中心转来的（11122200550号）诉求件已
收悉，现将有关情况反馈如下：关于长庆
溪的污染已成为去年及今年人大议案的重
点件之一。2010年初，我局组织人员对群
众反映较强烈的长庆溪做了详细调查，并
将详细调查结果以呈阅件形式上呈县政府，
同时并将长庆溪的综合整治作为2010年工
业污染整治的重点，现已投入总共近200
万建设了两座蜜饯废水治理设施，一座是
顺达公司建设日处理废水80吨、另一座是
以玉井坊为中心，包括加蜜佳公司、佰佳
公司等6家在内的建设日处理废水350吨的
治理设施。目前顺达公司的设施已通过验
收并投入使用，另外一座设施正在运行调
试中，这样将大大缓解了长庆溪的纳污量。
今年，我局将进一步督促这两座设施尽早
通过验收，确保达标排放外。下一步，我
局建议长庆镇政府督促其他零散农户加工
点尽早淘汰腌制工序、减少对长庆溪的盐
度污染，长庆溪的改善将指日可待。感谢
您对环保工作的支持，谢谢！ </t>
  </si>
  <si>
    <t>南三环路全部建造在河道江面田地等这种性质的土地上，内河从未整治污染非常严重</t>
  </si>
  <si>
    <t>不管发表发表内</t>
  </si>
  <si>
    <t>12/15/2011</t>
  </si>
  <si>
    <t>1、仓山区盖山镇南三环路全部建造在河道江面田地等这种性质的土地上，总共分为三大区域分别是：1500米长的吴山马洲江，南三环路北侧半个吴凤江面，整个帝封江，可以说是福州市最大的水域区，但是这一大片的地方内河污染非常严重，污染源直接排放到乌龙江，水质发黑很臭有毒素，
2、单单1500米长的吴山马洲江全部堵塞了，河床上都是淤泥满满，排水非常的不通畅，好心寒啊，都是污水太难闻太难看了，为什么福州建设局都不进行内河整治，难道都看不见吗，难道都不知道仓山区盖山镇南三环路全部都是河道江面田地吗，
3、对此，速快将1500米长的吴山马洲江进行挖淤清理，不能再这样子下去了，全部都被污染了，水是黑色的，就连沙土都变成黑色的了，好可怕啊，
4、到底怎么做1500米长的吴山马洲江两侧的花圃绿化带砌出石基等相关的工作，快去做，连一棵树木都没有种，光秃秃的非常难看，水土流失非常严重，5、1500米长的吴山马洲江两岸的破民房怎么还不进行拆迁做事啊，这么慢受不了，
6、先重点做好1500米长的吴山马洲江的木栈道修葺等工作，快去做，
7、1500米长的吴山马洲江非内河整治不可，快去疏通河道啊，在吴山鸡姆屿水闸处的田地都被冲垮了还不做事，太憾事了，快点快点速度效率非常慢。</t>
  </si>
  <si>
    <t>您好！马洲河整治原列入南台岛亚行贷款整治项目,但由于征地拆迁工作无法实施,今年已暂停,将结合该地块改造时予以一并整治。 </t>
  </si>
  <si>
    <t>台江区瀛洲街道光明港绿化带何时改造</t>
  </si>
  <si>
    <t>12/06/2011</t>
  </si>
  <si>
    <t>光明港的河水又黑又臭，源于岸边居民直接往河里排放污水，倾倒垃圾等等，瀛洲街道红星村光明港沿岸出租户多为收集破烂废品人员，常年在河岸的栏杆上存放、暴晒废品等，卫生状况可以用脏乱差来形容，河道边的垃圾堆积如山，与河对面晋安区的绿化带成鲜明的对比。
现六一路以东晋安区光明港段开始拆迁动员，而台江区却迟迟未见动静，不知是何原因？我们都希望能尽快拆迁建绿化带。</t>
  </si>
  <si>
    <t>你好！你所说的应是位于六一路东侧的现光明港两岸。经查，该地块已由市城乡建设发展总公司办理《建设用地规划许可证》以进行光明港综合整治，可向其具体咨询。您好，光明港西段综合整治工程房屋征收正在进行前期准备工作，在相关要件齐备后，我们将尽快报请市房管局批准启动房屋征收。
 </t>
  </si>
  <si>
    <t>内河黑臭</t>
  </si>
  <si>
    <t>11/14/2011</t>
  </si>
  <si>
    <t>仓山区盖山镇天水吴山六凤洲每天河道污染非常严重，河床都堵塞了那些污水都有毒，从来都没有进行挖淤清理，河道边河床上到处都是垃圾，环境非常差，污水都蔓延到江边人家弄得江边的石头都发黑，对此请有关部门快进行内河整治挖淤清理。天水吴山六凤洲的河道有两千多米长度，尤其到夏天那些污水都很臭让人吐。</t>
  </si>
  <si>
    <t>您好！仓山区盖山镇天水吴山六凤洲片区内主要河道为马洲河、义序河、吴山河、竹榄河四条河道，沿河两岸多为栅屋区，拆迁量非常大。马洲河、义序河前几年已列入南台岛亚行代款十二条内河整治项目之中，但由于征地拆迁困难大而无法实施，现已暂停。吴山河由于大部分河段被填埋，河道整治近期我们已提请市政府审核。其余河道的整治我们将会加大力度予以推动，也希望广大市民对内河整治这项为民办实事工程予以积极配合与支持。 </t>
  </si>
  <si>
    <t>恶臭难耐</t>
  </si>
  <si>
    <t>备受中</t>
  </si>
  <si>
    <t>11/06/2011</t>
  </si>
  <si>
    <t>福屿路福一村旁小区边的河水长期黑如墨水臭不可闻孳生蚊虫恶臭弥漫  住七楼八楼白天、晚上还能闻到臭味，白天都不敢开窗晚上只好关紧窗户睡觉。只要开窗熏得家里全是臭味
希望有关部门抓紧内河整治进度，使死水变活水，黑臭河变成清水河。</t>
  </si>
  <si>
    <t>您好！福屿路福一村小区旁边的河道为新西河，新西河沿河截污工程已基本完工，目前正在抓紧实施清淤与河底铺砌，力争今年年底前完工，待工程完工恢复通水后，新西河的水质水环境将会得到改善。 </t>
  </si>
  <si>
    <t>内河黑又臭</t>
  </si>
  <si>
    <t>10/19/2011</t>
  </si>
  <si>
    <t>金山红旗河又黑又臭，死水不流动，前段时间已经清理但近期又故态复萌，故此请政府部门尽快疏通。</t>
  </si>
  <si>
    <t>你好，你所反映的问题：红旗河整治已完成95%，届时将全部拆除围堰通水，给您造成的暂时不便请谅解。谢谢! </t>
  </si>
  <si>
    <t>福州市建设局当你知道有么差的工程时，你是怎么想的，又是怎么处理的！</t>
  </si>
  <si>
    <t>沿河两岸的百姓</t>
  </si>
  <si>
    <t>10/12/2011</t>
  </si>
  <si>
    <t>在仓山区的洋洽河现在是黑、臭的不得了。500米之内都可以闻到，死水一潭。怎么越修越差啊，严重影响百姓的生活与工作。什么时候可以好啊，为什么在改造过程中就不能三、五天换一次水啊？让内河水也流动一下啊，现在动手术都可以是把动脉不间断地流通一下。我们的内河治理为什么就不能学习一下呢？治理内河结果不但要好，过程也要让沿河两岸的百姓生活啊。内河治理出发点是好的，不要反尔让百姓添堵啊！洋洽河现在应该可以改称墨稀稀可比河啦！原本一项惠民，利民的工程做成怨生工程实在是可悲啊！
 建设主管部门你是怎么进行过程监督的呢？
 请把好事做好啊！不要只是有卫生检查时，才有换水，这样不行的！</t>
  </si>
  <si>
    <t>您好！洋洽河整治由仓山区负责,关于反映工程何时完工及河道换水问题,请转仓山区建设局予以回复.洋洽河截污工程由市指挥部负责，沿河截污正在全面实施中，力争今年年底前按计划完成，工程完工后，洋洽河的水质将会得到改善。你好，你所反映的问题：我部已考虑到这个问题，在施工中已留有一定的过水断面，但还是会影响整体的流动，整个清淤工程年底会结束，给您带来的不便敬请谅解。谢谢！ </t>
  </si>
  <si>
    <t>丽景天成内河臭气熏天，严重影响到社区的生活环境</t>
  </si>
  <si>
    <t>皮皮</t>
  </si>
  <si>
    <t>10/10/2011</t>
  </si>
  <si>
    <t>我是丽景天成的业主，丽景天成的内河（好像叫洋洽河）从国庆节开始，河水墨黑，臭气熏天，已经严重影响到社区的正常生活环境。至今已经10天了，也没有看见有什么单位在做治理工作。请相关单位和部门尽快解决这个问题，还内河沿岸一个空气清新的环境。谢谢！</t>
  </si>
  <si>
    <t>你好，你所反映的问题：洋洽河由于施工围堰，暂时有发臭的现象。经过几天的补水，现已恢复流动，基本没有发臭现象。谢谢！ </t>
  </si>
  <si>
    <t>救救金山丽景天成旁的流花溪，好黑好臭啊！</t>
  </si>
  <si>
    <t>张女士</t>
  </si>
  <si>
    <t>10/08/2011</t>
  </si>
  <si>
    <t>金山派出所永辉超市附近有个丽景天成小区，旁边有条流花溪。平时很干净，还可以看见白鹭在飞翔。现在的这条流花溪不知为什么水又黑又臭？是否永辉超市脏水直接排入？这条小溪的水与乌龙江相通的，这种脏水若流入乌龙江，再往下流，福州下游可就脏了。这里是上游啊！福州现在市区的内河整治力度很大，千万别忘了还有金山的内河啊，一样是福州市管辖，而且是上游。以后要建大福州，不能老是在市中心的白马河，三坊七巷的内河拍电视，来金山丽景天成那里的内河拍拍电视，曝曝光，为什么溪水这么黑，这么臭，源头在哪里？是谁把水搞的这么脏？要立即整改！</t>
  </si>
  <si>
    <t>您好！我局内河所仅负责流花溪湾边至浦上大道靠红树林一侧500米河段，我局内河所职责是负责打捞河面漂浮物，清除驳岸杂草等。至于流花溪河水黑臭，是由于横江渡、洋洽河正在整治中，无法引水冲污，此类黑臭问题是由市市政工程公司负责实施，建议该件可转市市政工程公司予以解决。您好！金山派出所永辉超市附近,以及丽景天成小区旁边内河为横江渡与洋洽河,横江渡与洋洽河整治已列入今年内河整治计划,目前整治正在施工中,效果还未能体现,待河道整治与沿河截污工程完工后,河道水质将会得到改善,并实现去黑臭现象。 </t>
  </si>
  <si>
    <t>洋洽河现在应该可以改称墨稀稀可比河啦！臭不可闻！</t>
  </si>
  <si>
    <t>燎原新宛业主</t>
  </si>
  <si>
    <t>洋洽河整治由仓山区负责,请转仓山区建设局予以回复你好，你所反映的问题：洋洽河由于施工围堰的原因，暂时有发臭的现象。经过几天的补水，现已恢复流动，基本没有发臭的现象。谢谢！ </t>
  </si>
  <si>
    <t>内河仍是黑臭，污水照样排放</t>
  </si>
  <si>
    <t>蔡先生</t>
  </si>
  <si>
    <t>10/07/2011</t>
  </si>
  <si>
    <t>金山碧水二期步行街内河（通过龙凤苑和水口苑）还是黑臭的，原先是说生活污水接入洋洽污水处理厂，但今日市民发现污水仍是排放到内河中。以上现象影响周边业主的生活，故此请政府部门介入给予处理。</t>
  </si>
  <si>
    <t>您好！经过金山碧水二期步行街的内河为洋洽河，近期洋洽河河水突然受到严重污染，严重影响周边市民的生活，仓山区政府已组织相关部门对该问题进行研究解决，由仓山区内河指挥部负责先行对受污染的河水进行排换，目前污染已有所缓解，仓山环保部门正在排查受污染原因。洋洽河整治工程目前尚未完成，正在加快推进；洋洽河沿线管道也已在进行全面截污改造，力争今年年底前按计划完成洋洽河的整治工作，工程完工后，洋洽河的水质水环境将会得到改善。 </t>
  </si>
  <si>
    <t>内河污水问题</t>
  </si>
  <si>
    <t>孙国兴</t>
  </si>
  <si>
    <t>10/05/2011</t>
  </si>
  <si>
    <t>国庆期间，新华社福建分社旁的内河又脏又黑又臭，管理单位严重失职，希望市效能办给查一查。给广大市民一个交代。</t>
  </si>
  <si>
    <t>您好!新华社福建分社旁的内河为横江渡,横江渡整治工程由于天气炎热影响,8、9暂停施工，目前已恢复未完成围堰施工与截污施工，横江渡的施工对水质会有一定影响，但不会造成现在这样严重污染，近期横江渡水质突然受到的严重污染,目前仓山区环保部门正在调查中您好!新华社福建分社旁的内河为横江渡,近期横江渡以及与横江渡相连的洋洽河水质突然受到的严重污染,严重影响周边市民的生活，仓山区政府已组织相关部门对该问题进行研究解决，由仓山区内河指挥部负责先行对受污染的河水进行排换，目前污染已有所缓解，仓山环保部门正在排查受污染原因。横江渡、洋洽河整治工程目前尚未完成，正在加快推进；沿线管道也已在进行全面截污改造，力争今年年底前按计划完成整治工作，工程完工后，河道的水质水环境将会得到改善。你好，你所反映的问题：洋洽河由于施工围堰的原因，暂时有发臭的现象。经过几天的补水，现在已恢复流动，已基本没有发臭的现象了。谢谢！ </t>
  </si>
  <si>
    <t>投诉印染厂直排污水，噪音扰民一事</t>
  </si>
  <si>
    <t>09/29/2011</t>
  </si>
  <si>
    <t>长乐市金峰镇凤洋港口村印染厂，污水未经过滤直接排放到河里，现河水又黑又臭，无法灌溉农田。印染厂半夜装卸货，货物从二层直接丢下，产生的噪音严重扰民，请相关部门给予查处。</t>
  </si>
  <si>
    <t>经查，所诉为长乐力特隆印染有限公司（原名长乐三禾印染厂），该公司主要从事纺织布料染整加工，创建于1987年，已经过福州市、长乐市两级环保部门审批和验收，该企业所有的生产废水均按规范排入污水调节池和冷却水回用池，现拥有一套日处理2500吨废水的污水处理设施和中水回用设备，安装了污水进水、排水、回用在线计量装置和污水处理设施运行在线监控设备，以及主要污染物（COD）在线监测仪器。
长乐力特隆印染有限公司列为我局重点污染源监管对象，我局对该企业通过日常现场检查，夜间、节假日突击检查和在线监控等多种方式进行监管，未发现该厂直接排放未经处理的污水。
该企业装卸货物未设置减速输送装置，装货过程中产生噪声对周边环境造成一定的影响，我局已责令该企业立即进行整改。
（与投诉人同时在现场勘察过程中，投诉人未能提供该企业私设的暗管位置和直接排放污水的证明材料。）
    本投诉件已现场答复投诉人。
关于《印染厂直排污水，噪音扰民一事》情况反馈
市信访局：
   市效能办投诉中心转办的关于《印染厂直排污水，噪音扰民一事》编号为11092900352的投诉已收悉，现将情况反馈如下：
   1、凤洋村因印染企业集聚，水污染问题由来已久，积重难返，群众反映强烈，目前正在进行陈塘港主港道综合治理，计划铺设治水管网，届时印染厂的污水将集中排入污水管道。解决农田灌溉水问题。
   2、针对群众反映的印染厂半夜装卸货问题，镇政府及凤洋村委会督促工厂不要装卸货。以防噪音扰民，一经发现，将予以惩处。
金峰镇人民政府
2011年10月17日 </t>
  </si>
  <si>
    <t>河道又黑又臭！</t>
  </si>
  <si>
    <t>郭先生</t>
  </si>
  <si>
    <t>08/12/2011</t>
  </si>
  <si>
    <t>鼓楼区杨桥路高峰桥寺庙的（原是违章建筑，拆除后未清理）河道又黑又臭，严重影响了周边住户的生活！特此投诉！</t>
  </si>
  <si>
    <t>您好！鼓楼区杨桥路高峰桥处河道为陆庄河,前段时间由于陆庄河围堰清淤,造成水流不畅,加上天气炎热,因此河水脏臭,给沿河居民生活带来了一定的影响,目前为缓解水质脏臭和做好雨季排涝,围堰已拆除,未完成的清淤部分,计划于10月天气转凉时重新围堰清淤 </t>
  </si>
  <si>
    <t>请将淤泥彻底清走</t>
  </si>
  <si>
    <t>郑先生</t>
  </si>
  <si>
    <t>08/05/2011</t>
  </si>
  <si>
    <t>诉求编号：（11053100345）今日，《福州日报》A2版刊登:关于福州市拆掉70条内河围堰，满足行洪要求，缓解河水黑臭。对此，市民指出：陆庄河和新西河在进行清理淤泥时，污泥要及时外运。此问题已反映多次，但建设部门当时是说淤泥没地方上岸，因此先堆放在新西河。问题拖至8月份，淤泥还没上岸外运，造成新西河长期黑臭，影响周边居民的日常生活和身心健康。现福州市要拆掉70条内河围堰，满足行洪要求，那淤泥和黑水将流入闽江，人为破坏闽江，何谈保护“母亲河”？因此，恳请有关部门给予找那个时，尽快将新西河污泥清理外运，不能让其流到闽江。</t>
  </si>
  <si>
    <t>您好！河道围堰拆除后,尚未完成的清淤工程将于10月份天气转凉时,会予以重新围堰清理。 </t>
  </si>
  <si>
    <t>跃进河到底何时才能整治完成</t>
  </si>
  <si>
    <t>林生</t>
  </si>
  <si>
    <t>08/03/2011</t>
  </si>
  <si>
    <t>一年复一年，跃进河到底何时才能整治完成，已经拖了这么多年了，现在成了巴拉子工程，导致河水黑臭，蚊虫滋生，难道要我们老百姓要一直质疑政府的办事能力吗，可气，可气！</t>
  </si>
  <si>
    <t>您好！跃进河整治工程由于拆迁交地工作滞后,致使工期严重滞后,目前相关问题正在积极协调中,以争取早日恢复河道整治工作。 </t>
  </si>
  <si>
    <t>影响福州文明城市评比的若干问题，望整改</t>
  </si>
  <si>
    <t>08/01/2011</t>
  </si>
  <si>
    <t>1、仓山区龙津河的黑臭污水没有经过处理，就从菖蒲排涝站直排闽江，污染水源。2、从闽江大桥到鳌峰洲大桥一段的南江滨公园卫生非常差，而且公园内的厕所夜间没有电灯，存在安全隐患。3、仓山区很多快餐店和农贸市场白色污染非常严重，使用的塑料袋和快餐盒都无法降解，危害市民身心健康。以上问题，影响到福州文明城市的评比，希望有关部门尽快予以处理。</t>
  </si>
  <si>
    <t>您好！1、仓山区龙津河已在整治建设中，目前已完成工程量约50%，由于河道整治尚未完成，因此水质状况较差。龙津河整治工程建设中存在的问题，目前正在积极协调中，以争取尽快推进河道的整治。2、南江滨三座公厕已移交仓山区环卫处管理。目前公厕电源仍来自公园箱变，前段因电缆被大量偷盗，施工单位已向公安机关报案，现仍未有结果。建设单位正督促施工单位对被偷盗的电缆进行摸底，并另行安排电缆政府采购，争取尽快恢复供电。你好，你所反映的问题：关于仓山区龙津河的黑臭污水没有经过处理，就从菖蒲排涝站直排闽江，污染水源的问题，经了解，该河为龙津河，整治工程基本完成。截污问题暂未彻底解决。我部会向负责截污工程项目的市水环境公司反映，请求尽快完成截污，还内河干净。谢谢！您好，关于闽江大桥到鳌峰洲大桥一段的南江滨公园卫生差、厕所夜间没有电灯、存在安全隐患问题，经了解，目前园林局只负责南江滨公园绿化带养护。其他设施不属于园林部门管理。谢谢诉求内容中提到的问题，根据有关规定不是环保局职责范围管理，白色污染属于工商部门职责。根据《福州市工商局关于集中开展限制生产销售使用塑料购物袋专项行动的通知》（榕工商市〔2011〕326号）精神，目前我局已在全区范围内展开了限制生产销售使用塑料购物袋专项行动。 </t>
  </si>
  <si>
    <t>07/16/2011</t>
  </si>
  <si>
    <t>途经金山碧水春晓苑的内河半年来河水黑臭，一潭死水，影响业主的生活，请尽快落实处理。</t>
  </si>
  <si>
    <t>途经金山碧水春晓苑的内河为洋洽河，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现将于8月5往日前拆除围堰通水，给您造成的不便敬请谅解。谢谢！ </t>
  </si>
  <si>
    <t>内河黑臭影响生活</t>
  </si>
  <si>
    <t>业主</t>
  </si>
  <si>
    <t>07/13/2011</t>
  </si>
  <si>
    <t>经过仓山区金山春晓苑内河发黑臭，严重影响业主的生活，请政府部门尽快介入处理。</t>
  </si>
  <si>
    <t>金山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现将于8月5往日前拆除围堰通水，给您造成的不便敬请谅解。谢谢！ </t>
  </si>
  <si>
    <t>好好的金水河整治成臭水沟</t>
  </si>
  <si>
    <t>07/12/2011</t>
  </si>
  <si>
    <t>前段时间经过市政部门的整治,金水河河底铺上了石头,结果经过几场大雨金水河变成了臭水沟,比整治前更黑更臭了,让住在附近的居民难以忍受如此臭气,治理也就此停止了.请问相关部门是如何整治的,连续持续了好几周不见效果,越来越臭.请相关部门马上做出响应的措施,还市民一个干净的空气环境</t>
  </si>
  <si>
    <t>横江渡当地人称为金水河，横江渡整治由仓山区负责，请转仓山区建设局予以回复。你好，你所反映的问题：8月5日将拆除施工围堰通水。给您造成的不便敬请谅解。谢谢！ </t>
  </si>
  <si>
    <t>内河水很黑，气味很臭</t>
  </si>
  <si>
    <t>黄昊</t>
  </si>
  <si>
    <t>07/11/2011</t>
  </si>
  <si>
    <t>7月9日早上，该段内河突然流入一股黑水，发出阵阵恶臭，路过的行人、周边住户都难以忍受，已经三天了，不见任何改善。接下来天气这么炎热，叫周边的住户怎么办？内河整治到底何时结束，污水怎么处理，难道就是简单的从一边抽到另一边，污染完一段内河再去污染另一段，让这边的住户闻够了，让另一边也闻一下吗？麻烦内河管理处的同志现场查看一下，并提出解决方案，尽快处理！
另：早上打了三次内河管理处的电话83218483，都是在八点半后打的，均无人接听？！</t>
  </si>
  <si>
    <t>金山金祥路中庚国际华府前内河为横江渡，横江渡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给您造成的不便敬请谅解。谢谢！ </t>
  </si>
  <si>
    <t>洋洽河黑臭，请尽快处理</t>
  </si>
  <si>
    <t>07/08/2011</t>
  </si>
  <si>
    <t>仓山区洋洽河河水（金山榕城广场到丽景天成这一段）黑臭，不流动已经十几天，过往行人都无法忍受，周边居民更是无法开窗，生活受影响。故此市民希望政府部门尽快介入给予处理。</t>
  </si>
  <si>
    <t>洋洽河整治由仓山区负责，请转仓山区建设局予以回复。你好，你所反映的问题：该段内河已经在整治，由于其他段正在围堰施工，没有流动的水造成暂时的黑臭。我部已通知业主和施工单位，对该段河面进行抽水清淤，并加快其治理进度，尽快恢复通水。给您造成的不便敬请谅解。谢谢！ </t>
  </si>
  <si>
    <t>洋洽河的水又黑又臭，周边居民无法忍受</t>
  </si>
  <si>
    <t>07/02/2011</t>
  </si>
  <si>
    <t>金山洋洽河正在进行内河整治，现在石板已经铺好了，但水又黑又臭，滋生蚊蝇。最近天气炎热，阵阵臭气使得周边居民无法忍受。希望有关部门尽快将臭水排走。</t>
  </si>
  <si>
    <t>金山洋洽河整治由仓山区负责，请转仓山区建设局予以回复。你好，你所反映的问题：洋洽河整治将于年底按照计划完成，目前最大的问题是截污工程滞后，我部正在努力协调中，给您造成的不便敬请谅解。谢谢! </t>
  </si>
  <si>
    <t>长乐市金峰镇环境严重污染居民健康遭危害</t>
  </si>
  <si>
    <t>李燕秋</t>
  </si>
  <si>
    <t>06/30/2011</t>
  </si>
  <si>
    <t>长乐市内河严重污染，癌症侵蚀居民身体。
长乐陈垱港和莲柄港是闽江的支流，长乐几十万人都是吃这水长大的。现在回到长乐，看到现在，河水乌黑，臭气熏天，简直没办法住人。
据当地居民了解，金峰种植的蔬菜水果，大家能不买的，都不买了。有条件搬迁的，能搬的都搬了。
这几天下大雨，离河道200米远，都可以闻到那股臭味。
金峰的经济发展了，环境怎么变成这样了！
除了认为自然因素，人为因素也很重要。据居民了解，附近很多化纤厂，印染厂直接污染了水源。
水是生命之源，试问，谁监督它们的排放？监督到位了吗？谁批准它们生产，符合生产条件了吗？如若追究起来，是不是要追究到几任，甚至是十几任前的领导呢？
   请重视民生，希望还长乐人民一个公理！</t>
  </si>
  <si>
    <t>陈塘港水污染始于上世纪八十年代，随着我市经济的迅猛发展，尤其是纺织印染行业的发展，陈塘港污染日趋严重。为控制陈塘港水环境污染，促进经济社会可持续发展，多年来我局一直致力于该流域工业污染源的防治工作，采取各种强有力的措施，进行综合治理，减轻污染。
1、控制排放总量，落实减排任务。2007年我市组织开展了印染行业污染专项整治工作，陈塘港流域19家印染企业共投入资金4000多万元进行治理和环保设施改造，全部实现了印染污水达标排放；08年开展了中水回用和10蒸吨以上锅炉烟气脱硫治理工作，所有染整企业安装中水回用设施，对处理后尾水进行再利用，回用率达50%以上；所有10蒸吨以上锅炉烟气脱硫治理，实现SO2减排任务；通过专项整治，19家染整厂年中水回用量达到400多万吨，COD减排量达600多吨，有效减少染整企业排污量。
2、加强企业监管，确保达标排放。对印染等重点企业加强监督检查，强化污染治理设施的运行管理，制定印染业污染源监管计划和检查频次，定期不定期开展夜间节假日突击检查。对检查中发现偷排、漏排、超标排放和不正常使用污染治理设施的染整企业，予以重罚，追缴排污费，情节严重的责令停产整治。
3、利用科技手段，加强排污监管。近年来我局不断完善污染源在线监控系统建设，充分发挥远程监控技术在污染源监管中的作用，通过对所有染整企业污水处理设施进出口和回用安装流量计，对废水排放口和锅炉脱硫设施排放口安装了自动在线监测设备，实现24小时全方位在线监控，进一步促进企业污水设施正常运行，达标排放。
4、聘请义务监督员，参与监督管理。自2003年起我局联合金峰镇政府在金峰地区聘请环保义务监督员参与环保监督管理。今年继续聘请了20位由社会各界人士组成的环保义务监督员，定期聘请省、福州市环保专家进行业务培训，积极支持他们开展现场监督检查，充分发挥义务监督员社会监督作用，以促进企业规范排污。
促进企业规范排污。
虽然我们对陈塘港流域工业企业采取了整治措施，但目前陈塘港河网绝大部分河段水质仍超过国家地表水Ⅳ类标准，主要原因有以下几方面：
1.工业污染仍然十分突出。印染行业虽实现了全面达标排放，但年850万吨达标废水仍排入陈塘港，且流域周边食品、水产等行业产生的污水和农业面源、畜禽养殖增大了陈塘港污染负荷。
2.生活污染日益加重。陈塘港流域几个乡镇居住十几万人，流域周边企业外来人口达10万人，20多万人产生的大量生活污水和生活垃圾未经处理直接排入陈塘港，是造成陈塘港污染的主要根源之一。
3.河道淤积严重。在金峰镇区和华阳段人为侵占河道现象十分严重，造成陈塘港河道变窄、河床变浅，水流不畅，水环境容量逐年减小，陈塘港失去自净功能，加重了陈塘港的污染负荷。
4.固体废物造成的二次污染。在陈塘港流域没有无害化的固体废物处置场，生活垃圾和工业垃圾随处简易堆放，有的甚至直接向水体倾倒，垃圾渗滤液加剧了陈塘港污染。
目前政府正不断推进污染治理:
1、加快环保基础设施建设，金峰片区污水处理厂已完成选址、审批等相关工作，正在抓紧开工前的准备工作，力争今年开工建设；陈塘港周边乡镇正在规划排污管网建设，实行雨污分流。
2、加快陈塘港流域印染企业转型升级，淘汰落后染整设备，控制产能；设立印染集控区，鼓励现有规模小、设备落后的印染企业通过“异地技改”的方式，向园区集中。
3、定期进行引水冲污，缓解水污染。要加大对陈塘港河道、莲柄港南洋河网、洞江流域调水力度、以活化水体。陈塘港河道的渡桥泵站进行定期补水，促进水体流动，提高河道自净能力。
4、推动陈塘港流域治理。陈塘港部分河道弯曲，河床淤积，人为侵占河道较为严重，河道调蓄水能力下降。市政府已决定对陈塘港流域进行综合整治，水利部门已完成整治规划，计划投资5.7亿元（不含拆迁、征地）对该流域进行全面综合整治。今年先期动工整治鹤上和金峰部门断面。通过合理规划，拆迁拓宽、清淤疏浚、两岸护坡、铺设管网、优化环境等项目建设，从根本上解决陈塘港流域水污染问题。
你所反映的陈塘港污染问题，也是我局非常关注的环境问题，我们将加强流域周边企业的监管，特别是印染企业的监管，积极推动印染企业的提升、搬迁、向工业园区集中等工作，落实市政府对陈塘港流域的综合治理任务，努力改善陈塘港的环境质量。
 </t>
  </si>
  <si>
    <t>临江新天地一、二期全体业主</t>
  </si>
  <si>
    <t>06/24/2011</t>
  </si>
  <si>
    <t>全市的内河治大有成效，流经我们仓山朝阳路临江新天地一、二期的内河不仅水黑、臭气熏天,而且沿岸的垃圾堆成了小山,这条“臭水沟”什么时候才能开始治理？我们这啥时候才会看到如“白马河一样”“水清、岸绿”的景象？这时几千位居民,与及即将全面开业的茉莉花茶一条街的全体业主翘首以待!</t>
  </si>
  <si>
    <t>临江新天地一、二期旁边的内河为港头河，港头河整治由仓山区负责，请转仓山区建设局予以回复。你好，你所反映的问题：该河为港头河，目前正在整治，年底前可完成。谢谢！ </t>
  </si>
  <si>
    <t>内河整治未完成有影响</t>
  </si>
  <si>
    <t>李先生</t>
  </si>
  <si>
    <t>06/17/2011</t>
  </si>
  <si>
    <t>金河路上的内河整治已铺上石头，但是水未流通，只有一些黑臭水淌在河中，臭气熏天，影响周边业主生活，故此请有关部门尽快处理。</t>
  </si>
  <si>
    <t>金河路旁边内河为横江渡，横江渡整治由仓山区负责，请转仓山区建设局予以回复。你好，你所反映的问题：水未流通是因为其他段正在围堰施工，我部会督促施工单位抓紧进度，尽快拆除围堰通水，给您造成的暂时不便请谅解。谢谢！ </t>
  </si>
  <si>
    <t>红旗浦河又黑又臭</t>
  </si>
  <si>
    <t>红旗浦河又黑又臭靠近金山大桥那段，怎么整治的啊</t>
  </si>
  <si>
    <t>您好！红旗浦河整治已列入今年内整治计划，河道整治由仓山区负责，目前整治具体进展情况请转仓山区建设局予以回复你好，你所反映的问题：靠近金山大桥段要进行截污和清淤施工。谢谢！ </t>
  </si>
  <si>
    <t>龙津河支流何时不再是沟道淤泥堆积，垃圾漂浮，沟水黑臭，蚊虫滋生……</t>
  </si>
  <si>
    <t>杨朝霞</t>
  </si>
  <si>
    <t>06/16/2011</t>
  </si>
  <si>
    <t>你好！我镇于前期已将该处河道堵塞、脏臭问题以书面形式上报区政府，请求上级部门统筹协调相关部门、单位共同整治。你好！我镇于前期已将该处河道堵塞、脏臭问题以书面形式上报区政府，请求上级部门统筹协调相关部门、单位共同整治。你好！7月4日上午在我镇召开了二轻学校边的小河沟治理问题的会议，经与会人员的充分沟通，形成了处理方案：1、首山路污水干管清疏工作由市政建设开发公司负责，2周内完成；2、二轻学校内部污水管网，由学校负责改造，学校至首山路污水主干管部分由学校向市政工作管理处申请接驳，由学校按规定缴纳相关费用；3、校区内河的改造和管理由学校自行负责。您好！为了尽快将福建第二轻工业学校及沿岸有关单位、小区的污水接入市政污水管网，从根本上解决龙津河支流的污染源，我们一直在跟踪相关单位的实施过程，目前工程正在实施中。你好，你所反映的问题：7月4日，由省效能办组织的现场会就该“支流”处理问题召集各方进行协调。会上已明确了处理方案，并都签字认可，概括为：学校向市政部门申请注水接驳后，自行对校区范围内河沟进行清理。谢谢！您好：龙津河支流沿岸的小区的污水接驳和龙津河支流疏浚的建设单位为水环境建设开发公司，你所反映的“加快我校及沿岸有关单位、小区的污水接入市政污水管网的步伐，杜绝龙津河支流的污染源头”这个问题，建议由水环境建设开发公司处理 </t>
  </si>
  <si>
    <t>一切以人为本</t>
  </si>
  <si>
    <t>12345</t>
  </si>
  <si>
    <t>晋安区南平西路锦绣文华小区门口有一条河，河水又黑又臭，蚊虫满天飞，河底於泥很厚，河床很浅，下大雨不利于行洪。在河边小区门口和金城小区之间原来菜地现成垃圾山，苍蝇蚊子成群，太阳一照射散发出一阵阵恶臭，过往行人无不掩鼻而走。现福州不是在搞文明城市，大整治内河，卫生环境如此恶劣，怎么够的上文明卫生城市，整治内河为什么不把这条内河列入政治范围。希望有关部门本着以人为本的精神，为周边的百姓解决这个毒瘤。</t>
  </si>
  <si>
    <t>您好！晋安区南平西路锦绣文华小区旁边的内河为义井溪，义井溪整治已列入今年内河整治计划，计划今年年底前完工。 </t>
  </si>
  <si>
    <t>内河一边整治一边排污</t>
  </si>
  <si>
    <t>陈琴</t>
  </si>
  <si>
    <t>06/13/2011</t>
  </si>
  <si>
    <t>最近市政府花大力气进行内河整治，金山内河抽干水后铺设石条，但上游还是经常排入又黑又臭的污水，把石条石子都染黑了，我们内河沿案的市民深受其苦，今年的蚊子比往年还多。试想，如不治理排污行为，从源头制止内河污染，花大钱清淤又有何用？过段时间照样积重难返。有关部门要切实抓好排污治理工作，使这次内河整治的成效保持下去。</t>
  </si>
  <si>
    <t>您好：关于内河整治请转执法局内河管理处办理。谢谢。您好！您所反映的问题，经我局内河所了解，目前金山内河大多处于整治阶段。污水流入河内，致使内河黑臭，是由于排污管未接入市政管网造成的。根据市政府专题会议纪要（2009）338号议定：“城区内河整治工程建设（含维修）改由市建委负责实施。”建议该件转市建委处理。 </t>
  </si>
  <si>
    <t>对内河清淤整治的咨询</t>
  </si>
  <si>
    <t>06/09/2011</t>
  </si>
  <si>
    <t>有两条内河穿过台江区苍霞新城，河水又黑又臭，请问这两条内河今年内是否会进行清淤整治？</t>
  </si>
  <si>
    <t>您好！穿过台江区苍霞新城的内河为达道河，达道河整治已列入今年内河整治计划，清淤已在进行中。 </t>
  </si>
  <si>
    <t>苍霞新城附近的内河臭气难闻及污物往内河排放一事</t>
  </si>
  <si>
    <t>06/03/2011</t>
  </si>
  <si>
    <t>1、台江区苍霞新城附近的三捷河水质长期又黑又臭，前一、两年此内河整治，施工方将淤泥堆积在河道的上游，也就是闽江的出水口，从而造成闽江水进不来，臭味迟迟无法得到解决。2、近期，苍霞新城附近的嘉兴苑下水道堵塞了，物业直接将排泄物往内河倾倒，使得周边环境变得更脏、更臭。因此，希望有关部门能督促苍霞新城的物业对此事做出规范处理。</t>
  </si>
  <si>
    <t>反馈诉求11060300282；市民，您好！针对诉求，苍霞新城附近内河臭气难闻及污物往内河排放一事，经了解，苍霞新城内河现正在整治期间，社区会协调相关部门继续做好整治工作。 </t>
  </si>
  <si>
    <t>请尽快整治龙津河</t>
  </si>
  <si>
    <t>杨小姐</t>
  </si>
  <si>
    <t>05/15/2011</t>
  </si>
  <si>
    <t>仓山区首山路57号福建第二轻工业学校内龙津河支流横穿学校，内河脏污恶臭，严重影响我们学校师生的正常工作和学习。我们恳求尽快的整治这条河道的淤泥堆积、垃圾漂浮，沟水黑臭，蚊虫滋生问题。</t>
  </si>
  <si>
    <t>您好！关于反映仓山区龙津河支流福建第二轻工业学校段污染、淤积严重等问题，今年3月我委多次派人与省二轻学校联系，并与该校有关人员进行现场勘察。龙津河支流与首山路雨污管相连，从首山路（省二轻工业学校）至龙津河为明渠，长约400多米，目前明渠内垃圾、淤泥堆积严重，河水黑臭，其根本性原因是沿线居民随意向河道倾倒垃圾，排放污水，长期缺乏管理所致。
为解决排入龙津河支流的污水问题，我委组织了设计单位、原污水管网建设单位、原首山路的建设单位和施工单位以及当地的居民到现场研究解决方案，对污水进行埋管接驳，现已完工。由于首山路污水管淤积，污水未能排入南二环污水干管，目前正由福州市政工程管理处负责疏通，现乃在施工中。
因龙津河支流未列入福州市城区107条内河之列，为区属排水渠，根据《福州市内河管理办法》该河流为区属管辖，建议请仓山区政府加强力度做好沿线居民的宣传工作，同时对该河流进行清淤，以保证河流顺畅，在此基础上做好周边区域环境卫生、保洁工作。
您好！您所反映的问题，经我局内河所了解，龙津河是在我局内河所管辖范围内，但位于省二轻工业学校的龙津河支流未列入我局内河所管辖范围内。根据榕政办（2007）66号会议纪要要求：“凡未列入市、区内河管理部门管辖的河道，均由当地实行属地管理。”建议该件转仓山镇处理。诉求者你好，我处已对首山路污水管进行清疏，并已完成清疏工作，目前污水管道不通我处已通知建设单位-福州市政开发公司整改，建议转市政开发公司处理。你好！我镇于前期已将该处河道堵塞、脏臭问题以书面形式上报区政府，请求上级部门统筹协调相关部门、单位共同整治。 </t>
  </si>
  <si>
    <t>连潘河河水发黑、臭气熏天，望处理</t>
  </si>
  <si>
    <t>05/12/2011</t>
  </si>
  <si>
    <t>连潘河河水发黑、臭气熏天，严重影响周边居民生活。现希望有关部门尽快前往处理。</t>
  </si>
  <si>
    <t>你好，连潘河已列入今年福州市内河综合整治工程，现施工队已经进入连潘河施工作业点进行清淤等前期工作。 </t>
  </si>
  <si>
    <t>内河河面垃圾成堆，水质黑臭，请处理</t>
  </si>
  <si>
    <t>04/11/2011</t>
  </si>
  <si>
    <t>仓山区金山金河路旁边有条内河，河面上垃圾成堆，水质黑臭，请相关部门赶快对内河给予整顿，让河水流动起来。</t>
  </si>
  <si>
    <t>您好！您所反映的问题，经我局内河所了解，金山金河路旁的内河系横江渡，该河目前处于整治阶段。根据市政府专题会议纪要（2009）338号议定：“城区内河整治工程建设（含维修）改由市建委负责实施。”建议该件转相关部门处理。 </t>
  </si>
  <si>
    <t>金辉伯爵山南侧跃进河何时拓宽</t>
  </si>
  <si>
    <t>马</t>
  </si>
  <si>
    <t>04/07/2011</t>
  </si>
  <si>
    <t>您好！跃进河已经列入今年内河整治计划，计划于今年年底前完工。跃进河整治工程从2008年9月已进场施工，由于拆迁交地工作滞后，工程一直处于半停工状态，目前只完成工程量的40%左右，目前仓山区负责的拆旧工作已完成，将于近期进场施工。跃进河规划3.5—40米。 </t>
  </si>
  <si>
    <t>内河整治工程停滞不前</t>
  </si>
  <si>
    <t>颜先生</t>
  </si>
  <si>
    <t>04/05/2011</t>
  </si>
  <si>
    <t>鼓楼区工业路中国电信凤凰池营业厅附近的内河正在进行整治，但工程停滞不前，现在内河变成一潭死水，又黑又臭。希望有关部门加快整治进度，在整治期间要着重解决内河又黑又臭的问题。</t>
  </si>
  <si>
    <t>您好！工业路中国电信凤凰池营业厅附近的内河为新西河，新西河目前正在进行围堰清淤。由于河底清淤，必须对河道进行围堰，造成了河水无法流动，计划于5月14日恢复对新西河引水。 </t>
  </si>
  <si>
    <t>03/30/2011</t>
  </si>
  <si>
    <t>2011年跃进河已经列入福州内河整治完工计划了吗,跃进河打算什么时侯开工整治,什么时侯完工,金辉伯爵山南侧跃进河何时拓宽,这条河又黑又臭的河几十年了还是老样子。何时才能动工啊，而且能拓宽到几米啊？真希望有关部门能急群众之所急，真正为民办实事啊。</t>
  </si>
  <si>
    <t>您好！您所反映的问题，经我局内河所了解，金辉伯爵山南侧的河不是跃进河，是跃进支河，未列入2011年福州内河整治计划中。根据市政府专题会议纪要（2009）338号精神，建议转市建委予以了解跃进河整治计划问题。您好！跃进河已经列入今年内河整治计划，计划于今年年底前完工。跃进河整治工程从2008年9月已进场施工，由于拆迁交地工作滞后，工程一直处于半停工状态，目前只完成工程量的40%左右，目前仓山区负责的拆旧工作已完成，将于近期进场施工。跃进河规划3.5—40米。 </t>
  </si>
  <si>
    <t>仓山区横穿牛眠山巷的那条内河何时开始改造.</t>
  </si>
  <si>
    <t>03/17/2011</t>
  </si>
  <si>
    <t>今年市政府开始了内河整治工作,现在市区很多的内河都开始动工整治了,可仓山区横穿牛眠山巷的那条内河却没有任何动静,还是原来那样的黑臭,请问相关部门,何时开始动工,给市民一个良好的居住环境.</t>
  </si>
  <si>
    <t>您好！感谢您对内河整治的关注。 横穿仓山区牛眠山巷的条内河为龙津河，龙津河整治工程目前已完成40%，由于拆迁交地工作的滞后，目前处于停工状态，计划于今年年底完工。 </t>
  </si>
  <si>
    <t>03/06/2011</t>
  </si>
  <si>
    <t>最近在报纸上看到福州将大力整治内河，感到非常的高兴。但不知道在西园雅居东区中流经的一条内河，现在由于三环的建设被截流，成了一条黑河、臭河、垃圾河，这条河在不在这次内河整治的计划内呢？如果不在，真的就一直这样又黑又臭下去吗？真的让人心痛！</t>
  </si>
  <si>
    <t>您好！流经西园雅居的内河为桂后浦溪。桂后浦溪的整治已列入今年福州市75条内河整治计划中。 </t>
  </si>
  <si>
    <t>内河（东升小区2期，东盛花园旁以东盛花园内）</t>
  </si>
  <si>
    <t>03/04/2011</t>
  </si>
  <si>
    <t>这条内河真是非常恶心，又黑又臭呀。不是说要整治内河吗，能否也整治一下这件内河</t>
  </si>
  <si>
    <t>您好！该河道为龙津河。龙津河整治工程已在建设中，并已完成工程量40%，计划今年年底前完工。 </t>
  </si>
  <si>
    <t>污水依然直排浦东河</t>
  </si>
  <si>
    <t>02/28/2011</t>
  </si>
  <si>
    <t>东区的内河截污整治工程已经进行快1年了，但目前为止，水上公园和浦东和依然黑臭如故，福马路以北河段，污水依旧直接排入浦东和，在流经远东、洋里、鼓山苑、中华职大的支河河段，污水也依然直排河中，希望政府加强治理</t>
  </si>
  <si>
    <t>您好，根据市政府内河整治要求，我局正与各区环保局对浦东河、磨洋河等我市主要内河沿河单位进行调查，并配合市建设局等相关单位，督促沿河企业污水接管，内河整治完毕后，我市内河水质将得到彻底改善。专此反馈福州市环境保护局二○一一年三月四日 </t>
  </si>
  <si>
    <t>六凤洲北侧弯弯曲曲的河道污染非常严重，河床淤泥很多，不通顺</t>
  </si>
  <si>
    <t>恢复</t>
  </si>
  <si>
    <t>01/30/2011</t>
  </si>
  <si>
    <t>仓山区盖山镇六凤洲北侧弯弯曲曲的河道污染非常严重，河床淤泥很多，不通顺，有毒的污水直接排入乌龙江，水质发黑，好臭好臭，快快进行内河整治啊。</t>
  </si>
  <si>
    <t>经查看，六凤洲北侧河道因防洪堤施工堵塞，致使水体不流动，缺乏自净能力，防洪堤完工后将设水闸引入闽江水改善水质。 </t>
  </si>
  <si>
    <t>内河污染严重</t>
  </si>
  <si>
    <t>林宏</t>
  </si>
  <si>
    <t>01/23/2011</t>
  </si>
  <si>
    <t>看到报纸龙峰河、屏西河、屏东河、树兜河、湖前河、五四河、华林河、旧树兜河、安泰河等9条内河今年年底将焕发新容颜。昨日，鼓楼区内河整治工作会议透露，今年年底前，将完成这几条内河的综合整治。实现河道沿岸全面截污、沿河违建全部拆除、雨污分流。达到“水清、河畅、岸绿、景美”的整体效果。
为什么金山碧水二期龙凤苑、麒麟苑(仓山区金康路)中间的内河一直以来污染比较严重,常发出阵阵恶臭，为什么不整治一下呢，还居于一个清晰的居住环境。最近水质坏到极点,又黑又臭.还请相关部门及时解决,进行整治,还居民一条干净的内河.谢谢!~</t>
  </si>
  <si>
    <t>您好!您所反映的问题,经我局内河所了解,该河系洋洽河上游,已列入今年内河整治项目中,该河黑臭问题,是由于当地生产、生活污水未接入市政管网，直排内河所致，待今年内河整治，污水接入市政管网后方可解决。 </t>
  </si>
  <si>
    <t>滨江丽景和香槟风范之间的大块绿地（含建新花卉市场）有什么规划？有小学吗？</t>
  </si>
  <si>
    <t>ye</t>
  </si>
  <si>
    <t>01/19/2011</t>
  </si>
  <si>
    <t>现在南江滨一带越来越热闹了，有很多高端的楼盘，住了大量的人口，放眼闽江大道，也只有滨江丽景和香槟风范之间，有巨大的地块没有开发，请问政府对这块地都有什么规划啊，包括黑臭的阵坂河今年真的会彻底整治吗？已经反映好多年了，清淤是没有什么效果的，河边的居民一直都是生活垃圾、大小便都直接排到内河里的，而内河的出口离西区水厂的取水口是非常近的，也就3~500米，涨潮的时候，很容易到达取水口的，为了广大人民的身体健康，希望早日根治！</t>
  </si>
  <si>
    <t>您好！感谢您对城市规划建设的关注。滨江丽景至香槟风范之间规划为居住用地及市政用地，未设置小学。根据市委市政府统一部署和要求，为创建文明城市、打造宜居城市，加快推动福州科学发展、跨越发展，努力实现富民强市、和谐宜居，2011年打响内河综合整治攻坚战，着力将内河打造成为省会中心城市的亮丽风景线。洪阵河（即诉求中提到的阵坂河）我局已进行规划控制预留，目前该河道已列入今年内河综合整治工程项目，正在办理相关工程前期手续。 </t>
  </si>
  <si>
    <t>福州春天小区后面那条河黑到臭气熏天，快闹出人命了！！</t>
  </si>
  <si>
    <t>薛小姐</t>
  </si>
  <si>
    <t>11/25/2010</t>
  </si>
  <si>
    <t>福州春天小区后面那条河黑到臭气熏天，快闹出人命了！！
   我相信很多人都通过电话，网站的方式投诉、建议过这件事，也尝试让媒体来曝光过。
   我作为一个普通的中国公民，希望相关政府能给百姓做一些实事。
我们作为普通百姓不知道到底这条河归哪里管，我们就想知道到底人民的父母官什么时候替我们解决这个基本的生存问题！！！！！
   现在这条河上不只堆满垃圾，而且已经发黑发臭，不仅是福州春天整个小区都能闻到，旁边的格致中学也能闻到。已经危害到了方圆一公里的百姓。
   希望政府相关人员能严肃、认真的彻查这件环境问题！！</t>
  </si>
  <si>
    <t>反映晋安区春天小区后面河道垃圾长年未清理的的问题。经查，晋安区鼓山镇福州春天小区后的内河系淌洋河，该河段尚未列入市区内河管理部门管理，根据职责分工，由属地政府负责管理保洁。诉求问题建议转晋安区鼓山镇政府办理。您好，镇环卫所于12月2日组织人员清理了该河内及周边的垃圾，并加强宣传工作，劝导周边村（居）民不要乱扔垃圾。 </t>
  </si>
  <si>
    <t>大庆河河流</t>
  </si>
  <si>
    <t>内河接驳整治</t>
  </si>
  <si>
    <t>10/20/2010</t>
  </si>
  <si>
    <t>您好！大庆河一直都在施工，从没停止过。现大庆河全段（从凤凰酒店——白马河）还处在围堰封闭状态，上游河水未联通，无法冲污，计划在11月30日开通，引水冲污，由于施工造成不便，请予以谅解。 </t>
  </si>
  <si>
    <t>河水黑，臭气难闻</t>
  </si>
  <si>
    <t>云</t>
  </si>
  <si>
    <t>09/21/2010</t>
  </si>
  <si>
    <t>金山翠蓉苑与金山佳园之间的金河，每天傍晚至第二天早晨河水都是黑的，臭气难闻，路过此处的行人都是掩鼻而过，周边居民家的窗户都不敢打开，严重影响周边居民的生活。对此，现希望有关部门予以处理。</t>
  </si>
  <si>
    <t>经查，仓山区金山翠蓉苑和金山佳园之间的河道系横江渡，反映晚上河水水质较差，主要是因为闽江潮汐影响，及夜间生态补水停止所致，我们将加强河道的日常保洁，合理调度生态补水,以减缓污染。谢谢！ </t>
  </si>
  <si>
    <t>三捷河实在太臭了</t>
  </si>
  <si>
    <t>倉民c</t>
  </si>
  <si>
    <t>09/20/2010</t>
  </si>
  <si>
    <t>三捷河说是一条市中心的内河，河上还置有数座青石拱桥，配以河岸俩旁的青石栏杆，煞是好看！但喏一靠近却臭气冲天，一阵阵腥臭味直钻鼻孔！不是河水！而是墨黑墨黑的臭水！是墨黑墨黑的臭水！
   倉霞新城建成近十年了，成千上万人就这么与这条臭水沟相伴着！听说还是“宜居城市”。位居闹市的这么大一条臭水沟，怎么就没人管了。
    我们恳求政府：分一杯羹，拨一点点景观政绩工程的钱，把这条臭水沟填了！既然你们不把它当河了。如是，我们百姓感谢你1</t>
  </si>
  <si>
    <t>位于台江区仓霞新城旁的三捷河，由于周边居民小区尚未有效截污，生活污水直排入内河致使水质较差，且因是感潮河道，生态补水难及，受闽江潮汐影响，落潮时水位较低黑臭明显。我们将加大巡查力度，加强管理，督促内河保洁员及时打捞河面垃圾，减缓河床的污染。 </t>
  </si>
  <si>
    <t>许女士</t>
  </si>
  <si>
    <t>09/02/2010</t>
  </si>
  <si>
    <t>您好！您所反映的问题，金山翠蓉苑与金山佳园之间的内河是横江渡，我局内河所仅负责日常打捞河面漂浮物，清理驳岸杂草，至于河水黑臭，建议向市政部门反映。谢谢! </t>
  </si>
  <si>
    <t>宦溪水为何如此的黑臭</t>
  </si>
  <si>
    <t>宦溪镇村民</t>
  </si>
  <si>
    <t>08/21/2010</t>
  </si>
  <si>
    <t>流经我们宦溪村的溪水近来严重的发黑发臭，原因是上游养猪场排放出来的。希望相关部门给予整治，使我们宦溪村有好的环境。</t>
  </si>
  <si>
    <t>经查，共有6户村民在自家住宅周边兴建猪栏，对养殖排放只建有简易化粪池，属直接排放。目前已责令进行整改，做到“零排放“。我镇将加强跟踪督查。根据群众举报流经宦溪村的溪水发黑发臭。接到投诉件环保局污管科及宦溪镇畜牧办、城建办、环保所相关人员多次到现场实地勘查，现反馈如下：
该溪水沿线共有6户以自家住宅作为场地兴建养猪场，建有简易化粪池，后直排，没有采取其他治理措施。经各部门协调，目前已责令这6户养猪场进行整改，立争在年底前整改到位，做到零排放。
 </t>
  </si>
  <si>
    <t>盘屿红星农场辖区内的百联食品厂污染非常严重，导致内河脏、黑、臭？</t>
  </si>
  <si>
    <t>林丹虹</t>
  </si>
  <si>
    <t>08/05/2010</t>
  </si>
  <si>
    <t>盘屿红星农场辖区内的百联食品厂污染非常严重，导致内河脏、黑、臭。多次反映均无效果。继续排不达标的污水到内河。导致现在经过内河都要掩鼻而过。希望相关部门可以处理此事。
   我知道百联公司是大企业，增加地方不少税收，也给了地方官员不少好处。但是内河污染是关系到民生，希望相关部分可以多加重视。谢谢！</t>
  </si>
  <si>
    <t>经查验企业自从94年校资创办，经相关执法部门审批合格。若村民有异议可向环保部门诉求，我单位无执法职能。经核实，福建百联食品有限公司第一食品厂位于仓山区盖山镇红星农场，主要从事坚果、炒货等加工生产。该公司已在仓山区环保局办理环保审批，根据职责分工建议转仓山区环保局查处。专此反馈福州市环境保护局经检查，福州百联食品厂位于仓山区红星农场内，主要从事瓜子、花生等坚果炒货生产。该工厂已办理环评审批手续，2009年10月向该工厂下达限期整改通知，要求该工厂对污水处理设施进行整改，目前该厂已在污水治理工程施工，预计9月底可完成污水治理工程，并投入试运行。当天检查时未发现该厂进行生产，我局将加强日常管理，督促该工厂按期完成整改。 </t>
  </si>
  <si>
    <t>内河污水又黑又臭。。。</t>
  </si>
  <si>
    <t>又耳人</t>
  </si>
  <si>
    <t>07/31/2010</t>
  </si>
  <si>
    <t>金山碧水二期龙凤苑、麒麟苑(仓山区金康路)中间的内河一直以来污染比较严重,常发出阵阵恶臭.最近水质坏到极点,又黑又臭.夏天到来了,附近居民经常会出来乘凉,闻着臭味,怎么纳凉!!!~还请相关部门及时解决,进行整治,还居民一条干净的内河.谢谢</t>
  </si>
  <si>
    <t>经查，仓山区金山碧水二期金康路边的内河系洋洽河，由于沿河未截污，部分生活污水流入，致使水质较差，目前主要靠洪塘泵站生态补水改善水质。生态补水停止时，黑臭较严重，我们将加强内河引水管理，保持生态引水的正常运作，还居民一条干净的内河。 </t>
  </si>
  <si>
    <t>伯爵山业主</t>
  </si>
  <si>
    <t>07/24/2010</t>
  </si>
  <si>
    <t>报纸早就登了仓山跃进河拓宽和清瘀的消息，可是这条又黑又臭的河几十年了还是老样子。何时才能动工啊，而且能拓宽到几米啊？真希望有关部门能急群众之所急，真正为民办实事啊。</t>
  </si>
  <si>
    <t>您好！跃进河整治工程从2008年9月就已进场施工，计划工期7个月，现已将近两年了，只完成工程量的30%多，主要原因是拆迁交地工作严重滞后，之前工程被迫停工将近一年，经过艰苦的协调工作，上个月在部分河段刚刚恢复施工。刚恢复施工，在盖山农场段与金色康城段施工过程中又遇到了村民的严重阻扰，部分施工机械还被抢走，相关部门计划下个星期五对盖山农场河段进行保护性施工。
    内河整治是市政府为民办实事的一项惠民工程，绝大部分的市民都给予了大力支持，并迫切希望工程能尽快完工，但有少部分的市民不能予以积极配合，致使工程一拖再拖。
    您所反映的金辉伯爵山南侧跃进河整治规划宽度为20—40米，目前该段河道整治范围还未交地，我们也希望所有市民都能予以积极配合，让这条又黑又臭的河尽快整治好，改善自己周边的生活环境。
 </t>
  </si>
  <si>
    <t>又黑又臭的内河！</t>
  </si>
  <si>
    <t>07/09/2010</t>
  </si>
  <si>
    <t>仓山区义序，有一条内河，水黑黑的，臭气熏天，希望政府对此进行清理。</t>
  </si>
  <si>
    <t>您好！请注明该内河具体所在地，以便我们前往察看。 </t>
  </si>
  <si>
    <t>内河黑臭，请责任部门介入处理</t>
  </si>
  <si>
    <t>陈女士</t>
  </si>
  <si>
    <t>05/31/2010</t>
  </si>
  <si>
    <t>浦上大道339号中茵加洲花城小区旁的内河，长期以来都是又黑又臭，蚊虫肆虐，严重影响沿岸及周边市民的生活、工作。市民曾向环保，市政等部门反映，但他们都不给予管理。此事究竟由哪个部门管理？请责任部门尽快给予处理。</t>
  </si>
  <si>
    <t>经查，群众反映的内河位于中茵加洲花城小区与浦上大道之间，现场未发现周边企业向该河排放工业废水。该内河周边居民小区及企业的生活污水经收集处理后排入雨水管后进入该河，该河段是断头河，排入的污水无法正常流动，大量污水在此淤积，导致水质严重黑臭、恶化，产生臭味。由于该河未纳入生态补水范围，所以自净能力较差。建议后期内河整治的同时相关部门能将该河纳入整改范围，以还周边群众一个美好的环境。专此反馈 </t>
  </si>
  <si>
    <t>白湖亭河何时改造</t>
  </si>
  <si>
    <t>liu</t>
  </si>
  <si>
    <t>03/03/2010</t>
  </si>
  <si>
    <t>仓山白湖亭河脏乱臭，河水又黑又臭，多年前就说要整治仓山12条内河了，可至今都没有动工，请问下相关部门究竟什么时候能动工改造呢？会在2010年整治这条河吗？</t>
  </si>
  <si>
    <t>关于仓山区白湖亭河整治的诉求，白湖亭河系南台岛内河整治项目，由于仓山区政府征地拆迁滞后，致使工程建设相应推后。目前该河道计划于今年下半度动工建设，2011年底完成工程项目。 </t>
  </si>
  <si>
    <t>政府何时整治浦东河水</t>
  </si>
  <si>
    <t>01/22/2010</t>
  </si>
  <si>
    <t>您好！洋里污水处理厂三期工程计划2010年底动工建设。 </t>
  </si>
  <si>
    <t>上渡路内河乱排污问题</t>
  </si>
  <si>
    <t>臭气</t>
  </si>
  <si>
    <t>12/23/2009</t>
  </si>
  <si>
    <t>经现场检查，“福州民天食品厂”位于上渡路，主要生产调味料，经福州市环保局审批，根据职责分工，建议转福州市环保局查处。经查，群众投诉的仓山区上渡路边上的酱油厂应为福州民天食品厂，该厂是一家专业从事酱油、鱼露、黄酒、食醋等调味品生产的百年老厂。接到投诉后我局监察人员即刻到该厂检查，发现该单位污水处理设施运行正常，未发现有偷漏排现象；河道排污口未发现有酱油排出。我局执法人员要求该厂加强污水设施运行管理，严禁污水未经处理直接排放。专此反馈。二0一0年一月八日福州市环境保护局接到投诉后我局监察人员多次到现场查看，上渡路内河水质颜色较黑，沿河两岸仍有部分居民的生活污水排入河中。目前上渡路附近只有福州民天食品厂一家企业，该厂是一家专业从事酱油、鱼露、黄酒、食醋等调味品生产的百年老厂。现场检查发现该单位污水处理设施运行正常。据该厂负责人介绍，由于该厂是百年老厂部分设施老化，可能会造成少量污水渗漏现象。我局执法人员要求该厂立即对污水设施进行全面维修加固，严禁污水未经处理直接排放。该厂负责人表示即刻整改。今后我局将加大对该单位的监管力度，以维护周边居民的正当环境权益。专此反馈。二0一0年一月十五日 </t>
  </si>
  <si>
    <t>五四北生活污水污染严重，请接入管网予以解决</t>
  </si>
  <si>
    <t>林风</t>
  </si>
  <si>
    <t>11/28/2009</t>
  </si>
  <si>
    <t>五四北生活污水污染严重，致解放溪水质黑臭，直接流入晋安河，造成沿线几十万人生活环境的污染，该问题投诉多年未予解决。恳请不得再予延误，按照早几年的承诺，马上接入管网予以解决，为榕城百姓造福。
落实情况请反馈本人，谢谢！</t>
  </si>
  <si>
    <t>经查，五四北生活区大部分为高尚住宅楼盘，均有生活污水处理设施，同时我镇也对周边的企业进行了检查，未发现生活污水直排解放溪的现象。因此，造成溪河水质黑臭的原因应该是因近期长时间无雨，上游水库无水排入进行水体交换引起的。
经了解，市里将在新店镇辖区内修建一座污水处理厂，待建成后，解放溪水黑臭问题将有望得到根本解决。
 </t>
  </si>
  <si>
    <t>太臭了！</t>
  </si>
  <si>
    <t>村民</t>
  </si>
  <si>
    <t>11/08/2009</t>
  </si>
  <si>
    <t>我村有很好几个养猪场，其中有两个是养在村民自己家里的，而且这两家是邻居。两户人家的旁边是一条小溪沟，沟里的水流向大海。而他们家养猪场的又黑又臭的水直接流到小溪沟里了，臭气熏得人直想吐。每次经过这里都是一种痛苦，但每天都得经过，因为我的孩子在这条又脏又臭的小溪沟的另一边的坑北小学里上幼儿园，我每天都要接送。学校跟养猪场只隔了那一条四五米宽的又黑又臭的小溪沟。可以想象，这样的一条小溪沟该生产多少蚊子与苍蝇呀！在这样的地方学习，我真为我们村的孩子们担心哪！以前也有人说要投诉，人家说那是养在自已家里的，没人会管。今天我也只是没办法，想到这里试一试。</t>
  </si>
  <si>
    <t>2009年11月9日我镇接到诉求件后，镇主要领导高度重视，立即批示，要求相关部门调查处理。11月11日上午,分管领导带领环保办、村建站和坑北村干部等有关人员到现场进行调查。现将情况反馈如下：
坑北村村民毛忠辉、毛祚同是前后邻居，各在自家的房屋旁边搭建猪舍各养了20多头猪，猪舍离学校仅4米左右（中间仅隔一条小溪），周围都是居民区，且没有做任何污水治理措施，而是直接将猪粪便排入旁边的一条小溪后流向大海。获悉情况后，我们当即找到当事人，动之以情，晓之以理，指出了他们的错误行为，并发出了整改通知书，要求立即对现有的猪舍进行清理或搬迁。两家当事人都表示现在猪还小，立即就出售或搬迁困难很大，要求等一至二个月，待这批猪长大出栏卖掉后就不在饲养了。
根据实际情况，我镇要求这两家养猪场目前要切实做好污水排放治理工作。同时，我镇还将进一步跟踪、督促整改到位，还村民一个干净、良好的人居环境。
 </t>
  </si>
  <si>
    <t>西园雅居东区内河臭不可闻及65路公交车的建议</t>
  </si>
  <si>
    <t>郑文</t>
  </si>
  <si>
    <t>11/04/2009</t>
  </si>
  <si>
    <t>您好！65路目前不具备延时和增加车辆的条件。原因是驾驶员劳力不足，延时或加车需要大批量的驾驶员，请乘客谅解，待条件允许时，我们会考虑增加车辆和延长行车时间，努力满足乘客的乘车需求。您好！收到您的投诉后，我部已经督促三环路施工单位加强工程渣土和施工管理，尽量减少工程对河道的影响，对因三环路施工引起的河道堵塞，及时予以整改。同时，由于历年来新店地区已经建成和正在建设的工程较多，内河受到了多方面因素的影响，仅靠一个项目单位是无法彻底解决内河不畅的问题。为此，我部已将该问题提交福州市征迁指挥部，请求市里出面协调，争取统筹解决。1、关于因三环路施工造成河道堵塞的问题，我镇重点办已经联系三环路施工单位，请其及时疏浚因三环路施工引起的堵塞河道，并加强工程渣土和施工管理，尽量减少工程对河道的影响。由于近年来，多个项目在我镇开发建设，内河受到了多方面因素的影响，仅靠一个项目单位是无法彻底解决内河不畅的问题。为此，我镇已将该问题提交市、区重点项目征迁指挥部，请求给予协调解决。
2、关于建议推迟或增加公交线路问题，请转福州市公交集团公司办理。
 </t>
  </si>
  <si>
    <t>内河严重污染</t>
  </si>
  <si>
    <t>武夷明珠业主</t>
  </si>
  <si>
    <t>10/31/2009</t>
  </si>
  <si>
    <t>我是金山武夷明珠业主，我小区和金山明珠直接的内河，常有又黑又臭的污水流过，对小区的环境产生严重的影响。
   这个问题，我之前在环保局网站有提交过，环保局回复说去调查，但是没有把调查结果告诉我，而且这个情况还是没有改变，希望相关部门能帮忙查清并处理污染源，还我们一个清洁的环境。谢谢！</t>
  </si>
  <si>
    <t>反映仓山区金山武夷明珠边的内河系红旗浦。红旗浦由洪塘泵站进行生态补水，有时水质较黑臭是由于泵站检修生态补水暂停时，周边污水通过沿河市政管网排入内河所致。我们将认真维护泵站引水设施，实施正常的生态补水，以保持良好的内河水质。 </t>
  </si>
  <si>
    <t>环保局请解决西园雅居内河臭的问题！</t>
  </si>
  <si>
    <t>10/08/2009</t>
  </si>
  <si>
    <t>关于西园雅居内河黑臭问题，市政府办公厅4月7日现场协调部分社会保障房项目建设有关问题的会议上明确要求新店镇自查，取缔未经批准的污染企业，同时要求市环保局组织专项检查，确保整改到位。2009年10月9日接到投诉，我局监察人员立即前往调查，查知西园雅居东区内河沿岸未发现有违法排污企业。由于该区域没有铺设进入污水厂的市政污水管道，小区的生活污水经收集处理后只能排入雨水管后进入内河，由于该河段是断头河，排入的污水无法正常流动，导致河水产生臭味。建议：（1）建设局尽快铺设污水管道以便污水接入市政污水管网；（2）执法局及时疏竣内河，解决断头河问题。专此反馈您好，根据现场调查，西园雅居东区内河为晋安区桂后浦河道上游一段支河，桂后浦河道黑臭问题，市政府于今年4月中旬召开协调会，根据协调意见的要求，我局立即会同晋安区环保局对桂后浦河道水质污染问题进行了专项检查，经查实：桂后浦河道源于涧田村北部及后山村北部，沿线分别有13家企业，其中11家企业无废水排放，2家企业有部分废水达标排放。经现场调查研究，桂后浦一带河道黑臭主要是由于新店镇目前无污水处理厂，各社区、村等生活污水未接管，桂后浦河道自涧田村北部及后山村北部至西园二期沿线村落的生产、生活污水均直排其中，且近期因三环路施工，将原本往南汇入洋下河的河道截流，使得桂后浦河道在西园二期形成断头河。由于该河段为死水，大量污水在此淤积，导致水质严重黑臭、恶化。我局己向市政府建议在现阶段新店镇无法实现生活污水接管处理的条件下，应尽快疏通因三环路施工被截流的河道，同时相关部门应加强河面清淤，我局也将会同晋安区环保局继续加大对沿线企业的监管力度，以确保污水稳定达标排放。专此反馈西园雅居东区的溪河源于涧田村，经后山、西园村后流入洋下河。2009年5月，我镇环保办接到投诉后，配合区环保局监察中队对西园工业区、涧田村和后山村辖区内所有企业进行普查，未发现企业将工业废弃物直排溪河现象。2009年9月份再次到投诉，又到现场进行勘察，还是没有发现有污染源企业。后沿线经查看，发现该处内河水质黑臭主要原因是：三环路施工造成河段堵塞，西园雅居东区内河中段淤泥较高使得溪水无法流畅，形成死水，产生黑臭。建议请市重点办督促三环路施工单位加快进行溪河疏浚，确保溪渠畅通，水体交换。同时，我镇将继续积极配合上级环保部门对此事进行处理。 </t>
  </si>
  <si>
    <t>西园雅居的内河又黑又臭</t>
  </si>
  <si>
    <t>期待</t>
  </si>
  <si>
    <t>09/28/2009</t>
  </si>
  <si>
    <t>西园雅居的内河又黑又臭，应该早点治理啊！谢谢你们了！
经济适用房2009年3月30日交房，现在时9月28日。入住的人也不少了。我们不能天天问那臭味啊！</t>
  </si>
  <si>
    <t>您好！您所反映西园雅居内河黑臭问题，我中心于4月中旬上报市政府办公厅，市政府批示要求市环保局查处整改。 </t>
  </si>
  <si>
    <t>洋下河黑臭的解决方案</t>
  </si>
  <si>
    <t>09/23/2009</t>
  </si>
  <si>
    <t>今天，福州晚报A19版刊登一则关于“洋下河黑臭没有冲污影响周边市民”的新闻，王先生对此提出一个建议：从登云水库打一个涵洞，直线通下洋下河上游，引水冲污，就可以解决该问题。这个最经济、最方便的解决方案。登云水库每天会放水，如果往洋下河内放水，就可以解决问题。对此，希望有关部门能够采纳该意见，进行动工！</t>
  </si>
  <si>
    <t>首先感谢王先生对我市内河建设的关心和支持。对诉求提出的建议，我们将向制定内河整治规划的相关部门提供参考。 </t>
  </si>
  <si>
    <t>污染严重</t>
  </si>
  <si>
    <t>杨</t>
  </si>
  <si>
    <t>09/20/2009</t>
  </si>
  <si>
    <t>今天早上在家里，闻到外面恶臭阵阵。仔细观看，发现门外的河水颜色发黑，臭气直扑上来。以前这里的河水都还比较干净，平时也都是绿波。早上8：30分左右开始，直到现在仍然是黑色的水。
请调查是不是上游有问题。</t>
  </si>
  <si>
    <t>经查，仓山区金山金祥路内河系洋洽河，该段河道整治工程是市土地发展中心负责实施，建议转市土地发展中心处理。反映仓山区金祥路内河水质污染的诉求，经查，目前金祥路内河近期水质较好，无明显黑臭。金山地区河道河水主要靠洪塘泵站生态补水，反映河水黑臭，系上游泵站临时停电检修所致,现已恢复正常。
您好！位于金山生活区九期的洋洽河由我中心作业主负责建设并已于2009年8月竣工。经现场勘察，该段河道水流畅通，并已由市内河管理部门介入内河保洁卫生工作。位于金山生活区二、三期的洋洽河建设单位为市房地产经营总公司，经了解该河段也已竣工移交市内河管理部门维护管理，其内河水流情况建议咨询市内河管理处。 </t>
  </si>
  <si>
    <t>没有享受污水处理带来的好处为什么要交污水处理费</t>
  </si>
  <si>
    <t>06/29/2009</t>
  </si>
  <si>
    <t>洪塘路一带小区已经建设十年多了，但污水管网建设严重滞后，小区污水没有进入污水管网而是直接排入阵坂河后直接流入闽江，致使阵坂河又黑、又脏、又臭，不仅困扰居民生活，严重污染闽江。既然政府部门没有建污水处理设施对污水进行处理，居民没有享受治污成果，为什么要叫污水处理费，是否违背政府制定征收污水处理费专款用于污水处理设施的运行和维护的目的？？</t>
  </si>
  <si>
    <t>您好！根据《福建省城市污水处理收费管理办法》第9条规定“在城市用水和排放污水的单位和个人（包括使用自备水）均应缴纳城市污水处理费”，第10条“其污水无论是否经过处理和是否达到国家规定的排放标准，均应缴纳污水处理费。”郑先生：您好！就您反映的问题答复如下，根据榕政综[2003]16号文件《福州市污水处理费征收管理办法》第六条(一)凡由市自来水总公司统一供水的单位和个人，由市政工程管理处委托市自来水总公司在收取水费时一并收取污水处理费；因此您所反映的洪塘路污水管网建设的问题，请与市政工程管理处联系处理。谢谢！ </t>
  </si>
  <si>
    <t>晋安河琴亭支河卫生问题</t>
  </si>
  <si>
    <t>06/18/2009</t>
  </si>
  <si>
    <t>晋安河琴亭支河常年黑臭，人们都叫它“黑河、墨河”。卫生问题严重影响小区居民及东南守押公司员工几百人的身心健康。也影响了福州作为省会文明城市的形象。希望市政内河管理处能出面协调、管理、监督。使其不在成为福州市卫生死角和漏管角落。</t>
  </si>
  <si>
    <t>关于晋安区琴亭内河脏臭问题。经查,琴亭河水质较差、黑臭的原因，主要是周边小区和居民房没有完善的市政管网污水直排,且琴亭河系断头河,水流不畅所致。市内河处将加大河道巡查力度，督促护河员及时打捞淤积垃圾，做好河道保洁工作。同时，我局积极建议市政部门尽快完善污水管网及配套设施，杜绝污染源。 </t>
  </si>
  <si>
    <t>把污染的工厂撤离富裕世家，东光花园小区</t>
  </si>
  <si>
    <t>许仁</t>
  </si>
  <si>
    <t>06/01/2009</t>
  </si>
  <si>
    <t>六一环岛福马路45号出租给蓝天玻璃厂产生大量污染。一是每天都使用已报废多年的废叉车，排出的废气毒气能把天搞黑，臭味熏天，严重影响附近居民身体健康。二是玻璃的磨砂，喷砂产生的灰尘污染小区空气和废水直排晋安河。
该加工厂占地面积在400平方以上，我们强烈要求将该厂撤除小区</t>
  </si>
  <si>
    <t>经查，该单位证照齐全，主要经营成品玻璃销售、切割及打磨，玻璃废料集中收集处理，废水经沉淀后排放，无明显环境污染问题，关于叉车排放尾气的问题，属于交警管理，请向交警部门反映。同时该单位负责人也表示，玻璃厂已经经营了近十年，由于周边陆续新建居民区，现在厂址已经不适合继续生产，现在正在联系新厂址，争取年底之前搬迁。 </t>
  </si>
  <si>
    <t>水上公园一潭死水</t>
  </si>
  <si>
    <t>方先生</t>
  </si>
  <si>
    <t>05/19/2009</t>
  </si>
  <si>
    <t>感谢方先生对城市园林绿化的关心与监督。水上公园位于光明港中下游，浦东河的出口处，由于上游工业和生活的无净化排放，水上公园的水质污染日趋严重，日积月累，仅靠涨落潮的稀释冲洗是十分有限的，几公里长的河床所携带的污垢天长日久沉积在水上公园的低洼地段，也是水上公园水域成为一潭臭水的重要因素。要彻底解决该水质污染和恶臭现象，就必须在浦东河风吹草动岸增设排污设施，以便阻止污染源排入浦东河。目前，我局属光明港公园管理处只能采取有限措施对水上公园进行管理，在水上公园水域的出、入口设置截污设施，从表面上切断垃圾，并每日安排人员对水面的漂浮物进行打捞。要治理好浦东河,这需要相关职能部门从源头上予以治理。
浦东河总长约4.3公里，福马路以南约1.5公里已于2003年由市土地发展中心完成整治，北段拓宽整治和南段清淤整治已列入今年市重点建设项目，目前，我们已完成工可、环评和立项以及初设评审，现设计院正在根据初设评审意见进行修改。由于今年市财政未安排资金，今年计划完成前期的勘察设计和开展征地拆迁等工作，工程实施将列入明年计划。 </t>
  </si>
  <si>
    <t>西园二期</t>
  </si>
  <si>
    <t>04/24/2009</t>
  </si>
  <si>
    <t>您好！1、关于自来水一户一表问题，我司已上报市政府办公厅和发函给自来水公司，市政府办公厅已批复市建设局督办此事。2、小区信报箱已于是4月中旬完成安装，现已向邮政局申请通邮手续。3、小区消防已验收合格（详见附件）。4、西园二期经济适用房项目共67台电梯已于08年底安装完成，并经厂家调试合格，于2009年1月、3月初分批次经过省特种设备安全监督检验所（电梯验收单位）安全质量监督检验合格（编号JJ2008TB01015-JJ2008TB01056；JJ2008TB00944-JJ2008TB00968）。5、内河问题。住宅发展有限公司为小区内河（洋下河）代建单位，建设单位为市土地发展中心，该工程属市政工程，费用由市土地发展中心出。针对小河黑臭问题，在4月7日市政府办公厅领导现场办公时已汇报，市政府办公厅已批示，要求市环保局组织专项检查，确保整改到位。编号：09042400228
经向开发单位市住宅发展中心询问，该中心回复如下：
1.小区自来水是按照一户一表进行建设的；
2.邮箱已安装；
3.消防已验收；
4.电梯已验收；
5.市政府协调由市环保局负责整治内河。
 </t>
  </si>
  <si>
    <t>水上公园污染严重</t>
  </si>
  <si>
    <t>03/18/2009</t>
  </si>
  <si>
    <t>水很黑，臭，为什么会如此？好好的一个公园，这样浪费掉真的很可惜。恳请有关部门处理。</t>
  </si>
  <si>
    <t>感谢市民对城市园林绿化的关心与监督。水上公园位于光明港中下游，浦东河的出口处，由于上游工业和生活的无净化排放，水上公园的水质污染日趋严重，日积月累，仅靠涨落潮的稀释冲洗是十分有限的，几公里长的河床所携带的污垢天长日久沉积在水上公园的低洼地段，也是水上公园水域成为一潭臭水的重要因素。要彻底解决该水质污染和恶臭现象，就必须在浦东河风吹草动岸增设排污设施，以便阻止污染源排入浦东河。目前，我局属光明港公园管理处只能采取有限措施对水上公园进行管理，在水上公园水域的出、入口设置截污设施，从表面上切断垃圾，并每日安排人员对水面的漂浮物进行打捞。 </t>
  </si>
  <si>
    <t>洪山桥阵坂河环境污染问题何时才能解决？？</t>
  </si>
  <si>
    <t>古先生</t>
  </si>
  <si>
    <t>02/11/2009</t>
  </si>
  <si>
    <t>请问，仓山区闽江大道滨江丽景小区相邻的建新镇阵坂河环境污染问题该怎么解决？？该河现在已成为断头河，河水完全黑臭，居住在该河沿岸一些出租户，甚至直接将生活垃圾倾倒入该河，河沿岸也堆集了大量的垃圾，一直也不见有人前来清理，难道是要等到雨季来临时再将这么多的垃圾冲进我们的母亲河闽江吗？大家都是喝闽江水长大的，现在也还在喝着！目前闽江大道已通车数年，对面的联通、旭辉.左海岸等大厦，均已建好，相邻的滨江丽景小区更是已入住数年，为什么年复一年的时间过去了，这条臭河的问题还是没有办法得以解决？？相关的报纸电视媒体也已曝光多次，附近的居民也已多次在此投诉举报，为什么相关的职能部门还是无动于衷？？实在令人失望......
下面附上随便拍的两张照片....</t>
  </si>
  <si>
    <t>您好！针对阵坂河的问题,市内河处正准备开展福州市内河综合整治规划，计划将于上半年完成，待规划完成后，即分步逐条整治，届时，阵坂河水质差的问题将得到解决。 </t>
  </si>
  <si>
    <t>浦东河至今还是黑臭河</t>
  </si>
  <si>
    <t>潘柳敏</t>
  </si>
  <si>
    <t>10/23/2008</t>
  </si>
  <si>
    <t>这几年的报纸中看到政府为人民办实事中,都能看到浦东河的改造名列其中.但是我看到的是2008年又已经近结束，浦东河还是一如既往的黑臭。可能在过一段时间政府部署2009年为人民办实事的工程中，又能看到改造浦东河的字眼。 可能相关职能部门又会说其实我们已经在改造了，什么引水管道已经做好了，岸驳已经整治完毕了。呵呵广大的人民群众只是看到水还是那个黑臭呀！！！
很对不起啊，我这两天举报、建议、投诉的事情多了，麻烦政府能尽快解决此类民生的事情。我到发达城市看了一下当地职能部门的办事效率，和我们这里还是挺大区别的。官僚作风几乎看不到，而我们城市的官僚作风那就不用说了（整个的拖、推、赖）。我希望我们能尽快向发达城市看齐，真正能做到高效的廉洁政府。</t>
  </si>
  <si>
    <t>诉求关于“东区浦东河及水上公园恶臭”问题.浦东河是东区的主要河道，水上公园是浦东河下游.由于浦东河上游无水源补水，且河道沿线开发区和居民众多工厂、生活污水均直排浦东河，工业污染尤其严重，因此，整条河污水横流水质黑臭，生活环境恶劣.我们认为，要从根本上解决浦东河的水质污染问题，必须对东片水系进行治污截污.因此，建议由环保部门对浦东河沿线排污单位进行查处，责令整改，达标排放;由建设部门对沿河两岸铺设污水管网进行截污,杜绝直排.关于浦东河的后续整治问题.市委、市政府对浦东河、水上公园污染的治理非常重视，目前我局正在开展浦东河、淌洋河等河道整治工程的勘察设计工作，并积极研究探讨采用生物治理技术对浦东河水质进行治理。
你好，关于浦东河黑臭污染问题，主要原因是沿河周边直排的工业废水和生活污水造成污染问题，如要改变该状况须由市里统一进行综合治理。目前，市政府非常重视对内河的治理工作，现我局相关部门已正在进行浦东河周边部分市政污水管网建设工作。今后，除要加大污水管网建设外，做好截污改变黑臭，还需靠沿线、周边各单位，村镇支持，同时做好各自内部雨、污管网分流改造及工业废水治理达标排放的污水接驳集中处理工作。浦东河是东区的主要河道，其主要支流有淌洋河、福兴河、新厝河，均为盲肠河。由于浦东河上游无水源补水，环境容量小、自净能力差，且沿线工业废水、生活污水均排入浦东河及其支流，污染严重。今年浦东河整治工作已列入市政府的重点整治河段，市执法局内河管理处负责制定治理浦东河的技术方案，市建设局负责将浦东河片区的污水重新铺设管网接入洋里污水处理厂处理。福州市及晋安区两级环保部门负责对浦东河周边的工业企业的环境监管，要求工业废水必须达标排放，每年定期对排污企业进行监测，一旦发现超标排放企业立即采取征收超标排污费、限期治理及行政处罚等措施，督促企业进行整改。今后，我市市、区两级环保部门还将继续加大监管力度，确保工业废水达标排放。特此反馈 </t>
  </si>
  <si>
    <t>10/08/2008</t>
  </si>
  <si>
    <t>二环路鹭岭高架桥下至南台紫荆园背后的内河，自从周边道路房屋建设后，这条河从以前的防涝河已经转变为排污河了，现在河水天天都是黑臭难闻，河边更是杂草丛生，河道也越来越小了，严重影响周边居民的日常居住，希望有关部门能尽快管理。尽管这里并不是市区的一条内河，但我们也希望它作为内河能一样得到治理，期待。。。</t>
  </si>
  <si>
    <t>经查,该河道系台屿河.台屿河下游2000米（其中包括该处河段）已于2006年底完成清淤整治,属区管河道.河水黑臭的根本原因是沿河两岸未截污纳入专门管网,我局已要求仓山区内河站做好该河道的日常保洁工作。
 </t>
  </si>
  <si>
    <t>水上公园何时整治？</t>
  </si>
  <si>
    <t>水上公园</t>
  </si>
  <si>
    <t>09/25/2008</t>
  </si>
  <si>
    <t>家住水上公园边，但是水上公园的水面上经常漂着一些又黑又臭的东西，搞的周围的空气都弥漫着一股臭味，什么时候可以整治一下，还我们一个干净的公园。。。</t>
  </si>
  <si>
    <t>水上公园位于浦东河下游,浦东河是东区的主要河道，其主要支流有淌洋河、福兴河、新厝河均为盲肠河。由于浦东河上游无水源补水，且沿线众多工厂、居民的工业废水、生活污水均排入浦东河及其直流，工业污染极其严重，因此，整条河污水横流水质黑臭，生活环境恶劣。我们认为，要从根本上解决浦东河的水质问题，必须对东片水系进行截污。目前，我们正在积极研究探讨治理内河水质的新技术并正在进行浦东河整治工程勘察设计招标工作。 </t>
  </si>
  <si>
    <t>黑河好几年了，何时能处理？？？？</t>
  </si>
  <si>
    <t>李玉霖</t>
  </si>
  <si>
    <t>09/21/2008</t>
  </si>
  <si>
    <t>晋安区的水上公园,又黑又臭。而且好几年了，政府难道就搞不定吗？？？
晚上睡觉昨关窗，才能睡。
望领导予以重视为盼</t>
  </si>
  <si>
    <t>感谢市民对园林绿化的监督。水上公园只处浦东河的下游一段流域，对公园外的污染源无法进行截污。现光明港公园管理处已加强水上公园的漂浮物打捞，同时，严禁公园内建筑物直接将污水排入河流内。浦东河是东区的主要河道，水上公园是浦东河下游.由于浦东河上游无水源补水，且沿线众多工厂、生活污水均直排浦东河，工业污染尤其严重，因此，整条河污水横流水质黑臭，生活环境恶劣.我们认为，要从根本上解决浦东河的水质问题，必须对东片水系进行治污截污.因此，市委、市政府对浦东河、水上公园污染的治理非常重视，目前,市内河管理处正在开展浦东河、淌洋河整治工程的勘察设计工作，并积极研究探讨采用生物治理技术对浦东河水质进行治理。
 </t>
  </si>
  <si>
    <t>对08052600124回复不满意</t>
  </si>
  <si>
    <t>06/16/2008</t>
  </si>
  <si>
    <t>（经查,仓山区洋洽垃圾转运站至联建村堤边内河系台屿河,该河段水质黑臭,是由于上游连接台屿村,周边没有截污管网,污水直排内河所致,我局将督促市、区内河管理部门,加强日常保洁工作,及时打捞垃圾等漂浮物,以保持河道整洁）
以上内容是市城市执法局的回复。试问一下，有关的部门是否有意识到该河段的河水，经上渡洋洽河后直接排入闽江。造成母亲河严重水源污染。</t>
  </si>
  <si>
    <t>经查,仓山区台屿河污染严重是由于沿河污水直排河道所致.我局将督促市、区内河管理部门,加强日常保洁工作,及时打捞垃圾等漂浮物,以保持河道整洁,同时,将积极建议建设部门加快沿河截污工程建设、尽快完善截污管网建设。
 </t>
  </si>
  <si>
    <t>金山碧水二期龙凤苑、麒麟苑中间的内河污染严重</t>
  </si>
  <si>
    <t>方杰</t>
  </si>
  <si>
    <t>05/03/2008</t>
  </si>
  <si>
    <t>金山碧水二期龙凤苑、麒麟苑(仓山区金康路)中间的内河一直以来污染比较严重,常发出阵阵恶臭.最近水质坏到极点,又黑又臭.夏天到来了,附近居民经常会出来乘凉,闻着臭味,怎么纳凉!!!~还请相关部门及时解决,进行整治,还居民一条干净的内河.谢谢!~</t>
  </si>
  <si>
    <t>您好！经我局内河所实地调查，您反映的内河是洋洽河上游，开发商已于2007年移交给福州市内河管理处管理，因通往市文体中心的地块尚未开发，导致洋洽河无法全线贯通，造成内河水发黑、发臭。只有待该地块开发后情况将会好转。 </t>
  </si>
  <si>
    <t>跃进河污染很严重，黑臭到无法形容。。。。。。</t>
  </si>
  <si>
    <t>张</t>
  </si>
  <si>
    <t>04/10/2008</t>
  </si>
  <si>
    <t>您好！针对您诉求的问题，我局内河所已加强对河面漂浮物的打捞及日常保洁工作。跃进河已列入今年内河整治项目，届时将由仓山区政府负责拆迁、交地，福州市市容开发总公司负责工程实施。 </t>
  </si>
  <si>
    <t>水上公园很危险。</t>
  </si>
  <si>
    <t>04/05/2008</t>
  </si>
  <si>
    <t>水上公园是开放式公园，归属光明港公园管理处，水上公园由福州市规划设计院设计、市土地发展中心建设，于2003年8月竣工移交我局属光明港公园管理处管理。现有公园沿水体周边设置的标杆，是根据公园景观、园林景观等诸多因素经综合设计的，采用了封闭或半封闭式，其高度为1米左右，符合规范要求。诉求件所述的“公园围墙是用水泥砌起来的”，不知是否指以上的栏杆？因公园管理是采用管理、作业分工，水上公园驻点管理人员较少，家长应加强对孩子的监管和教育，入园游玩时，避免做危险的行为。 </t>
  </si>
  <si>
    <t>下濂河污染很严重，黑臭到无法形容。。。。。。</t>
  </si>
  <si>
    <t>dangdangding</t>
  </si>
  <si>
    <t>03/24/2008</t>
  </si>
  <si>
    <t>经查,仓山区盖山镇下谦河未列入市区内河管理部门正常管理,根据市政府会议纪要［2007］66号“凡未列入市、区内河管理部门正常管理的河道,均由当地政府实行属地管理.”该诉求反映的问题建议转仓山区盖山镇办理。关于白湖河河道污染、堵塞问题。据了解，该河段治理已经列入今年南台岛内河环境整治项目中，白湖河部分河段的河岸边房屋拆迁工作正在进行中。此项工程预期目标是拓宽疏通河道，彻底根治内河水质污染。 </t>
  </si>
  <si>
    <t>晋安区塔头路336号东郊河黑污臭请处理</t>
  </si>
  <si>
    <t>03/13/2008</t>
  </si>
  <si>
    <t>东郊河是我市城区20条盲肠河之一,由于上游无水源补充,下游受潮水顶托,加上河水污染严重,导致河道淤积速度较快.该河道清淤整治工程已列入2008年内河整治项目,正着手准备开展勘测设计、招投标等工作。 </t>
  </si>
  <si>
    <t>河水发黑，有臭味</t>
  </si>
  <si>
    <t>林世华</t>
  </si>
  <si>
    <t>11/08/2007</t>
  </si>
  <si>
    <t>跃进河河水发黑发臭，河道旁有人烧垃圾，河旁道路靠近则徐大道这一边被堵</t>
  </si>
  <si>
    <t>您好！针对您诉求的问题，我局内河所已增加人员、班次，对该河段的日常漂浮物予以及时打捞。另外，关于河水水质问题，是由该河沿线生活污水排放所致，要彻底解决，有待于内河整治工程开始后，将小区排污口接入市政管网，并对南台岛内河进行全面整治，形成河道间相互贯通的格局，方可解决河道水质问题。 </t>
  </si>
  <si>
    <t>台江区茶亭河臭气熏天</t>
  </si>
  <si>
    <t>07/30/2007</t>
  </si>
  <si>
    <t>（诉求编号07071300029）福州市城市管理执法局回复道“茶亭河已列入茶亭街改造工程，目前正在改造过程中，待改造完成后将使该河水流畅通，消除黑臭。”而市民指出：至今未看到有人在对茶亭河进行改造，并且一点迹象也没有。同时，在未完工前，执法部门至少也应对臭气熏天的现状采取相应措施。</t>
  </si>
  <si>
    <t>经查，茶亭街改造工程施工中，在茶亭河设置多道围堰，导致水流不畅，形成黑臭，针对现状我局采取两点措施：一是组织护河员清理围堰外围垃圾；二是督促茶亭街改造工程施工单位市市政开发公司及时清理河内围堰，该公司表示几天内拆除。 </t>
  </si>
  <si>
    <t>前屿那条内河臭味熏天,急需治理</t>
  </si>
  <si>
    <t>WSM</t>
  </si>
  <si>
    <t>05/24/2007</t>
  </si>
  <si>
    <t>今年，我局计划对浦东河及其支流进行生态修复治理，目前正在进行可行性研究，重点解决河水黑臭问题。 </t>
  </si>
  <si>
    <t>光明港公园的水又黑又臭!</t>
  </si>
  <si>
    <t>汪先生</t>
  </si>
  <si>
    <t>12/07/2006</t>
  </si>
  <si>
    <t>光明港公园的水又黑又臭!请有关部门处理!谢谢!</t>
  </si>
  <si>
    <t>水上公园位于光明港中下游，浦东河出口处，全园面积6万平方米，其中水域面积约1.5万平方米。市民诉求该处水污染严重和水质恶臭现象确实存在。其主要污染源来自内河沿岸的工业和生活污染排放物。要彻底解决该水质污染和恶臭现象，就必须在内河浦东段沿岸增设排污设施，以便堵绝污染源排入浦东河。目前，我局只能采取如下措施进行管理：已在水上公园水域的出入口设置简易截污染设施，从表面上切断污染物；每日安排人员对水面的漂浮物进行及时打捞。 </t>
  </si>
  <si>
    <t>情感打分，0到1，消极到积极</t>
  </si>
  <si>
    <t>利己=0，利他=1</t>
  </si>
  <si>
    <t>有效回复条数</t>
  </si>
  <si>
    <t>梅峰污水处理厂从去年7月2日开始施工就把靠近左海西门这里的道路给围挡了。导致88路公交车没办法行驶 熊猫世界，双安城，福建博物院这3个站点。如今污水厂修好了，希望施工的主管部门  福州市水务投资发展有限公司 ，下令拆除围挡，还路于民。同时，也请 福州市道路运输管理服务中心  进行现场查看对接，一旦路况恢复，立刻恢复88路公交恢复原来的3个站点。谢谢，必须2个部门配合联动。 这里已经一年多没公交行驶了。百姓出行难。</t>
  </si>
  <si>
    <t>梅峰污水处理厂何时彻底完工并退场？</t>
  </si>
  <si>
    <t>这是去年的新闻，如今2018年都快完了，该工程还没完成。
就因为你们这个工程，导致周围公交车也不走了。现在咨询： 梅峰污水处理厂工程，什么时候完工退场？你们这里那么多大型设备，如果不退场，公交车根本无法恢复通行。梅峰污水处理厂何时完工退场？ 尽快答复。不要复制黏贴</t>
  </si>
  <si>
    <t>福建博物院到左海西门公交站这里，搞什么梅峰污水处理厂工程，一搞就是一年。
巨型龙门吊和塔台在这里堵着，导致公交车没办法从这里通行了。这一年多来，福州市区48个串珠公园都修好，三捷河，洋洽河，龙津河等也都修好，
为什么就一个梅峰河水系治理迟迟无法完工？ 还说要等年底？ 这是什么进度？
现在正是金秋十月，天气干燥，最有利于施工，还不加快施工吗？
难道非要等到下雨天再施工？特此投诉。如图，图片附件里这样一个 大型设备堵在这里，你让公交车怎么通行？</t>
  </si>
  <si>
    <t>请智慧福州12345工作人员审批，这是一封咨询件，不是求助件，更不是投诉件。
不要转10个工作日。来不及了。
请用咨询模式，2天回复。谢谢。
您好，诉求位置旁为我司鼓台中心区水系综合治理PPP项目-梅峰河水系治理工程。预计9月底前完成拆除围挡，恢复道路通行。给您的出行造成不便深表歉意，请谅解。
我们是这一带的居民，我们这里因为水系工程施工，导致公交车不走我们这里了。
水务公司说，国庆前会恢复道路，
我们昨天下午刚实地考察了，图片为证明。
图片附件，那么大的巨型围挡，这怎么可能拆除？ 这样的围挡不拆除，公交车如何恢复这里通行？
立刻回复咨询件，不要等国庆后了。这是咨询件，不是求助，更不是诉求。不要转10个工作日。来不及了。</t>
  </si>
  <si>
    <t>杨桥东路旁的文藻河已列入鼓台中心城区水系综合治理项目由我司负责整治。接到诉求后，我司已请检测单位介入查看房屋问题，将尽快修复因施工而影响的周边房屋。对于修复进展，诉求人员后期也可直接询问我司具体负责人。（联系人：闫工，联系电话：137 0882 6890），给您带来不便敬请谅解！</t>
  </si>
  <si>
    <t>文藻河水质有改善 黑臭仍难去</t>
  </si>
  <si>
    <t>“这条河这么短，问题却不少。”昨日上午，家住鼓楼区天盛小区的居民向记者抱怨，文藻河截污后，每天仍有脏东西从上游飘下来，污染了东段的安泰河，进而影响白马河。
　　昨日中午，记者在杨桥路向南拐入文藻河，只见这段河水呈深绿色，河面上不时漂下一些黑乎乎的脏东西。沿着文藻河一路南行，在观音桥处，文藻河汇入安泰河东段，最后汇流到白马河西关段。
　　天盛小区居民陈大爷指着驳岸上黑黑的水痕对记者说：“看看，这都是污水留下来的。”陈大爷说，一旦白马河涨潮，上游的污水就被阻隔在观音桥下的汇水处，恶臭不堪。
　　陈大爷回忆，上世纪五六十年代，安泰河和文藻河是福州最主要的内河，沿着文藻河可一路通到西湖，每逢端午，河里还能容纳龙舟竞渡。后来河上修了路，盖了楼，明河变成了涵洞。
　　记者了解到，目前文藻河北接林则徐出生地故居，南至安泰河，是一条断头河，河长约330米，途径多座建筑物，包括杨桥大厦、侨雄大厦等。文藻河的明河段曾经整治过，经过清淤、末端截污，河底还铺设了青石板。整治后水质改善不少，但上游的暗涵段仍时有污水流出。</t>
  </si>
  <si>
    <t>0</t>
  </si>
  <si>
    <t xml:space="preserve"> 
仓山区建新镇金港公园河道附近堆放大量垃圾，没有人来定期清理。特此投诉！望相关部门定期来进行清理。</t>
  </si>
  <si>
    <t>福州市仓山区金港路36号和园29# 30#靠近金港河，属沿内河餐饮业，对餐饮业排放放污水需经一定污水处理设施后才能排放，常见污水处理设施就是隔油池。福州市仓山区张小姑小吃店（招牌为朋友圈）位于和园30#1层08店面，该店面无任何餐饮污水处理设施，直接排放，同时该店成立于2017年8月29日，此时工商对此类店成立都签有环保告知书，却不对污水排放做任何处理。属无德无良无诚信商人，同时也突显各职能部门监管缺失。询问，仓山区有无餐饮业隔油池长效管理机制。诉求，对福州市仓山区张小姑小吃店无污水处理设施要进行监管。</t>
  </si>
  <si>
    <t>工程施工过程严重扰民。中午施工不暂停，严重影响周边群众的休息；使用大噪音，大功率设备，打桩起桩，使得整个周边小区的楼房都在震动，存在安全隐患。    家中的小孩就在仓山区进附一小就读，常常诉苦。工地施工噪音很大，上课都听不清老师讲课；施工单位动静太大，好象发生地震！河道建设，我们支持。但是施工不文明，我们坚决反对。希望有部门领导，不要只为政绩工程服务，而忽略了老百姓的感受！！</t>
  </si>
  <si>
    <t>福州市金山片区水系综合治理PPP项目为福州市水务投资发展有限公司作为政府出资方参与建设，我司对金港河周边居民的投诉件上提出的几点意见，以及给地方居民带来的不便与麻烦，表示非常理解及关注，同时也感谢地方居民及各级相关单位对我司水系综合治理工作的理解和支持。现就投诉件回复如下： 1.金港河水系治理项目施工时间严格遵守政府部门制定的施工作业时间规定，不存在违规问题；且施工作业有声音属自然现象，请市民朋友们理智对待。 2.金港河总体治理方案已确定，局部河段因规划问题治理方案未确定，但并不影响其他河段施工。 3.金港河水系治理项目是福州市人民政府为消除城区河道黑臭而启动的水环境治理民心工程。根据河道实际情况，通过“防洪排涝、截污治污、活水补水、生态修复、景观文化、长效管理”六大系统工程，我司有信心、有能力消除金港河水体黑臭，提升城市“宜居、宜业”的生活品质，造福广大市民朋友。 4.浦上大道南侧路面积水问题(近和园小区)，据调查，在我方施工进场前就已普遍存在。若确因施工造成，我方将会按要求整改。希望投诉人继续关心、关注单位的建设和发展，继续监督建设工作，共同推进各项工作的开展。</t>
  </si>
  <si>
    <t>2017年6月，福州仓山区建新镇和园至景园间的金港河道开始施工，午休时段及夜间23点均存在施工现象，导致附近居民噪音污染苦不堪言，请相关部门责令整改，还居民一个良好的居住环境。
    同时我夜想给相关部门提一个建议，因河道施工需要，河道两岸设起围挡，道路只允许一辆车通行，因此会造成双向单车道的状况，所以，也恳请有关部门设置单向行车导向牌，方便车辆的通行，谢谢。</t>
  </si>
  <si>
    <t>景园西侧金港河开挖治理能否在景园和园段设置地下河?规划河道边都是大排档小吃店，如果设明河今后肯定有大量污水直接倒入河内，加剧河水脏 臭 虫多现象，河边能否多做绿化?顺带建成金港河公园步行区?让周边群众多休闲的地方?感恩政府。</t>
  </si>
  <si>
    <t>昨日下午，记者来到仓山万达C区旁的金港河，只见两岸花岗岩栏杆和游步道建设得十分美观，河道内的水却像墨汁一样黑，并散发出阵阵臭味。河边一家饮品店的店主刘先生说：“万达广场一落成，这条河就是这样，比酱油还黑，因为两端都被堵住了。”
　　记者沿着河道一路前行，臭味始终萦绕鼻端，往红星国际广场方向，金港河和洋洽河已经连通，但往东走，过了浦上大道，河道由五六米宽瞬间变成约1米宽的暗河，时隐时现。
　　“这里来过好几拨记者，环保部门也来过，但都没多大用，夏天一到，那臭味能把人熏晕。为了除臭，以前水上还种了许多水浮莲。”河边一家茶叶店老板李先生希望尽快启动金港河整治，还市民美好环境。</t>
  </si>
  <si>
    <t>在工棚旁边有两棵大树，尤其其中一棵树高近20米，树龄无百年，也有八、九十年左右，树种不知，这两棵树应在河道边上，或并不在计划的河道中，现其它树木已基本移除完毕，这两棵大树也当在移除计划当中，因为树上画了红圈，应是移除的标志。
　　当地人对这些树有感情，守了几辈人了，这两棵近百年大树砍了太可惜了，“绿水青山就是金山银山”，这两棵大树多少钱也买不到，移栽它处也没办法成活，因为树太大了。
　　不知道河道是否完全修直成水坝那种的直线型，其实稍微自然弯曲些更好看，符合园林需要，能否辟让半米，甚至不要半米，以保留下这两棵古树，这对公园、对市民百姓、对以后的河道绿化都是有极大好处的，是所有人共赢的事，也属功德无量之事。
　　所以，强烈建议保留下这两棵树，不甚感念！</t>
  </si>
  <si>
    <t>高宅路108号 好景城南侧内河 浦上河何时整治？</t>
  </si>
  <si>
    <t>奥体飞凤山 内河已经整治完成，试问 高宅路108号 好景城南侧内河 浦上河何时整治？
年年回复说着手整治 然道都是空话 大话 笑话么？</t>
  </si>
  <si>
    <t>高宅路108号 好景城南侧内河段：该段浦上河早期已整治过，算下游段。而今年启动整治的浦上河是指与洋洽河连接段，算上游段，主要是指金洲南路至浦上大道段。待该段打通后，浦上河上接洋洽河，下接流花溪，届时浦上河河水将全流域流通，改善水质。</t>
  </si>
  <si>
    <t>内河整治 堵排污口</t>
  </si>
  <si>
    <t>龙津河内河整治堵了体校里的排污口 致使我们里面的居民住户污水倒灌无法正常生活 臭味扑鼻 这样的污水倒灌的卫生环境 我们这里的居民如何生活？而且是倒灌的水涨的很快 马上就要淹没我们一层楼 。现在还在疫情防控的非常时期 这样的污水横流的生活环境 病菌会有多少？治理内河是应该的 但是不能损害我们居民的生活环境。恳请各级领导予以重视 尽早处理。</t>
  </si>
  <si>
    <t xml:space="preserve"> 
龙津内河改造多年，这是个利民的好事情，但是否也考虑一下周边民众的作息问题？现在马上凌晨1点了，不知是挖掘机还是货车在倒土填埋，声音哄哄的没停，有时候一早就开始挖，中午也在挖，一段时间下来我们的神经都衰弱了，是否请有关部门妥善安排一下具体的施工时间？</t>
  </si>
  <si>
    <t>龙津河内河整治 （ 穿过展进路 ）</t>
  </si>
  <si>
    <t>全市内河改造卓有成效。但是，龙津河依然干涸、臭气熏天，此状况已经历时20周年。何时能见清流与正常空气 ？万望有关领导予以根治。感谢 ！</t>
  </si>
  <si>
    <r>
      <rPr>
        <sz val="10.5"/>
        <color rgb="FF222222"/>
        <rFont val="Arial"/>
        <family val="2"/>
      </rPr>
      <t xml:space="preserve"> 
1</t>
    </r>
    <r>
      <rPr>
        <sz val="10.5"/>
        <color rgb="FF222222"/>
        <rFont val="宋体"/>
        <family val="3"/>
        <charset val="134"/>
      </rPr>
      <t>、龙津河及一支河施工已几年，未完工，河水很臭，没改善。请教何时能完工，河水能变清吗？</t>
    </r>
    <r>
      <rPr>
        <sz val="10.5"/>
        <color rgb="FF222222"/>
        <rFont val="Arial"/>
        <family val="2"/>
      </rPr>
      <t xml:space="preserve">
2</t>
    </r>
    <r>
      <rPr>
        <sz val="10.5"/>
        <color rgb="FF222222"/>
        <rFont val="宋体"/>
        <family val="3"/>
        <charset val="134"/>
      </rPr>
      <t>、河两岸施工未完成，且未保护，存在乱停车，破坏了完成面，建议设档车设施；请教河两岸施工何时能完成投入使用？</t>
    </r>
  </si>
  <si>
    <t>未公示小区居民 违建扰民龙津河污水处理厂</t>
  </si>
  <si>
    <t>未公示小区居民 违建扰民龙津河污水处理厂  地址在仓山区利民路榕南礼居南面 直线距离不足50米。小区正组织上访国家环境督查组，请立即停止违规建设</t>
  </si>
  <si>
    <t>关于水质是黑，由于近期连续暴雨天气，我司响应福州市联排联调暴雨天气防洪排涝，故把截流井溢流排口打开泄洪，防止内涝，待福州市灾害性天气预警信号解除后，会及时安排关闭溢流排口，防止雨水直流河道。同时也会及时启动调水补水换水工作，保证河道的水质情况； 关于内河整治，当前遵照市建设局意见先进行水下工程建设及管网清疏、检测、修复等工作，待管网检测完成后开始实施剩余段绿化。</t>
  </si>
  <si>
    <t xml:space="preserve">网站 </t>
  </si>
  <si>
    <t>仓山区下度这边龙津河整改拆迁 把后面几户没有征迁的房子全弄斜了。有的甚至都快倒在隔壁房子上了</t>
  </si>
  <si>
    <t>仓山展进路 镇海楼旁边这条龙津支河 镇府投了那么多钱进去改造 改了还是老样子 污水管道做了也是偷工减料   水退下去到处都是渗漏的地方   旁边围栏也弄了拆了装装了拆   一到检查这边内河里水都是满满的看上去比较干净   到检查的人一过水放掉  里面又脏又臭这都是在忽悠谁呢 电视上还报多干净多干净  请你们领导能抽空过来看看了解下民声    图片怎么上传不了</t>
  </si>
  <si>
    <t>福州市水务投资发展有限公司  不作为！</t>
  </si>
  <si>
    <t>关于复园里多处小区臭水沟严重溢出堵塞的诉求， 我街接到居民反映后，立即与水系施工方对接，并到现场核实情况，经过各方的共同努力，该处目前水位已经下降，内涝险情已排除，社区已组织人员到积水小区进行卫生大扫除及消杀工作。居民生活正在逐步恢复正常状态。谢谢您的支持和理解！</t>
  </si>
  <si>
    <t>朝阳南路附近龙津河彻夜施工，福州市水务投资发展有限公司于 2018-09-26 17:29 在（FZ18092300048
）中回复说不得不开展夜间施工。请问这个项目取得夜间施工许可证了吗？如有，请予以公布。</t>
  </si>
  <si>
    <t>请庙堂之上的官老爷们救救孩子们。雁头路是江边村盖山镇很多老百姓进出必经之路，每天都有大量的中小学生上下学从此经过，自从龙津河改造项目开始，这条路就成了沙尘漫天，污染严重的“有毒之路”，龙津河的水污染治好治不好我们说不好，但是在给龙津河治病的时候把江边村的空气弄成毒气是老百姓不可接受的。就好比你给病人开刀治胃病的时候把人家肝脏又弄坏了，谁能忍受得了？你们可以派人在早上来体验一下，保证你们终生难忘。更要命的是，这个问题很多人在12345投诉了很多次，竟然一点没有得到解决，我很怀疑这个平台的有效性。如果说是水务公司的责任，那么相关监管单位有没有尽到监管责任？水务公司没有进行防尘处理，有没有得到严厉的处罚？没有处罚他们怎么会进行整改？这是不是严重的行政不作为？还有水务公司，你们为了抓紧时间完成任务我们也理解，但是造成环境严重污染，周边居民苦不堪言，你们难道就没有一点愧疚感？如果有人引起呼吸道严重疾病，有人因为能见度差出了交通事故，给人民生命财产安全造成损失，你们负得起这个责任吗？谁又来负这个责任？希望相关人员都能从老百姓的角度出发，多替老百姓想一想，当官不与民做主，不如回家卖红薯。 希望水务公司尽快拿出防尘解决方案，监管单位多监督，让孩子们能呼吸一口干净的空气，这个要求不高吧？</t>
  </si>
  <si>
    <t>在福建省福州市仓山区 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希望有关部门将此处黑臭水体尽快纳入治理范围。前已投诉，市城乡建设局回复说建议转仓山区政府处理。我不满意这个回答。希望有更好的实际的处理效果。</t>
  </si>
  <si>
    <t>在福建省福州市仓山区 福州市体育运动学校与上三路127号之间有一段黑臭水体，历经多年无人管理。因为是在大路边，为了遮丑，常年用铁皮围住，里面倒满了各种垃圾，污水横流，体校还在往里面排水，积水严重，臭气熏天，流入龙津河。这个问题由来已久。以前反应的时候答复说属于金星村管辖，现在这块地已经被体校征用，盖上了场馆，但是这个问题并没有人来管。现在仓山区正在治理黑臭水体，而我所反映的黑臭水体就在马路边，竟然没有纳入黑臭水体的治理中。请问仓山区是怎么治理黑臭水体的？
     希望有关部门将此处黑臭水体尽快纳入治理范围。</t>
  </si>
  <si>
    <t>盖山镇雁头路龙津河旁边在施工，把我店的水管弄破了，已经没水三天了，都没有人处理。特此投诉，望处理 。</t>
  </si>
  <si>
    <t>2018年6月1-7日晚 请污水处理暂停半夜施工</t>
  </si>
  <si>
    <t>感谢政府对龙津河的治理，我们也知道并理解施工有时须在半夜施工，附件有好几座有参加2018年高考的学生，因为经常半夜施工工，严重影响了学生的正常的睡眠与休息，现恳请高考期间 6月1-7日晚上暂停半夜施工，致少6月6-7日晚上一定要严禁半夜施工，让考生有一个相对安静的休息环境。谢谢理解与支持！</t>
  </si>
  <si>
    <r>
      <rPr>
        <sz val="10.5"/>
        <color rgb="FF222222"/>
        <rFont val="宋体"/>
        <family val="3"/>
        <charset val="134"/>
      </rPr>
      <t>仓山区和利超市门口这段路下雨就积水，仓</t>
    </r>
    <r>
      <rPr>
        <sz val="10.5"/>
        <rFont val="宋体"/>
        <family val="3"/>
        <charset val="134"/>
      </rPr>
      <t>山区跃进河3#支流，3-1#支流项目 清运渣土后导致仓山区和利</t>
    </r>
  </si>
  <si>
    <t>仓山区跃进河3#支流，3-1#支流项目 清运渣土后导致仓山区和利超市门口这段路雨水管道破损或下水掉堵塞，最近这几天下雨就积水，导致居民出行困难，且道路破损修复马虎，现部分路段又有破损。请及时修复</t>
  </si>
  <si>
    <t>仓山区跃进河3#支流，3-1#支流项目 渣土车运输导致路面破损塌陷。请修复！</t>
  </si>
  <si>
    <t>道路破坏严重！仓山区跃进河3#支流，3-1#支流项目 房屋征迁被拆除后大白天的大型渣土车运输建筑垃圾，导致高湖村龙院234号和利超市到利亨超市路段道路破损塌陷严重，这是哪个运输公司，受哪个单位委托运输渣土，强烈要求业主责任单位修补铺平被破坏的道路，并冲洗干净路面尘土！！否则村民将堵住道路，禁止货车通行。这是村道村道。</t>
  </si>
  <si>
    <t>嘉欣庭苑居民已入住小区将近10年，到目前为止盖山镇政府连一条完整的 水泥路都不给我们，嘉欣庭苑居民只得自己筹钱修路后，修好的路连续被跃进河整治，高湖小学施工队破坏，居民多次反馈，盖山镇政府一直拖延多年，这跟**所说的真抓实干，马上就办的精神背道而驰，请纪检监察部门即可介入调查</t>
  </si>
  <si>
    <t>在FZ19011501352诉求件中，福州市水务集团回复：“根据水系治理项目跃进河河长现场了解，该道路主要通行运输车辆为周边旧户改造清渣车辆，水系治理施工单位并无渣土运输车辆通过该路段，并且水系治理施工现场按照规范管理，执行净车冲洗后出场程序。 水系治理项目部及各参建单位将坚持按照规范，做好施工扬尘的控制工作。”那么，现实情况究竟是什么样的呢？让我们通过照片来说话，有图有真相！附件图一，是1月21日晚上9点，仓山区万科金域华府旁边跃进河施工围挡内外情况，不仅围挡洞开，而且围挡还快倒了，最重要的是泥土沙石从围挡没一路滴撒漏到围挡外，蔓延整条则徐大道368弄，这就是你们撒谎说的规范管理，净车出场吗？原来你们的规范操作就是搞脏搞怪周边环境！接着，我们再来看一下附件图二，这是同一个地方于1月22日早晨六点半拍的照片，围挡呈现跟前一晚一模一样的状态！围挡外地上的滴撒漏依旧，简直不能再恶心了！还有附件图三，也是仓山区万科金域华府附近的跃进河的施工现场，这里更夸张，两个围挡做做样子，长期处于没有围挡状态下的施工，挖掘机想占用道路就占用道路，想挖爆水管就挖爆水管！施工所产生的泥土就随意蔓延整条368弄，这就是福州市水务集团所说的规范施工、规范管理吗？我说你是睁眼说瞎话！还有郑重告知福州市水务集团不要颠倒黑白，搬弄是非，万科金域华府周边除了你这家搞的跃进河破坏工程以外，没有任何旧户改造！如果福州市水务集团制造谣言，散播谣言，把责任推到根本没有存在的所谓旧户改造，我们就告你们散播谣言，扰乱社会安定！周边有没有所谓的旧户改造请当地政府东升街道出来辟谣！福州市水务集团承诺的工期超出近一个月还没完工后，施工队罪状又添多桩！天天野蛮施工，搞得遍地是大尘土！有图有真相，不容抵赖！可耻的是屡次投诉后，在铁一般事实面前，依旧不整改，请求市委市政府彻查该集团领导层！</t>
  </si>
  <si>
    <t>本人于最近4个月内多次在本平台反映跃进河整治工程金辉伯爵山小区段施工扰民问题，最近一次反映于10月15日，诉求件编号FZ18101500032。
在相关负责单位的关心下，该工程施工扰民问题不仅没有缓解，反而愈演愈劣、越来越有新花样。
最近4周，每周一至周五基本不见施工，但是每周周五晚上22点挖掘机准时进场，一直施工至周六凌晨1点左右。紧接着，周六清晨5点挖掘机再度准时开工、施工至8点左右停止。接下来，周六晚间10点至周日凌晨1点、周日清晨5点至8点、周日晚间10点至周一凌晨1点，都是准时开始、也基本准时停工。总之，最近4周施工队精心挑选了周末休息时间扰民、并挑选最佳睡眠时间扰民。可谓“扰民扰出了规律、扰出了高度”，做到了“科学扰民、精准扰民”，用比以前少的多的时间达到了以前从未达到的扰民效果。
我建议政府表彰：
1. 施工队尊重科学、利用科学知识开展工作的精神；
2. 相关负责单位对施工工作的大力支持。
同时，还要请问
1. 每周总是周末施工，而且总是晚间10点至第二天凌晨1点，清晨5点至清晨8点。是不是施工队主要在其他工地干活，趁着周末有空来这里挥动两下？
2. 为何伯爵山小区段，仅仅约100米乘10米的区域，需要挖掘机施工长达半年之久？
3. 跃进河白湖亭沃尔玛段的河道依然被死死占住（不清楚其他段是否还有河道被占），跃进河就是一条断头河，依然要风风火火的开展整治工程？请问整治一条断头河、死河的意义是什么？
4. 80年代末，跃进河就被严重污染（比如盖山造纸厂排污）、且多处被占导致基本断流而成为一条黑水横流的臭水沟，至今已然30年。请问对着一条臭水沟到处开挖、扰民的意义是什么？个人认为还不如全部填平。
5. 政府工程大肆违反施工管理规定，在半夜、清晨施工，是不是玩现代版的“只准州官放火、不许百姓点灯”？
综上，跃进河整治工程金辉伯爵山小区段施工不仅仅是扰民、简直是愚民——愚弄民众、鱼肉民众。
最后，本人请求相关单位在最后时限回复即可、无需尽快回复，这样方能彰显相关单位工作之繁忙。并请求相关单位避重就轻、答非所问、敷衍了事，这样方能展现工作之艺术。
本人如果实在不堪忍受噪音之苦，计划以啤酒瓶装汽油、瓶口塞布条，到施工现场请施工人员喝啤酒。如若被噪音逼死、一定拉个垫背。</t>
  </si>
  <si>
    <t>跃进河整治工程中，金辉伯爵山小区段施工现场离小区5-9号楼直线距离仅50米左右，最近处30左右。数月前，河道整治工程就频频半夜施工，后情况缓解。但，国庆节以来，该问题重现、且更加严重。
国庆节假日7天，大型挖掘机每天早间约05:30即开工、断续施工至第二天凌晨02:00左右；凌晨有时还开启抽水泵。10月8-12日基本不见施工。10月13、14日周末时间，大型挖掘机又是每天早间约早间约05:30即开工、断续施工至第二天凌晨02:00左右。每当大型挖掘机施工时，噪音巨大。
请问：
1. 为何政府工程反而明目张胆违反城市施工管理相关规定？
2. 河道整治已经给小区5-9号楼居民带来巨大的生活问题，请问这到底是惠民工程还是扰民工程？
3. 施工过程基本断断续续，为何不集中施工、拖拖拉拉？有时白天不见施工人员，一到23点后就开始施工。
4. 施工现场最多一般不超过8个人、配合1-2部大型挖掘机。为何不增加施工人员、增加施工机械集中完成居民密集的施工段？
5. 跃进河整治金辉伯爵山段预计何时完工？</t>
  </si>
  <si>
    <t>之前投诉完之后，万科金域华府小区旁的跃进河整治有开工了几天，结果就是把砖块堆到河里之后，又停工了！现在河水堵住，臭不可闻！奇臭无比！如果你们没有打算一鼓作气整治，请不要把河堵住！如果堵住了，请连续整治！骗局工程！无耻工程！扰民工程！从去年整治到今年，什么效果都没见到，反而一直给周边居民造成困扰！你们等着瞧吧，今年底，中央环境巡视组来福建 我们必定举报你们！你们等着！我们手握证据，不容你们抵赖！</t>
  </si>
  <si>
    <t>1. 5月2日-5月8日，没有夜间施工情况，但是5月9日凌晨1时，仍然有挖掘机在施工。
2. 建议相关部门增加巡查频率。仅巡查一次，不管有没发现施工，能说明什么问题？？如果因为人手不够无法增加巡查次数，建议告知巡查工作负责人的电话，方便本人发现情况时随时通报。如果只是向12345反映，又是至少3天后才能处理，能有什么作用？？
3. 在编号为FZ18043000365的诉求件中，本人更加关心的是为何挖掘机不增加正常工作日的白天施工时间，一定要在早上8点前、夜间22点后施工？ 特别是，周末两天、甚至是节日的早间、夜间几乎都有施工。是不是因为施工队在正常工作日的白天主要时间段将工人抽调至其他工地工作，只是在边角时间将工人调回来加班加点工作。
4. 本人认为，单纯施工扰民问题不大，毕竟市民支持内河整治反过来对市民有利。关键问题是请关注下是否存在第3点所说的施工队抽调人员到其他工地工作的情况。如果没有这个情况，请相关部门考虑下如何压迫施工队增加正常工作日的白天主要时段的施工时间与工人数量，以加快进度。
5. 最后，本人推断，施工队一定没有夜间施工许可。既然是政府项目，应该更加遵纪守法。而不是因为政府项目就可以恣意妄为。</t>
  </si>
  <si>
    <t>跃进河整治工程金辉伯爵山小区段施工地点与金辉伯爵山小区仅仅一河之隔，与小区5-9号楼直线距离仅20-50米，施工噪音问题给小区5-9号楼居民带来巨大困扰。存在问题具体如下：
1. 施工时间十分奇怪：施工时间常常是早上06:30-10:00左右、晚间22:30-00:30左右，严重影响居民睡眠；尤其是使用噪音巨大的施工工具与机械时，比如电锯、挖掘机。而其他对居民生活、休息造成影响较小的时段却基本不见施工人员的踪影。
2. 施工人员少、施工进度慢：常常看见施工人员少则3-5人，多则5-7人；施工常常开展1-2天、接下来2-3天又不见动静。最近3个月以来，间断施工对居民带来长时间的影响。
建议：
1. 施工时间调整为早上8点以后至下午13点，下午15点以后至晚间20点以前，避开居民休息时间。尤其是噪音巨大的施工工具与机械需要进场施工时。
2. 政府部门加强对施工队的管理、敦促施工队调集足够人力、集中时间施工。避免施工队白天主要时间在其他工地上干活、边角时间才回到该工地干活。工程进度拖沓缓慢。</t>
  </si>
  <si>
    <t>举报仓山区则徐大道原铅笔厂地块的正祥工地私自向内河排放污水！这条内河是跃进支河，目前正在进行内河整治！政 府一边花大价钱进行内河整治清淤，结果正祥开发商私自在工地背后设置多个排污口，源源不断地向内河里排放污水！我们万科金域华府小区的业主在对岸看得一清二楚！照片也拍下来了！结果每次仓山区环保局来了，都是走马观花，不仅没有到工地里去稽查！也没有到万科金域华府小区里，看到对岸去，就回复我们说这是内河整治让河水变浑浊！根本不是这么一回事，好吗？有图有真相，连排污的水管都能看见，仓山区环保局还能这样睁眼说瞎话吗？我们万科金域华府的业主根本就看不下去了！请你们深入他们工地实地去看看他们到底有没有在工地背后向内河设置多个排污口！</t>
  </si>
  <si>
    <t>焚烧垃圾  废液乱倒</t>
  </si>
  <si>
    <t>在浦下村新桥68号附近臭水沟内，流淌着不知何种粉红色液体，散发着恶臭！液体源源不断流入跃进河内！ 请市政府相关部门管一管。 19大生态建设如何落实，环保、城管在做什么！盖山镇、浦下村（村长书记）相关干部是如何治理村镇垃圾卫生工作，美丽乡村如何落实的，请仓山区政府回复！浦下村卫生治理负责人是谁，作为村民我们都不知道，是不是有点官僚！</t>
  </si>
  <si>
    <t>内河恶臭 蚊子苍蝇很多</t>
  </si>
  <si>
    <t>东升街道旁边跃进河 前两天工程队进来做了半天为什么又停了
夏天内河恶臭 蚊子苍蝇很多 请有关部门监督</t>
  </si>
  <si>
    <t xml:space="preserve">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请市长关注一下。谢谢！ </t>
  </si>
  <si>
    <t>跃进河，白湖亭段 何时打通？</t>
  </si>
  <si>
    <t>跃进河，白湖亭段 何时打通？请加快强制拆迁工作，又不下雨天，容易内涝。</t>
  </si>
  <si>
    <t>根据以上两个部门的回复，洋洽新村4.5两幢离目前建成台屿河岸不足6米。这就意味着洋洽新村4.5两幢就在拆迁范围之内，同时仓山区水系综合指挥部也下达相关文件，那为何上渡街道任没有接到议案的相关信息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仓山区建设局 于 2017-09-12 回复: 关于洋洽河规划问题目前已正在组织设计单位优化设计方案，同时也我局也已建议方案通过工程技术等手段避开建筑物。时至年有余，规划部门如何规划4、5号楼，是否有拆迁规划。</t>
  </si>
  <si>
    <t>我们家位于长埕路阳岐河段旁边（圆方物流旁边），这一片属于低洼地带，然而阳岐河整治工程把我们唯一的雨水排水口给堵住了，致使今年一下大雨屡屡被淹，附近几十户村民受到影响，苦不堪言，甚至大半夜起来抽水，然而却起不到作用，我们的房子都被雨水浸泡的发臭发霉! 接下来台风雨水天更多，请河道相关人员把我们雨水排水口敲掉，让雨水有地方排出去！本人联系电话 13625045181</t>
  </si>
  <si>
    <t>阳岐河已列入仓山龙津阳岐片区水系综合治理PPP项目由我司负责整治,但我司河道整治期间未擅自封堵雨水口，改造的均是违章排污口。诉求管道问题，建议市民联系我司河道负责人（联系人：张总，联系电话：134 0102 6287）再次现场核查解决。</t>
  </si>
  <si>
    <t>阳岐河边步行道 有人放养家禽</t>
  </si>
  <si>
    <t>仓山区东岭路与阳岐路交叉口的阳岐河边有人放养家禽。根据相关法规，内河管理范围之内明令禁止放养动物。
　　林先生说，去年，东岭路与阳岐路交叉口的阳岐河改造，修建了整洁干净的步行道。大约半年前，有人在河边放养鸡鸭。“河水被污染了，夏天时更是臭气熏天，吸引来大量蚊蝇。”林先生希望有关部门能对此进行处理。
　　昨日下午，记者来到现场，刚一靠近步行道，就闻到令人作呕的气味。当时，步行道上有一二十只鸡，吃的是周边饭店丢弃的食物残渣，周边有一个小垃圾堆，部分垃圾掉入内河中。附近居民说，他们曾就此事向有关部门反映过，但一直没有得到妥善处理。</t>
  </si>
  <si>
    <t>今天是5.18  福州的大展在会展中心召开。就是这么重要的时刻，毗邻会展中心的牛浦河还是黑臭！（此前针对5.18的答复：牛浦河改造业主单位为市新区集团。此件请转市新区集团进行答复办理。）请12345工作人员别转到仓山区办理。谢谢。</t>
  </si>
  <si>
    <t>今天是5.18  福州的大展在会展中心召开。就是这么重要的时刻，毗邻会展中心的牛浦河还是黑臭！</t>
  </si>
  <si>
    <t>原来洪阵河从花好月圆小区地下穿流而过 现在政府要治理内河 由原来的暗河变明河 诚如其他诉求件中提到的 大部分业主不反对治理 挖起来该清淤的就清 管道要改都行 但是施工结束恢复原样就行！为什么一定要留两个观察口？即使留 一定要这么大？还不能弄上锁的井盖之类的？一多大的安全隐患！二有没有考虑过住在这里几百户居民的生活起居 恶臭蚊虫 有限的绿化被破坏！其他业主的诉求件 政府的回复一直强调跟业主委员会达成共识可以留两个观察口 可作为普通业主 参加了两次业主大会 10.7和10.27两次 特别最后一次 业主委员会说大家一起商量 他们也代表不了我们 可现在暗地里又代表我们同意了 今天施工方进场我们甚至不知道施工方案！上次业主大会提到赔偿问题 也跟业主委员会达成了什么我们不知道的协议？如果真是一件惠民的好事 为什么这事从头到尾这么不透明？甚至10.27的业主大会通知都没到位 就一张A4纸贴在小区门口柱子上 不容易看到 也通知的很仓促 挑的时间还是人最少的星期六晚上！第一次开会还在每个楼梯口显眼位置通知 几年来一直不知道小区情况的普通业主对现在业委会种种不透明的做法表示不理解！</t>
  </si>
  <si>
    <t>我们是花好月圆的居民，在花好月圆小区生活了十几年。近期政府开展内河整治，是一件利民的好事，金山片区水系也要进行综合治理，其中一条洪阵河暗河贯穿花好月圆小区。市政要把贯穿花好月圆小区的暗河打开进行治理，虽然会对我们的生活造成不便，但是我们也是支持。但是对于治理后，施工单位说要开两个4米*10米的观察口（如果是观察口，不需要这么大）在小区的草坪上，如果是这么做，会给我们小区的安全很大的安全隐患，小孩如果掉进去，谁来负责，所以小区大部分居民要求恢复原样，即将暗河覆盖。10月27日施工单位到我们小区进行沟通，但是也是敷衍几下就走了，根本不听我们的诉求。
       更让人气愤的是，在和居民未沟通好的情况，11月1日，施工单位就在我们小区贴出公告，近期要围挡施工。我们支持治理暗河，但是要求治理后恢复原样，否则对我们的生活造成非常大影响，对此，我们唯求助于政府，请求协调。治理内河是为人民幸福，如果违背居民的意愿来乱治理内河，我们将持续申诉。</t>
  </si>
  <si>
    <t>政府正在整治洪阵河。洪阵河在花好月圆小区地段是暗河，是不是要重新挖成明河？　有没有考虑建设洪阵河步行道，来连接闽江公园和洪塘历史风貌区及砂滩公园？</t>
  </si>
  <si>
    <t>白湖亭河规划沿线已拆除到位，近期也将建设到位。 下一步也会积极向市里沟通协调，争取对沿线有碍观瞻的建筑进行景观改造。谢谢。</t>
  </si>
  <si>
    <t>咨询仓山区内河整治白湖亭河 义序南三环路段内河整治 1.预计什么时候竣工？ 2.是否有修建配套的休闲步道供人游玩？谢谢</t>
  </si>
  <si>
    <t>污染地址：仓山区则徐大道万科金域华府旁内河
非法排放单位：正详广场六建工地
排放时间：23:00至6:00 已经持续3天
则徐大道万科金域华府旁内河今日被连续非法排放，致使整条内河严重污染，常见死鱼鳖等浮上水面，排放物恶臭难闻、周围居民苦不堪言。十九大期间，望环保部门加强监管、处罚力度，早日使内河污染减轻。</t>
  </si>
  <si>
    <t xml:space="preserve">市长好！
   福州市仓山区自南台大道——则徐大道金辉伯爵山——海峡酒店用品城——万科金域华府一带沿线企业及居民区污水未经处理长期以来直排跃进支河/白湖亭河(也称“下濂河”），内河变成开放式的化粪池，臭气熏天，污染严重（参见10月13日海都报A06版报道），2007年以来9年中，群众一致呼吁整治，但迟迟未见实施，周边群众也多次在市长信箱呼吁，但多是被批转到当地的东升街道处理。众所周知，街道社区只有打捞河面漂浮物、清除驳岸杂草等能力，这么大的工程需市政府和市城乡建设委员会等部门铺设污水管道截污处理，不能避重就轻将其归为“清扫卫生”由当地的东升街道和盖山镇承担。这个与三叉街到白湖亭這一段的地铁工程不是由途径的东升街道和盖山镇来承担道理是一样的。另外市长信箱也有回复到“拆迁未完成”，但拆迁为什么未完成呢？而同样是仓山区的烟台山周边改造拆迁工作为什么很快就能完成了？
请市长关注一下。谢谢！ </t>
  </si>
  <si>
    <t>一、收到您的诉求件后，我司即派员现场查看，经核查，河道总包单位中冶京诚对潘敦河进行了正常的维护管养工作；
二、潘墩河部分河道干涸是由于浦下河退潮所致，涨潮时河道水位即恢复正常；
三、由于近期潘敦河上游市政管网水位过高造成部分污水入河，目前潘敦河上游市政管网水位已恢复正常，河道水质也已恢复正常（详见附件照片）。
感谢您对我们工作的支持与理解。</t>
  </si>
  <si>
    <t>早在80.90年代吴山河，天水河，盘屿河是相互通，河道宽能行驶水泥船，三条内河通向马洲河与船尾河后汇入乌龙江，现在内河整理越改造越变成断头河与堰塞湖 ，望规划设计部门还河道原有面貌，畅通无阻 。不要把内河治理成为臭水沟。</t>
  </si>
  <si>
    <t xml:space="preserve"> 
福建省二建吴山河1#支流施工方施工人员无证上岗，施工工地无安全标识，无防尘措施，夜间施工扰民。</t>
  </si>
  <si>
    <t xml:space="preserve">微信 </t>
  </si>
  <si>
    <t>诉求件FZ18030800010反馈的几栋为治理内河征收但未拆迁的房子。今天看到新闻说，“城区黑臭水体治理9月30日前完成 落实“7+5”措施”，其中半洋亭河是要求在9月30号前完成，7+5”措施，“7”是指沿河截污、内河清淤、管网清疏、把水引进来、让水多起来、让水动起来、让水清起来，“5”是指拆违、种树、修路、建景、亮灯。那现在危房未拆迁，自然无法搞绿化，所以请东升街道倒排时间，给出拆除计划。</t>
  </si>
  <si>
    <t>大干120天，打好水系扫尾攻坚战!保护生态环境不是只争朝夕、是利民的大事，今天可以打出120天的标语，明天呢一万年吗?
福州市仓山区港头河这条河污染至少十年以上，旧河道周围的小区建造时间接近二十年，新河道周围的小区接近十年，蚊虫和恶臭是对这条河唯一的记忆，若不是2018年福州市黑臭水体整治环境保护专项行动启动,根本不会想到郊区的内河道也有被整治的一天。
18年的港头河整治确实有效如火如荼，短短几个月清淤、做步道、建绿化、能明显的感觉到河水干净 每天都能看到工人在施工，整治效果确实很明显，距今不到半年又回到整治前恶臭、污水，在打铁港、三捷河、华林河、红星河等内河应该不会出现这些问题吧
在这里提出以下问题
1、港头河道是否存在直排污水污水源在哪里?
2、港头河道是否有人定期维护?
3、港头河的源头在哪里?
4、是否能开发河道延长布道到闽江岸边?</t>
  </si>
  <si>
    <t>引白马河入闽江之水   入三捷河上游进水口  使三捷河成为活水之河</t>
  </si>
  <si>
    <t>在白马河入闽江处（闽江防洪堤外）建一个导水渠，导水渠将白马河与三捷河连接起来， 引白马河之水  入三捷河上游进水口  使三捷河成为活水之河。闽江防洪堤外建导水渠，亦可引闽江之水（闽江涨潮时）入三捷河。活水之河，可彻底解决河水黑臭问题。</t>
  </si>
  <si>
    <t>台江区苍霞片区三捷河部分河段几近断流，蚊虫孳生，臭味袭人。
　　昨日，记者来到三捷河南园路至隆平路河段看到，河道几近干涸，部分区域水深在5厘米左右，巴掌大的罗非鱼露出背鳍，不时搅起团团浑水。很多地方都已露出黑色淤泥，淤泥上还可以看到金属材质的饼干盒、空罐头瓶、可乐瓶、打包的垃圾等。记者沿着河道走了近100米，阵阵异味扑鼻袭来，不时有蚊虫在身边飞舞，3处排污管道正向该河段注入污水，排水口附近污秽不堪。多名过路居民告诉记者，河岸两侧的社区居民生活用水都是直排进三捷河，然后汇入苍霞公园附近的内河，最终直排进闽江。
　　走访中，多名居民告诉记者，三捷河这一河段出现这样的情况，跟上游蓄水有关系。顺着居民的指点，记者沿着河边走到三捷河与隆平路交叉处的一座石桥，看到桥下一座新构筑的半米多高的水泥堤坝，靠上下杭星河巷一侧蓄满了水，靠南园路一边则基本干涸。
　　附近居民王先生说，半年前偶然发现建造了这个堤坝，之后除了台风天和下大雨外，平时靠南园路一边的河道就基本没有活水了。“今年夏天特别难过，现在都很少开阳台的门，味道太难闻。”</t>
  </si>
  <si>
    <t>经市管网维护公司现场排查，桥下的管口污水排出，主要是金铛泵站正在提升改造中，原内河截污的污水干管水位较高，为避免污水倒灌居民区，经鸭嘴阀排入河道。金铛泵站提升改造工程 计划将于今年年底完工，到时污水将通过该泵站输送出去，不会再排入内河。三捷河黑臭水体治理已纳入2017年计划，目前正在进行工程前期设计审批工作</t>
  </si>
  <si>
    <t xml:space="preserve"> 三捷河长期得不到根治，污水横流，南园路桥下，隆平路桥下长期有大口径污水管直排河中。入夏以来，由于三通桥至隆平路河段两端建水闸抬高水位，使得隆平路往西至闽江河段成为断头河，东向的达道河及南向的新桥仔河闸水无法通过涵洞向西流入三捷河出闽江，加剧了三捷河（隆平路往西至闽江端）污染，臭气熏天。希望能结合打造上下杭历史文化街区的契机予以彻底根治，造福于百姓，也为上下杭历史文化街区添光彩！</t>
  </si>
  <si>
    <t>想对福州市水务投资发展有限公司进行咨询第三次进行咨询，我就想你们明确答复我下，目前你们的设计规划图纸，到底有没有涉及到打铁港河东侧棚屋区地块的改造？该地块在河道拆除15米范围房屋后全部裸露出来，景观影响极大，有没有将该地块设计成串珠公园之类 ，详细区域见我附件圈图。 就是问你们的规划设计问题  不要转给旧改办谢谢。</t>
  </si>
  <si>
    <t>想对福州市水务投资发展有限公司进行咨询，上次诉求中反馈打铁港河从福建特艺城至国货段两侧依然大量棚屋区河道两侧景观一塌糊涂， 我想问下下半年依然进行设计，还是开始实施景观提升方案？ 另外该项目河道两侧15米以外大量棚屋区下半年有没有安排进行全面拆除！ 特别我时间地点标注的区域</t>
  </si>
  <si>
    <t>今年三月份就有市民投诉过， 当时你们给出的回复是预计还要120天工期——诉求位置为达道河暗涵截污施工，围挡时间于2019年3月19日起，预计工期需要120天。水系项目方已督促施工单位加快施工进度，争取尽快完成施工撤除围挡占道。现在是八月中旬了，早过了120天时间，依然没有拆除围档房。围档也并不是从今年3月份才围起的，第一个围档房在2018年年初就围起了，当初说河道施工18年12月28号就能完工拆除，现如今非但未拆，竟还添置第二个围档房加倍占道！！今年三月份说再120天就能完工，结果也是一句空话。请问，到底还需要多长时间，才能彻底拆除这两个围档房？本来闽剧院门口这一条人行道就是异常的拥挤，经过的自行车电动车根本不走非机动车道，都是直接冲上人行道上，现在还杵着两个这么大的围档房占用人行道那点可怜的空间，给日常在这条街往来的老人小孩行人带来多少安全隐患。能否烦请相关部门能尽快落实一下？</t>
  </si>
  <si>
    <t>达道地铁站背后靠达道河边的达道一弄那一排的棚户区为何这次不一起列入达道河治理拆迁？就只是拆了原台江城管局那一排的房子？同样是达道河边的房子，拆一边不拆一边，这做的是哪门子的河道治理？  到底达道河边上的这一排房子要等到什么时候会被拆迁？</t>
  </si>
  <si>
    <t>  16年开始福州市用了那么财力、物力、人力做水系治理，可是两年过去了，还是有那么多的内河是烂尾工程，就比如台江区的达道河。  17年台江搞河道水系治理拆迁，达道河光拆上游不拆下游的棚户区，仅把靠近新港河的那段河道做整治，而十四桥这边靠华清楼的这头一直到中亭街的达道河下游段却是污水横流，河岸两边垃圾成堆。特别是在达道地铁站D出口背后的这片区域，6月份时拆了座老建筑后就停工停建，垃圾成堆，蚊蝇肆虐。搞的截污设备和地下排污管也是搞一半就停工，河道里的水都是黑臭水体。  更可恨的是达道河这下游段的附近居民还天天往河里随意的倒粪桶，多次投拆也没人来管。这段河边的棚户区离河岸仅仅3-4米，搞河道整治也不将这些民房拆除。难道这就是水系治理吗？  前日海都报还说年底前能完成86条内河治理，难道像达道河这样只是做上游不做下游的整治，只是为了应付中央督查组的检查的水系治理就算是完成整理了吗？</t>
  </si>
  <si>
    <t>从9月4日下午开始，有人将设置在达江路地铁C出口附近拦截车辆的石墩移开，将这里再次用作收费停车场使用。 望各级领导对此行为予以制止，加强环境监管。</t>
  </si>
  <si>
    <t>台江区达道茶城后面的达道河，从2017.12.25凌晨开始，连续几天天天11.30开始施工，27号从11点30开始施工 持续到凌晨4点还在施工。 国家不是有规定晚上十点后就不可以在施工吗？这样子肆无忌惮的把国家规定无视，天天如此，严重扰民，影响居民正常休息。望有关部门可以快速出面解决。还我们居民一个安静的休息时间。望尽快处理！！！</t>
  </si>
  <si>
    <t>该位置位于大庆河, 怡园巷非我司水系施工范围，由市政建设开发公司负责建设，且怡园巷已设有路灯。我司水系项目部施工范围为如图所示（附图）。该沿河步道原有设置壁灯。经北京市政设计研究院现场查看，现场照明亮度已符合现场照明要求（附图），按照不重复建设的要求，故不再另外设置景观灯，与其他沿河步道亮度保持一致，也请理解与支持！</t>
  </si>
  <si>
    <t>由于排污项目在大庆河延线多处安装电器设施，拆除了部分围栏而用钢材替代，破坏了整体性，极不协调，影响美观。     建议：安装电器设置是必要的，现在基本上可以实现智能控制，人工的操作次数很少，只有在维护的时候使用，因此，没有必要专门设置开口与钢门。解决办法是：可以保留石围栏，通过制作专用的轻质材料的移动梯子用于维护时使用，简单易操作，况且在不用辅助设备的情况下也可以轻易爬过去。目前项目尚在施工中，请有关部门协调处理。</t>
  </si>
  <si>
    <t>投诉中工地为华润万象城三期，我委立即责成施工单位对其不文明行为进行整改。现施工单位回复如下： 目前我司施工的华润万象城三期工程处于主体结构施工阶段，施工期间不存在泥土水等，本工程施工前期已经办理工程污水排污证，且工地严格按相关规定要求进行施工废水的排放。投诉人如再次发现施工工地将废水排放入河内现象，可直接拨打福州市建筑文明安全监察站投诉电话：87712109</t>
  </si>
  <si>
    <t>大庆河什么时候开始施工？什么时候全部做好？ 请给出一个具体的完工时间。谢谢。</t>
  </si>
  <si>
    <t>关于昨夜瀛洲河工地扰民情况，我局执法人员在接到投诉后，于5月9日夜间22点27分到达瀛洲河老药洲段工地巡查，发现是水系治理工地施工。随后0点18分、23点15分、0点46分、2点14分、2点47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</si>
  <si>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关于昨夜瀛洲河工地扰民情况，我局执法人员在接到投诉后，于5月9日夜间22点27分到达瀛洲河老药洲段工地巡查，发现是水系治理工地施工。随后0点18分、23点15分、0点46分、2点14分、2点48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</si>
  <si>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关于昨夜瀛洲河工地扰民情况，我局执法人员在接到投诉后，于5月9日夜间22点27分到达瀛洲河老药洲段工地巡查，发现是水系治理工地施工。随后0点18分、23点15分、0点46分、2点14分、2点49分执法人员相继巡查瀛洲河古街段、新港苑段、特艺城段， 发现工地正在施工。瀛洲河工地为福州市区内河综合治理工程工地，为保市区内河水系及早治理，促进城市美化得到进一步提升，根据市委市政府城区水系综合治理百日大会战工作部署，施工单位工期紧任务重，请市民理解支持。执法人员已约谈施工相关负责人，要求其严格遵守市里相关文件精神，文明施工避免扰民，我局将继续加强巡查监管。给您带来不便敬请谅解！</t>
  </si>
  <si>
    <t>近几个月，所谓鼓台水系统综合治理红星河项目，24小时不间断施工，给周边小区特别是光明港苑小区居民生活休息造成严重影响，很多人在此投诉，然而得到的回复都是清一色 市民您好！感谢您对街道工作的关注与支持，您所反映的问题，我街道领导高度重视，我街城管组织队员到现场巡查，经查，该工程为鼓台水系统综合治理红星河项目，是市重点工程，由水务公司负责实施，鉴于市区交通状况白天禁止运输建材，施工常在夜间进行。我街城管已下发整改通知书，并督促施工方按规定时间施工，减少噪音扰民。 请问相关部门真的有落实到位，督促施工方整改吗？今天噪音愈发严重，我写这份诉求件时已然是晚上8点之后，然而噪音巨大，请问相关部门让整个小区居民如何休息？市重点工程，就可以如此肆无忌惮，为所欲为？为了你们的政绩，完全不顾百姓？你们所谓的督促施工方按规定时间施工，规定时间是什么时间，给广大群众一个明确的答复！麻烦相关部门作出有实际意义的动作，去严格要求施工方整改，而不是只在纸上忽悠广大群众。光明港苑众多居民也会密切关注此事，希望你们不要只会拿着纳税人的钱不干实事！</t>
  </si>
  <si>
    <t>一整晚施工 噪音扰民</t>
  </si>
  <si>
    <t>鼓台水系统综合治理红星河项目，是市重点工程，由水务公司负责实施，举报很多次了，夜间施工有严格的规定，即使是利民工程也要遵守。半夜施工到天亮，天亮了另一批继续做工，何来利民 根本无法睡觉。请监察部门给予帮助，不要复制黏贴回复。谢谢！</t>
  </si>
  <si>
    <t xml:space="preserve">关于河道清理占用东城公寓小区公共用地 的诉求件（编号FZ18081200550），
福州市城乡建设发展总公司回复：
东郊河（包括东城公寓小区段）两岸6米线内将进行步道等景观建设，届时需要占用贵小区部分绿化带，建设完成后的东郊河景观将更加优美，贵小区业主也是最大的受益者。东郊河属市政府黑臭水体重点督办项目，是为民办实事、重大公益事业，内河治理时间紧任务重，恳请贵小区全体业主给予大力支持，并为打造“水清、河畅、岸绿、景美”的福州内河新环境作出应有的贡献。
=========
不管说的多好听，建设部门违法占用小区私有土地，这是事实！我们有关部门做事能否按照法律来？ 明明违法了，却美其名曰要老百姓做贡献？把你家的地随意占用，不给任何补偿，你愿意？ 请按照正规的法律程序来做事，要么给征地补偿方案，要么就不要建围墙，把小区私有绿地变成公共的公园，不然我们会告状到底！！
</t>
  </si>
  <si>
    <t>这个河道改造，致使人行通道狭窄，环境差。想了解该河道改造的完工日期是到2018年9月30日么？ 目前看工地没有什么进展，是否能如期完工？ 如果无法按时完工，居民该向什么部门提出诉求？</t>
  </si>
  <si>
    <t>晋安区塔头路336号东城公寓处为配合东郊河黑臭水系治理而增加过河倒虹管施工。该处倒虹管施工由市水务投资发展有限公司作为业主单位，河南清鸿建设咨询有限公司为监理单位，天津第四市政建筑工程有限公司为施工单位。感谢这位热心市民的投诉，现对您的诉求反馈如下： 1、该工程为水系治理配套项目，由于现场作业空间有限，且为缩短施工对周边居民的影响周期，加快过河倒虹管施工工期，由水系治理业主城乡建总协调，申请并委托市园林局下设花木公司于5月8日上午对该点榕树进行局部修枝。 2、因5月6日现场施工时导致燃气管道出现问题，现场燃气公司工作人员立即安排抢修，并当日恢复使用。 3、在过河管网施工过程中未发现小区网络线路出现故障。我司在施工过程中为减少对周边居民的影响加班加点缩短施工工期，原计划该处过河倒虹管施工工期为5月10日，现已提前于5月8日完成并撤场。施工给您带来不便敬请谅解。</t>
  </si>
  <si>
    <t xml:space="preserve">长乐北路世欧澜山东门，紫金苑旁的一片空地，原先是世欧澜山临时停车场，五一期间都是深夜施工，大型机械挖土机作业，声音异常巨大。
    现在想了解一下，是否是东郊河治理项目，河道旁边的这片空地挖了主要是做什么？
    为什么白天不挖，非得晚上挖？晚上才能运渣土，为什么不先挖好 ，深夜直接开走
    大半夜开了大灯作业，然后作业结束了，灯一直亮到天亮。
    这块地大概还要深夜加班做多久？
</t>
  </si>
  <si>
    <t xml:space="preserve">晋安区建设局领导、清控人居（福州）水环境科技有限公司：
东郊河治理项目工程施工已半年有余。半年来，施工方不顾紫金苑小区的实际情况强行围档，野蛮施工，给小区业主的生产生活造成了极大影响。目前，本小区沿东郊河河岸的所有化粪池（大约有七八口）全部遭到损坏，粪便到处溢流，臭气冲天。这种状况不知要维持到何年何月才能到头。原先本小区化粪池的粪水均是直排东郊河，不知整治之后，施工方有否考虑本小区化粪池的排水问题，一旦河岸切成，本小区化粪池的排水就直接被档住了。也许施工方已有了一个解决方案，但还是希望有关领导及施工方还小区业主的一个知情权，给业主一个解释，让我们这些业主放心。
根据东郊河治理项目的业主方福州市城乡建设发展总公司反馈,东郊河施工占用的紫金苑小区地块属“借地施工”,用于埋设截污管,以确保东郊河黑臭治理的顺利进行。既然是“借地施工”，希望贵局能责成项目业主方市城乡建总和施工设计方(清控人居(福州) 对施工方案进行优化，在完善东郊河治理的前提下兼顾本小区业主的要求,进行后续施工。同时将具体“借地面积”，化粪池的排水方案，以及小区的后期修复方案等告知本小区的业主，还小区业主的一个知情权。
</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</si>
  <si>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东郊河的串珠公园位于东郊米业公司地块。
 目前施工方、设计方在设计，施工过程中将尽量满足业主实际述求，因地制宜开展施工，保障沿岸居民的合法权益。另责令该单位针对施工时间段予以整改，应合理安排施工时间，避免影响周边居民休息。
 我们热切希望广大群众对福州市内河水系综合治理工作予以支持和配合。有关施工问题可咨询项目业主单位福州市城乡建设发展总公司。
</t>
  </si>
  <si>
    <t xml:space="preserve">为解决福州市城区内河水体黑臭和内涝问题，2016年以来福州市委、市政府大力推进水系综合治理工作，并将黑臭水体治理工作列入2017年市委、市政府为民办实事项目。其中东郊河整治项目系水系综合治理重点工程之一，将在河道沿岸开展河道清淤、沿河铺设截污管道、驳岸修复、绿化补植等施工。因此在施工过程中，将对内河沿岸建筑与围墙进行适当拆除退距开展施工。
 目前施工方、设计方在设计，施工过程中将尽量满足业主实际述求，因地制宜开展施工，保障沿岸居民的合法权益。我们热切希望广大群众对福州市内河水系综合治理工作予以支持和配合。有关具体施工问题可咨询项目业主单位福州市城乡建设发展总公司。
</t>
  </si>
  <si>
    <t>尊敬的市长、区长、市、区建设局领导
    关于晋安区东郊河的改造工程，直接影响了紫金苑小区所有业主的居住生活环境。同时占用了所有业主的共同财产，使得小区无绿化带可言，不符合城市居民居住条件。
    恭请市长、区长能够抽出时间亲临小区实地考察，为小区所有业主们主持公道，依法、依据实际情况处理好符合城市居民小区的居住条件。小区所有业主大力支持福州内河整治改造工作，同时也不愿紫金苑小区拖后腿。让我们一起在治理改造内河的同时保住城市小区的整体面貌，为美丽大福州，我们都来负起责任。
    紫金苑小区全体业主恭候领导的到来，我们共同来商讨解决的方案。</t>
  </si>
  <si>
    <t xml:space="preserve">尊敬的领导：
    我目前在上海工作，但家人住在君临东城，隔壁就是浦东河，虽然河边的走道已经修好，但河道发出恶臭，使得旁边的居民苦不堪言，我的家人已经在那里住了三年，我经常回福州，但河水的恶臭让我难以忍受，希望有关单位能出来管管，我曾经看过一份报纸，说福州在内河整治上花费了xx亿元，但说实话我没有看到效果，除了修理了河道旁边的绿化，还请相关部门尽快解决内河问题，还河边居民一个良好的生活环境，我目前在上海，上海的内河整治工作非常好，是否是福州的环境管理制度不合理还是费用不足，我想应该由有关部门出面解决，请各相关部门尽快解决，我代表河边的居民谢谢各位，这是我第一次反映问题，请多多包涵！
</t>
  </si>
  <si>
    <t>磨洋河水系治理远东村段游步道修建的破破烂烂，堆满垃圾。请问城乡建总现场负责人（庄工 135 0938 8687）到底是如何修建养护的？</t>
  </si>
  <si>
    <t xml:space="preserve">此河是淌洋河，因东头河道被上洋村道违章搭盖堵塞，形成断头河，水体不能相通，又缺水，所以此河河水水质较差。
    目前涉及拆迁难度大，要待上洋村旧屋区改造，才能打通河道形成活水。而目前我们能解决的是补水，引凤坂河及晋安河河水补充浦东河和淌洋河。这项工作正在做，引水管已埋设完毕，补水泵站正在由市容公司建设中，待建设完成后，通过补水泵站抽凤坂河（晋安河）河水补充，可增加浦东河水源和淌洋河水源，以解决河水水质问题。
</t>
  </si>
  <si>
    <t xml:space="preserve">淌洋河因东头河道被上洋村违章搭盖堵塞，形成断头河水体不能相通，又缺水，所以此河河水水质较差。
    目前正在拆迁，要待上洋村旧屋区改造，才能打通河道形成污水。目前我们所能做的是补水，引凤坂河及晋安河河水补充浦东河和淌洋河。这项工作目前由福州市市容建设开发公司为业主单位正在建设中，待建设完工后，可增加浦东河及淌洋河流水量，改善浦东河及淌洋河水质。
</t>
  </si>
  <si>
    <t>我是晋安区东浦路100号怡馨苑小区的居民，琴亭河水系治理项目的设备声音非常响，扰民严重，业主单位是清控水务，特此投诉， 希望有关部门介入处理。</t>
  </si>
  <si>
    <t>站东路洋下河内河改造自从2018年上半年起就处在围挡治理的状态，为此，站东路往二环斗门高架桥方向被占去了一大段车道，作为一名上下班都要经过站东路的群众来说，因改造带来的暂时不便可以表示理解，可一转眼到了2019年元月，对于这建起的改造围挡何时拆除除，却始终遥遥无期！之前，施工方曾两次延长了该段内河改造工期（公告显示每次延长2个月），我们就想问问相关部门，站东路（下穿涵洞到汽车北站前到这段）的这段洋下河改造究竟何时能够拆除围挡，还百姓交通通行的便利？
       每天上下班高峰期，尤其是通往斗门高架桥的这段路，总是塞得严严实实，这是一条通往五四北居住区的交通要道，希望相关部门能够加快工期，早日还站东路宽敞舒心的通行条件，让百姓回家的路更加顺畅便捷，谢谢！</t>
  </si>
  <si>
    <t>站东路洋下河段施工投诉后凌晨1点仍然在施工，施工车辆和施工产生的噪音扰民仍然存在。什么工程不能白天做 非要半夜施工！？而且三天两头就有工程全都是深夜施工，什么公司这么无良不处罚的吗！？</t>
  </si>
  <si>
    <t>洋下河正在施工打地基，临近不足4米的湖塍新村11座和12座，每次打地基，整座楼都在震动，存在安全隐患，根据福州市政府出台的内河整治公告，必须在离岸6米的基础上施工治理，为什么 湖塍新村11座和12座与洋下河相隔就3-4米就启动施工，是否进行过公示？是否经过勘察？是否征求过周边业主意见？？</t>
  </si>
  <si>
    <t>火车站洋下河 全天施工扰民，通宵倾倒石渣，无法休息，建议晚10点停止施工。</t>
  </si>
  <si>
    <t>经查该工地属于茶园河整治工程，对于其施工噪音扰民一事，现区城市管理局派驻我街四中队工作人员于2017年4月 15日派人前往施工现场对其（福建清控水环境人居投资发展有限公司茶园河清淤清障整治工程项目部）发放责令整改通知单（编号A389号）责令其须按规定时间文明施工并采取减噪措施不得噪音扰民，对于该工地我们还将派员前往工地加强巡查。</t>
  </si>
  <si>
    <t>教室紧挨黑臭河水 学生不敢开窗</t>
  </si>
  <si>
    <t xml:space="preserve">位于晋安区环南路的侨园小学紧邻茶园河，河水散发出的恶臭让孩子们不敢开窗，还不时有蚊虫飞入教室，长此以往不但会干扰孩子认真听课，对健康也会产生影响。
 　　昨日中午，记者在侨园小学看到，北侧围墙外有一条宽约五米的小河，河上有一座小桥。记者一走近小桥，就闻到阵阵刺鼻的臭味。记者看到，此处河水一片乌黑，河面上漂着一层油污，还有一些黑色漂浮物。在漂浮物众多的地方，气味更加刺鼻。
 　　记者注意到，此处河水几乎已经停止流动，宛如一潭死水，河床边淤积了厚厚的淤泥，散发出的臭味令人作呕。
 　　记者发现，侨园小学教学楼的窗户正对着河面。“这几天小学生报到，我送女儿去学校，出来后她告诉我，教室外面飘来臭味。我去学校外面转了转，发现臭味都是从这条河上飘来的。接下来不但孩子每天都要闻着臭味上课，而且蚊虫也多，让我们家长如何放心。”王女士担忧地对记者说。
 　　记者在附近转了转，发现茶园河两侧除了有侨园小学，还有环南三村、茶园新庄等小区。小区居民告诉记者：“这条河是晋安河的上游，水质对晋安河有直接影响。现在河水这样黑臭，不要说小学生，我们住在边上也不舒服。”
</t>
  </si>
  <si>
    <t>清控人居治理洋里溪 没有施工通告 破坏绿地300平米左右，希望园林执法队介入处理</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</si>
  <si>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</si>
  <si>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和对工程现场检查中发现的不符合设计要求，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</si>
  <si>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</si>
  <si>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 xml:space="preserve">对于该诉求件,我局领导高度重视,已多次派技术人员前往现场检查。施工单位采购的相关建筑材料，按规定提供材料合格证和出厂检验报告，部分材料有委托第三方检测机构检测，并经监理单位核查同意后进场使用。
 对工程现场检查中发现的不符合设计要求和施工质量问题，我局已发文要求业主单位严格履行职责，督促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</si>
  <si>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t>
  </si>
  <si>
    <t xml:space="preserve">针对您所反映的问题，我乡已和监理单位会同县水利工程质量监督站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</si>
  <si>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 xml:space="preserve">针对您所反映的问题，我乡已和监理单位会同县水利工程质量监督站于2017年7月12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验把关工作；进一步抓紧工程内业资料的补充完善工作，确保工程尽早建成、发挥效益。
</t>
  </si>
  <si>
    <t>针对您所反映的问题，我乡已和监理单位会同县水利工程质量监督站于2017年7月13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</si>
  <si>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针对您所反映的问题，我乡已和监理单位会同县水利工程质量监督站于2017年7月14日再次对整个河岸施工范围进行全面巡查，经查阅工程施工合同和招标文件，本工程没有明确规定建筑材料使用品牌；现施工单位采购的相关建筑材料，按规定提供材料合格证和出厂检验报告，部分材料有委托第三方检测机构检测，并经监理单位核查同意后进场使用。
 对部分工程建设存在的质量问题，我乡已发文要求施工单位立即按设计图纸整改到位。同时，也要求监理单位应切实加强现场质量监督和安全管理，认真按照水利水电工程施工质量规范规定，抓好相关建筑材料质量报</t>
  </si>
  <si>
    <t>你好，目前福州全面进行水系治理？为什么马尾君竹游泳池到文体路2号这段君竹河没有治理？脏，黑，臭。。这可是君竹河上游哦。同时，这段君竹河这中间段 ，也就是文体路3号 金门新村小区，老旧小区 ，生活污水直排到君竹河 ，你怎么看？</t>
  </si>
  <si>
    <t>所在区域</t>
  </si>
  <si>
    <t>水体名称</t>
  </si>
  <si>
    <t>诉求件数量</t>
  </si>
  <si>
    <t>总计</t>
  </si>
  <si>
    <t>2016年以前</t>
  </si>
  <si>
    <t>鼓楼区</t>
  </si>
  <si>
    <t>仓山区（续）</t>
  </si>
  <si>
    <t>铜河小支流</t>
  </si>
  <si>
    <t>台江区</t>
  </si>
  <si>
    <t>晋安区</t>
  </si>
  <si>
    <t>新厝河</t>
  </si>
  <si>
    <t>南公园内水体</t>
  </si>
  <si>
    <t>马尾区</t>
  </si>
  <si>
    <t>仓山区</t>
  </si>
  <si>
    <t>台屿河南段</t>
  </si>
  <si>
    <t>投诉性质</t>
  </si>
  <si>
    <t>实名/匿名</t>
  </si>
  <si>
    <t>平均转处理次数</t>
  </si>
  <si>
    <t>平均有效回复条数</t>
  </si>
  <si>
    <t>回复时间差</t>
  </si>
  <si>
    <t>占比</t>
  </si>
  <si>
    <t>实名</t>
  </si>
  <si>
    <t>历史平均诉求长度</t>
  </si>
  <si>
    <t>历史平均回复长度</t>
  </si>
  <si>
    <t>历史平均转处理次数</t>
  </si>
  <si>
    <t>历史平均有效回复条数</t>
  </si>
  <si>
    <t>历史平均回复时长</t>
  </si>
  <si>
    <t>0.03012117636255769</t>
  </si>
  <si>
    <t>0.0%</t>
  </si>
  <si>
    <t>2.7027027027027026%</t>
  </si>
  <si>
    <t>7.285714285714286</t>
  </si>
  <si>
    <t>8.333333333333334</t>
  </si>
  <si>
    <t>4.666666666666666</t>
  </si>
  <si>
    <t>0.6761904761904761</t>
  </si>
  <si>
    <t>0.5945</t>
  </si>
  <si>
    <t>3</t>
  </si>
  <si>
    <t>15.0%</t>
  </si>
  <si>
    <t>2</t>
  </si>
  <si>
    <t>10.0%</t>
  </si>
  <si>
    <t>5.0%</t>
  </si>
  <si>
    <t>6.75</t>
  </si>
  <si>
    <t>5.0</t>
  </si>
  <si>
    <t>7.333333333333333</t>
  </si>
  <si>
    <t>0.6361111111111111</t>
  </si>
  <si>
    <t>0.545</t>
  </si>
  <si>
    <t>0.5472222222222222</t>
  </si>
  <si>
    <t>0.7320500000000003</t>
  </si>
  <si>
    <t>1.3793103448275863%</t>
  </si>
  <si>
    <t>7</t>
  </si>
  <si>
    <t>4.827586206896552%</t>
  </si>
  <si>
    <t>2.0</t>
  </si>
  <si>
    <t>0.4</t>
  </si>
  <si>
    <t>4</t>
  </si>
  <si>
    <t>4.761904761904762%</t>
  </si>
  <si>
    <t>2.380952380952381%</t>
  </si>
  <si>
    <t>1.1904761904761905%</t>
  </si>
  <si>
    <t>4.878048780487805%</t>
  </si>
  <si>
    <t>2.4390243902439024%</t>
  </si>
  <si>
    <t>1.2195121951219512%</t>
  </si>
  <si>
    <t>4.545454545454546%</t>
  </si>
  <si>
    <t>5</t>
  </si>
  <si>
    <t>10.204081632653061%</t>
  </si>
  <si>
    <t>2.0408163265306123%</t>
  </si>
  <si>
    <t>7.4</t>
  </si>
  <si>
    <t>0.48000000000000004</t>
  </si>
  <si>
    <t>0.55</t>
  </si>
  <si>
    <t>6.0606060606060606%</t>
  </si>
  <si>
    <t>1.5151515151515151%</t>
  </si>
  <si>
    <t>0.00147361816902815</t>
  </si>
  <si>
    <t>2.985074626865672%</t>
  </si>
  <si>
    <t>4.477611940298507%</t>
  </si>
  <si>
    <t>1.492537313432836%</t>
  </si>
  <si>
    <t>0.4888888888888889</t>
  </si>
  <si>
    <t>0.6655000000000002</t>
  </si>
  <si>
    <t>6.2</t>
  </si>
  <si>
    <t>0.5872222222222222</t>
  </si>
  <si>
    <t>3.8461538461538463%</t>
  </si>
  <si>
    <t>1.9230769230769231%</t>
  </si>
  <si>
    <t>0.6050000000000001</t>
  </si>
  <si>
    <t>0.4983333333333333</t>
  </si>
  <si>
    <t>0.5777777777777777</t>
  </si>
  <si>
    <t>1.1764705882352942%</t>
  </si>
  <si>
    <t>2.3529411764705883%</t>
  </si>
  <si>
    <t>5.128205128205129%</t>
  </si>
  <si>
    <t>3.5</t>
  </si>
  <si>
    <t>0.45</t>
  </si>
  <si>
    <t>0.5</t>
  </si>
  <si>
    <t>5.405405405405405%</t>
  </si>
  <si>
    <t xml:space="preserve">xinxi fazhi </t>
  </si>
  <si>
    <t>0.8771929824561403%</t>
  </si>
  <si>
    <t>2.6315789473684212%</t>
  </si>
  <si>
    <r>
      <rPr>
        <sz val="10.5"/>
        <color rgb="FF222222"/>
        <rFont val="宋体"/>
        <family val="3"/>
        <charset val="134"/>
      </rPr>
      <t>诉求内容涉及我司水系龙津河治理工程。经我司派驻管理员至现场查看，该处河段截污系统整体正常运行，水质正常，不存在返黑臭现象（详见附图）。福杰苑南侧美伦雅居一侧景观未施工，是涉及到美伦雅居消防通道桥梁班组未进场施工，故暂时搁置。我司已于</t>
    </r>
    <r>
      <rPr>
        <sz val="10.5"/>
        <color rgb="FF222222"/>
        <rFont val="Arial"/>
        <family val="2"/>
      </rPr>
      <t>2020</t>
    </r>
    <r>
      <rPr>
        <sz val="10.5"/>
        <color rgb="FF222222"/>
        <rFont val="宋体"/>
        <family val="3"/>
        <charset val="134"/>
      </rPr>
      <t>年</t>
    </r>
    <r>
      <rPr>
        <sz val="10.5"/>
        <color rgb="FF222222"/>
        <rFont val="Arial"/>
        <family val="2"/>
      </rPr>
      <t>11</t>
    </r>
    <r>
      <rPr>
        <sz val="10.5"/>
        <color rgb="FF222222"/>
        <rFont val="宋体"/>
        <family val="3"/>
        <charset val="134"/>
      </rPr>
      <t>月</t>
    </r>
    <r>
      <rPr>
        <sz val="10.5"/>
        <color rgb="FF222222"/>
        <rFont val="Arial"/>
        <family val="2"/>
      </rPr>
      <t>22</t>
    </r>
    <r>
      <rPr>
        <sz val="10.5"/>
        <color rgb="FF222222"/>
        <rFont val="宋体"/>
        <family val="3"/>
        <charset val="134"/>
      </rPr>
      <t>日发函催促施工单位抓紧深化图纸，并及时安排施工班组进场。预计施工单位于</t>
    </r>
    <r>
      <rPr>
        <sz val="10.5"/>
        <color rgb="FF222222"/>
        <rFont val="Arial"/>
        <family val="2"/>
      </rPr>
      <t>12</t>
    </r>
    <r>
      <rPr>
        <sz val="10.5"/>
        <color rgb="FF222222"/>
        <rFont val="宋体"/>
        <family val="3"/>
        <charset val="134"/>
      </rPr>
      <t>月</t>
    </r>
    <r>
      <rPr>
        <sz val="10.5"/>
        <color rgb="FF222222"/>
        <rFont val="Arial"/>
        <family val="2"/>
      </rPr>
      <t>31</t>
    </r>
    <r>
      <rPr>
        <sz val="10.5"/>
        <color rgb="FF222222"/>
        <rFont val="宋体"/>
        <family val="3"/>
        <charset val="134"/>
      </rPr>
      <t>日前会安排进场。给您带来的困扰，敬请谅解。</t>
    </r>
  </si>
  <si>
    <t>0.0004559409827772581</t>
  </si>
  <si>
    <t>0.9615384615384616%</t>
  </si>
  <si>
    <t>0.565079365079365</t>
  </si>
  <si>
    <t>0.02738288760232517</t>
  </si>
  <si>
    <t>1.408450704225352%</t>
  </si>
  <si>
    <t>2.816901408450704%</t>
  </si>
  <si>
    <t xml:space="preserve">xinxi hezuo </t>
  </si>
  <si>
    <t>7.6923076923076925%</t>
  </si>
  <si>
    <t>8.5</t>
  </si>
  <si>
    <t>0.6055555555555555</t>
  </si>
  <si>
    <t>6</t>
  </si>
  <si>
    <t>6.185567010309279%</t>
  </si>
  <si>
    <t>2.0618556701030926%</t>
  </si>
  <si>
    <t>1.25%</t>
  </si>
  <si>
    <t>2.5%</t>
  </si>
  <si>
    <r>
      <rPr>
        <sz val="10.5"/>
        <color rgb="FF222222"/>
        <rFont val="宋体"/>
        <family val="3"/>
        <charset val="134"/>
      </rPr>
      <t>经核实，该处位于我司水系大庆河</t>
    </r>
    <r>
      <rPr>
        <sz val="10.5"/>
        <color rgb="FF222222"/>
        <rFont val="Arial"/>
        <family val="2"/>
      </rPr>
      <t>F</t>
    </r>
    <r>
      <rPr>
        <sz val="10.5"/>
        <color rgb="FF222222"/>
        <rFont val="宋体"/>
        <family val="3"/>
        <charset val="134"/>
      </rPr>
      <t>公馆段，因群众对照度不同需求，且考虑到节能需求，该段并未设置景观灯。场地原有壁灯的照度经水系治理项目部人员查看，基本符合日常使用（附图），且不会在夜间造成光污染，感谢您对水系综合治理的关注和监督，请您理解与支持！</t>
    </r>
  </si>
  <si>
    <t>5.47945205479452%</t>
  </si>
  <si>
    <t>0.0013633136971664974</t>
  </si>
  <si>
    <t>1.6129032258064515%</t>
  </si>
  <si>
    <t>4.838709677419355%</t>
  </si>
  <si>
    <t>3.225806451612903%</t>
  </si>
  <si>
    <t>9.035714285714285</t>
  </si>
  <si>
    <t>6.166666666666666</t>
  </si>
  <si>
    <t>0.6734126984126984</t>
  </si>
  <si>
    <t xml:space="preserve">xingzheng xinxi </t>
  </si>
  <si>
    <t>6.451612903225806%</t>
  </si>
  <si>
    <t>0.00018282713220686898</t>
  </si>
  <si>
    <t xml:space="preserve">xingzheng hezuo </t>
  </si>
  <si>
    <t>0.970873786407767%</t>
  </si>
  <si>
    <t>0.009157819444367091</t>
  </si>
  <si>
    <t>1.36986301369863%</t>
  </si>
  <si>
    <t>9.803921568627452%</t>
  </si>
  <si>
    <t>3.9215686274509802%</t>
  </si>
  <si>
    <t>0.45454545454545453</t>
  </si>
  <si>
    <t>1.5748031496062993%</t>
  </si>
  <si>
    <t>0.7874015748031497%</t>
  </si>
  <si>
    <t>1.7543859649122806%</t>
  </si>
  <si>
    <t>3.508771929824561%</t>
  </si>
  <si>
    <t>0.9523809523809523%</t>
  </si>
  <si>
    <t>6.666666666666667%</t>
  </si>
  <si>
    <t>0.6272222222222222</t>
  </si>
  <si>
    <t>3.3057851239669422%</t>
  </si>
  <si>
    <t>0.8264462809917356%</t>
  </si>
  <si>
    <t>1.7241379310344827%</t>
  </si>
  <si>
    <t>3.4482758620689653%</t>
  </si>
  <si>
    <t>1.8518518518518519%</t>
  </si>
  <si>
    <t>1.2345679012345678%</t>
  </si>
  <si>
    <t>2.73972602739726%</t>
  </si>
  <si>
    <t>0.44</t>
  </si>
  <si>
    <t>0.5840000000000001</t>
  </si>
  <si>
    <t>5.2631578947368425%</t>
  </si>
  <si>
    <t>0.676111111111111</t>
  </si>
  <si>
    <t>14.285714285714286%</t>
  </si>
  <si>
    <t>9.523809523809524%</t>
  </si>
  <si>
    <t>0.4583333333333333</t>
  </si>
  <si>
    <t>17.647058823529413%</t>
  </si>
  <si>
    <t>0.5388888888888889</t>
  </si>
  <si>
    <t>6.122448979591836%</t>
  </si>
  <si>
    <t>0.6489500000000001</t>
  </si>
  <si>
    <t>4.081632653061225%</t>
  </si>
  <si>
    <t>0.5688888888888889</t>
  </si>
  <si>
    <t>2.272727272727273%</t>
  </si>
  <si>
    <t>0.0033689734995427335</t>
  </si>
  <si>
    <t>1.2820512820512822%</t>
  </si>
  <si>
    <t>0.5288888888888889</t>
  </si>
  <si>
    <t>2.2222222222222223%</t>
  </si>
  <si>
    <t>0.0012393760883331792</t>
  </si>
  <si>
    <t>1.075268817204301%</t>
  </si>
  <si>
    <t>0.47619047619047616</t>
  </si>
  <si>
    <t>2.127659574468085%</t>
  </si>
  <si>
    <t>1.0638297872340425%</t>
  </si>
  <si>
    <t>3.1914893617021276%</t>
  </si>
  <si>
    <t>7.5%</t>
  </si>
  <si>
    <t>2.857142857142857%</t>
  </si>
  <si>
    <t>11.428571428571429%</t>
  </si>
  <si>
    <t>6.818181818181818%</t>
  </si>
  <si>
    <t>8.695652173913043%</t>
  </si>
  <si>
    <t>1.9047619047619047%</t>
  </si>
  <si>
    <t>3.5714285714285716%</t>
  </si>
  <si>
    <t>1.7857142857142858%</t>
  </si>
  <si>
    <t>0.5788888888888889</t>
  </si>
  <si>
    <t>9.090909090909092%</t>
  </si>
  <si>
    <t>0.6177777777777778</t>
  </si>
  <si>
    <t>0.4590909090909091</t>
  </si>
  <si>
    <t>3.6363636363636362%</t>
  </si>
  <si>
    <t>1.8181818181818181%</t>
  </si>
  <si>
    <t>5.357142857142857%</t>
  </si>
  <si>
    <t>0.9174311926605505%</t>
  </si>
  <si>
    <t>2.7522935779816513%</t>
  </si>
  <si>
    <t>0.5399999999999999</t>
  </si>
  <si>
    <t>0.54</t>
  </si>
  <si>
    <t>0.5972222222222221</t>
  </si>
  <si>
    <t>9.67741935483871%</t>
  </si>
  <si>
    <t>0.02713395226048585</t>
  </si>
  <si>
    <t>1.941747572815534%</t>
  </si>
  <si>
    <t>1.2987012987012987%</t>
  </si>
  <si>
    <t>2.5974025974025974%</t>
  </si>
  <si>
    <t>1.4814814814814814%</t>
  </si>
  <si>
    <t>1.5873015873015872%</t>
  </si>
  <si>
    <t>5.660377358490566%</t>
  </si>
  <si>
    <t>1.8867924528301887%</t>
  </si>
  <si>
    <t>10.0</t>
  </si>
  <si>
    <t>0.725</t>
  </si>
  <si>
    <t>0.42190082644628096</t>
  </si>
  <si>
    <t>2.6666666666666665%</t>
  </si>
  <si>
    <t>1.3888888888888888%</t>
  </si>
  <si>
    <t>4.166666666666667%</t>
  </si>
  <si>
    <t>11.11111111111111%</t>
  </si>
  <si>
    <t>0.024893534183931972</t>
  </si>
  <si>
    <t>1.3333333333333333%</t>
  </si>
  <si>
    <t>4.411764705882353%</t>
  </si>
  <si>
    <t>1.4705882352941178%</t>
  </si>
  <si>
    <t>0.9900990099009901%</t>
  </si>
  <si>
    <t>2.9702970297029703%</t>
  </si>
  <si>
    <t>2.7777777777777777%</t>
  </si>
  <si>
    <t>2.3255813953488373%</t>
  </si>
  <si>
    <t>6.976744186046512%</t>
  </si>
  <si>
    <t>利他 关于路灯管理</t>
  </si>
  <si>
    <t>0.5111111111111112</t>
  </si>
  <si>
    <t>1.9607843137254901%</t>
  </si>
  <si>
    <t>0.6188888888888889</t>
  </si>
  <si>
    <t>2.0833333333333335%</t>
  </si>
  <si>
    <t>10.416666666666666%</t>
  </si>
  <si>
    <t>2.0%</t>
  </si>
  <si>
    <t>4.225352112676056%</t>
  </si>
  <si>
    <t>5.454545454545454%</t>
  </si>
  <si>
    <t>3.883495145631068%</t>
  </si>
  <si>
    <t>0.4636363636363636</t>
  </si>
  <si>
    <t>0.9345794392523364%</t>
  </si>
  <si>
    <t>5.607476635514018%</t>
  </si>
  <si>
    <t>7.894736842105263%</t>
  </si>
  <si>
    <t>3.0%</t>
  </si>
  <si>
    <t>1.4492753623188406%</t>
  </si>
  <si>
    <t>7.246376811594203%</t>
  </si>
  <si>
    <t>1.6666666666666667%</t>
  </si>
  <si>
    <t>2.150537634408602%</t>
  </si>
  <si>
    <t>0.000020636331710220385</t>
  </si>
  <si>
    <t>1.342281879194631%</t>
  </si>
  <si>
    <t>2.684563758389262%</t>
  </si>
  <si>
    <t>0.6711409395973155%</t>
  </si>
  <si>
    <t>1.3157894736842106%</t>
  </si>
  <si>
    <t>6.0%</t>
  </si>
  <si>
    <t>1.1235955056179776%</t>
  </si>
  <si>
    <t>5.617977528089888%</t>
  </si>
  <si>
    <t>2.247191011235955%</t>
  </si>
  <si>
    <t>7.666666666666666</t>
  </si>
  <si>
    <t>0.5888888888888888</t>
  </si>
  <si>
    <t>1.639344262295082%</t>
  </si>
  <si>
    <t>3.278688524590164%</t>
  </si>
  <si>
    <t>7.407407407407407%</t>
  </si>
  <si>
    <t>0.684931506849315%</t>
  </si>
  <si>
    <t>3.0303030303030303%</t>
  </si>
  <si>
    <t>0.6472222222222221</t>
  </si>
  <si>
    <t>8.333333333333334%</t>
  </si>
  <si>
    <t>5.555555555555555%</t>
  </si>
  <si>
    <t>1.0526315789473684%</t>
  </si>
  <si>
    <t>3.1578947368421053%</t>
  </si>
  <si>
    <t>2.1052631578947367%</t>
  </si>
  <si>
    <t>0.00998202319436013</t>
  </si>
  <si>
    <t>4.25531914893617%</t>
  </si>
  <si>
    <t>0.004076457934446708</t>
  </si>
  <si>
    <t>3.658536585365854%</t>
  </si>
  <si>
    <t xml:space="preserve">xingzheng xinxi hezuo </t>
  </si>
  <si>
    <t>0.4132231404958677</t>
  </si>
  <si>
    <t>2.5641025641025643%</t>
  </si>
  <si>
    <t>10.714285714285714%</t>
  </si>
  <si>
    <t>1.2048192771084338%</t>
  </si>
  <si>
    <t>4.3478260869565215%</t>
  </si>
  <si>
    <t>6.557377049180328%</t>
  </si>
  <si>
    <t>0.8928571428571429%</t>
  </si>
  <si>
    <t>10</t>
  </si>
  <si>
    <t>0.6555555555555554</t>
  </si>
  <si>
    <t>0.49</t>
  </si>
  <si>
    <t>1.7391304347826086%</t>
  </si>
  <si>
    <t>2.608695652173913%</t>
  </si>
  <si>
    <t>0.8695652173913043%</t>
  </si>
  <si>
    <t>0.9259259259259259%</t>
  </si>
  <si>
    <t>1.694915254237288%</t>
  </si>
  <si>
    <t>3.389830508474576%</t>
  </si>
  <si>
    <t>6.896551724137931%</t>
  </si>
  <si>
    <t>2.9411764705882355%</t>
  </si>
  <si>
    <t>5.882352941176471%</t>
  </si>
  <si>
    <t>3.7974683544303796%</t>
  </si>
  <si>
    <t>0.0036721811145015797</t>
  </si>
  <si>
    <t>9.433962264150944%</t>
  </si>
  <si>
    <t>3.75%</t>
  </si>
  <si>
    <t>5.084745762711864%</t>
  </si>
  <si>
    <t>0.022630485621756336</t>
  </si>
  <si>
    <t xml:space="preserve">xinxi hezuo fazhi </t>
  </si>
  <si>
    <t>3.3333333333333335%</t>
  </si>
  <si>
    <t>6.4935064935064934%</t>
  </si>
  <si>
    <t>8.823529411764707%</t>
  </si>
  <si>
    <t>3.125%</t>
  </si>
  <si>
    <t>6.25%</t>
  </si>
  <si>
    <t>0.46818181818181814</t>
  </si>
  <si>
    <t>5.769230769230769%</t>
  </si>
  <si>
    <t>6.5</t>
  </si>
  <si>
    <t>0.6483333333333333</t>
  </si>
  <si>
    <t>1.5625%</t>
  </si>
  <si>
    <t>4.651162790697675%</t>
  </si>
  <si>
    <t>0.8620689655172413%</t>
  </si>
  <si>
    <t>4.310344827586207%</t>
  </si>
  <si>
    <t>1.8404907975460123%</t>
  </si>
  <si>
    <t>2.4539877300613497%</t>
  </si>
  <si>
    <t>1.2269938650306749%</t>
  </si>
  <si>
    <t>0.020573168747051215</t>
  </si>
  <si>
    <t>1.4285714285714286%</t>
  </si>
  <si>
    <t>4.285714285714286%</t>
  </si>
  <si>
    <t>4.819277108433735%</t>
  </si>
  <si>
    <t>4.0%</t>
  </si>
  <si>
    <t>4.918032786885246%</t>
  </si>
  <si>
    <t>3.7037037037037037%</t>
  </si>
  <si>
    <t>5.714285714285714%</t>
  </si>
  <si>
    <t xml:space="preserve">xingzheng xinxi hezuo fazhi </t>
  </si>
  <si>
    <t>8.571428571428571%</t>
  </si>
  <si>
    <t>0.53</t>
  </si>
  <si>
    <t>3.669724770642202%</t>
  </si>
  <si>
    <t>1.1363636363636365%</t>
  </si>
  <si>
    <t>2.6785714285714284%</t>
  </si>
  <si>
    <t>1.1494252873563218%</t>
  </si>
  <si>
    <t>2.2988505747126435%</t>
  </si>
  <si>
    <t xml:space="preserve">xingzheng fazhi </t>
  </si>
  <si>
    <t>8.108108108108109%</t>
  </si>
  <si>
    <t>0.5966666666666666</t>
  </si>
  <si>
    <t>1.7699115044247788%</t>
  </si>
  <si>
    <t>2.6548672566371683%</t>
  </si>
  <si>
    <t>0.8849557522123894%</t>
  </si>
  <si>
    <t>0.0011267055348483446</t>
  </si>
  <si>
    <t>3.7735849056603774%</t>
  </si>
  <si>
    <t>2.1739130434782608%</t>
  </si>
  <si>
    <t>1.2658227848101267%</t>
  </si>
  <si>
    <t>4.6875%</t>
  </si>
  <si>
    <t>1.0204081632653061%</t>
  </si>
  <si>
    <t>2.4691358024691357%</t>
  </si>
  <si>
    <t>8.620689655172415%</t>
  </si>
  <si>
    <t>0.6955555555555556</t>
  </si>
  <si>
    <t>0.6756756756756757%</t>
  </si>
  <si>
    <t>2.027027027027027%</t>
  </si>
  <si>
    <t>0.6578947368421053%</t>
  </si>
  <si>
    <t>3.9473684210526314%</t>
  </si>
  <si>
    <t>4.9504950495049505%</t>
  </si>
  <si>
    <t>5.172413793103448%</t>
  </si>
  <si>
    <t>7.142857142857143%</t>
  </si>
  <si>
    <t>4.444444444444445%</t>
  </si>
  <si>
    <t>4.054054054054054%</t>
  </si>
  <si>
    <t>1.3513513513513513%</t>
  </si>
  <si>
    <t>8.064516129032258%</t>
  </si>
  <si>
    <t>0.5666666666666667</t>
  </si>
  <si>
    <t>1.098901098901099%</t>
  </si>
  <si>
    <t>0.003705870849497007</t>
  </si>
  <si>
    <t>6.024096385542169%</t>
  </si>
  <si>
    <t>1.4598540145985401%</t>
  </si>
  <si>
    <t>0.7299270072992701%</t>
  </si>
  <si>
    <t>0.000009018918426732656</t>
  </si>
  <si>
    <t>2.830188679245283%</t>
  </si>
  <si>
    <t>0.9433962264150944%</t>
  </si>
  <si>
    <t>0.029598412144695118</t>
  </si>
  <si>
    <t xml:space="preserve">xingzheng xinxi fazhi </t>
  </si>
  <si>
    <t>9.533333333333333</t>
  </si>
  <si>
    <t>0.551111111111111</t>
  </si>
  <si>
    <t>0.010073601388803801</t>
  </si>
  <si>
    <t>0.4305785123966942</t>
  </si>
  <si>
    <t>0.0010242777589530407</t>
  </si>
  <si>
    <t>0.4727272727272727</t>
  </si>
  <si>
    <t>8.88888888888889%</t>
  </si>
  <si>
    <t>12.0%</t>
  </si>
  <si>
    <t>13.793103448275861%</t>
  </si>
  <si>
    <t>6.382978723404255%</t>
  </si>
  <si>
    <t>7.8431372549019605%</t>
  </si>
  <si>
    <t>0.0011492396455453117</t>
  </si>
  <si>
    <t>5.633802816901408%</t>
  </si>
  <si>
    <t>1.5384615384615385%</t>
  </si>
  <si>
    <t>3.076923076923077%</t>
  </si>
  <si>
    <t>0.022856790477973902</t>
  </si>
  <si>
    <t>0.9009009009009009%</t>
  </si>
  <si>
    <t>1.8018018018018018%</t>
  </si>
  <si>
    <t>0.012189057680452602</t>
  </si>
  <si>
    <t>1.9867549668874172%</t>
  </si>
  <si>
    <t>0.6622516556291391%</t>
  </si>
  <si>
    <t>3.1746031746031744%</t>
  </si>
  <si>
    <t>0.010888647319352471</t>
  </si>
  <si>
    <t>0.00016773131395125593</t>
  </si>
  <si>
    <t>2.3622047244094486%</t>
  </si>
  <si>
    <t>3.1496062992125986%</t>
  </si>
  <si>
    <t>0.0014996450668831472</t>
  </si>
  <si>
    <t>0.5483333333333333</t>
  </si>
  <si>
    <t>10.526315789473685%</t>
  </si>
  <si>
    <t>0.535</t>
  </si>
  <si>
    <t>2.898550724637681%</t>
  </si>
  <si>
    <t>5.319148936170213%</t>
  </si>
  <si>
    <t>2.255639097744361%</t>
  </si>
  <si>
    <t>0.7518796992481203%</t>
  </si>
  <si>
    <t>20.0%</t>
  </si>
  <si>
    <t>0.6666666666666666</t>
  </si>
  <si>
    <t>13.636363636363637%</t>
  </si>
  <si>
    <t>0.00000005217539918802013</t>
  </si>
  <si>
    <t>0.6666666666666666%</t>
  </si>
  <si>
    <t>0.7345238095238095</t>
  </si>
  <si>
    <t>2.4193548387096775%</t>
  </si>
  <si>
    <t>0.7344444444444443</t>
  </si>
  <si>
    <t>0.7123015873015872</t>
  </si>
  <si>
    <t>0.5745238095238094</t>
  </si>
  <si>
    <t>0.6324000000000002</t>
  </si>
  <si>
    <t>0.7444444444444444</t>
  </si>
  <si>
    <t>0.5166666666666667</t>
  </si>
  <si>
    <t>0.8055555555555556</t>
  </si>
  <si>
    <t>4.615384615384615%</t>
  </si>
  <si>
    <t>0.5161904761904762</t>
  </si>
  <si>
    <t>0.5383333333333333</t>
  </si>
  <si>
    <t>0.00006170490204333977</t>
  </si>
  <si>
    <t>8.0%</t>
  </si>
  <si>
    <t>0.008325290403970082</t>
  </si>
  <si>
    <t>0.0013385261753998336</t>
  </si>
  <si>
    <t>0.8034126984126982</t>
  </si>
  <si>
    <t>6.578947368421052%</t>
  </si>
  <si>
    <t>0.5983333333333333</t>
  </si>
  <si>
    <t>9.30232558139535%</t>
  </si>
  <si>
    <t>0.030661366054349017</t>
  </si>
  <si>
    <t>0.6772222222222222</t>
  </si>
  <si>
    <t>0.7088450000000003</t>
  </si>
  <si>
    <t>0.765</t>
  </si>
  <si>
    <t>0.000007667598999158235</t>
  </si>
  <si>
    <t>1.5957446808510638%</t>
  </si>
  <si>
    <t>0.6372222222222222</t>
  </si>
  <si>
    <t>18.75%</t>
  </si>
  <si>
    <t>1.1111111111111112%</t>
  </si>
  <si>
    <t>0.0000033485957325638747</t>
  </si>
  <si>
    <t>0.6288888888888889</t>
  </si>
  <si>
    <t>8.833333333333332</t>
  </si>
  <si>
    <t>0.6277777777777778</t>
  </si>
  <si>
    <t>2.197802197802198%</t>
  </si>
  <si>
    <t>9.375%</t>
  </si>
  <si>
    <t>0.41296018031555215</t>
  </si>
  <si>
    <t>0.6944444444444444</t>
  </si>
  <si>
    <t>8.16326530612245%</t>
  </si>
  <si>
    <t>1.6%</t>
  </si>
  <si>
    <t>0.8%</t>
  </si>
  <si>
    <t>2.4%</t>
  </si>
  <si>
    <t xml:space="preserve">xingzheng hezuo fazhi </t>
  </si>
  <si>
    <t>0.00400570949095631</t>
  </si>
  <si>
    <t>7.2727272727272725%</t>
  </si>
  <si>
    <t>0.7234126984126983</t>
  </si>
  <si>
    <t>4.62962962962963%</t>
  </si>
  <si>
    <t>1.7094017094017093%</t>
  </si>
  <si>
    <t>0.8547008547008547%</t>
  </si>
  <si>
    <t>0.7066666666666667</t>
  </si>
  <si>
    <t>12.5%</t>
  </si>
  <si>
    <t>0.0008165371453154639</t>
  </si>
  <si>
    <t>7.042253521126761%</t>
  </si>
  <si>
    <t>2.912621359223301%</t>
  </si>
  <si>
    <t>6.521739130434782%</t>
  </si>
  <si>
    <t>1.1627906976744187%</t>
  </si>
  <si>
    <t>3.488372093023256%</t>
  </si>
  <si>
    <t>0.0017570510866690655</t>
  </si>
  <si>
    <t>15.151515151515152%</t>
  </si>
  <si>
    <t>0.0000760019278467816</t>
  </si>
  <si>
    <t>0.6577777777777778</t>
  </si>
  <si>
    <t>0.6392300000000002</t>
  </si>
  <si>
    <t>8.6</t>
  </si>
  <si>
    <t>0.7866666666666667</t>
  </si>
  <si>
    <t>0.000003072106176664105</t>
  </si>
  <si>
    <t>8</t>
  </si>
  <si>
    <t>7.017543859649122%</t>
  </si>
  <si>
    <t>16.666666666666668%</t>
  </si>
  <si>
    <t>5.05050505050505%</t>
  </si>
  <si>
    <t>13.043478260869565%</t>
  </si>
  <si>
    <t>5.813953488372093%</t>
  </si>
  <si>
    <t>6.153846153846154%</t>
  </si>
  <si>
    <t>4.705882352941177%</t>
  </si>
  <si>
    <t>3.3707865168539324%</t>
  </si>
  <si>
    <t>2.808988764044944%</t>
  </si>
  <si>
    <t>0.9090909090909091%</t>
  </si>
  <si>
    <t>0.7747295000000003</t>
  </si>
  <si>
    <t>0.6134969325153374%</t>
  </si>
  <si>
    <t>3.0927835051546393%</t>
  </si>
  <si>
    <t>0.6861111111111111</t>
  </si>
  <si>
    <t>0.000001320032373676936</t>
  </si>
  <si>
    <t>0.6583333333333333</t>
  </si>
  <si>
    <t>2.5316455696202533%</t>
  </si>
  <si>
    <t>0.5083333333333333</t>
  </si>
  <si>
    <t>3.067484662576687%</t>
  </si>
  <si>
    <t>5.970149253731344%</t>
  </si>
  <si>
    <t>1.680672268907563%</t>
  </si>
  <si>
    <t>6.722689075630252%</t>
  </si>
  <si>
    <t>3.5398230088495577%</t>
  </si>
  <si>
    <t>0.746268656716418%</t>
  </si>
  <si>
    <t>3.7313432835820897%</t>
  </si>
  <si>
    <t>2.9197080291970803%</t>
  </si>
  <si>
    <t>5.109489051094891%</t>
  </si>
  <si>
    <t>4.37956204379562%</t>
  </si>
  <si>
    <t>0.6856400000000002</t>
  </si>
  <si>
    <t>4.9079754601226995%</t>
  </si>
  <si>
    <t>4.511278195488722%</t>
  </si>
  <si>
    <t>1.5037593984962405%</t>
  </si>
  <si>
    <t>3.007518796992481%</t>
  </si>
  <si>
    <t>0.45871559633027525%</t>
  </si>
  <si>
    <t>1.834862385321101%</t>
  </si>
  <si>
    <t>1.3761467889908257%</t>
  </si>
  <si>
    <t>0.026636081576807212</t>
  </si>
  <si>
    <t>利他 参照同类关于工期与步道</t>
  </si>
  <si>
    <t>0.5882352941176471%</t>
  </si>
  <si>
    <t>2.3076923076923075%</t>
  </si>
  <si>
    <t>9</t>
  </si>
  <si>
    <t>6.923076923076923%</t>
  </si>
  <si>
    <t>0.726111111111111</t>
  </si>
  <si>
    <t>0.04410041431242073</t>
  </si>
  <si>
    <t>8.98876404494382%</t>
  </si>
  <si>
    <t>0.9803921568627451%</t>
  </si>
  <si>
    <t>8.928571428571429%</t>
  </si>
  <si>
    <t>6.741573033707865%</t>
  </si>
  <si>
    <t>0.6234126984126983</t>
  </si>
  <si>
    <t>0.008408543308009784</t>
  </si>
  <si>
    <t>2.586206896551724%</t>
  </si>
  <si>
    <t>3.409090909090909%</t>
  </si>
  <si>
    <t>4.2105263157894735%</t>
  </si>
  <si>
    <t>0.0010457875918910545</t>
  </si>
  <si>
    <t>6.756756756756757%</t>
  </si>
  <si>
    <t>2.112676056338028%</t>
  </si>
  <si>
    <t>0.6277777777777779</t>
  </si>
  <si>
    <t>13.333333333333334%</t>
  </si>
  <si>
    <t>0.6088888888888888</t>
  </si>
  <si>
    <t>0.8555555555555556</t>
  </si>
  <si>
    <t xml:space="preserve">hezuo fazhi </t>
  </si>
  <si>
    <t>0.023083095334191464</t>
  </si>
  <si>
    <t>6.349206349206349%</t>
  </si>
  <si>
    <t>0.7751937984496124%</t>
  </si>
  <si>
    <t>3.10077519379845%</t>
  </si>
  <si>
    <t>0.000000019006077708968267</t>
  </si>
  <si>
    <t>0.033133293998813464</t>
  </si>
  <si>
    <t>0.5566666666666666</t>
  </si>
  <si>
    <t>0.00000124318117383958</t>
  </si>
  <si>
    <t>2.8846153846153846%</t>
  </si>
  <si>
    <t>5.063291139240507%</t>
  </si>
  <si>
    <t>15.384615384615385%</t>
  </si>
  <si>
    <t>0.000009185935434635113</t>
  </si>
  <si>
    <t>0.011080961527684181</t>
  </si>
  <si>
    <t>5.154639175257732%</t>
  </si>
  <si>
    <t>1.0309278350515463%</t>
  </si>
  <si>
    <t>1.0416666666666667%</t>
  </si>
  <si>
    <t>0.0005133895466071927</t>
  </si>
  <si>
    <t>0.0005766741550166763</t>
  </si>
  <si>
    <t>1.0101010101010102%</t>
  </si>
  <si>
    <t>4.040404040404041%</t>
  </si>
  <si>
    <t>4.597701149425287%</t>
  </si>
  <si>
    <t>0.6455555555555555</t>
  </si>
  <si>
    <t>3.260869565217391%</t>
  </si>
  <si>
    <t>1.0869565217391304%</t>
  </si>
  <si>
    <t>0.5434782608695652%</t>
  </si>
  <si>
    <t>2.0689655172413794%</t>
  </si>
  <si>
    <t>0.6896551724137931%</t>
  </si>
  <si>
    <t>0.7666666666666667</t>
  </si>
  <si>
    <t>4.49438202247191%</t>
  </si>
  <si>
    <t>6.944444444444445%</t>
  </si>
  <si>
    <t>4.395604395604396%</t>
  </si>
  <si>
    <t>0.6050793650793651</t>
  </si>
  <si>
    <t>5.681818181818182%</t>
  </si>
  <si>
    <t>2.4096385542168677%</t>
  </si>
  <si>
    <t>0.3756574004507888</t>
  </si>
  <si>
    <t>0.7177777777777777</t>
  </si>
  <si>
    <t>3.2967032967032965%</t>
  </si>
  <si>
    <t>0.9444444444444445</t>
  </si>
  <si>
    <t>0.007568445821790983</t>
  </si>
  <si>
    <t>2.6490066225165565%</t>
  </si>
  <si>
    <t>8.474576271186441%</t>
  </si>
  <si>
    <t>1.1560693641618498%</t>
  </si>
  <si>
    <t>0.5780346820809249%</t>
  </si>
  <si>
    <t>0.5813953488372093%</t>
  </si>
  <si>
    <t>4.938271604938271%</t>
  </si>
  <si>
    <t>0.5735000000000001</t>
  </si>
  <si>
    <t>0.8372222222222221</t>
  </si>
  <si>
    <t>3.5294117647058822%</t>
  </si>
  <si>
    <t>1.056338028169014%</t>
  </si>
  <si>
    <t>1.7605633802816902%</t>
  </si>
  <si>
    <t>0.003062703181402485</t>
  </si>
  <si>
    <t>0.6172839506172839%</t>
  </si>
  <si>
    <t>9.571428571428571</t>
  </si>
  <si>
    <t>0.7301587301587301</t>
  </si>
  <si>
    <t>13.513513513513514%</t>
  </si>
  <si>
    <t>0.0000033793167943305158</t>
  </si>
  <si>
    <t>0.7844444444444444</t>
  </si>
  <si>
    <t>0.6802721088435374%</t>
  </si>
  <si>
    <t>0.7352941176470589%</t>
  </si>
  <si>
    <t>2.5210084033613445%</t>
  </si>
  <si>
    <t>0.8403361344537815%</t>
  </si>
  <si>
    <t>0.7055555555555555</t>
  </si>
  <si>
    <t>2.0547945205479454%</t>
  </si>
  <si>
    <t>0.6410256410256411%</t>
  </si>
  <si>
    <t>2.34375%</t>
  </si>
  <si>
    <t>0.78125%</t>
  </si>
  <si>
    <t>2.727272727272727%</t>
  </si>
  <si>
    <t>0.7034920634920635</t>
  </si>
  <si>
    <t>0.003793464160485118</t>
  </si>
  <si>
    <t>0.8333333333333334</t>
  </si>
  <si>
    <t>2.18978102189781%</t>
  </si>
  <si>
    <t>1.4563106796116505%</t>
  </si>
  <si>
    <t>0.4854368932038835%</t>
  </si>
  <si>
    <t>2.2388059701492535%</t>
  </si>
  <si>
    <t>0.8011904761904761</t>
  </si>
  <si>
    <t>0.009890444999916459</t>
  </si>
  <si>
    <t>0.5345238095238095</t>
  </si>
  <si>
    <t>0.6166666666666667</t>
  </si>
  <si>
    <t>3.061224489795918%</t>
  </si>
  <si>
    <t>0.6</t>
  </si>
  <si>
    <t>1.9801980198019802%</t>
  </si>
  <si>
    <t>0.6535947712418301%</t>
  </si>
  <si>
    <t>1.9736842105263157%</t>
  </si>
  <si>
    <t>1.550387596899225%</t>
  </si>
  <si>
    <t>0.031485342035837166</t>
  </si>
  <si>
    <t>利他 参照同类关于工期</t>
  </si>
  <si>
    <t>5.747126436781609%</t>
  </si>
  <si>
    <t>16.129032258064516%</t>
  </si>
  <si>
    <t>11.363636363636363%</t>
  </si>
  <si>
    <t>10.256410256410257%</t>
  </si>
  <si>
    <t>利他 参照同类督促工期</t>
  </si>
  <si>
    <t>0.0031239572450305346</t>
  </si>
  <si>
    <t>0.7936507936507936%</t>
  </si>
  <si>
    <t>12.903225806451612%</t>
  </si>
  <si>
    <t>12.121212121212121%</t>
  </si>
  <si>
    <t xml:space="preserve">利己 </t>
  </si>
  <si>
    <t>12.195121951219512%</t>
  </si>
  <si>
    <t>7.317073170731708%</t>
  </si>
  <si>
    <t>4.109589041095891%</t>
  </si>
  <si>
    <t>0.000501535081054984</t>
  </si>
  <si>
    <t>4.385964912280702%</t>
  </si>
  <si>
    <t>8.51063829787234%</t>
  </si>
  <si>
    <t>区域</t>
  </si>
  <si>
    <t>诉求性质</t>
  </si>
  <si>
    <t>诉求来源</t>
  </si>
  <si>
    <t>诉求长度</t>
  </si>
  <si>
    <t>情感强度</t>
  </si>
  <si>
    <t>匿名=1</t>
  </si>
  <si>
    <t>实名=1</t>
  </si>
  <si>
    <t>诉求时间—到某一天</t>
  </si>
  <si>
    <t>诉求年份</t>
  </si>
  <si>
    <t>回复时间</t>
  </si>
  <si>
    <t>利他=1，利己=0</t>
  </si>
  <si>
    <t>回复时长</t>
  </si>
  <si>
    <t>历史平均有效回复时长</t>
  </si>
  <si>
    <t>已有诉求件数量</t>
  </si>
  <si>
    <t>结果认同</t>
  </si>
  <si>
    <t>dis</t>
  </si>
  <si>
    <t>river</t>
  </si>
  <si>
    <t>nature</t>
  </si>
  <si>
    <t>resource</t>
  </si>
  <si>
    <t>apl</t>
  </si>
  <si>
    <t>apl_bar</t>
  </si>
  <si>
    <t>emi</t>
  </si>
  <si>
    <t>ano</t>
  </si>
  <si>
    <t>t</t>
  </si>
  <si>
    <t>tn</t>
  </si>
  <si>
    <t>time</t>
  </si>
  <si>
    <t>alt</t>
  </si>
  <si>
    <t>rel</t>
  </si>
  <si>
    <t>rel_bar</t>
  </si>
  <si>
    <t>trp</t>
  </si>
  <si>
    <t>trp_bar</t>
  </si>
  <si>
    <t>efr</t>
  </si>
  <si>
    <t>efr_bar</t>
  </si>
  <si>
    <t>til</t>
  </si>
  <si>
    <t>til_bar</t>
  </si>
  <si>
    <t>exa</t>
  </si>
  <si>
    <t>oue</t>
  </si>
  <si>
    <t xml:space="preserve">利他 </t>
  </si>
  <si>
    <t xml:space="preserve">生态 </t>
  </si>
  <si>
    <t>福州市环保局请答复：
   西园雅居东区内河臭不可闻，业主一搬进新房就得每天闻臭味，环保局啥时能够解决，给河边2000多户社会保障房居民好的环境！
   以下是开发商的答复，为什么今年4月份就已经转到环保局的处理，到现在还没解决？
  您好！您所反映西园雅居内河黑臭问题，我中心于4月中旬上报市政府办公厅，市政府批示要求市环保局查处整改。(福州市住宅发展中心于2009-9-3017:12回复)
  望尽快解决！</t>
    <phoneticPr fontId="16" type="noConversion"/>
  </si>
  <si>
    <t>晋安区西园雅居现入住已有四百多户，到年底估计有一千多户，我已入住。
1、东区内河臭不可闻，业主一搬进新房就得每天闻臭味，该处内河水质黑臭主要原因是：三环路施工造成河段堵塞，西园雅居东区内河中段淤泥较高使得溪水无法流畅，形成死水，产生黑臭。建议请市重点办督促三环路施工单位加快进行溪河疏浚，确保溪渠畅通，水体交换。
2、目前只有一趟小公共汽车（65路），但在里面还有一所儿童发展学院，学生们每天早上都要乘坐65路小公共汽车到市区实习，造成上下班时车辆十分拥挤。晚上6：30最后一部车，建议推迟或增加线路。</t>
    <phoneticPr fontId="16" type="noConversion"/>
  </si>
  <si>
    <t>很长一段时间了。在上渡路边上的内河生活排污口都有污水排出,很像是酱油.污水又黑又臭，特别是每晚七八点的时候非常臭，要是夏天就更是臭不可闻。对于我们这些生活在这一带的群众来说真是很难过。我怀疑是这一带的酱油厂把生产污水直排内河。希望有关部门能尽快来解决这个问题</t>
    <phoneticPr fontId="16" type="noConversion"/>
  </si>
  <si>
    <t>从02年起就听说政府要整治浦东河的黑臭问题，说是新建了洋里污水处理厂后将大大改善浦东河水质。可到了2010年，这条河依旧黑臭无比，严重影响了两岸居民的正常生活。到了09年，新闻报道说洋里污水厂厂区三期工程也是为了整治浦东河，可是到现在洋里污水厂厂区三期依旧没有扩建，而且也没有相关的报道。请问这洋里污水处理厂三期工程到底什么时候开始动工？</t>
    <phoneticPr fontId="16" type="noConversion"/>
  </si>
  <si>
    <t>宝龙购物广场（工业路）对面的大庆河接驳整治工程，不知何故暂停近一个月了，原本国庆节前就可完工，现在却工程闲置，河流因被截留成了死水一片，水体发黑，臭气熏人。与福州创建文明城市、宜居城市的形象严重不符。
希望有关部门能尽快回复施工，使内河整治工程能按时完成，改变目前工程搁置一半，内河黑臭的现象。</t>
    <phoneticPr fontId="16" type="noConversion"/>
  </si>
  <si>
    <t>2011年跃进河已经列入福州内河整治完工计划了吗,跃进河打算什么时侯开工整治,什么时侯完工,金辉伯爵山南侧跃进河何时拓宽,这条河又黑又臭的河几十年了还是老样子。何时才能动工啊，而且能拓宽到几米啊？真希望有关部门能急群众之所急，真正为民办实事啊。
请帮忙转福州市城乡建设委员会和福州市城乡规划局解答下</t>
    <phoneticPr fontId="16" type="noConversion"/>
  </si>
  <si>
    <t>1、请求有关部门加快我校及沿岸有关单位、小区的污水接入市政污水管网的步伐，杜绝龙津河支流的污染源头。
2、请求有关部门尽快对龙津河支流进行清淤疏浚，保障河道两岸群众和师生的身心健康。</t>
    <phoneticPr fontId="16" type="noConversion"/>
  </si>
  <si>
    <t>在仓山区的洋洽河现在是黑、臭的不得了。500米之内都可以闻到，死水一潭。怎么越修越差啊，严重影响百姓的生活与工作。什么时候可以好啊，为什么在改造过程中就不能三、五天换一次水啊？让内河水也流动一下啊，现在动手术都可以是把动脉不间断地流通一下。我们的内河治理为什么就不能学习一下呢？治理内河结果不但要好，过程也要让沿河两岸的百姓生活啊。内河治理出发点是好的，不要反尔让百姓添堵啊！洋洽河现在应该可以改称墨稀稀可比河啦！</t>
    <phoneticPr fontId="16" type="noConversion"/>
  </si>
  <si>
    <t>白马河公园河段非常臭，河水又黑又臭，居民心情愉快的在公园娱乐，因为河水又脏又臭，极影响心情，也影响市容，请政府部门加强对白马河公园河水的彻底整治。</t>
    <phoneticPr fontId="16" type="noConversion"/>
  </si>
  <si>
    <t>随着国家对环境问题的重视。以及城市化的推进。我们的环境恶化的势头貌似得到了遏制。但是如果从城市到农村。看看沿途的河流，多少河流曾是我们孩提时分给我们带来欢乐的地方。现在都变成污水横流的水沟，我举一小段例子：从长乐市潭头镇潭头港到长乐市潭头镇二刘村一条短短3公里的河道。80年代末到90年代初期，还是很清澈的河流，河里的各种鱼类品种繁多，印象中那个时候的河流水质清澈，老人说那时候水都可以直接饮用。但是如今的情况是：
1、农村河流已经没有主管部门重视。任由宝贵的水资源被污染侵蚀。
2、短短3公里的河道，10米左右就有1套渔网常年固定在河道里，水浅时看上去触目惊心。导致各种鱼类都灭绝。
3、这个河道地处入海口，会跟随潮水涨落。但是，因为没有有效管理，该河道有时候长时间都处于浅水状态，这在8，90年代都不会处于这种这种状况。浅水的时候多了就导致了水质变得很差，
4、因为没有进行宣传教育，该河道还是会经常看到村民电鱼，更甚至于毒鱼的现象发生。
农村的水资源需要得到重视。我说的这个河段还算长乐市众多河道里头比较好的。从长乐市去漳港镇，到金峰镇，太多的河流已经变成死水一潭，有的直接填掉成为了工厂。有的原来很好水质的河流现在变成了水质乌黑的臭水沟，比如金峰镇港口沙合堂边上的河流。那河水常年都是发臭的。而且有传闻那一带的癌症患者都特别多。据说就是污染引起的。
  希望有关部门能重视农村的水利环境的治理。让新农村的建设能够做到健康可持续的发展。</t>
    <phoneticPr fontId="16" type="noConversion"/>
  </si>
  <si>
    <t>该段阳歧河河床黑友又臭布满了垃圾，尤其退潮时好像臭水沟水的严重影响生活健康，希望政府尽快整治该河段</t>
    <phoneticPr fontId="16" type="noConversion"/>
  </si>
  <si>
    <t>近来在梅洋村到处都是发展的养猪场和养鸡养鸭场，有好几家都养了非常多。不仅到处违章搭盖棚一大片一大片的，而且都没有采取过滤净化措施，任由动物的粪便到处流淌到河里，特别是汤溪的养猪场，真是到处臭气熏天，沟渠又黑又臭，周边的老百姓忍气吞声，敢怒不敢言。请问他们这样的行为需要不需要审批？生态保护区内对这些事情有什么特殊的规定？请你们为我们普通老百姓生活着想，替我们做主，公正处理这些养猪场和养鸡养鸭场，还我们一个优美的乡村。</t>
    <phoneticPr fontId="16" type="noConversion"/>
  </si>
  <si>
    <t>西河闽江对面的洪阵河承蒙政府关爱修建了漂亮的外观,而其中充满蚊虫墨黑奇臭无比的污水几年依然如故,不见改观,请见图片(图片中洪阵河漂亮外观下污臭的水),治理工作真是金玉其表,败絮其中,该污水通过阵坂水闸直排闽江,有照片为证(排涝出水口直排闽江),呼吁了几年,未见改善,直接污染了福州人民的饮用水取水口,可悲啊!应该对相关政府部门进行问责,能力不足不愿意服务社会可以谢罪辞职!</t>
    <phoneticPr fontId="16" type="noConversion"/>
  </si>
  <si>
    <t>位于连江中路至光明路的光明港二支河，河床裸露，河水黑臭，北岸边还有许多违章搭建的简易铁皮房和活动板房。与福州市文明整洁形象不协调，为什么这么长时间了，违建不拆除，河道不整治，有关单位干什么去了？</t>
    <phoneticPr fontId="16" type="noConversion"/>
  </si>
  <si>
    <t>大埕村天源水产和日兴水产将未处理的废气废水直接排放到海边居民区，刺鼻的气味令周边百姓深受其害，严重影响身体健康。更甚至工厂将黑臭的废水直接排入海边沙滩。</t>
    <phoneticPr fontId="16" type="noConversion"/>
  </si>
  <si>
    <r>
      <rPr>
        <sz val="11"/>
        <color theme="1"/>
        <rFont val="等线"/>
        <family val="4"/>
        <charset val="134"/>
        <scheme val="minor"/>
      </rPr>
      <t>1，竟然在诉求类别中没有内河的类别。
2，下濂河的短头河，垃圾，黑，臭等诸多问题的反馈历经多年，就是说的一套，做的又是一套，结果如何，一目了然。何时能正在解决，这是谁的职责。
3，</t>
    </r>
    <r>
      <rPr>
        <sz val="11"/>
        <color rgb="FFFF0000"/>
        <rFont val="等线"/>
        <family val="4"/>
        <charset val="134"/>
        <scheme val="minor"/>
      </rPr>
      <t>历朝历代，为民服务的政府官员都把水利作为执政要素。如西湖开挖，人工运河，福州把已经存在多条内河，搞的每次大雨就是“湖州”，这是政府执政存在的问题。这几年的内涝已经成为内河彻底改造，这届政府不可能回避的核心问题。</t>
    </r>
    <phoneticPr fontId="16" type="noConversion"/>
  </si>
  <si>
    <t>下濂河污染很严重，黑臭到无法形容。。。。。。</t>
    <phoneticPr fontId="16" type="noConversion"/>
  </si>
  <si>
    <t>水上公园附近小区越来越多。而这区域属于新区，十岁以内的小孩特别多。每到节假日，到这里游玩的人都很多。可是公园的围墙是用水泥砌起来的，高度很不够，中间造型连十五六岁的孩子整个身子都能穿过去，更何况是不懂事的小孩。如果哪个家长稍不小心，小孩很容易掉进水里，而这里的水又黑又臭。掉进去找都找不到。太没有安全感了。请相关部门多关注，并及时排除这种安全隐患。</t>
    <phoneticPr fontId="16" type="noConversion"/>
  </si>
  <si>
    <t>在目前这个节能减排的大环境下,全国各地都在进行,而福州的内河的处境真是让人担忧,特别是前屿鼓山镇政府后面那条污水沟,真是一臭就是十几年.河水就跟墨水一般黑，臭气熏天，一般人不敢在河边呆一分钟，那恶心的气味扑面而来，让人窒息。难到目前建设的和谐社会、和谐福州就是这样？希望政府牵头尽快将该条河道清理，河上头的排污企业，发现一家，从严处理一家，让福州重见清澈的河流。</t>
    <phoneticPr fontId="16" type="noConversion"/>
  </si>
  <si>
    <t>水上公园如今是一潭死水，又黑又臭，不知道相关部门有否注意到，并采取相应措施从根本上予以治理？
景观工程切不可虎头蛇尾，福州有太多这样的例子。流花溪，乌龙江湿地公园，金山等城郊地区的绿化经常缺乏监管和维护，因为人为破坏和疏于维护造成景观面目全非，希望相关部门对于非中心区的景观加强监管力度。</t>
    <phoneticPr fontId="16" type="noConversion"/>
  </si>
  <si>
    <t>位于连江中路至光明路段的光明港二支河，河水黑臭，有的地方河床裸露。该河北侧岸边有大量违法搭建简易的铁皮房和活动板房，生活及生产所产生的污水直接排入内河污染河水。请问政府相关部门，河岸边的一排违建何时拆除？光明港二支河何时整治？</t>
    <phoneticPr fontId="16" type="noConversion"/>
  </si>
  <si>
    <t>有条横穿金康路水口苑小区的河！长期发黑发臭！无人管理！请问是哪个部门负责的？为何长期黑臭不治理？还百姓干净宜居环境？</t>
    <phoneticPr fontId="16" type="noConversion"/>
  </si>
  <si>
    <t>长乐首占新区广场南路的东岱湖防洪渠，约一公里长的渠水数月来变得黑臭无比，滋生蚊虫。</t>
    <phoneticPr fontId="16" type="noConversion"/>
  </si>
  <si>
    <t>东升小区东园路路口厕所对面的下水管道，一到下雨水就冒出来，流的整条道路都是，很黑很臭，现在会流到小学门口，上下学小孩子那么多。希望相关部门尽快处理。</t>
    <phoneticPr fontId="16" type="noConversion"/>
  </si>
  <si>
    <t>晋安区塔头路336号东郊河是一条断头河。据市民反映，此河黑、污、臭，严重影响市容市貌。希望有关部门加强对全市有碍市容市貌的现象加以整改，为福州申请卫生城市的行动添砖加瓦。</t>
    <phoneticPr fontId="16" type="noConversion"/>
  </si>
  <si>
    <t>该诉求是因瞬间雨量较大，梅峰河河水水位上涨通过雨水管道涨到路面，目前河水已退，该路段已无积水。</t>
    <phoneticPr fontId="16" type="noConversion"/>
  </si>
  <si>
    <t>1、金山水系每日引入乌龙江水源大约50万立方入金山片区河道（闽江水源）。
2、河道水体每天补水置换两次，每次6小时。
3、金港河金港公园段河道弯度较大影响水流动力感观上看水流绶慢，在外江退潮洋洽排涝站开闸时流速就会加快。</t>
    <phoneticPr fontId="16" type="noConversion"/>
  </si>
  <si>
    <t>法制</t>
    <phoneticPr fontId="16" type="noConversion"/>
  </si>
  <si>
    <t>行政</t>
    <phoneticPr fontId="16" type="noConversion"/>
  </si>
  <si>
    <t>经现场核实，我司水系在仓山区下渡街道下藤路342号龙津花园段施工仅对应河道驳岸边管道接驳。位于龙津花园12座第三梯位下水道检查井溢流液体无色无味（详见附图），检查井溢流经初步判断为小区内部自来水地下管道破损引起。诉求问题非水系施工造成，建议诉求用户将相关情况反馈给小区业委会相关情况或街道办事处，对小区整体内部管道进行破损排查。</t>
    <phoneticPr fontId="16" type="noConversion"/>
  </si>
  <si>
    <t>合作</t>
    <phoneticPr fontId="16" type="noConversion"/>
  </si>
  <si>
    <t xml:space="preserve">行政 </t>
  </si>
  <si>
    <t xml:space="preserve">行政 法制 </t>
  </si>
  <si>
    <t xml:space="preserve">法制 </t>
  </si>
  <si>
    <t xml:space="preserve">合作 </t>
  </si>
  <si>
    <t xml:space="preserve">行政 合作 </t>
  </si>
  <si>
    <t xml:space="preserve">合作 法制 </t>
  </si>
  <si>
    <t xml:space="preserve">行政 合作 法制 </t>
  </si>
  <si>
    <t xml:space="preserve">信息 </t>
  </si>
  <si>
    <t>信息 来源</t>
  </si>
  <si>
    <t>信息 工具词频</t>
  </si>
  <si>
    <t>信息 工具比重</t>
  </si>
  <si>
    <t xml:space="preserve">信息  </t>
  </si>
  <si>
    <t xml:space="preserve">信息 合作 </t>
  </si>
  <si>
    <t xml:space="preserve">行政 信息  </t>
  </si>
  <si>
    <t xml:space="preserve">行政 信息 合作 </t>
  </si>
  <si>
    <t>、因龙津河临近验收移交，施工养护人员相应减少，现我司已督促施工单位及时安排人员对景观绿化进行养护（详见附图）。给您造成的不便，敬请谅解。关于您反映的诉求我司已收悉，经我司工作人员实地堪查，未找到您所说的电杆，因您未提供图片信息 ，且未留下联系电话，我司无法联系到您核实具体情况，如有疑问可使用中国联通号码呼入免费客服热线10010咨询，感谢您的支持！</t>
  </si>
  <si>
    <t xml:space="preserve">行政 信息 合作 法制 </t>
  </si>
  <si>
    <t>仓山区跑马场公交站前面的河（牛眠山巷50号万乐新村前面那条河）已经臭了好多年，福州政府网站有发布信息 说会整治内河，请问这条河什么时候可以治理？我听说这条河是龙津河，但是不确定。这条河是叫什么河？希望相关部门作出答复。</t>
  </si>
  <si>
    <t>经核实，水系建设方于诉求位置处的内河施工已全部完成并将道路恢复后退场。目前该诉求路段的道路问题和积水问题非水系施工造成，因在现场核查时无法查看到施工单位相关信息 ，我司建议将该诉求转建设口行业主管部门市建设局核查施工单位后在进行处理。</t>
  </si>
  <si>
    <t>我司工作人员已到达台屿河公园，该公园内河水质正常，未发现黑臭（附图），建议诉求人提供具体位置及其他详细信息 ，以便我司水系工作人员核查。感谢您的关注与监督！</t>
  </si>
  <si>
    <t>根据以上两个部门的回复，洋洽新村4.5两幢离目前建成台屿河岸不足6米。这就意味着洋洽新村4.5两幢就在拆迁范围之内，同时仓山区水系综合指挥部也下达相关文件，那为何上渡街道任没有接到议案的相关信息 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仓山区建设局于2017-09-12回复:关于洋洽河规划问题目前已正在组织设计单位优化设计方案，同时也我局也已建议方案通过工程技术等手段避开建筑物。时至年有余，规划部门如何规划4、5号楼，是否有拆迁规划。</t>
  </si>
  <si>
    <t>根据以上两个部门的回复，洋洽新村4.5两幢离目前建成台屿河岸不足6米。这就意味着洋洽新村4.5两幢就在拆迁范围之内，同时仓山区水系综合指挥部也下达相关文件，那为何上渡街道任没有接到议案的相关信息 呢？洋洽新村建成不到15年就拆迁，这是对人民财产严重的不负责任的做法！！！麻请仓山区水系综合指挥部以及制定相关规划的头头门想想看，中国***是人民的党，是为人民服务的，不能因为“统一标准”的这死规定而损坏人民的利益，现在房地产的单价如此之高，请问是否过考虑人民的感受呢？？？部门之间文字沟通就这么难吗？现在还有很多市民生活艰难呀！如果是你们的家也这里，你们又如何考量呢！！！</t>
  </si>
  <si>
    <t>诉求位置属水系治理阳岐河，目前河道绿化景观施工已全面完成，根据设计要求，河道两边均已绿化种植作为河岸景观，不在另设防护栏。您在诉求件中描述的小孩溺亡事情，项目部未收到过任何相关信息 ，如您有异议，请联系项目部工作人员（金工：15005997395），进行咨询。</t>
  </si>
  <si>
    <t>经现场核实该处地势较低，同时该处的排口属于雨污水混流，所以根据设计及市建设局要求对该排口进行封堵后接入新建的截污管道内，由于该处属于市政管道截污系统的末端，暴雨天气各处雨水汇合致使瞬间水流量大，才导致内涝情况发生。鉴于该情况，我司已要求水环境公司在今后的暴雨来临前应积极响应福州市联排联调发布的暴雨天气防洪排涝预警信息 ，提前准备好相关排涝措施，防止内涝，同时也会配合其他单位进行防汛工作。由于防汛响应不及时，影响到您及周围居民出行，我司深表歉意！同时暴雨天气有任何突发事件可联系水环境公司现场负责人（赵工：157-1132-0098）进行处理。</t>
  </si>
  <si>
    <t xml:space="preserve">信息 合作 法制 </t>
  </si>
  <si>
    <t>转来FZ13080300284号的转办件收悉，现答复如下：
群众反映后墓溪上游企业偷排污水导致水体污染，我局在日常现场检查中未发现企业偷排现象。
排污管道的铺设维护是由市政建设部门负责的，对管道存在的问题，群众可向建设部门反映。
我局将继续加强企业排污监管，确保污水稳定达标。
您好，据诉求件中所反馈的信息 ，该河道的污染问题是由于河道内污水管道堵塞和上游工业企业涉嫌排放污水引起的，且该河道改造工程系由建设部门组织实施，建议您向市城市建设管理部门和环保部门反映。市民朋友：您好！
感谢您对市政建设工作的关注与监督，针对您所反映的福清市后墓溪段出现污染的相关问题，现将具体情况反馈如下：
我局已委托上海乐通管道工程有限公司对福清市河道中的全部污水管网进行管道检测。福清市后墓溪系福清市大北溪段，大北溪段的污水管网检测前期工程已完成，未发现大面积管道渗漏，针对部分管道维护和修补工作正在按计划实施。经现场勘查，您所提及的清航街桥下的排污口系雨水排水口，由于后墓溪沿岸部分居民私自将污水管道接入市政雨水管网，造成雨污合流，排入后墓溪，影响后墓溪水环境，我局将积极配合相关部门进行整改。近期，上游闽江调水工程施工造成河道断流，我局已通知施工方尽快疏通河道。诉求件中所反馈的上游工业企业涉嫌排放污水的情况，我局将向环保部门反映，配合环保部门调查取证工作。
 </t>
  </si>
  <si>
    <t>朝阳路兴嘉苑1号楼属下渡街道辖区，请批转下渡街道处理。您好！兴嘉苑1号楼边内河属仓山区内河管理所负责管理，建议转仓山区内河管理所办理。您好！您所反映的垃圾顺流而下的问题，我局内河所已责令该段内河管理员和护河员加强日常保洁。内河发出轰鸣，是由于河床高低落差不平产生的流水噪音，我局内河所将在近期用钩车将河床压实平整，减少流水噪音，若要彻底解决噪音问题，有待于该河段整治完成方可解决。至于河水黑臭问题，是污水管网未接驳市政管网造成的，建议转市水环境公司处理。您好，诉求反映的内河为龙津一支河，接到诉求后市水环境公司立即组织相关人员再次实地勘察，收集、核对必要的基础资料，综合各种信息 ，认为龙津一支河河水黑臭原因主要有两个：一是龙津河流水不畅，目前龙津河河水唯一出口是通过龙津一支河进入港头河排入闽江。据了解，龙津河河道建设由于拆迁征地原因尚有约一公里没有贯通，现河道整治单位正极力推动该河道贯通工程；二是龙津河沿线污水直排入内河，需要截污。由于龙津河流经的区域较广，且大多为菜地、农田等未经开发的区域，市政污水管网尚未覆盖，导致污水无出路，另外如六一路附近老城区则因为驳岸边的建、构筑物较多，截污没有工作面，导致截污工作进展缓慢。针对上述问题，市水环境公司已与沿线单位协调，并申请仓山区政府的支持，争取早日完成有市政管网覆盖区域的内河截污工程 </t>
  </si>
  <si>
    <t>西园二期经济适用房已经陆续交房，少数业主已经开始装修，但小区依然存在以下问题，希望尽快抓紧落实，并将进度在小区信息 公布栏公示：
   1、自来水尚未一户一表，开发商答应改进，但至今还没看到动静？
   2、邮箱至今未设置，怎能保障业主们通信权？
   3、小区消防设施尚未配齐，更未进行消防验收？
   4、电梯尽快验收。恰巧本人去看房时，看到电梯门在那儿挣扎，无法关上，很危险，后来从另一部电梯下楼，发现刚刚半身跨入电梯，电梯门就开始关上，是否未设感应器？（物业人员立马解决，这点倒让人心慰，就是需要这样服务意识）。
   5、小区内河，死河一条，又黑又臭，是细菌滋生源，应尽速解决？
   有好的回复，也应该有好的行动！！！</t>
  </si>
  <si>
    <t xml:space="preserve">行政 信息 法制 </t>
  </si>
  <si>
    <t xml:space="preserve">信息 法制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</si>
</sst>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000_);[Red]\(0.0000\)"/>
    <numFmt numFmtId="177" formatCode="0_);[Red]\(0\)"/>
    <numFmt numFmtId="178" formatCode="0.0000_ "/>
    <numFmt numFmtId="179" formatCode="0_ "/>
    <numFmt numFmtId="180" formatCode="yyyy/m/d;@"/>
    <numFmt numFmtId="181" formatCode="0.00_);[Red]\(0.00\)"/>
    <numFmt numFmtId="182" formatCode="0.00_ "/>
  </numFmts>
  <fonts count="17">
    <font>
      <sz val="11"/>
      <color theme="1"/>
      <name val="等线"/>
      <charset val="134"/>
      <scheme val="minor"/>
    </font>
    <font>
      <sz val="11"/>
      <color theme="1"/>
      <name val="等线"/>
      <family val="4"/>
      <charset val="134"/>
    </font>
    <font>
      <sz val="11"/>
      <color rgb="FF000000"/>
      <name val="宋体"/>
      <family val="3"/>
      <charset val="134"/>
    </font>
    <font>
      <sz val="11"/>
      <color theme="1"/>
      <name val="宋体"/>
      <family val="3"/>
      <charset val="134"/>
    </font>
    <font>
      <sz val="10.5"/>
      <color rgb="FF222222"/>
      <name val="Arial"/>
      <family val="2"/>
    </font>
    <font>
      <sz val="10.5"/>
      <color rgb="FF222222"/>
      <name val="宋体"/>
      <family val="3"/>
      <charset val="134"/>
    </font>
    <font>
      <sz val="11"/>
      <color rgb="FF222222"/>
      <name val="宋体"/>
      <family val="3"/>
      <charset val="134"/>
    </font>
    <font>
      <sz val="10.5"/>
      <name val="宋体"/>
      <family val="3"/>
      <charset val="134"/>
    </font>
    <font>
      <sz val="11"/>
      <color rgb="FFFF0000"/>
      <name val="等线"/>
      <family val="4"/>
      <charset val="134"/>
      <scheme val="minor"/>
    </font>
    <font>
      <sz val="11"/>
      <color rgb="FFFF0000"/>
      <name val="宋体"/>
      <family val="3"/>
      <charset val="134"/>
    </font>
    <font>
      <sz val="10.5"/>
      <color rgb="FFFF0000"/>
      <name val="宋体"/>
      <family val="3"/>
      <charset val="134"/>
    </font>
    <font>
      <sz val="12"/>
      <color rgb="FF333333"/>
      <name val="宋体"/>
      <family val="3"/>
      <charset val="134"/>
    </font>
    <font>
      <sz val="10.5"/>
      <color theme="1"/>
      <name val="宋体"/>
      <family val="3"/>
      <charset val="134"/>
    </font>
    <font>
      <sz val="11"/>
      <name val="宋体"/>
      <family val="3"/>
      <charset val="134"/>
    </font>
    <font>
      <sz val="10"/>
      <color theme="1"/>
      <name val="宋体"/>
      <family val="3"/>
      <charset val="134"/>
    </font>
    <font>
      <sz val="11"/>
      <color theme="1"/>
      <name val="等线"/>
      <family val="4"/>
      <charset val="134"/>
      <scheme val="minor"/>
    </font>
    <font>
      <sz val="9"/>
      <name val="等线"/>
      <family val="4"/>
      <charset val="134"/>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8">
    <border>
      <left/>
      <right/>
      <top/>
      <bottom/>
      <diagonal/>
    </border>
    <border>
      <left style="medium">
        <color rgb="FFDDDDDD"/>
      </left>
      <right style="medium">
        <color rgb="FFDDDDDD"/>
      </right>
      <top/>
      <bottom style="medium">
        <color rgb="FFDDDDDD"/>
      </bottom>
      <diagonal/>
    </border>
    <border>
      <left/>
      <right/>
      <top/>
      <bottom style="medium">
        <color rgb="FFDDDDDD"/>
      </bottom>
      <diagonal/>
    </border>
    <border>
      <left/>
      <right style="medium">
        <color rgb="FFDDDDDD"/>
      </right>
      <top/>
      <bottom style="medium">
        <color rgb="FFDDDDDD"/>
      </bottom>
      <diagonal/>
    </border>
    <border>
      <left style="medium">
        <color rgb="FFDDDDDD"/>
      </left>
      <right/>
      <top/>
      <bottom style="medium">
        <color rgb="FFDDDDDD"/>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332">
    <xf numFmtId="0" fontId="0" fillId="0" borderId="0" xfId="0"/>
    <xf numFmtId="0" fontId="0" fillId="0" borderId="0" xfId="0" applyAlignment="1">
      <alignment wrapText="1"/>
    </xf>
    <xf numFmtId="0" fontId="1" fillId="0" borderId="0" xfId="0" applyFont="1" applyAlignment="1">
      <alignment vertical="center"/>
    </xf>
    <xf numFmtId="177" fontId="1" fillId="0" borderId="0" xfId="0" applyNumberFormat="1" applyFont="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vertical="center"/>
    </xf>
    <xf numFmtId="178" fontId="1" fillId="0" borderId="0" xfId="0" applyNumberFormat="1" applyFont="1" applyAlignment="1">
      <alignment vertical="center"/>
    </xf>
    <xf numFmtId="0" fontId="0" fillId="0" borderId="0" xfId="0" applyAlignment="1">
      <alignment horizontal="center" vertical="center"/>
    </xf>
    <xf numFmtId="177" fontId="0" fillId="0" borderId="0" xfId="0" applyNumberFormat="1" applyAlignment="1">
      <alignment horizontal="center" vertical="center"/>
    </xf>
    <xf numFmtId="14" fontId="0" fillId="0" borderId="0" xfId="0" applyNumberFormat="1" applyAlignment="1">
      <alignment horizontal="center" vertical="center"/>
    </xf>
    <xf numFmtId="179" fontId="1" fillId="0" borderId="0" xfId="0" applyNumberFormat="1" applyFont="1" applyAlignment="1">
      <alignment horizontal="center" vertical="center"/>
    </xf>
    <xf numFmtId="178" fontId="1" fillId="0" borderId="0" xfId="0" applyNumberFormat="1" applyFont="1" applyAlignment="1">
      <alignment horizontal="center" vertical="center"/>
    </xf>
    <xf numFmtId="0" fontId="1" fillId="0" borderId="0" xfId="0" applyFont="1" applyAlignment="1">
      <alignment vertical="center" wrapText="1"/>
    </xf>
    <xf numFmtId="177" fontId="1" fillId="0" borderId="0" xfId="0" applyNumberFormat="1" applyFont="1" applyAlignment="1">
      <alignment horizontal="center" vertical="center" wrapText="1"/>
    </xf>
    <xf numFmtId="0" fontId="1" fillId="0" borderId="0" xfId="0" applyFont="1" applyAlignment="1">
      <alignment horizontal="center" vertical="center" wrapText="1"/>
    </xf>
    <xf numFmtId="176" fontId="1" fillId="0" borderId="0" xfId="0" applyNumberFormat="1" applyFont="1" applyAlignment="1">
      <alignment vertical="center" wrapText="1"/>
    </xf>
    <xf numFmtId="178" fontId="1" fillId="0" borderId="0" xfId="0" applyNumberFormat="1" applyFont="1" applyAlignment="1">
      <alignment vertical="center" wrapText="1"/>
    </xf>
    <xf numFmtId="0" fontId="2" fillId="0" borderId="0" xfId="0" applyFont="1" applyAlignment="1">
      <alignment vertical="center" wrapText="1"/>
    </xf>
    <xf numFmtId="177"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179" fontId="2" fillId="0" borderId="0" xfId="0" applyNumberFormat="1" applyFont="1" applyAlignment="1">
      <alignment horizontal="center" vertical="center" wrapText="1"/>
    </xf>
    <xf numFmtId="176" fontId="2" fillId="0" borderId="0" xfId="0" applyNumberFormat="1" applyFont="1" applyAlignment="1">
      <alignment horizontal="center" vertical="center" wrapText="1"/>
    </xf>
    <xf numFmtId="178" fontId="2" fillId="0" borderId="0" xfId="0" applyNumberFormat="1" applyFont="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wrapText="1"/>
    </xf>
    <xf numFmtId="0" fontId="0" fillId="0" borderId="0" xfId="0" applyFont="1" applyAlignment="1">
      <alignment horizontal="center" vertical="center" wrapText="1"/>
    </xf>
    <xf numFmtId="177" fontId="0" fillId="0" borderId="0" xfId="0" applyNumberFormat="1" applyFont="1" applyAlignment="1">
      <alignment horizontal="center" vertical="center" wrapText="1"/>
    </xf>
    <xf numFmtId="14" fontId="0" fillId="0" borderId="0" xfId="0" applyNumberFormat="1" applyFont="1" applyAlignment="1">
      <alignment horizontal="center" vertical="center" wrapText="1"/>
    </xf>
    <xf numFmtId="179" fontId="1" fillId="0" borderId="0" xfId="0" applyNumberFormat="1" applyFont="1" applyAlignment="1">
      <alignment horizontal="center" vertical="center" wrapText="1"/>
    </xf>
    <xf numFmtId="178" fontId="1" fillId="0" borderId="0" xfId="0" applyNumberFormat="1" applyFont="1" applyAlignment="1">
      <alignment horizontal="center" vertical="center" wrapText="1"/>
    </xf>
    <xf numFmtId="0" fontId="3" fillId="0" borderId="0" xfId="0" applyFont="1" applyAlignment="1">
      <alignment horizontal="center" vertical="center" wrapText="1"/>
    </xf>
    <xf numFmtId="177" fontId="3"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179" fontId="2" fillId="0" borderId="0" xfId="0" applyNumberFormat="1" applyFont="1" applyAlignment="1">
      <alignment horizontal="center" vertical="center"/>
    </xf>
    <xf numFmtId="178" fontId="2" fillId="0" borderId="0" xfId="0" applyNumberFormat="1" applyFont="1" applyAlignment="1">
      <alignment horizontal="center" vertical="center"/>
    </xf>
    <xf numFmtId="14" fontId="4" fillId="0" borderId="0" xfId="0" applyNumberFormat="1" applyFont="1" applyAlignment="1">
      <alignment horizontal="center" vertical="center"/>
    </xf>
    <xf numFmtId="177" fontId="4" fillId="0" borderId="0" xfId="0" applyNumberFormat="1" applyFont="1" applyAlignment="1">
      <alignment horizontal="center" vertical="center"/>
    </xf>
    <xf numFmtId="0" fontId="5" fillId="0" borderId="0" xfId="0" applyFont="1" applyAlignment="1">
      <alignment horizontal="center" vertical="center"/>
    </xf>
    <xf numFmtId="0" fontId="2" fillId="0" borderId="0" xfId="0" applyFont="1" applyAlignment="1">
      <alignment horizontal="center" vertical="center"/>
    </xf>
    <xf numFmtId="14" fontId="4" fillId="0" borderId="1" xfId="0" applyNumberFormat="1" applyFont="1" applyBorder="1" applyAlignment="1">
      <alignment horizontal="center" vertical="center"/>
    </xf>
    <xf numFmtId="0" fontId="5" fillId="0" borderId="0" xfId="0" applyFont="1" applyAlignment="1">
      <alignment horizontal="center" vertical="center" wrapText="1"/>
    </xf>
    <xf numFmtId="14" fontId="5" fillId="0" borderId="0" xfId="0" applyNumberFormat="1" applyFont="1" applyAlignment="1">
      <alignment horizontal="center" vertical="center"/>
    </xf>
    <xf numFmtId="0" fontId="6" fillId="0" borderId="0" xfId="0" applyFont="1" applyAlignment="1">
      <alignment horizontal="center" vertical="center" wrapText="1"/>
    </xf>
    <xf numFmtId="180" fontId="5" fillId="0" borderId="0" xfId="0" applyNumberFormat="1" applyFont="1" applyAlignment="1">
      <alignment horizontal="center" vertical="center"/>
    </xf>
    <xf numFmtId="179" fontId="6" fillId="0" borderId="0" xfId="0" applyNumberFormat="1" applyFont="1" applyAlignment="1">
      <alignment horizontal="center" vertical="center" wrapText="1"/>
    </xf>
    <xf numFmtId="14" fontId="6" fillId="0" borderId="0" xfId="0" applyNumberFormat="1" applyFont="1" applyAlignment="1">
      <alignment horizontal="center" vertical="center"/>
    </xf>
    <xf numFmtId="0" fontId="0" fillId="0" borderId="0" xfId="0" applyFont="1" applyAlignment="1">
      <alignment wrapText="1"/>
    </xf>
    <xf numFmtId="181" fontId="0" fillId="0" borderId="0" xfId="0" applyNumberFormat="1"/>
    <xf numFmtId="180" fontId="3" fillId="0" borderId="0" xfId="0" applyNumberFormat="1" applyFont="1" applyAlignment="1">
      <alignment horizontal="center" vertical="center"/>
    </xf>
    <xf numFmtId="0" fontId="2" fillId="0" borderId="2" xfId="0" applyFont="1" applyBorder="1" applyAlignment="1">
      <alignment horizontal="center" vertical="center"/>
    </xf>
    <xf numFmtId="180" fontId="3" fillId="0" borderId="0" xfId="0" applyNumberFormat="1" applyFont="1" applyAlignment="1">
      <alignment horizontal="center" vertical="center" wrapText="1"/>
    </xf>
    <xf numFmtId="0" fontId="6" fillId="0" borderId="0" xfId="0" applyFont="1" applyAlignment="1">
      <alignment horizontal="center" vertical="center"/>
    </xf>
    <xf numFmtId="14" fontId="5" fillId="0" borderId="0" xfId="0" applyNumberFormat="1" applyFont="1" applyAlignment="1">
      <alignment horizontal="center" vertical="center" wrapText="1"/>
    </xf>
    <xf numFmtId="14" fontId="5" fillId="0" borderId="2" xfId="0" applyNumberFormat="1" applyFont="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5" fillId="0" borderId="3" xfId="0" applyFont="1" applyBorder="1" applyAlignment="1">
      <alignment horizontal="center" vertical="center" wrapText="1"/>
    </xf>
    <xf numFmtId="14" fontId="3" fillId="0" borderId="0" xfId="0" applyNumberFormat="1" applyFont="1" applyAlignment="1">
      <alignment horizontal="center" vertical="center"/>
    </xf>
    <xf numFmtId="179" fontId="6" fillId="0" borderId="0" xfId="0" applyNumberFormat="1" applyFont="1" applyAlignment="1">
      <alignment horizontal="center" vertical="center"/>
    </xf>
    <xf numFmtId="14" fontId="6" fillId="0" borderId="0" xfId="0" applyNumberFormat="1" applyFont="1" applyAlignment="1">
      <alignment horizontal="center" vertical="center" wrapText="1"/>
    </xf>
    <xf numFmtId="0" fontId="5" fillId="0" borderId="3" xfId="0" applyFont="1" applyBorder="1" applyAlignment="1">
      <alignment horizontal="center" vertical="center"/>
    </xf>
    <xf numFmtId="180" fontId="3" fillId="0" borderId="2" xfId="0" applyNumberFormat="1" applyFont="1" applyBorder="1" applyAlignment="1">
      <alignment horizontal="center" vertical="center" wrapText="1"/>
    </xf>
    <xf numFmtId="179" fontId="5" fillId="0" borderId="0" xfId="0" applyNumberFormat="1" applyFont="1" applyAlignment="1">
      <alignment horizontal="center" vertical="center" wrapText="1"/>
    </xf>
    <xf numFmtId="14" fontId="5" fillId="0" borderId="2" xfId="0" applyNumberFormat="1" applyFont="1" applyBorder="1" applyAlignment="1">
      <alignment horizontal="center" vertical="center" wrapText="1"/>
    </xf>
    <xf numFmtId="14" fontId="7" fillId="0" borderId="0" xfId="0" applyNumberFormat="1" applyFont="1" applyAlignment="1">
      <alignment horizontal="center" vertical="center" wrapText="1"/>
    </xf>
    <xf numFmtId="0" fontId="0" fillId="0" borderId="0" xfId="0" applyAlignment="1">
      <alignment vertical="center"/>
    </xf>
    <xf numFmtId="0" fontId="0" fillId="0" borderId="0" xfId="0" applyFill="1"/>
    <xf numFmtId="0" fontId="0" fillId="2" borderId="0" xfId="0" applyFill="1" applyAlignment="1">
      <alignment vertical="center"/>
    </xf>
    <xf numFmtId="0" fontId="0" fillId="0" borderId="0" xfId="0" applyFill="1" applyAlignment="1">
      <alignment vertical="center"/>
    </xf>
    <xf numFmtId="0" fontId="3" fillId="0" borderId="0" xfId="0" applyFont="1"/>
    <xf numFmtId="0" fontId="3" fillId="2" borderId="0" xfId="0" applyFont="1" applyFill="1" applyAlignment="1">
      <alignment vertical="center"/>
    </xf>
    <xf numFmtId="0" fontId="3" fillId="0" borderId="0" xfId="0" applyFont="1" applyFill="1"/>
    <xf numFmtId="0" fontId="3" fillId="0" borderId="0" xfId="0" applyFont="1" applyAlignment="1">
      <alignment vertical="center"/>
    </xf>
    <xf numFmtId="178" fontId="0" fillId="3" borderId="0" xfId="0" applyNumberFormat="1" applyFill="1" applyAlignment="1">
      <alignment vertical="center"/>
    </xf>
    <xf numFmtId="176" fontId="0" fillId="0" borderId="0" xfId="0" applyNumberFormat="1" applyFill="1" applyAlignment="1">
      <alignment vertical="center"/>
    </xf>
    <xf numFmtId="0" fontId="5" fillId="0" borderId="0" xfId="0" applyFont="1" applyAlignment="1">
      <alignment vertical="center" wrapText="1"/>
    </xf>
    <xf numFmtId="0" fontId="0" fillId="0" borderId="0" xfId="0" applyFill="1" applyAlignment="1">
      <alignment horizontal="center" vertical="center"/>
    </xf>
    <xf numFmtId="0" fontId="8" fillId="0" borderId="0" xfId="0" applyFont="1" applyFill="1" applyAlignment="1">
      <alignment horizontal="center" vertical="center"/>
    </xf>
    <xf numFmtId="0" fontId="0" fillId="4" borderId="0" xfId="0" applyFill="1" applyAlignment="1">
      <alignment horizontal="center" vertical="center"/>
    </xf>
    <xf numFmtId="0" fontId="3" fillId="0" borderId="0" xfId="0" applyFont="1" applyAlignment="1">
      <alignment vertical="center" wrapText="1"/>
    </xf>
    <xf numFmtId="49" fontId="3" fillId="0" borderId="0" xfId="0" applyNumberFormat="1" applyFont="1" applyAlignment="1">
      <alignment horizontal="left" vertical="center" wrapText="1"/>
    </xf>
    <xf numFmtId="179" fontId="3" fillId="0" borderId="0" xfId="0" applyNumberFormat="1" applyFont="1" applyAlignment="1">
      <alignment horizontal="center" vertical="center" wrapText="1"/>
    </xf>
    <xf numFmtId="49" fontId="3" fillId="0" borderId="0" xfId="0" applyNumberFormat="1" applyFont="1" applyAlignment="1">
      <alignment horizontal="center" vertical="center"/>
    </xf>
    <xf numFmtId="0" fontId="3" fillId="0" borderId="0" xfId="0" applyFont="1" applyAlignment="1">
      <alignment horizontal="center" vertical="center"/>
    </xf>
    <xf numFmtId="0" fontId="5" fillId="0" borderId="0" xfId="0" applyFont="1" applyBorder="1" applyAlignment="1">
      <alignment vertical="center" wrapText="1"/>
    </xf>
    <xf numFmtId="0" fontId="4" fillId="0" borderId="0" xfId="0" applyFont="1" applyAlignment="1">
      <alignment vertical="center" wrapText="1"/>
    </xf>
    <xf numFmtId="0" fontId="4" fillId="0" borderId="0" xfId="0" applyFont="1" applyBorder="1" applyAlignment="1">
      <alignment vertical="center" wrapText="1"/>
    </xf>
    <xf numFmtId="49" fontId="3" fillId="0" borderId="0" xfId="0" applyNumberFormat="1" applyFont="1" applyAlignment="1">
      <alignment horizontal="center" vertical="center" wrapText="1"/>
    </xf>
    <xf numFmtId="0" fontId="5" fillId="0" borderId="0" xfId="0" applyFont="1" applyAlignment="1">
      <alignment horizontal="left" vertical="center" wrapText="1"/>
    </xf>
    <xf numFmtId="0" fontId="6" fillId="0" borderId="0" xfId="0" applyFont="1" applyAlignment="1">
      <alignment vertical="center" wrapText="1"/>
    </xf>
    <xf numFmtId="49" fontId="3" fillId="0" borderId="0" xfId="0" applyNumberFormat="1" applyFont="1" applyBorder="1" applyAlignment="1">
      <alignment horizontal="left" vertical="center" wrapText="1"/>
    </xf>
    <xf numFmtId="0" fontId="6" fillId="0" borderId="0" xfId="0" applyFont="1" applyBorder="1" applyAlignment="1">
      <alignment vertical="center" wrapText="1"/>
    </xf>
    <xf numFmtId="178" fontId="3" fillId="3" borderId="0" xfId="0" applyNumberFormat="1" applyFont="1" applyFill="1" applyAlignment="1">
      <alignment horizontal="center" vertical="center" wrapText="1"/>
    </xf>
    <xf numFmtId="176" fontId="3" fillId="0" borderId="0" xfId="0" applyNumberFormat="1" applyFont="1" applyFill="1" applyAlignment="1">
      <alignment horizontal="left" vertical="center" wrapText="1"/>
    </xf>
    <xf numFmtId="49" fontId="3" fillId="0" borderId="0" xfId="0" applyNumberFormat="1" applyFont="1" applyFill="1" applyAlignment="1">
      <alignment horizontal="center" vertical="center" wrapText="1"/>
    </xf>
    <xf numFmtId="176" fontId="3" fillId="0" borderId="0" xfId="0" applyNumberFormat="1" applyFont="1" applyFill="1" applyAlignment="1">
      <alignment vertical="center"/>
    </xf>
    <xf numFmtId="176" fontId="3" fillId="0" borderId="0" xfId="0" applyNumberFormat="1" applyFont="1" applyAlignment="1">
      <alignment vertical="center"/>
    </xf>
    <xf numFmtId="14" fontId="4" fillId="0" borderId="0" xfId="0" applyNumberFormat="1" applyFont="1" applyAlignment="1">
      <alignment vertical="center"/>
    </xf>
    <xf numFmtId="0" fontId="5" fillId="0" borderId="0" xfId="0" applyFont="1" applyFill="1" applyAlignment="1">
      <alignment horizontal="center" vertical="center" wrapText="1"/>
    </xf>
    <xf numFmtId="14" fontId="4" fillId="0" borderId="0" xfId="0" applyNumberFormat="1" applyFont="1" applyAlignment="1">
      <alignment horizontal="right" vertical="center"/>
    </xf>
    <xf numFmtId="14" fontId="4" fillId="0" borderId="1" xfId="0" applyNumberFormat="1" applyFont="1" applyBorder="1" applyAlignment="1">
      <alignment vertical="center"/>
    </xf>
    <xf numFmtId="14" fontId="5" fillId="0" borderId="0" xfId="0" applyNumberFormat="1" applyFont="1" applyAlignment="1">
      <alignment vertical="center"/>
    </xf>
    <xf numFmtId="176" fontId="3" fillId="0" borderId="0" xfId="0" applyNumberFormat="1" applyFont="1" applyAlignment="1">
      <alignment horizontal="left" vertical="center" wrapText="1"/>
    </xf>
    <xf numFmtId="180" fontId="5" fillId="0" borderId="0" xfId="0" applyNumberFormat="1" applyFont="1" applyAlignment="1">
      <alignment vertical="center"/>
    </xf>
    <xf numFmtId="14" fontId="6" fillId="0" borderId="0" xfId="0" applyNumberFormat="1" applyFont="1" applyAlignment="1">
      <alignment vertical="center"/>
    </xf>
    <xf numFmtId="49" fontId="9" fillId="0" borderId="0" xfId="0" applyNumberFormat="1" applyFont="1" applyFill="1" applyAlignment="1">
      <alignment horizontal="center" vertical="center" wrapText="1"/>
    </xf>
    <xf numFmtId="49" fontId="3" fillId="4" borderId="0" xfId="0" applyNumberFormat="1" applyFont="1" applyFill="1" applyAlignment="1">
      <alignment horizontal="center" vertical="center" wrapText="1"/>
    </xf>
    <xf numFmtId="0" fontId="10" fillId="0" borderId="0" xfId="0" applyFont="1" applyFill="1" applyAlignment="1">
      <alignment horizontal="center" vertical="center"/>
    </xf>
    <xf numFmtId="0" fontId="5" fillId="4" borderId="0" xfId="0" applyFont="1" applyFill="1" applyAlignment="1">
      <alignment horizontal="center" vertical="center"/>
    </xf>
    <xf numFmtId="0" fontId="4" fillId="0" borderId="0" xfId="0" applyFont="1" applyAlignment="1">
      <alignment horizontal="left" vertical="center" wrapText="1"/>
    </xf>
    <xf numFmtId="0" fontId="3" fillId="0" borderId="0" xfId="0" applyFont="1" applyBorder="1" applyAlignment="1">
      <alignment horizontal="center" vertical="center"/>
    </xf>
    <xf numFmtId="0" fontId="10" fillId="0" borderId="0" xfId="0" applyFont="1" applyFill="1" applyAlignment="1">
      <alignment horizontal="center" vertical="center" wrapText="1"/>
    </xf>
    <xf numFmtId="0" fontId="5" fillId="4" borderId="0" xfId="0" applyFont="1" applyFill="1" applyAlignment="1">
      <alignment horizontal="center" vertical="center" wrapText="1"/>
    </xf>
    <xf numFmtId="0" fontId="9" fillId="0" borderId="0" xfId="0" applyFont="1" applyFill="1" applyAlignment="1">
      <alignment horizontal="center" vertical="center" wrapText="1"/>
    </xf>
    <xf numFmtId="0" fontId="3" fillId="4" borderId="0" xfId="0" applyFont="1" applyFill="1" applyAlignment="1">
      <alignment horizontal="center" vertical="center" wrapText="1"/>
    </xf>
    <xf numFmtId="0" fontId="4" fillId="0" borderId="0" xfId="0" applyFont="1" applyBorder="1" applyAlignment="1">
      <alignment vertical="center"/>
    </xf>
    <xf numFmtId="0" fontId="3" fillId="0" borderId="0" xfId="0" applyFont="1" applyBorder="1" applyAlignment="1">
      <alignment vertical="center" wrapText="1"/>
    </xf>
    <xf numFmtId="0" fontId="4" fillId="0" borderId="0" xfId="0" applyFont="1" applyBorder="1" applyAlignment="1">
      <alignment horizontal="left" vertical="center" wrapText="1"/>
    </xf>
    <xf numFmtId="0" fontId="4" fillId="0" borderId="2" xfId="0" applyFont="1" applyBorder="1" applyAlignment="1">
      <alignment horizontal="left" vertical="center" wrapText="1"/>
    </xf>
    <xf numFmtId="0" fontId="6" fillId="4" borderId="0" xfId="0" applyFont="1" applyFill="1" applyAlignment="1">
      <alignment horizontal="center" vertical="center" wrapText="1"/>
    </xf>
    <xf numFmtId="0" fontId="4" fillId="0" borderId="0" xfId="0" applyFont="1" applyAlignment="1">
      <alignment vertical="center"/>
    </xf>
    <xf numFmtId="0" fontId="3" fillId="0" borderId="0" xfId="0" applyFont="1" applyBorder="1" applyAlignment="1">
      <alignment horizontal="center" vertical="center" wrapText="1"/>
    </xf>
    <xf numFmtId="0" fontId="3" fillId="0" borderId="0" xfId="0" applyFont="1" applyAlignment="1">
      <alignment horizontal="left" vertical="center" wrapText="1"/>
    </xf>
    <xf numFmtId="0" fontId="4" fillId="0" borderId="0" xfId="0" applyFont="1" applyAlignment="1">
      <alignment horizontal="left" vertical="center"/>
    </xf>
    <xf numFmtId="179" fontId="9" fillId="0" borderId="0" xfId="0" applyNumberFormat="1" applyFont="1" applyFill="1" applyAlignment="1">
      <alignment horizontal="center" vertical="center" wrapText="1"/>
    </xf>
    <xf numFmtId="179" fontId="6" fillId="4" borderId="0" xfId="0" applyNumberFormat="1" applyFont="1" applyFill="1" applyAlignment="1">
      <alignment horizontal="center" vertical="center" wrapText="1"/>
    </xf>
    <xf numFmtId="0" fontId="5" fillId="0" borderId="0" xfId="0" applyFont="1" applyBorder="1" applyAlignment="1">
      <alignment horizontal="left" vertical="center" wrapText="1"/>
    </xf>
    <xf numFmtId="0" fontId="0" fillId="0" borderId="0" xfId="0" applyAlignment="1">
      <alignment vertical="center" wrapText="1"/>
    </xf>
    <xf numFmtId="177" fontId="0" fillId="0" borderId="0" xfId="0" applyNumberFormat="1" applyAlignment="1">
      <alignment vertical="center" wrapText="1"/>
    </xf>
    <xf numFmtId="176" fontId="0" fillId="0" borderId="0" xfId="0" applyNumberFormat="1" applyFont="1" applyAlignment="1">
      <alignment vertical="center" wrapText="1"/>
    </xf>
    <xf numFmtId="178" fontId="0" fillId="0" borderId="0" xfId="0" applyNumberFormat="1" applyFont="1" applyAlignment="1">
      <alignment vertical="center" wrapText="1"/>
    </xf>
    <xf numFmtId="0" fontId="0" fillId="0" borderId="0" xfId="0" applyFont="1" applyAlignment="1">
      <alignment vertical="center" wrapText="1"/>
    </xf>
    <xf numFmtId="176" fontId="0" fillId="0" borderId="0" xfId="0" applyNumberFormat="1" applyAlignment="1">
      <alignment vertical="center"/>
    </xf>
    <xf numFmtId="178" fontId="0" fillId="0" borderId="0" xfId="0" applyNumberFormat="1" applyAlignment="1">
      <alignment vertical="center"/>
    </xf>
    <xf numFmtId="176" fontId="0" fillId="0" borderId="0" xfId="0" applyNumberFormat="1"/>
    <xf numFmtId="178" fontId="0" fillId="0" borderId="0" xfId="0" applyNumberFormat="1"/>
    <xf numFmtId="0" fontId="3" fillId="0" borderId="0" xfId="0" applyFont="1" applyAlignment="1">
      <alignment wrapText="1"/>
    </xf>
    <xf numFmtId="0" fontId="5" fillId="0" borderId="0" xfId="0" applyFont="1" applyAlignment="1">
      <alignment wrapText="1"/>
    </xf>
    <xf numFmtId="179" fontId="5" fillId="0" borderId="0" xfId="0" applyNumberFormat="1" applyFont="1" applyAlignment="1">
      <alignment horizontal="center" wrapText="1"/>
    </xf>
    <xf numFmtId="0" fontId="6" fillId="0" borderId="0" xfId="0" applyFont="1" applyAlignment="1">
      <alignment vertical="center"/>
    </xf>
    <xf numFmtId="0" fontId="5" fillId="0" borderId="4" xfId="0" applyFont="1" applyBorder="1" applyAlignment="1">
      <alignment wrapText="1"/>
    </xf>
    <xf numFmtId="0" fontId="3" fillId="0" borderId="0" xfId="0" applyFont="1" applyFill="1" applyAlignment="1">
      <alignment vertical="center"/>
    </xf>
    <xf numFmtId="49"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wrapText="1"/>
    </xf>
    <xf numFmtId="0" fontId="3" fillId="0" borderId="0" xfId="0" applyFont="1" applyFill="1" applyAlignment="1">
      <alignment horizontal="center" vertical="center"/>
    </xf>
    <xf numFmtId="0" fontId="5" fillId="0" borderId="0" xfId="0" applyFont="1" applyFill="1" applyAlignment="1">
      <alignment vertical="center" wrapText="1"/>
    </xf>
    <xf numFmtId="179" fontId="3" fillId="0" borderId="0" xfId="0" applyNumberFormat="1" applyFont="1" applyFill="1" applyAlignment="1">
      <alignment horizontal="center" vertical="center" wrapText="1"/>
    </xf>
    <xf numFmtId="0" fontId="5" fillId="0" borderId="0" xfId="0" applyFont="1" applyBorder="1" applyAlignment="1">
      <alignment wrapText="1"/>
    </xf>
    <xf numFmtId="0" fontId="3" fillId="2" borderId="0" xfId="0" applyFont="1" applyFill="1" applyAlignment="1">
      <alignment horizontal="center" vertical="center"/>
    </xf>
    <xf numFmtId="177" fontId="3" fillId="2" borderId="0" xfId="0" applyNumberFormat="1" applyFont="1" applyFill="1" applyAlignment="1">
      <alignment horizontal="center" vertical="center" wrapText="1"/>
    </xf>
    <xf numFmtId="0" fontId="4" fillId="2" borderId="0" xfId="0" applyFont="1" applyFill="1" applyBorder="1" applyAlignment="1">
      <alignment vertical="center" wrapText="1"/>
    </xf>
    <xf numFmtId="179" fontId="3" fillId="2" borderId="0" xfId="0" applyNumberFormat="1" applyFont="1" applyFill="1" applyAlignment="1">
      <alignment horizontal="center" vertical="center" wrapText="1"/>
    </xf>
    <xf numFmtId="0" fontId="5" fillId="0" borderId="0" xfId="0" applyFont="1" applyBorder="1"/>
    <xf numFmtId="0" fontId="5" fillId="0" borderId="0" xfId="0" applyFont="1" applyAlignment="1">
      <alignment horizontal="left" wrapText="1"/>
    </xf>
    <xf numFmtId="14" fontId="5" fillId="0" borderId="0" xfId="0" applyNumberFormat="1" applyFont="1"/>
    <xf numFmtId="180" fontId="3" fillId="0" borderId="0" xfId="0" applyNumberFormat="1" applyFont="1"/>
    <xf numFmtId="14" fontId="6" fillId="0" borderId="0" xfId="0" applyNumberFormat="1" applyFont="1" applyBorder="1"/>
    <xf numFmtId="14" fontId="6" fillId="0" borderId="0" xfId="0" applyNumberFormat="1" applyFont="1"/>
    <xf numFmtId="178" fontId="3" fillId="0" borderId="0" xfId="0" applyNumberFormat="1" applyFont="1" applyFill="1" applyAlignment="1">
      <alignment horizontal="center" vertical="center" wrapText="1"/>
    </xf>
    <xf numFmtId="14" fontId="5" fillId="0" borderId="0" xfId="0" applyNumberFormat="1" applyFont="1" applyFill="1" applyAlignment="1">
      <alignment vertical="center"/>
    </xf>
    <xf numFmtId="180" fontId="5" fillId="0" borderId="0" xfId="0" applyNumberFormat="1" applyFont="1"/>
    <xf numFmtId="180" fontId="3" fillId="0" borderId="0" xfId="0" applyNumberFormat="1" applyFont="1" applyAlignment="1">
      <alignment wrapText="1"/>
    </xf>
    <xf numFmtId="178" fontId="3" fillId="2" borderId="0" xfId="0" applyNumberFormat="1" applyFont="1" applyFill="1" applyAlignment="1">
      <alignment horizontal="center" vertical="center" wrapText="1"/>
    </xf>
    <xf numFmtId="176" fontId="3" fillId="2" borderId="0" xfId="0" applyNumberFormat="1" applyFont="1" applyFill="1" applyAlignment="1">
      <alignment vertical="center"/>
    </xf>
    <xf numFmtId="0" fontId="3" fillId="2" borderId="0" xfId="0" applyFont="1" applyFill="1" applyAlignment="1">
      <alignment horizontal="center" vertical="center" wrapText="1"/>
    </xf>
    <xf numFmtId="14" fontId="5" fillId="2" borderId="0" xfId="0" applyNumberFormat="1" applyFont="1" applyFill="1" applyAlignment="1">
      <alignment vertical="center"/>
    </xf>
    <xf numFmtId="176" fontId="5" fillId="0" borderId="0" xfId="0" applyNumberFormat="1" applyFont="1" applyAlignment="1">
      <alignment wrapText="1"/>
    </xf>
    <xf numFmtId="14" fontId="5" fillId="0" borderId="0" xfId="0" applyNumberFormat="1" applyFont="1" applyBorder="1" applyAlignment="1">
      <alignment wrapText="1"/>
    </xf>
    <xf numFmtId="14" fontId="5" fillId="0" borderId="0" xfId="0" applyNumberFormat="1" applyFont="1" applyAlignment="1">
      <alignment wrapText="1"/>
    </xf>
    <xf numFmtId="0" fontId="5" fillId="0" borderId="0" xfId="0" applyFont="1"/>
    <xf numFmtId="179" fontId="3" fillId="4" borderId="0" xfId="0" applyNumberFormat="1" applyFont="1" applyFill="1" applyAlignment="1">
      <alignment horizontal="center" vertical="center" wrapText="1"/>
    </xf>
    <xf numFmtId="0" fontId="3" fillId="0" borderId="0" xfId="0" applyFont="1" applyBorder="1"/>
    <xf numFmtId="0" fontId="6" fillId="0" borderId="0" xfId="0" applyFont="1" applyAlignment="1">
      <alignment wrapText="1"/>
    </xf>
    <xf numFmtId="0" fontId="3" fillId="0" borderId="2" xfId="0" applyFont="1" applyBorder="1"/>
    <xf numFmtId="0" fontId="5" fillId="0" borderId="0" xfId="0" applyFont="1" applyFill="1" applyAlignment="1">
      <alignment horizontal="left" vertical="center" wrapText="1"/>
    </xf>
    <xf numFmtId="0" fontId="9" fillId="2" borderId="0" xfId="0" applyFont="1" applyFill="1" applyAlignment="1">
      <alignment horizontal="center" vertical="center" wrapText="1"/>
    </xf>
    <xf numFmtId="0" fontId="3" fillId="2" borderId="0" xfId="0" applyFont="1" applyFill="1" applyBorder="1" applyAlignment="1">
      <alignment vertical="center" wrapText="1"/>
    </xf>
    <xf numFmtId="0" fontId="4" fillId="2" borderId="0" xfId="0" applyFont="1" applyFill="1" applyAlignment="1">
      <alignment horizontal="left" vertical="center" wrapText="1"/>
    </xf>
    <xf numFmtId="0" fontId="3" fillId="2" borderId="0" xfId="0" applyFont="1" applyFill="1" applyBorder="1" applyAlignment="1">
      <alignment horizontal="center" vertical="center"/>
    </xf>
    <xf numFmtId="176" fontId="0" fillId="0" borderId="0" xfId="0" applyNumberFormat="1" applyFill="1"/>
    <xf numFmtId="178" fontId="0" fillId="0" borderId="0" xfId="0" applyNumberFormat="1" applyFill="1"/>
    <xf numFmtId="0" fontId="3" fillId="0" borderId="0" xfId="0" applyFont="1" applyFill="1" applyAlignment="1">
      <alignment wrapText="1"/>
    </xf>
    <xf numFmtId="176" fontId="0" fillId="2" borderId="0" xfId="0" applyNumberFormat="1" applyFill="1" applyAlignment="1">
      <alignment vertical="center"/>
    </xf>
    <xf numFmtId="178" fontId="0" fillId="2" borderId="0" xfId="0" applyNumberFormat="1" applyFill="1" applyAlignment="1">
      <alignment vertical="center"/>
    </xf>
    <xf numFmtId="0" fontId="3" fillId="2" borderId="0" xfId="0" applyFont="1" applyFill="1" applyAlignment="1">
      <alignment vertical="center" wrapText="1"/>
    </xf>
    <xf numFmtId="0" fontId="4" fillId="2" borderId="0" xfId="0" applyFont="1" applyFill="1" applyAlignment="1">
      <alignment vertical="center" wrapText="1"/>
    </xf>
    <xf numFmtId="0" fontId="5" fillId="0" borderId="0" xfId="0" applyFont="1" applyFill="1" applyAlignment="1">
      <alignment wrapText="1"/>
    </xf>
    <xf numFmtId="179" fontId="5" fillId="0" borderId="0" xfId="0" applyNumberFormat="1" applyFont="1" applyFill="1" applyAlignment="1">
      <alignment horizontal="center" wrapText="1"/>
    </xf>
    <xf numFmtId="0" fontId="5" fillId="0" borderId="3" xfId="0" applyFont="1" applyBorder="1" applyAlignment="1">
      <alignment wrapText="1"/>
    </xf>
    <xf numFmtId="0" fontId="3" fillId="0" borderId="3" xfId="0" applyFont="1" applyBorder="1" applyAlignment="1">
      <alignment wrapText="1"/>
    </xf>
    <xf numFmtId="0" fontId="6" fillId="0" borderId="3" xfId="0" applyFont="1" applyBorder="1" applyAlignment="1">
      <alignment vertical="center"/>
    </xf>
    <xf numFmtId="0" fontId="6" fillId="0" borderId="0" xfId="0" applyFont="1" applyBorder="1" applyAlignment="1">
      <alignment vertical="center"/>
    </xf>
    <xf numFmtId="14" fontId="5" fillId="0" borderId="0" xfId="0" applyNumberFormat="1" applyFont="1" applyFill="1"/>
    <xf numFmtId="14" fontId="5" fillId="0" borderId="2" xfId="0" applyNumberFormat="1" applyFont="1" applyBorder="1"/>
    <xf numFmtId="14" fontId="5" fillId="0" borderId="0" xfId="0" applyNumberFormat="1" applyFont="1" applyBorder="1"/>
    <xf numFmtId="0" fontId="3" fillId="0" borderId="3" xfId="0" applyFont="1" applyBorder="1"/>
    <xf numFmtId="0" fontId="5" fillId="0" borderId="3" xfId="0" applyFont="1" applyBorder="1"/>
    <xf numFmtId="178" fontId="0" fillId="0" borderId="0" xfId="0" applyNumberFormat="1" applyFill="1" applyAlignment="1">
      <alignment vertical="center"/>
    </xf>
    <xf numFmtId="0" fontId="5" fillId="0" borderId="3" xfId="0" applyFont="1" applyBorder="1" applyAlignment="1">
      <alignment horizontal="left" wrapText="1"/>
    </xf>
    <xf numFmtId="14" fontId="3" fillId="0" borderId="0" xfId="0" applyNumberFormat="1" applyFont="1"/>
    <xf numFmtId="0" fontId="3" fillId="0" borderId="0" xfId="0" applyFont="1" applyAlignment="1">
      <alignment horizontal="left" vertical="top" wrapText="1"/>
    </xf>
    <xf numFmtId="0" fontId="9" fillId="0" borderId="0" xfId="0" applyFont="1" applyFill="1" applyAlignment="1">
      <alignment horizontal="center" vertical="center"/>
    </xf>
    <xf numFmtId="0" fontId="6" fillId="4" borderId="0" xfId="0" applyFont="1" applyFill="1" applyAlignment="1">
      <alignment horizontal="center" vertical="center"/>
    </xf>
    <xf numFmtId="0" fontId="6" fillId="0" borderId="3" xfId="0" applyFont="1" applyBorder="1" applyAlignment="1">
      <alignment vertical="center" wrapText="1"/>
    </xf>
    <xf numFmtId="14" fontId="6" fillId="0" borderId="0" xfId="0" applyNumberFormat="1" applyFont="1" applyAlignment="1">
      <alignment wrapText="1"/>
    </xf>
    <xf numFmtId="179" fontId="9" fillId="0" borderId="0" xfId="0" applyNumberFormat="1" applyFont="1" applyFill="1" applyAlignment="1">
      <alignment horizontal="center" vertical="center"/>
    </xf>
    <xf numFmtId="179" fontId="6" fillId="4" borderId="0" xfId="0" applyNumberFormat="1" applyFont="1" applyFill="1" applyAlignment="1">
      <alignment horizontal="center" vertical="center"/>
    </xf>
    <xf numFmtId="0" fontId="6" fillId="0" borderId="0" xfId="0" applyFont="1" applyBorder="1" applyAlignment="1">
      <alignment wrapText="1"/>
    </xf>
    <xf numFmtId="0" fontId="5" fillId="0" borderId="0" xfId="0" applyFont="1" applyAlignment="1">
      <alignment horizontal="center" wrapText="1"/>
    </xf>
    <xf numFmtId="0" fontId="3" fillId="0" borderId="0" xfId="0" applyFont="1" applyBorder="1" applyAlignment="1">
      <alignment wrapText="1"/>
    </xf>
    <xf numFmtId="0" fontId="10" fillId="0" borderId="0" xfId="0" applyFont="1" applyFill="1" applyBorder="1" applyAlignment="1">
      <alignment horizontal="center" vertical="center" wrapText="1"/>
    </xf>
    <xf numFmtId="0" fontId="5" fillId="4" borderId="0" xfId="0" applyFont="1" applyFill="1" applyBorder="1" applyAlignment="1">
      <alignment horizontal="center" vertical="center" wrapText="1"/>
    </xf>
    <xf numFmtId="0" fontId="5" fillId="0" borderId="0" xfId="0" applyFont="1" applyFill="1" applyBorder="1" applyAlignment="1">
      <alignment vertical="center" wrapText="1"/>
    </xf>
    <xf numFmtId="0" fontId="3" fillId="4" borderId="0" xfId="0" applyFont="1" applyFill="1" applyAlignment="1">
      <alignment horizontal="center" vertical="center"/>
    </xf>
    <xf numFmtId="0" fontId="5" fillId="0" borderId="3" xfId="0" applyFont="1" applyFill="1" applyBorder="1" applyAlignment="1">
      <alignment vertical="center" wrapText="1"/>
    </xf>
    <xf numFmtId="0" fontId="5" fillId="0" borderId="3" xfId="0" applyFont="1" applyFill="1" applyBorder="1" applyAlignment="1">
      <alignment horizontal="center" vertical="center" wrapText="1"/>
    </xf>
    <xf numFmtId="0" fontId="11" fillId="0" borderId="0" xfId="0" applyFont="1" applyAlignment="1">
      <alignment wrapText="1"/>
    </xf>
    <xf numFmtId="14" fontId="5" fillId="0" borderId="0" xfId="0" applyNumberFormat="1" applyFont="1" applyBorder="1" applyAlignment="1">
      <alignment horizontal="center" vertical="center"/>
    </xf>
    <xf numFmtId="0" fontId="6" fillId="0" borderId="0" xfId="0" applyFont="1"/>
    <xf numFmtId="0" fontId="5" fillId="0" borderId="0" xfId="0" applyFont="1" applyBorder="1" applyAlignment="1">
      <alignment horizontal="left" wrapText="1"/>
    </xf>
    <xf numFmtId="0" fontId="5" fillId="0" borderId="3" xfId="0" applyFont="1" applyFill="1" applyBorder="1" applyAlignment="1">
      <alignment wrapText="1"/>
    </xf>
    <xf numFmtId="0" fontId="5" fillId="0" borderId="0" xfId="0" applyFont="1" applyFill="1" applyBorder="1" applyAlignment="1">
      <alignment wrapText="1"/>
    </xf>
    <xf numFmtId="0" fontId="3" fillId="0" borderId="3" xfId="0" applyFont="1" applyFill="1" applyBorder="1"/>
    <xf numFmtId="0" fontId="5" fillId="2" borderId="0" xfId="0" applyFont="1" applyFill="1" applyAlignment="1">
      <alignment vertical="center" wrapText="1"/>
    </xf>
    <xf numFmtId="179" fontId="5" fillId="2" borderId="0" xfId="0" applyNumberFormat="1" applyFont="1" applyFill="1" applyAlignment="1">
      <alignment horizontal="center" vertical="center" wrapText="1"/>
    </xf>
    <xf numFmtId="14" fontId="5" fillId="0" borderId="2" xfId="0" applyNumberFormat="1" applyFont="1" applyBorder="1" applyAlignment="1">
      <alignment wrapText="1"/>
    </xf>
    <xf numFmtId="176" fontId="5" fillId="2" borderId="0" xfId="0" applyNumberFormat="1" applyFont="1" applyFill="1" applyAlignment="1">
      <alignment vertical="center" wrapText="1"/>
    </xf>
    <xf numFmtId="0" fontId="10" fillId="2" borderId="0" xfId="0" applyFont="1" applyFill="1" applyAlignment="1">
      <alignment horizontal="center" vertical="center" wrapText="1"/>
    </xf>
    <xf numFmtId="0" fontId="5" fillId="2" borderId="0" xfId="0" applyFont="1" applyFill="1" applyAlignment="1">
      <alignment horizontal="center" vertical="center" wrapText="1"/>
    </xf>
    <xf numFmtId="0" fontId="5" fillId="2" borderId="0" xfId="0" applyFont="1" applyFill="1" applyBorder="1" applyAlignment="1">
      <alignment vertical="center" wrapText="1"/>
    </xf>
    <xf numFmtId="0" fontId="3" fillId="2" borderId="0" xfId="0" applyFont="1" applyFill="1" applyBorder="1" applyAlignment="1">
      <alignment vertical="center"/>
    </xf>
    <xf numFmtId="0" fontId="6" fillId="0" borderId="3" xfId="0" applyFont="1" applyBorder="1" applyAlignment="1">
      <alignment wrapText="1"/>
    </xf>
    <xf numFmtId="179" fontId="10" fillId="0" borderId="0" xfId="0" applyNumberFormat="1" applyFont="1" applyFill="1" applyAlignment="1">
      <alignment horizontal="center" vertical="center" wrapText="1"/>
    </xf>
    <xf numFmtId="179" fontId="5" fillId="4" borderId="0" xfId="0" applyNumberFormat="1" applyFont="1" applyFill="1" applyAlignment="1">
      <alignment horizontal="center" vertical="center" wrapText="1"/>
    </xf>
    <xf numFmtId="0" fontId="12" fillId="0" borderId="0" xfId="0" applyFont="1" applyAlignment="1">
      <alignment wrapText="1"/>
    </xf>
    <xf numFmtId="0" fontId="13" fillId="0" borderId="0" xfId="0" applyFont="1" applyAlignment="1">
      <alignment wrapText="1"/>
    </xf>
    <xf numFmtId="14" fontId="3" fillId="0" borderId="0" xfId="0" applyNumberFormat="1" applyFont="1" applyAlignment="1">
      <alignment wrapText="1"/>
    </xf>
    <xf numFmtId="0" fontId="5" fillId="2" borderId="0" xfId="0" applyFont="1" applyFill="1" applyAlignment="1">
      <alignment vertical="center"/>
    </xf>
    <xf numFmtId="0" fontId="7" fillId="0" borderId="0" xfId="0" applyFont="1" applyAlignment="1">
      <alignment wrapText="1"/>
    </xf>
    <xf numFmtId="14" fontId="7" fillId="0" borderId="0" xfId="0" applyNumberFormat="1" applyFont="1" applyBorder="1" applyAlignment="1">
      <alignment horizontal="center" vertical="center" wrapText="1"/>
    </xf>
    <xf numFmtId="0" fontId="9" fillId="0" borderId="0" xfId="0" applyFont="1" applyAlignment="1">
      <alignment vertical="center"/>
    </xf>
    <xf numFmtId="0" fontId="3" fillId="4" borderId="0" xfId="0" applyFont="1" applyFill="1" applyAlignment="1">
      <alignment vertical="center"/>
    </xf>
    <xf numFmtId="178" fontId="3" fillId="0" borderId="0" xfId="0" applyNumberFormat="1" applyFont="1" applyAlignment="1">
      <alignment vertical="center"/>
    </xf>
    <xf numFmtId="182" fontId="3" fillId="0" borderId="0" xfId="0" applyNumberFormat="1" applyFont="1" applyAlignment="1">
      <alignment horizontal="center" vertical="center"/>
    </xf>
    <xf numFmtId="0" fontId="3" fillId="0" borderId="5" xfId="0" applyFont="1" applyBorder="1" applyAlignment="1">
      <alignment horizontal="center" vertical="center" wrapText="1"/>
    </xf>
    <xf numFmtId="182" fontId="3" fillId="0" borderId="5" xfId="0" applyNumberFormat="1" applyFont="1" applyBorder="1" applyAlignment="1">
      <alignment horizontal="center" vertical="center" wrapText="1"/>
    </xf>
    <xf numFmtId="182" fontId="3" fillId="0" borderId="5" xfId="0" applyNumberFormat="1" applyFont="1" applyBorder="1" applyAlignment="1">
      <alignment horizontal="center" vertical="center"/>
    </xf>
    <xf numFmtId="0" fontId="3" fillId="0" borderId="5" xfId="0" applyFont="1" applyBorder="1" applyAlignment="1">
      <alignment horizontal="center" vertical="center"/>
    </xf>
    <xf numFmtId="182" fontId="3" fillId="0" borderId="0" xfId="0" applyNumberFormat="1" applyFont="1" applyFill="1" applyAlignment="1">
      <alignment horizontal="center" vertical="center"/>
    </xf>
    <xf numFmtId="0" fontId="14" fillId="0" borderId="5" xfId="0" applyFont="1" applyBorder="1" applyAlignment="1">
      <alignment horizontal="center" vertical="center"/>
    </xf>
    <xf numFmtId="10" fontId="3" fillId="0" borderId="5" xfId="0" applyNumberFormat="1" applyFont="1" applyBorder="1" applyAlignment="1">
      <alignment horizontal="center" vertical="center" wrapText="1"/>
    </xf>
    <xf numFmtId="0" fontId="3" fillId="0" borderId="5" xfId="0" applyNumberFormat="1" applyFont="1" applyBorder="1" applyAlignment="1">
      <alignment horizontal="center" vertical="center"/>
    </xf>
    <xf numFmtId="0" fontId="3" fillId="0" borderId="5" xfId="0" applyFont="1" applyBorder="1" applyAlignment="1">
      <alignment horizontal="center"/>
    </xf>
    <xf numFmtId="0" fontId="3" fillId="0" borderId="5" xfId="0" applyFont="1" applyBorder="1" applyAlignment="1">
      <alignment horizontal="center" wrapText="1"/>
    </xf>
    <xf numFmtId="49" fontId="3" fillId="0" borderId="0" xfId="0" applyNumberFormat="1" applyFont="1" applyFill="1" applyAlignment="1">
      <alignment horizontal="left" vertical="center" wrapText="1"/>
    </xf>
    <xf numFmtId="0" fontId="3" fillId="0" borderId="0" xfId="0" applyFont="1" applyFill="1" applyAlignment="1">
      <alignment horizontal="center" vertical="center" wrapText="1"/>
    </xf>
    <xf numFmtId="0" fontId="3" fillId="0" borderId="0" xfId="0" applyFont="1" applyFill="1" applyAlignment="1"/>
    <xf numFmtId="14" fontId="5" fillId="0" borderId="0" xfId="0" applyNumberFormat="1" applyFont="1" applyFill="1" applyBorder="1" applyAlignment="1"/>
    <xf numFmtId="0" fontId="5" fillId="0" borderId="0" xfId="0" applyFont="1" applyFill="1" applyAlignment="1"/>
    <xf numFmtId="179" fontId="0" fillId="0" borderId="0" xfId="0" applyNumberFormat="1" applyAlignment="1">
      <alignment horizontal="right"/>
    </xf>
    <xf numFmtId="179" fontId="3" fillId="0" borderId="0" xfId="0" applyNumberFormat="1" applyFont="1" applyFill="1" applyAlignment="1">
      <alignment horizontal="right" vertical="center" wrapText="1"/>
    </xf>
    <xf numFmtId="0" fontId="4" fillId="0" borderId="0" xfId="0" applyFont="1" applyAlignment="1">
      <alignment wrapText="1"/>
    </xf>
    <xf numFmtId="179" fontId="3" fillId="0" borderId="0" xfId="0" applyNumberFormat="1" applyFont="1" applyFill="1" applyAlignment="1">
      <alignment horizontal="right" wrapText="1"/>
    </xf>
    <xf numFmtId="14" fontId="4" fillId="0" borderId="0" xfId="0" applyNumberFormat="1" applyFont="1"/>
    <xf numFmtId="14" fontId="4" fillId="0" borderId="0" xfId="0" applyNumberFormat="1" applyFont="1" applyAlignment="1">
      <alignment horizontal="right"/>
    </xf>
    <xf numFmtId="0" fontId="4" fillId="0" borderId="0" xfId="0" applyFont="1"/>
    <xf numFmtId="0" fontId="6" fillId="0" borderId="0" xfId="0" applyFont="1" applyFill="1" applyAlignment="1">
      <alignment vertical="center" wrapText="1"/>
    </xf>
    <xf numFmtId="14" fontId="6" fillId="0" borderId="0" xfId="0" applyNumberFormat="1" applyFont="1" applyFill="1" applyAlignment="1"/>
    <xf numFmtId="14" fontId="6" fillId="0" borderId="0" xfId="0" applyNumberFormat="1" applyFont="1" applyFill="1" applyAlignment="1">
      <alignment wrapText="1"/>
    </xf>
    <xf numFmtId="0" fontId="3" fillId="0" borderId="0" xfId="0" applyNumberFormat="1" applyFont="1" applyFill="1" applyAlignment="1">
      <alignment horizontal="right" vertical="center" wrapText="1"/>
    </xf>
    <xf numFmtId="179" fontId="6" fillId="0" borderId="0" xfId="0" applyNumberFormat="1" applyFont="1" applyFill="1" applyAlignment="1">
      <alignment horizontal="right" vertical="center" wrapText="1"/>
    </xf>
    <xf numFmtId="0" fontId="6" fillId="0" borderId="0" xfId="0" applyFont="1" applyFill="1" applyAlignment="1">
      <alignment wrapText="1"/>
    </xf>
    <xf numFmtId="0" fontId="6" fillId="0" borderId="0" xfId="0" applyFont="1" applyFill="1" applyAlignment="1">
      <alignment vertical="center"/>
    </xf>
    <xf numFmtId="179" fontId="6" fillId="0" borderId="0" xfId="0" applyNumberFormat="1" applyFont="1" applyFill="1" applyAlignment="1">
      <alignment horizontal="right" vertical="center"/>
    </xf>
    <xf numFmtId="179" fontId="6" fillId="0" borderId="0" xfId="0" applyNumberFormat="1" applyFont="1" applyFill="1" applyAlignment="1">
      <alignment horizontal="right" wrapText="1"/>
    </xf>
    <xf numFmtId="0" fontId="6" fillId="0" borderId="0" xfId="0" applyFont="1" applyFill="1" applyAlignment="1"/>
    <xf numFmtId="0" fontId="13" fillId="0" borderId="0" xfId="0" applyFont="1" applyFill="1" applyAlignment="1">
      <alignment wrapText="1"/>
    </xf>
    <xf numFmtId="182" fontId="0" fillId="0" borderId="0" xfId="0" applyNumberFormat="1"/>
    <xf numFmtId="0" fontId="0" fillId="0" borderId="0" xfId="0" applyFont="1" applyFill="1" applyAlignment="1"/>
    <xf numFmtId="14" fontId="5" fillId="0" borderId="0" xfId="0" applyNumberFormat="1" applyFont="1" applyFill="1" applyAlignment="1"/>
    <xf numFmtId="14" fontId="3" fillId="0" borderId="0" xfId="0" applyNumberFormat="1" applyFont="1" applyFill="1" applyAlignment="1"/>
    <xf numFmtId="182" fontId="3" fillId="0" borderId="0" xfId="0" applyNumberFormat="1" applyFont="1" applyAlignment="1">
      <alignment wrapText="1"/>
    </xf>
    <xf numFmtId="182" fontId="3" fillId="0" borderId="0" xfId="0" applyNumberFormat="1" applyFont="1"/>
    <xf numFmtId="14" fontId="5" fillId="0" borderId="0" xfId="0" applyNumberFormat="1" applyFont="1" applyFill="1" applyAlignment="1">
      <alignment wrapText="1"/>
    </xf>
    <xf numFmtId="179" fontId="5" fillId="0" borderId="0" xfId="0" applyNumberFormat="1" applyFont="1" applyFill="1" applyAlignment="1">
      <alignment wrapText="1"/>
    </xf>
    <xf numFmtId="14" fontId="3" fillId="0" borderId="0" xfId="0" applyNumberFormat="1" applyFont="1" applyFill="1" applyAlignment="1">
      <alignment wrapText="1"/>
    </xf>
    <xf numFmtId="0" fontId="0" fillId="0" borderId="0" xfId="0" applyAlignment="1">
      <alignment horizontal="right"/>
    </xf>
    <xf numFmtId="180" fontId="5" fillId="0" borderId="0" xfId="0" applyNumberFormat="1" applyFont="1" applyFill="1" applyAlignment="1"/>
    <xf numFmtId="0" fontId="3" fillId="0" borderId="0" xfId="0" applyFont="1" applyFill="1" applyAlignment="1">
      <alignment horizontal="right" wrapText="1"/>
    </xf>
    <xf numFmtId="180" fontId="3" fillId="0" borderId="0" xfId="0" applyNumberFormat="1" applyFont="1" applyFill="1" applyAlignment="1"/>
    <xf numFmtId="0" fontId="5" fillId="0" borderId="4" xfId="0" applyFont="1" applyFill="1" applyBorder="1" applyAlignment="1">
      <alignment wrapText="1"/>
    </xf>
    <xf numFmtId="180" fontId="3" fillId="0" borderId="0" xfId="0" applyNumberFormat="1" applyFont="1" applyFill="1" applyAlignment="1">
      <alignment wrapText="1"/>
    </xf>
    <xf numFmtId="49" fontId="3" fillId="0" borderId="0" xfId="0" applyNumberFormat="1" applyFont="1" applyFill="1" applyAlignment="1">
      <alignment horizontal="right" vertical="center" wrapText="1"/>
    </xf>
    <xf numFmtId="0" fontId="5" fillId="0" borderId="0" xfId="0" applyFont="1" applyFill="1" applyAlignment="1">
      <alignment horizontal="right" wrapText="1"/>
    </xf>
    <xf numFmtId="0" fontId="5" fillId="0" borderId="0" xfId="0" applyFont="1" applyFill="1" applyAlignment="1">
      <alignment horizontal="right"/>
    </xf>
    <xf numFmtId="0" fontId="5" fillId="0" borderId="2" xfId="0" applyFont="1" applyFill="1" applyBorder="1" applyAlignment="1">
      <alignment wrapText="1"/>
    </xf>
    <xf numFmtId="0" fontId="5" fillId="0" borderId="0" xfId="0" applyFont="1" applyFill="1" applyAlignment="1">
      <alignment horizontal="left" wrapText="1"/>
    </xf>
    <xf numFmtId="14" fontId="5" fillId="0" borderId="2" xfId="0" applyNumberFormat="1" applyFont="1" applyFill="1" applyBorder="1" applyAlignment="1">
      <alignment wrapText="1"/>
    </xf>
    <xf numFmtId="0" fontId="5" fillId="0" borderId="2" xfId="0" applyFont="1" applyFill="1" applyBorder="1" applyAlignment="1"/>
    <xf numFmtId="0" fontId="3" fillId="0" borderId="0" xfId="0" applyFont="1" applyFill="1" applyAlignment="1">
      <alignment horizontal="left" vertical="top" wrapText="1"/>
    </xf>
    <xf numFmtId="0" fontId="12" fillId="0" borderId="0" xfId="0" applyFont="1" applyFill="1" applyAlignment="1">
      <alignment wrapText="1"/>
    </xf>
    <xf numFmtId="14" fontId="5" fillId="0" borderId="2" xfId="0" applyNumberFormat="1" applyFont="1" applyFill="1" applyBorder="1" applyAlignment="1"/>
    <xf numFmtId="180" fontId="3" fillId="0" borderId="0" xfId="0" applyNumberFormat="1" applyFont="1" applyFill="1" applyBorder="1" applyAlignment="1"/>
    <xf numFmtId="14" fontId="5" fillId="0" borderId="0" xfId="0" applyNumberFormat="1" applyFont="1" applyFill="1" applyBorder="1" applyAlignment="1">
      <alignment wrapText="1"/>
    </xf>
    <xf numFmtId="0" fontId="5" fillId="0" borderId="3" xfId="0" applyFont="1" applyFill="1" applyBorder="1" applyAlignment="1"/>
    <xf numFmtId="0" fontId="5" fillId="0" borderId="0" xfId="0" applyFont="1" applyFill="1" applyAlignment="1">
      <alignment horizontal="center" wrapText="1"/>
    </xf>
    <xf numFmtId="0" fontId="3" fillId="0" borderId="0" xfId="0" applyNumberFormat="1" applyFont="1" applyFill="1" applyAlignment="1"/>
    <xf numFmtId="0" fontId="3" fillId="0" borderId="0" xfId="0" applyNumberFormat="1" applyFont="1" applyFill="1" applyAlignment="1">
      <alignment horizontal="left" vertical="center" wrapText="1"/>
    </xf>
    <xf numFmtId="14" fontId="3" fillId="0" borderId="0" xfId="0" applyNumberFormat="1" applyFont="1" applyFill="1" applyAlignment="1">
      <alignment horizontal="center" vertical="center" wrapText="1"/>
    </xf>
    <xf numFmtId="14" fontId="5" fillId="0" borderId="0" xfId="0" applyNumberFormat="1" applyFont="1" applyFill="1" applyAlignment="1">
      <alignment horizontal="center" vertical="center"/>
    </xf>
    <xf numFmtId="14" fontId="7" fillId="0" borderId="1" xfId="0" applyNumberFormat="1" applyFont="1" applyFill="1" applyBorder="1" applyAlignment="1">
      <alignment horizontal="center" vertical="center" wrapText="1"/>
    </xf>
    <xf numFmtId="0" fontId="11" fillId="0" borderId="0" xfId="0" applyFont="1" applyFill="1" applyAlignment="1">
      <alignment wrapText="1"/>
    </xf>
    <xf numFmtId="0" fontId="7" fillId="0" borderId="0" xfId="0" applyFont="1" applyFill="1" applyAlignment="1">
      <alignment wrapText="1"/>
    </xf>
    <xf numFmtId="179" fontId="0" fillId="0" borderId="0" xfId="0" applyNumberFormat="1"/>
    <xf numFmtId="177" fontId="3" fillId="0" borderId="0" xfId="0" applyNumberFormat="1" applyFont="1"/>
    <xf numFmtId="177" fontId="0" fillId="0" borderId="0" xfId="0" applyNumberFormat="1"/>
    <xf numFmtId="179" fontId="0" fillId="0" borderId="0" xfId="0" applyNumberFormat="1" applyFont="1"/>
    <xf numFmtId="177" fontId="3" fillId="0" borderId="0" xfId="0" applyNumberFormat="1" applyFont="1" applyAlignment="1">
      <alignment wrapText="1"/>
    </xf>
    <xf numFmtId="177" fontId="0" fillId="0" borderId="0" xfId="0" applyNumberFormat="1" applyAlignment="1">
      <alignment wrapText="1"/>
    </xf>
    <xf numFmtId="0" fontId="0" fillId="0" borderId="0" xfId="0" applyNumberFormat="1"/>
    <xf numFmtId="10" fontId="0" fillId="0" borderId="0" xfId="0" applyNumberFormat="1"/>
    <xf numFmtId="0" fontId="15" fillId="0" borderId="0" xfId="0" applyFont="1"/>
    <xf numFmtId="0" fontId="0" fillId="0" borderId="0" xfId="0" applyFont="1"/>
    <xf numFmtId="0" fontId="0" fillId="4" borderId="0" xfId="0" applyFill="1" applyAlignment="1">
      <alignment wrapText="1"/>
    </xf>
    <xf numFmtId="0" fontId="15" fillId="0" borderId="0" xfId="0" applyFont="1" applyAlignment="1">
      <alignment wrapText="1"/>
    </xf>
    <xf numFmtId="0" fontId="3" fillId="0" borderId="5" xfId="0" applyFont="1" applyBorder="1" applyAlignment="1">
      <alignment horizontal="center" vertical="center" wrapText="1"/>
    </xf>
    <xf numFmtId="0" fontId="3" fillId="0" borderId="5" xfId="0" applyFont="1" applyBorder="1" applyAlignment="1">
      <alignment horizontal="center"/>
    </xf>
    <xf numFmtId="0" fontId="3" fillId="0" borderId="5" xfId="0" applyFont="1" applyBorder="1" applyAlignment="1">
      <alignment horizontal="center" vertical="center"/>
    </xf>
    <xf numFmtId="182" fontId="3" fillId="0" borderId="5" xfId="0" applyNumberFormat="1" applyFont="1" applyBorder="1" applyAlignment="1">
      <alignment horizontal="center" vertical="center" wrapText="1"/>
    </xf>
    <xf numFmtId="182" fontId="3" fillId="0" borderId="6" xfId="0" applyNumberFormat="1" applyFont="1" applyBorder="1" applyAlignment="1">
      <alignment horizontal="center" vertical="center" wrapText="1"/>
    </xf>
    <xf numFmtId="182" fontId="3" fillId="0" borderId="7" xfId="0" applyNumberFormat="1" applyFont="1" applyBorder="1" applyAlignment="1">
      <alignment horizontal="center" vertical="center" wrapText="1"/>
    </xf>
    <xf numFmtId="177" fontId="15"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ABB-2846-9C69-AA303DD99BE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ABB-2846-9C69-AA303DD99BE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ABB-2846-9C69-AA303DD99BE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ABB-2846-9C69-AA303DD99BE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7ABB-2846-9C69-AA303DD99BE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7ABB-2846-9C69-AA303DD99BE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7ABB-2846-9C69-AA303DD99BE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7ABB-2846-9C69-AA303DD99BE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7ABB-2846-9C69-AA303DD99BE2}"/>
              </c:ext>
            </c:extLst>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2"/>
                    </a:solidFill>
                    <a:latin typeface="+mn-lt"/>
                    <a:ea typeface="+mn-ea"/>
                    <a:cs typeface="+mn-cs"/>
                  </a:defRPr>
                </a:pPr>
                <a:endParaRPr lang="zh-CN"/>
              </a:p>
            </c:txPr>
            <c:dLblPos val="in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已有诉求件数量!$P$2:$X$2</c:f>
              <c:strCache>
                <c:ptCount val="9"/>
                <c:pt idx="0">
                  <c:v>12345app</c:v>
                </c:pt>
                <c:pt idx="1">
                  <c:v>e福州app</c:v>
                </c:pt>
                <c:pt idx="2">
                  <c:v>qq</c:v>
                </c:pt>
                <c:pt idx="3">
                  <c:v>电话</c:v>
                </c:pt>
                <c:pt idx="4">
                  <c:v>短信</c:v>
                </c:pt>
                <c:pt idx="5">
                  <c:v>网站</c:v>
                </c:pt>
                <c:pt idx="6">
                  <c:v>微博</c:v>
                </c:pt>
                <c:pt idx="7">
                  <c:v>微信</c:v>
                </c:pt>
                <c:pt idx="8">
                  <c:v>邮件</c:v>
                </c:pt>
              </c:strCache>
            </c:strRef>
          </c:cat>
          <c:val>
            <c:numRef>
              <c:f>已有诉求件数量!$P$48:$X$48</c:f>
              <c:numCache>
                <c:formatCode>General</c:formatCode>
                <c:ptCount val="9"/>
                <c:pt idx="0">
                  <c:v>26</c:v>
                </c:pt>
                <c:pt idx="1">
                  <c:v>69</c:v>
                </c:pt>
                <c:pt idx="2">
                  <c:v>20</c:v>
                </c:pt>
                <c:pt idx="3">
                  <c:v>479</c:v>
                </c:pt>
                <c:pt idx="4">
                  <c:v>8</c:v>
                </c:pt>
                <c:pt idx="5">
                  <c:v>558</c:v>
                </c:pt>
                <c:pt idx="6">
                  <c:v>7</c:v>
                </c:pt>
                <c:pt idx="7">
                  <c:v>33</c:v>
                </c:pt>
                <c:pt idx="8">
                  <c:v>3</c:v>
                </c:pt>
              </c:numCache>
            </c:numRef>
          </c:val>
          <c:extLst>
            <c:ext xmlns:c16="http://schemas.microsoft.com/office/drawing/2014/chart" uri="{C3380CC4-5D6E-409C-BE32-E72D297353CC}">
              <c16:uniqueId val="{00000012-7ABB-2846-9C69-AA303DD99BE2}"/>
            </c:ext>
          </c:extLst>
        </c:ser>
        <c:dLbls>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zh-CN" sz="900" b="0" i="0" u="none" strike="noStrike" kern="1200" baseline="0">
              <a:solidFill>
                <a:schemeClr val="tx2"/>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诉求类型分布图</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1"/>
          <c:order val="0"/>
          <c:spPr>
            <a:pattFill prst="pct5">
              <a:fgClr>
                <a:schemeClr val="accent1"/>
              </a:fgClr>
              <a:bgClr>
                <a:schemeClr val="bg1"/>
              </a:bgClr>
            </a:pattFill>
          </c:spPr>
          <c:dPt>
            <c:idx val="0"/>
            <c:bubble3D val="0"/>
            <c:spPr>
              <a:pattFill prst="narVert">
                <a:fgClr>
                  <a:schemeClr val="tx1"/>
                </a:fgClr>
                <a:bgClr>
                  <a:schemeClr val="bg1"/>
                </a:bgClr>
              </a:pattFill>
              <a:ln w="19050">
                <a:solidFill>
                  <a:schemeClr val="lt1"/>
                </a:solidFill>
              </a:ln>
              <a:effectLst/>
            </c:spPr>
            <c:extLst>
              <c:ext xmlns:c16="http://schemas.microsoft.com/office/drawing/2014/chart" uri="{C3380CC4-5D6E-409C-BE32-E72D297353CC}">
                <c16:uniqueId val="{00000001-781A-BA4A-91A1-8E61EC10E4D5}"/>
              </c:ext>
            </c:extLst>
          </c:dPt>
          <c:dPt>
            <c:idx val="1"/>
            <c:bubble3D val="0"/>
            <c:spPr>
              <a:pattFill prst="smGrid">
                <a:fgClr>
                  <a:schemeClr val="tx1"/>
                </a:fgClr>
                <a:bgClr>
                  <a:schemeClr val="bg1"/>
                </a:bgClr>
              </a:pattFill>
              <a:ln w="19050">
                <a:solidFill>
                  <a:schemeClr val="lt1"/>
                </a:solidFill>
              </a:ln>
              <a:effectLst/>
            </c:spPr>
            <c:extLst>
              <c:ext xmlns:c16="http://schemas.microsoft.com/office/drawing/2014/chart" uri="{C3380CC4-5D6E-409C-BE32-E72D297353CC}">
                <c16:uniqueId val="{00000003-781A-BA4A-91A1-8E61EC10E4D5}"/>
              </c:ext>
            </c:extLst>
          </c:dPt>
          <c:dPt>
            <c:idx val="2"/>
            <c:bubble3D val="0"/>
            <c:spPr>
              <a:pattFill prst="dkDnDiag">
                <a:fgClr>
                  <a:schemeClr val="tx1"/>
                </a:fgClr>
                <a:bgClr>
                  <a:schemeClr val="bg1"/>
                </a:bgClr>
              </a:pattFill>
              <a:ln w="19050">
                <a:solidFill>
                  <a:schemeClr val="lt1"/>
                </a:solidFill>
              </a:ln>
              <a:effectLst/>
            </c:spPr>
            <c:extLst>
              <c:ext xmlns:c16="http://schemas.microsoft.com/office/drawing/2014/chart" uri="{C3380CC4-5D6E-409C-BE32-E72D297353CC}">
                <c16:uniqueId val="{00000005-781A-BA4A-91A1-8E61EC10E4D5}"/>
              </c:ext>
            </c:extLst>
          </c:dPt>
          <c:dPt>
            <c:idx val="3"/>
            <c:bubble3D val="0"/>
            <c:spPr>
              <a:pattFill prst="openDmnd">
                <a:fgClr>
                  <a:schemeClr val="tx1"/>
                </a:fgClr>
                <a:bgClr>
                  <a:schemeClr val="bg1"/>
                </a:bgClr>
              </a:pattFill>
              <a:ln w="19050">
                <a:solidFill>
                  <a:schemeClr val="lt1"/>
                </a:solidFill>
              </a:ln>
              <a:effectLst/>
            </c:spPr>
            <c:extLst>
              <c:ext xmlns:c16="http://schemas.microsoft.com/office/drawing/2014/chart" uri="{C3380CC4-5D6E-409C-BE32-E72D297353CC}">
                <c16:uniqueId val="{00000007-781A-BA4A-91A1-8E61EC10E4D5}"/>
              </c:ext>
            </c:extLst>
          </c:dPt>
          <c:dPt>
            <c:idx val="4"/>
            <c:bubble3D val="0"/>
            <c:spPr>
              <a:pattFill prst="ltHorz">
                <a:fgClr>
                  <a:schemeClr val="tx1"/>
                </a:fgClr>
                <a:bgClr>
                  <a:schemeClr val="bg1"/>
                </a:bgClr>
              </a:pattFill>
              <a:ln w="19050">
                <a:solidFill>
                  <a:schemeClr val="lt1"/>
                </a:solidFill>
              </a:ln>
              <a:effectLst/>
            </c:spPr>
            <c:extLst>
              <c:ext xmlns:c16="http://schemas.microsoft.com/office/drawing/2014/chart" uri="{C3380CC4-5D6E-409C-BE32-E72D297353CC}">
                <c16:uniqueId val="{00000009-781A-BA4A-91A1-8E61EC10E4D5}"/>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[1]已有诉求件数量!$K$2:$O$2</c:f>
              <c:strCache>
                <c:ptCount val="5"/>
                <c:pt idx="0">
                  <c:v>建议</c:v>
                </c:pt>
                <c:pt idx="1">
                  <c:v>举报</c:v>
                </c:pt>
                <c:pt idx="2">
                  <c:v>投诉</c:v>
                </c:pt>
                <c:pt idx="3">
                  <c:v>求助</c:v>
                </c:pt>
                <c:pt idx="4">
                  <c:v>咨询</c:v>
                </c:pt>
              </c:strCache>
            </c:strRef>
          </c:cat>
          <c:val>
            <c:numRef>
              <c:f>[1]已有诉求件数量!$K$48:$O$48</c:f>
              <c:numCache>
                <c:formatCode>General</c:formatCode>
                <c:ptCount val="5"/>
                <c:pt idx="0">
                  <c:v>39</c:v>
                </c:pt>
                <c:pt idx="1">
                  <c:v>14</c:v>
                </c:pt>
                <c:pt idx="2">
                  <c:v>878</c:v>
                </c:pt>
                <c:pt idx="3">
                  <c:v>132</c:v>
                </c:pt>
                <c:pt idx="4">
                  <c:v>140</c:v>
                </c:pt>
              </c:numCache>
            </c:numRef>
          </c:val>
          <c:extLst>
            <c:ext xmlns:c16="http://schemas.microsoft.com/office/drawing/2014/chart" uri="{C3380CC4-5D6E-409C-BE32-E72D297353CC}">
              <c16:uniqueId val="{0000000A-781A-BA4A-91A1-8E61EC10E4D5}"/>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781A-BA4A-91A1-8E61EC10E4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781A-BA4A-91A1-8E61EC10E4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781A-BA4A-91A1-8E61EC10E4D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781A-BA4A-91A1-8E61EC10E4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781A-BA4A-91A1-8E61EC10E4D5}"/>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[1]已有诉求件数量!$K$2:$O$2</c:f>
              <c:strCache>
                <c:ptCount val="5"/>
                <c:pt idx="0">
                  <c:v>建议</c:v>
                </c:pt>
                <c:pt idx="1">
                  <c:v>举报</c:v>
                </c:pt>
                <c:pt idx="2">
                  <c:v>投诉</c:v>
                </c:pt>
                <c:pt idx="3">
                  <c:v>求助</c:v>
                </c:pt>
                <c:pt idx="4">
                  <c:v>咨询</c:v>
                </c:pt>
              </c:strCache>
            </c:strRef>
          </c:cat>
          <c:val>
            <c:numRef>
              <c:f>[1]已有诉求件数量!$K$48:$O$48</c:f>
              <c:numCache>
                <c:formatCode>General</c:formatCode>
                <c:ptCount val="5"/>
                <c:pt idx="0">
                  <c:v>39</c:v>
                </c:pt>
                <c:pt idx="1">
                  <c:v>14</c:v>
                </c:pt>
                <c:pt idx="2">
                  <c:v>878</c:v>
                </c:pt>
                <c:pt idx="3">
                  <c:v>132</c:v>
                </c:pt>
                <c:pt idx="4">
                  <c:v>140</c:v>
                </c:pt>
              </c:numCache>
            </c:numRef>
          </c:val>
          <c:extLst>
            <c:ext xmlns:c16="http://schemas.microsoft.com/office/drawing/2014/chart" uri="{C3380CC4-5D6E-409C-BE32-E72D297353CC}">
              <c16:uniqueId val="{00000015-781A-BA4A-91A1-8E61EC10E4D5}"/>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r>
              <a:rPr lang="zh-CN" altLang="en-US"/>
              <a:t>信息来源分布图</a:t>
            </a:r>
          </a:p>
        </c:rich>
      </c:tx>
      <c:overlay val="0"/>
      <c:spPr>
        <a:noFill/>
        <a:ln>
          <a:noFill/>
        </a:ln>
        <a:effectLst/>
      </c:spPr>
      <c:txPr>
        <a:bodyPr rot="0" spcFirstLastPara="1"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pattFill prst="dkHorz">
                <a:fgClr>
                  <a:schemeClr val="tx1"/>
                </a:fgClr>
                <a:bgClr>
                  <a:schemeClr val="bg1"/>
                </a:bgClr>
              </a:pattFill>
              <a:ln w="19050">
                <a:solidFill>
                  <a:schemeClr val="lt1"/>
                </a:solidFill>
              </a:ln>
              <a:effectLst/>
            </c:spPr>
            <c:extLst>
              <c:ext xmlns:c16="http://schemas.microsoft.com/office/drawing/2014/chart" uri="{C3380CC4-5D6E-409C-BE32-E72D297353CC}">
                <c16:uniqueId val="{00000001-92D2-A144-BA4E-840B31CFB460}"/>
              </c:ext>
            </c:extLst>
          </c:dPt>
          <c:dPt>
            <c:idx val="1"/>
            <c:bubble3D val="0"/>
            <c:spPr>
              <a:pattFill prst="dotGrid">
                <a:fgClr>
                  <a:schemeClr val="tx1"/>
                </a:fgClr>
                <a:bgClr>
                  <a:schemeClr val="bg1"/>
                </a:bgClr>
              </a:pattFill>
              <a:ln w="19050">
                <a:solidFill>
                  <a:schemeClr val="lt1"/>
                </a:solidFill>
              </a:ln>
              <a:effectLst/>
            </c:spPr>
            <c:extLst>
              <c:ext xmlns:c16="http://schemas.microsoft.com/office/drawing/2014/chart" uri="{C3380CC4-5D6E-409C-BE32-E72D297353CC}">
                <c16:uniqueId val="{00000003-92D2-A144-BA4E-840B31CFB460}"/>
              </c:ext>
            </c:extLst>
          </c:dPt>
          <c:dPt>
            <c:idx val="2"/>
            <c:bubble3D val="0"/>
            <c:spPr>
              <a:pattFill prst="zigZag">
                <a:fgClr>
                  <a:schemeClr val="tx1"/>
                </a:fgClr>
                <a:bgClr>
                  <a:schemeClr val="bg1"/>
                </a:bgClr>
              </a:pattFill>
              <a:ln w="19050">
                <a:solidFill>
                  <a:schemeClr val="lt1"/>
                </a:solidFill>
              </a:ln>
              <a:effectLst/>
            </c:spPr>
            <c:extLst>
              <c:ext xmlns:c16="http://schemas.microsoft.com/office/drawing/2014/chart" uri="{C3380CC4-5D6E-409C-BE32-E72D297353CC}">
                <c16:uniqueId val="{00000005-92D2-A144-BA4E-840B31CFB460}"/>
              </c:ext>
            </c:extLst>
          </c:dPt>
          <c:dPt>
            <c:idx val="3"/>
            <c:bubble3D val="0"/>
            <c:spPr>
              <a:pattFill prst="narVert">
                <a:fgClr>
                  <a:schemeClr val="tx1"/>
                </a:fgClr>
                <a:bgClr>
                  <a:schemeClr val="bg1"/>
                </a:bgClr>
              </a:pattFill>
              <a:ln w="19050">
                <a:solidFill>
                  <a:schemeClr val="lt1"/>
                </a:solidFill>
              </a:ln>
              <a:effectLst/>
            </c:spPr>
            <c:extLst>
              <c:ext xmlns:c16="http://schemas.microsoft.com/office/drawing/2014/chart" uri="{C3380CC4-5D6E-409C-BE32-E72D297353CC}">
                <c16:uniqueId val="{00000007-92D2-A144-BA4E-840B31CFB460}"/>
              </c:ext>
            </c:extLst>
          </c:dPt>
          <c:dPt>
            <c:idx val="4"/>
            <c:bubble3D val="0"/>
            <c:spPr>
              <a:pattFill prst="pct60">
                <a:fgClr>
                  <a:schemeClr val="tx1"/>
                </a:fgClr>
                <a:bgClr>
                  <a:schemeClr val="bg1"/>
                </a:bgClr>
              </a:pattFill>
              <a:ln w="19050">
                <a:solidFill>
                  <a:schemeClr val="lt1"/>
                </a:solidFill>
              </a:ln>
              <a:effectLst/>
            </c:spPr>
            <c:extLst>
              <c:ext xmlns:c16="http://schemas.microsoft.com/office/drawing/2014/chart" uri="{C3380CC4-5D6E-409C-BE32-E72D297353CC}">
                <c16:uniqueId val="{00000009-92D2-A144-BA4E-840B31CFB460}"/>
              </c:ext>
            </c:extLst>
          </c:dPt>
          <c:dPt>
            <c:idx val="5"/>
            <c:bubble3D val="0"/>
            <c:spPr>
              <a:pattFill prst="pct30">
                <a:fgClr>
                  <a:schemeClr val="tx1"/>
                </a:fgClr>
                <a:bgClr>
                  <a:schemeClr val="bg1"/>
                </a:bgClr>
              </a:pattFill>
              <a:ln w="19050">
                <a:solidFill>
                  <a:schemeClr val="lt1"/>
                </a:solidFill>
              </a:ln>
              <a:effectLst/>
            </c:spPr>
            <c:extLst>
              <c:ext xmlns:c16="http://schemas.microsoft.com/office/drawing/2014/chart" uri="{C3380CC4-5D6E-409C-BE32-E72D297353CC}">
                <c16:uniqueId val="{0000000B-92D2-A144-BA4E-840B31CFB460}"/>
              </c:ext>
            </c:extLst>
          </c:dPt>
          <c:dPt>
            <c:idx val="6"/>
            <c:bubble3D val="0"/>
            <c:spPr>
              <a:pattFill prst="diagBrick">
                <a:fgClr>
                  <a:schemeClr val="tx1"/>
                </a:fgClr>
                <a:bgClr>
                  <a:schemeClr val="bg1"/>
                </a:bgClr>
              </a:pattFill>
              <a:ln w="19050">
                <a:solidFill>
                  <a:schemeClr val="lt1"/>
                </a:solidFill>
              </a:ln>
              <a:effectLst/>
            </c:spPr>
            <c:extLst>
              <c:ext xmlns:c16="http://schemas.microsoft.com/office/drawing/2014/chart" uri="{C3380CC4-5D6E-409C-BE32-E72D297353CC}">
                <c16:uniqueId val="{0000000D-92D2-A144-BA4E-840B31CFB460}"/>
              </c:ext>
            </c:extLst>
          </c:dPt>
          <c:dPt>
            <c:idx val="7"/>
            <c:bubble3D val="0"/>
            <c:spPr>
              <a:pattFill prst="dkVert">
                <a:fgClr>
                  <a:schemeClr val="tx1"/>
                </a:fgClr>
                <a:bgClr>
                  <a:schemeClr val="bg1"/>
                </a:bgClr>
              </a:pattFill>
              <a:ln w="19050">
                <a:solidFill>
                  <a:schemeClr val="lt1"/>
                </a:solidFill>
              </a:ln>
              <a:effectLst/>
            </c:spPr>
            <c:extLst>
              <c:ext xmlns:c16="http://schemas.microsoft.com/office/drawing/2014/chart" uri="{C3380CC4-5D6E-409C-BE32-E72D297353CC}">
                <c16:uniqueId val="{0000000F-92D2-A144-BA4E-840B31CFB460}"/>
              </c:ext>
            </c:extLst>
          </c:dPt>
          <c:dPt>
            <c:idx val="8"/>
            <c:bubble3D val="0"/>
            <c:spPr>
              <a:pattFill prst="shingle">
                <a:fgClr>
                  <a:schemeClr val="tx1"/>
                </a:fgClr>
                <a:bgClr>
                  <a:schemeClr val="bg1"/>
                </a:bgClr>
              </a:pattFill>
              <a:ln w="19050">
                <a:solidFill>
                  <a:schemeClr val="lt1"/>
                </a:solidFill>
              </a:ln>
              <a:effectLst/>
            </c:spPr>
            <c:extLst>
              <c:ext xmlns:c16="http://schemas.microsoft.com/office/drawing/2014/chart" uri="{C3380CC4-5D6E-409C-BE32-E72D297353CC}">
                <c16:uniqueId val="{00000011-92D2-A144-BA4E-840B31CFB46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[1]已有诉求件数量!$P$2:$X$2</c:f>
              <c:strCache>
                <c:ptCount val="9"/>
                <c:pt idx="0">
                  <c:v>12345app</c:v>
                </c:pt>
                <c:pt idx="1">
                  <c:v>e福州app</c:v>
                </c:pt>
                <c:pt idx="2">
                  <c:v>qq</c:v>
                </c:pt>
                <c:pt idx="3">
                  <c:v>电话</c:v>
                </c:pt>
                <c:pt idx="4">
                  <c:v>短信</c:v>
                </c:pt>
                <c:pt idx="5">
                  <c:v>网站</c:v>
                </c:pt>
                <c:pt idx="6">
                  <c:v>微博</c:v>
                </c:pt>
                <c:pt idx="7">
                  <c:v>微信</c:v>
                </c:pt>
                <c:pt idx="8">
                  <c:v>邮件</c:v>
                </c:pt>
              </c:strCache>
            </c:strRef>
          </c:cat>
          <c:val>
            <c:numRef>
              <c:f>[1]已有诉求件数量!$P$48:$X$48</c:f>
              <c:numCache>
                <c:formatCode>General</c:formatCode>
                <c:ptCount val="9"/>
                <c:pt idx="0">
                  <c:v>26</c:v>
                </c:pt>
                <c:pt idx="1">
                  <c:v>69</c:v>
                </c:pt>
                <c:pt idx="2">
                  <c:v>20</c:v>
                </c:pt>
                <c:pt idx="3">
                  <c:v>479</c:v>
                </c:pt>
                <c:pt idx="4">
                  <c:v>8</c:v>
                </c:pt>
                <c:pt idx="5">
                  <c:v>558</c:v>
                </c:pt>
                <c:pt idx="6">
                  <c:v>7</c:v>
                </c:pt>
                <c:pt idx="7">
                  <c:v>33</c:v>
                </c:pt>
                <c:pt idx="8">
                  <c:v>3</c:v>
                </c:pt>
              </c:numCache>
            </c:numRef>
          </c:val>
          <c:extLst>
            <c:ext xmlns:c16="http://schemas.microsoft.com/office/drawing/2014/chart" uri="{C3380CC4-5D6E-409C-BE32-E72D297353CC}">
              <c16:uniqueId val="{00000012-92D2-A144-BA4E-840B31CFB460}"/>
            </c:ext>
          </c:extLst>
        </c:ser>
        <c:dLbls>
          <c:showLegendKey val="0"/>
          <c:showVal val="0"/>
          <c:showCatName val="0"/>
          <c:showSerName val="0"/>
          <c:showPercent val="1"/>
          <c:showBubbleSize val="0"/>
          <c:showLeaderLines val="1"/>
        </c:dLbls>
        <c:firstSliceAng val="0"/>
      </c:pieChart>
      <c:spPr>
        <a:noFill/>
        <a:ln>
          <a:solidFill>
            <a:schemeClr val="accent1">
              <a:alpha val="93000"/>
            </a:schemeClr>
          </a:solidFill>
        </a:ln>
        <a:effectLst/>
      </c:spPr>
    </c:plotArea>
    <c:legend>
      <c:legendPos val="r"/>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228600</xdr:colOff>
      <xdr:row>49</xdr:row>
      <xdr:rowOff>107950</xdr:rowOff>
    </xdr:from>
    <xdr:to>
      <xdr:col>24</xdr:col>
      <xdr:colOff>285750</xdr:colOff>
      <xdr:row>65</xdr:row>
      <xdr:rowOff>6350</xdr:rowOff>
    </xdr:to>
    <xdr:graphicFrame macro="">
      <xdr:nvGraphicFramePr>
        <xdr:cNvPr id="3" name="图表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755650</xdr:colOff>
      <xdr:row>51</xdr:row>
      <xdr:rowOff>88900</xdr:rowOff>
    </xdr:from>
    <xdr:to>
      <xdr:col>11</xdr:col>
      <xdr:colOff>133350</xdr:colOff>
      <xdr:row>66</xdr:row>
      <xdr:rowOff>165100</xdr:rowOff>
    </xdr:to>
    <xdr:graphicFrame macro="">
      <xdr:nvGraphicFramePr>
        <xdr:cNvPr id="4" name="图表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254000</xdr:colOff>
      <xdr:row>49</xdr:row>
      <xdr:rowOff>101600</xdr:rowOff>
    </xdr:from>
    <xdr:to>
      <xdr:col>24</xdr:col>
      <xdr:colOff>311150</xdr:colOff>
      <xdr:row>65</xdr:row>
      <xdr:rowOff>0</xdr:rowOff>
    </xdr:to>
    <xdr:graphicFrame macro="">
      <xdr:nvGraphicFramePr>
        <xdr:cNvPr id="5" name="图表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35785;&#27714;&#20214;&#20998;&#26512;/&#35785;&#27714;&#25968;&#25454;&#27719;&#2463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汇总"/>
      <sheetName val="汇总-新"/>
      <sheetName val="汇总新新"/>
      <sheetName val="Sheet2"/>
      <sheetName val="鼓楼区"/>
      <sheetName val="台江区"/>
      <sheetName val="晋安区"/>
      <sheetName val="仓山区"/>
      <sheetName val="马尾区"/>
      <sheetName val="transition"/>
      <sheetName val="已有诉求件数量"/>
      <sheetName val="政府数据统计"/>
      <sheetName val="Sheet1"/>
    </sheetNames>
    <sheetDataSet>
      <sheetData sheetId="0"/>
      <sheetData sheetId="1"/>
      <sheetData sheetId="2"/>
      <sheetData sheetId="3"/>
      <sheetData sheetId="4"/>
      <sheetData sheetId="5"/>
      <sheetData sheetId="6"/>
      <sheetData sheetId="7"/>
      <sheetData sheetId="8"/>
      <sheetData sheetId="9"/>
      <sheetData sheetId="10">
        <row r="2">
          <cell r="K2" t="str">
            <v>建议</v>
          </cell>
          <cell r="L2" t="str">
            <v>举报</v>
          </cell>
          <cell r="M2" t="str">
            <v>投诉</v>
          </cell>
          <cell r="N2" t="str">
            <v>求助</v>
          </cell>
          <cell r="O2" t="str">
            <v>咨询</v>
          </cell>
          <cell r="P2" t="str">
            <v>12345app</v>
          </cell>
          <cell r="Q2" t="str">
            <v>e福州app</v>
          </cell>
          <cell r="R2" t="str">
            <v>qq</v>
          </cell>
          <cell r="S2" t="str">
            <v>电话</v>
          </cell>
          <cell r="T2" t="str">
            <v>短信</v>
          </cell>
          <cell r="U2" t="str">
            <v>网站</v>
          </cell>
          <cell r="V2" t="str">
            <v>微博</v>
          </cell>
          <cell r="W2" t="str">
            <v>微信</v>
          </cell>
          <cell r="X2" t="str">
            <v>邮件</v>
          </cell>
        </row>
        <row r="48">
          <cell r="K48">
            <v>39</v>
          </cell>
          <cell r="L48">
            <v>14</v>
          </cell>
          <cell r="M48">
            <v>878</v>
          </cell>
          <cell r="N48">
            <v>132</v>
          </cell>
          <cell r="O48">
            <v>140</v>
          </cell>
          <cell r="P48">
            <v>26</v>
          </cell>
          <cell r="Q48">
            <v>69</v>
          </cell>
          <cell r="R48">
            <v>20</v>
          </cell>
          <cell r="S48">
            <v>479</v>
          </cell>
          <cell r="T48">
            <v>8</v>
          </cell>
          <cell r="U48">
            <v>558</v>
          </cell>
          <cell r="V48">
            <v>7</v>
          </cell>
          <cell r="W48">
            <v>33</v>
          </cell>
          <cell r="X48">
            <v>3</v>
          </cell>
        </row>
      </sheetData>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hyperlink" Target="http://fz12345.fuzhou.gov.cn/fzwp/callDetail.jsp?callId=FZ180616003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465"/>
  <sheetViews>
    <sheetView tabSelected="1" topLeftCell="N1" zoomScale="92" workbookViewId="0">
      <pane ySplit="1" topLeftCell="A631" activePane="bottomLeft" state="frozen"/>
      <selection pane="bottomLeft" activeCell="Y1409" sqref="Y1409"/>
    </sheetView>
  </sheetViews>
  <sheetFormatPr baseColWidth="10" defaultColWidth="9" defaultRowHeight="40" customHeight="1"/>
  <cols>
    <col min="1" max="1" width="9" style="313"/>
    <col min="2" max="2" width="5.5" style="69" customWidth="1"/>
    <col min="3" max="3" width="5.6640625" style="69" customWidth="1"/>
    <col min="4" max="4" width="3.33203125" style="69" customWidth="1"/>
    <col min="5" max="5" width="4.1640625" style="69" customWidth="1"/>
    <col min="6" max="6" width="6.6640625" style="69" customWidth="1"/>
    <col min="7" max="7" width="10.83203125" style="69" customWidth="1"/>
    <col min="8" max="8" width="6.1640625" style="69" customWidth="1"/>
    <col min="9" max="9" width="11.6640625" style="197" customWidth="1"/>
    <col min="10" max="10" width="8.5" style="74" customWidth="1"/>
    <col min="11" max="11" width="10.5" style="137" customWidth="1"/>
    <col min="12" max="12" width="11.1640625" style="137" customWidth="1"/>
    <col min="13" max="13" width="10.33203125" style="137" customWidth="1"/>
    <col min="14" max="14" width="7.1640625" style="69" customWidth="1"/>
    <col min="15" max="15" width="11.5" style="69" customWidth="1"/>
    <col min="16" max="16" width="6.5" style="76" customWidth="1"/>
    <col min="17" max="19" width="6.5" style="77" customWidth="1"/>
    <col min="20" max="20" width="10.83203125" style="78" customWidth="1"/>
    <col min="21" max="21" width="55.5" style="69" customWidth="1"/>
    <col min="22" max="22" width="42.83203125" style="69" customWidth="1"/>
    <col min="23" max="23" width="7.5" style="69" customWidth="1"/>
    <col min="24" max="24" width="9.33203125" style="69" customWidth="1"/>
    <col min="25" max="25" width="9.1640625" style="69" customWidth="1"/>
    <col min="26" max="26" width="4.83203125" style="314" customWidth="1"/>
    <col min="27" max="27" width="3.83203125" style="315" customWidth="1"/>
    <col min="28" max="28" width="14" style="315" customWidth="1"/>
    <col min="29" max="29" width="4.1640625" style="315" customWidth="1"/>
    <col min="30" max="30" width="7.5" style="315" customWidth="1"/>
    <col min="31" max="31" width="5.5" style="315" customWidth="1"/>
    <col min="32" max="32" width="8.33203125" style="315" customWidth="1"/>
    <col min="33" max="33" width="6.5" style="315" customWidth="1"/>
    <col min="34" max="35" width="6.1640625" style="315" customWidth="1"/>
    <col min="36" max="36" width="9.5" style="315" customWidth="1"/>
    <col min="37" max="37" width="8.83203125" style="320"/>
    <col min="38" max="41" width="8.83203125" style="315" hidden="1" customWidth="1"/>
    <col min="42" max="42" width="14.6640625" customWidth="1"/>
    <col min="44" max="44" width="8.83203125" style="69" customWidth="1"/>
    <col min="45" max="45" width="14.83203125" customWidth="1"/>
    <col min="46" max="49" width="9" style="69"/>
    <col min="54" max="16384" width="9" style="69"/>
  </cols>
  <sheetData>
    <row r="1" spans="1:54" customFormat="1" ht="40" customHeight="1">
      <c r="A1" s="316" t="s">
        <v>0</v>
      </c>
      <c r="B1" s="136" t="s">
        <v>1</v>
      </c>
      <c r="C1" s="80" t="s">
        <v>2</v>
      </c>
      <c r="D1" s="80"/>
      <c r="E1" s="80" t="s">
        <v>5173</v>
      </c>
      <c r="F1" s="80"/>
      <c r="G1" s="80" t="s">
        <v>4</v>
      </c>
      <c r="H1" s="81" t="s">
        <v>5</v>
      </c>
      <c r="I1" s="158" t="s">
        <v>6</v>
      </c>
      <c r="J1" s="93" t="s">
        <v>7</v>
      </c>
      <c r="K1" s="81" t="s">
        <v>8</v>
      </c>
      <c r="L1" s="137" t="s">
        <v>9</v>
      </c>
      <c r="M1" s="137" t="s">
        <v>10</v>
      </c>
      <c r="N1" s="80" t="s">
        <v>11</v>
      </c>
      <c r="O1" s="30" t="s">
        <v>12</v>
      </c>
      <c r="P1" s="94" t="s">
        <v>13</v>
      </c>
      <c r="Q1" s="105" t="s">
        <v>14</v>
      </c>
      <c r="R1" s="105" t="s">
        <v>15</v>
      </c>
      <c r="S1" s="105" t="s">
        <v>16</v>
      </c>
      <c r="T1" s="106" t="s">
        <v>17</v>
      </c>
      <c r="U1" s="80" t="s">
        <v>18</v>
      </c>
      <c r="V1" s="136" t="s">
        <v>19</v>
      </c>
      <c r="W1" s="69" t="s">
        <v>20</v>
      </c>
      <c r="X1" s="136" t="s">
        <v>21</v>
      </c>
      <c r="Y1" s="136" t="s">
        <v>22</v>
      </c>
      <c r="Z1" s="317" t="s">
        <v>23</v>
      </c>
      <c r="AA1" s="318" t="s">
        <v>24</v>
      </c>
      <c r="AB1" s="318" t="s">
        <v>25</v>
      </c>
      <c r="AC1" s="318" t="s">
        <v>26</v>
      </c>
      <c r="AD1" s="318" t="s">
        <v>27</v>
      </c>
      <c r="AE1" s="318" t="s">
        <v>5174</v>
      </c>
      <c r="AF1" s="318" t="s">
        <v>5175</v>
      </c>
      <c r="AG1" s="318" t="s">
        <v>30</v>
      </c>
      <c r="AH1" s="318" t="s">
        <v>31</v>
      </c>
      <c r="AI1" s="318" t="s">
        <v>32</v>
      </c>
      <c r="AJ1" s="318" t="s">
        <v>33</v>
      </c>
      <c r="AK1" s="318" t="s">
        <v>34</v>
      </c>
      <c r="AL1" s="318" t="s">
        <v>35</v>
      </c>
      <c r="AM1" s="318" t="s">
        <v>36</v>
      </c>
      <c r="AN1" s="318" t="s">
        <v>37</v>
      </c>
      <c r="AO1" s="318" t="s">
        <v>38</v>
      </c>
      <c r="AP1" s="127" t="s">
        <v>39</v>
      </c>
      <c r="AQ1" s="131" t="s">
        <v>40</v>
      </c>
      <c r="AR1" s="131" t="s">
        <v>41</v>
      </c>
      <c r="AS1" s="131" t="s">
        <v>42</v>
      </c>
      <c r="AT1" t="s">
        <v>35</v>
      </c>
      <c r="AU1" t="s">
        <v>36</v>
      </c>
      <c r="AV1" t="s">
        <v>37</v>
      </c>
      <c r="AW1" s="321" t="s">
        <v>43</v>
      </c>
    </row>
    <row r="2" spans="1:54" customFormat="1" ht="40" customHeight="1">
      <c r="A2" s="313">
        <v>1</v>
      </c>
      <c r="B2" s="136" t="s">
        <v>44</v>
      </c>
      <c r="C2" s="136" t="s">
        <v>45</v>
      </c>
      <c r="D2" s="31">
        <f t="shared" ref="D2:D65" si="0">IF(C2="投诉",4,IF(C2="建议",1,IF(C2="举报",2,IF(C2="求助",3,5))))</f>
        <v>4</v>
      </c>
      <c r="E2" s="137" t="s">
        <v>46</v>
      </c>
      <c r="F2" s="31">
        <f t="shared" ref="F2:F65" si="1">IF(E2="12345app",1,IF(E2="e福州app",2,IF(E2="qq",3,IF(E2="电话",4,IF(E2="短信",5,IF(E2="网站",6,IF(E2="微博",7,IF(E2="微信",8,9))))))))</f>
        <v>6</v>
      </c>
      <c r="G2" s="137" t="s">
        <v>47</v>
      </c>
      <c r="H2" s="138">
        <f>LEN(U2)</f>
        <v>166</v>
      </c>
      <c r="I2" s="158">
        <f t="shared" ref="I2:I65" si="2">(J2+K2)/2</f>
        <v>0.35501993746395077</v>
      </c>
      <c r="J2" s="95">
        <v>1.0717372654567301E-5</v>
      </c>
      <c r="K2" s="137">
        <v>0.71002915755524698</v>
      </c>
      <c r="L2" s="137">
        <v>0.75</v>
      </c>
      <c r="M2" s="137">
        <v>0.65007289388811795</v>
      </c>
      <c r="N2" s="136">
        <v>1</v>
      </c>
      <c r="O2" s="32">
        <v>44077</v>
      </c>
      <c r="P2" s="98">
        <f t="shared" ref="P2:P65" si="3">IF(T2="利己",0,IF(T2="生态",2,1))</f>
        <v>0</v>
      </c>
      <c r="Q2">
        <v>2.5499999999999998</v>
      </c>
      <c r="R2">
        <v>0</v>
      </c>
      <c r="S2">
        <v>0</v>
      </c>
      <c r="T2" s="112" t="s">
        <v>48</v>
      </c>
      <c r="U2" s="137" t="s">
        <v>49</v>
      </c>
      <c r="V2" s="137" t="s">
        <v>50</v>
      </c>
      <c r="W2" s="69">
        <f>LEN(V2)</f>
        <v>106</v>
      </c>
      <c r="X2" s="136">
        <v>1</v>
      </c>
      <c r="Y2" s="136">
        <v>6</v>
      </c>
      <c r="Z2" s="314"/>
      <c r="AA2" s="319">
        <v>0.60499999999999998</v>
      </c>
      <c r="AB2" s="315" t="s">
        <v>5176</v>
      </c>
      <c r="AC2" s="319">
        <v>2</v>
      </c>
      <c r="AD2" s="320">
        <v>3.5087719298245598E-2</v>
      </c>
      <c r="AE2" s="319">
        <v>3</v>
      </c>
      <c r="AF2" s="320">
        <v>5.2631578947368397E-2</v>
      </c>
      <c r="AG2" s="319">
        <v>0</v>
      </c>
      <c r="AH2" s="320">
        <v>0</v>
      </c>
      <c r="AI2" s="319">
        <v>0</v>
      </c>
      <c r="AJ2" s="320">
        <v>0</v>
      </c>
      <c r="AK2" s="320">
        <v>3.5087719298245612E-2</v>
      </c>
      <c r="AL2" s="319">
        <v>5</v>
      </c>
      <c r="AM2" s="319">
        <v>5</v>
      </c>
      <c r="AN2" s="319">
        <v>4.6666666666666599</v>
      </c>
      <c r="AO2" s="319">
        <v>0.48888888888888798</v>
      </c>
      <c r="AP2">
        <v>6</v>
      </c>
      <c r="AR2" s="136"/>
      <c r="AT2" s="69">
        <v>2.3148</v>
      </c>
      <c r="AU2" s="69">
        <v>2.3148</v>
      </c>
      <c r="AV2" s="69">
        <v>8.1305999999999994</v>
      </c>
      <c r="AW2" s="69">
        <v>0.42530000000000001</v>
      </c>
      <c r="BB2" s="69"/>
    </row>
    <row r="3" spans="1:54" customFormat="1" ht="40" customHeight="1">
      <c r="A3" s="313">
        <v>2</v>
      </c>
      <c r="B3" s="136" t="s">
        <v>44</v>
      </c>
      <c r="C3" s="136" t="s">
        <v>52</v>
      </c>
      <c r="D3" s="31">
        <f t="shared" si="0"/>
        <v>3</v>
      </c>
      <c r="E3" s="137" t="s">
        <v>46</v>
      </c>
      <c r="F3" s="31">
        <f t="shared" si="1"/>
        <v>6</v>
      </c>
      <c r="G3" s="137" t="s">
        <v>53</v>
      </c>
      <c r="H3" s="138">
        <v>208</v>
      </c>
      <c r="I3" s="158">
        <f t="shared" si="2"/>
        <v>0.43217081950381975</v>
      </c>
      <c r="J3" s="95">
        <v>6.5384257181644301E-4</v>
      </c>
      <c r="K3" s="137">
        <v>0.86368779643582305</v>
      </c>
      <c r="L3" s="137">
        <v>0.90749999999999997</v>
      </c>
      <c r="M3" s="137">
        <v>0.79796949108955795</v>
      </c>
      <c r="N3" s="136">
        <v>1</v>
      </c>
      <c r="O3" s="32">
        <v>43682</v>
      </c>
      <c r="P3" s="98">
        <f t="shared" si="3"/>
        <v>0</v>
      </c>
      <c r="Q3">
        <v>2.5499999999999998</v>
      </c>
      <c r="R3">
        <v>1.65</v>
      </c>
      <c r="S3">
        <v>1.87</v>
      </c>
      <c r="T3" s="112" t="s">
        <v>48</v>
      </c>
      <c r="U3" s="137" t="s">
        <v>54</v>
      </c>
      <c r="V3" s="137" t="s">
        <v>55</v>
      </c>
      <c r="W3" s="69">
        <v>174</v>
      </c>
      <c r="X3" s="136">
        <v>2</v>
      </c>
      <c r="Y3" s="136">
        <v>2</v>
      </c>
      <c r="Z3" s="314"/>
      <c r="AA3" s="319">
        <v>0.54500000000000004</v>
      </c>
      <c r="AB3" s="315" t="s">
        <v>5176</v>
      </c>
      <c r="AC3" s="319">
        <v>1</v>
      </c>
      <c r="AD3" s="320">
        <v>9.9009900990098994E-3</v>
      </c>
      <c r="AE3" s="319">
        <v>5</v>
      </c>
      <c r="AF3" s="320">
        <v>4.95049504950495E-2</v>
      </c>
      <c r="AG3" s="319">
        <v>3</v>
      </c>
      <c r="AH3" s="320">
        <v>2.9702970297029702E-2</v>
      </c>
      <c r="AI3" s="319">
        <v>0</v>
      </c>
      <c r="AJ3" s="320">
        <v>0</v>
      </c>
      <c r="AK3" s="320">
        <v>9.9009900990099011E-3</v>
      </c>
      <c r="AL3" s="319">
        <v>5</v>
      </c>
      <c r="AM3" s="319">
        <v>6.2</v>
      </c>
      <c r="AN3" s="319">
        <v>3.5</v>
      </c>
      <c r="AO3" s="319">
        <v>0.49</v>
      </c>
      <c r="AP3">
        <v>6</v>
      </c>
      <c r="AR3" s="136"/>
      <c r="AT3" s="69">
        <v>2.3148</v>
      </c>
      <c r="AU3" s="69">
        <v>5</v>
      </c>
      <c r="AV3" s="69">
        <v>5.7443999999999997</v>
      </c>
      <c r="AW3" s="69">
        <v>0.43530000000000002</v>
      </c>
      <c r="BB3" s="69"/>
    </row>
    <row r="4" spans="1:54" customFormat="1" ht="40" customHeight="1">
      <c r="A4" s="313">
        <v>3</v>
      </c>
      <c r="B4" s="136" t="s">
        <v>44</v>
      </c>
      <c r="C4" s="136" t="s">
        <v>45</v>
      </c>
      <c r="D4" s="31">
        <f t="shared" si="0"/>
        <v>4</v>
      </c>
      <c r="E4" s="137" t="s">
        <v>46</v>
      </c>
      <c r="F4" s="31">
        <f t="shared" si="1"/>
        <v>6</v>
      </c>
      <c r="G4" s="137" t="s">
        <v>56</v>
      </c>
      <c r="H4" s="138">
        <v>153</v>
      </c>
      <c r="I4" s="158">
        <f t="shared" si="2"/>
        <v>0.73790295369680248</v>
      </c>
      <c r="J4" s="95">
        <v>0.86466366202485301</v>
      </c>
      <c r="K4" s="137">
        <v>0.61114224536875195</v>
      </c>
      <c r="L4" s="137">
        <v>0.68181818181818199</v>
      </c>
      <c r="M4" s="137">
        <v>0.50512834069460699</v>
      </c>
      <c r="N4" s="136">
        <v>1</v>
      </c>
      <c r="O4" s="32">
        <v>43527</v>
      </c>
      <c r="P4" s="98">
        <f t="shared" si="3"/>
        <v>0</v>
      </c>
      <c r="Q4">
        <v>2.5499999999999998</v>
      </c>
      <c r="R4">
        <v>1.65</v>
      </c>
      <c r="S4">
        <v>1.87</v>
      </c>
      <c r="T4" s="112" t="s">
        <v>48</v>
      </c>
      <c r="U4" s="137" t="s">
        <v>57</v>
      </c>
      <c r="V4" s="137" t="s">
        <v>58</v>
      </c>
      <c r="W4" s="69">
        <v>34</v>
      </c>
      <c r="X4" s="136">
        <v>1</v>
      </c>
      <c r="Y4" s="136">
        <v>12</v>
      </c>
      <c r="Z4" s="314"/>
      <c r="AA4" s="319">
        <v>0.5</v>
      </c>
      <c r="AB4" s="315" t="s">
        <v>5176</v>
      </c>
      <c r="AC4" s="319">
        <v>1</v>
      </c>
      <c r="AD4" s="320">
        <v>0.05</v>
      </c>
      <c r="AE4" s="319">
        <v>4</v>
      </c>
      <c r="AF4" s="320">
        <v>0.2</v>
      </c>
      <c r="AG4" s="319">
        <v>1</v>
      </c>
      <c r="AH4" s="320">
        <v>0.05</v>
      </c>
      <c r="AI4" s="319">
        <v>0</v>
      </c>
      <c r="AJ4" s="320">
        <v>0</v>
      </c>
      <c r="AK4" s="320">
        <v>0.05</v>
      </c>
      <c r="AL4" s="319">
        <v>5</v>
      </c>
      <c r="AM4" s="319">
        <v>6.2</v>
      </c>
      <c r="AN4" s="319">
        <v>2</v>
      </c>
      <c r="AO4" s="319">
        <v>0.44</v>
      </c>
      <c r="AP4">
        <v>12</v>
      </c>
      <c r="AR4" s="136"/>
      <c r="AS4">
        <v>12</v>
      </c>
      <c r="AT4" s="69">
        <v>2.3148</v>
      </c>
      <c r="AU4" s="69">
        <v>5</v>
      </c>
      <c r="AV4" s="69">
        <v>2.3148</v>
      </c>
      <c r="AW4" s="69">
        <v>0.32100000000000001</v>
      </c>
      <c r="BB4" s="69"/>
    </row>
    <row r="5" spans="1:54" customFormat="1" ht="40" customHeight="1">
      <c r="A5" s="313">
        <v>4</v>
      </c>
      <c r="B5" s="136" t="s">
        <v>44</v>
      </c>
      <c r="C5" s="136" t="s">
        <v>59</v>
      </c>
      <c r="D5" s="31">
        <f t="shared" si="0"/>
        <v>5</v>
      </c>
      <c r="E5" s="137" t="s">
        <v>46</v>
      </c>
      <c r="F5" s="31">
        <f t="shared" si="1"/>
        <v>6</v>
      </c>
      <c r="G5" s="137" t="s">
        <v>60</v>
      </c>
      <c r="H5" s="138">
        <v>132</v>
      </c>
      <c r="I5" s="158">
        <f t="shared" si="2"/>
        <v>0.35738011035361511</v>
      </c>
      <c r="J5" s="95">
        <v>2.2514038062748599E-6</v>
      </c>
      <c r="K5" s="137">
        <v>0.71475796930342395</v>
      </c>
      <c r="L5" s="137">
        <v>0.61983471074380203</v>
      </c>
      <c r="M5" s="137">
        <v>0.85714285714285698</v>
      </c>
      <c r="N5" s="136">
        <v>0</v>
      </c>
      <c r="O5" s="32">
        <v>43438</v>
      </c>
      <c r="P5" s="98">
        <f t="shared" si="3"/>
        <v>0</v>
      </c>
      <c r="Q5">
        <v>2.5499999999999998</v>
      </c>
      <c r="R5">
        <v>3.3</v>
      </c>
      <c r="S5">
        <v>0</v>
      </c>
      <c r="T5" s="112" t="s">
        <v>48</v>
      </c>
      <c r="U5" s="137" t="s">
        <v>61</v>
      </c>
      <c r="V5" s="137" t="s">
        <v>62</v>
      </c>
      <c r="W5" s="69">
        <v>136</v>
      </c>
      <c r="X5" s="136">
        <v>1</v>
      </c>
      <c r="Y5" s="136">
        <v>1</v>
      </c>
      <c r="Z5" s="314"/>
      <c r="AA5" s="319">
        <v>0.5</v>
      </c>
      <c r="AB5" s="315" t="s">
        <v>5176</v>
      </c>
      <c r="AC5" s="319">
        <v>1</v>
      </c>
      <c r="AD5" s="320">
        <v>1.3157894736842099E-2</v>
      </c>
      <c r="AE5" s="319">
        <v>5</v>
      </c>
      <c r="AF5" s="320">
        <v>6.5789473684210495E-2</v>
      </c>
      <c r="AG5" s="319">
        <v>4</v>
      </c>
      <c r="AH5" s="320">
        <v>5.2631578947368397E-2</v>
      </c>
      <c r="AI5" s="319">
        <v>0</v>
      </c>
      <c r="AJ5" s="320">
        <v>0</v>
      </c>
      <c r="AK5" s="320">
        <v>5.2631578947368418E-2</v>
      </c>
      <c r="AL5" s="319">
        <v>5</v>
      </c>
      <c r="AM5" s="319">
        <v>6.2</v>
      </c>
      <c r="AN5" s="319">
        <v>5</v>
      </c>
      <c r="AO5" s="319">
        <v>0.53999999999999904</v>
      </c>
      <c r="AP5">
        <v>1</v>
      </c>
      <c r="AR5" s="136">
        <v>1</v>
      </c>
      <c r="AT5" s="69">
        <v>2.3148</v>
      </c>
      <c r="AU5" s="69">
        <v>5</v>
      </c>
      <c r="AV5" s="69">
        <v>8.5815000000000001</v>
      </c>
      <c r="AW5" s="69">
        <v>0.52990000000000004</v>
      </c>
      <c r="BB5" s="69"/>
    </row>
    <row r="6" spans="1:54" customFormat="1" ht="40" customHeight="1">
      <c r="A6" s="313">
        <v>5</v>
      </c>
      <c r="B6" s="136" t="s">
        <v>44</v>
      </c>
      <c r="C6" s="136" t="s">
        <v>45</v>
      </c>
      <c r="D6" s="31">
        <f t="shared" si="0"/>
        <v>4</v>
      </c>
      <c r="E6" s="137" t="s">
        <v>46</v>
      </c>
      <c r="F6" s="31">
        <f t="shared" si="1"/>
        <v>6</v>
      </c>
      <c r="G6" s="137" t="s">
        <v>63</v>
      </c>
      <c r="H6" s="138">
        <v>366</v>
      </c>
      <c r="I6" s="158">
        <f t="shared" si="2"/>
        <v>0.2926416077564829</v>
      </c>
      <c r="J6" s="95">
        <v>4.7637349934848104E-3</v>
      </c>
      <c r="K6" s="137">
        <v>0.58051948051948099</v>
      </c>
      <c r="L6" s="137">
        <v>0.68181818181818199</v>
      </c>
      <c r="M6" s="137">
        <v>0.42857142857142899</v>
      </c>
      <c r="N6" s="136">
        <v>0</v>
      </c>
      <c r="O6" s="32">
        <v>43383</v>
      </c>
      <c r="P6" s="98">
        <f t="shared" si="3"/>
        <v>2</v>
      </c>
      <c r="Q6">
        <v>2.5499999999999998</v>
      </c>
      <c r="R6">
        <v>3.3</v>
      </c>
      <c r="S6">
        <v>13.09</v>
      </c>
      <c r="T6" s="112" t="s">
        <v>64</v>
      </c>
      <c r="U6" s="137" t="s">
        <v>65</v>
      </c>
      <c r="V6" s="137" t="s">
        <v>66</v>
      </c>
      <c r="W6" s="69">
        <v>34</v>
      </c>
      <c r="X6" s="136">
        <v>2</v>
      </c>
      <c r="Y6" s="136">
        <v>16</v>
      </c>
      <c r="Z6" s="314"/>
      <c r="AA6" s="319">
        <v>0.5</v>
      </c>
      <c r="AB6" s="331" t="s">
        <v>5172</v>
      </c>
      <c r="AC6" s="319">
        <v>0</v>
      </c>
      <c r="AD6" s="320">
        <v>0</v>
      </c>
      <c r="AE6" s="319">
        <v>0</v>
      </c>
      <c r="AF6" s="320">
        <v>0</v>
      </c>
      <c r="AG6" s="319">
        <v>0</v>
      </c>
      <c r="AH6" s="320">
        <v>0</v>
      </c>
      <c r="AI6" s="319">
        <v>0</v>
      </c>
      <c r="AJ6" s="320">
        <v>0</v>
      </c>
      <c r="AK6" s="320">
        <v>0</v>
      </c>
      <c r="AL6" s="319">
        <v>5</v>
      </c>
      <c r="AM6" s="319">
        <v>5</v>
      </c>
      <c r="AN6" s="319">
        <v>4.6666666666666599</v>
      </c>
      <c r="AO6" s="319">
        <v>0.48888888888888798</v>
      </c>
      <c r="AP6">
        <v>16</v>
      </c>
      <c r="AR6" s="136"/>
      <c r="AT6" s="69">
        <v>2.3148</v>
      </c>
      <c r="AU6" s="69">
        <v>2.3148</v>
      </c>
      <c r="AV6" s="69">
        <v>8.1305999999999994</v>
      </c>
      <c r="AW6" s="69">
        <v>0.42530000000000001</v>
      </c>
      <c r="BB6" s="69"/>
    </row>
    <row r="7" spans="1:54" customFormat="1" ht="40" customHeight="1">
      <c r="A7" s="313">
        <v>6</v>
      </c>
      <c r="B7" s="136" t="s">
        <v>44</v>
      </c>
      <c r="C7" s="136" t="s">
        <v>45</v>
      </c>
      <c r="D7" s="31">
        <f t="shared" si="0"/>
        <v>4</v>
      </c>
      <c r="E7" s="137" t="s">
        <v>46</v>
      </c>
      <c r="F7" s="31">
        <f t="shared" si="1"/>
        <v>6</v>
      </c>
      <c r="G7" s="137" t="s">
        <v>68</v>
      </c>
      <c r="H7" s="138">
        <v>222</v>
      </c>
      <c r="I7" s="158">
        <f t="shared" si="2"/>
        <v>0.26894798743160392</v>
      </c>
      <c r="J7" s="95">
        <v>4.1949037384468903E-3</v>
      </c>
      <c r="K7" s="137">
        <v>0.53370107112476095</v>
      </c>
      <c r="L7" s="137">
        <v>0.31807321377936298</v>
      </c>
      <c r="M7" s="137">
        <v>0.85714285714285698</v>
      </c>
      <c r="N7" s="136">
        <v>1</v>
      </c>
      <c r="O7" s="32">
        <v>43381</v>
      </c>
      <c r="P7" s="98">
        <f t="shared" si="3"/>
        <v>0</v>
      </c>
      <c r="Q7">
        <v>5.0999999999999996</v>
      </c>
      <c r="R7">
        <v>4.95</v>
      </c>
      <c r="S7">
        <v>0</v>
      </c>
      <c r="T7" s="112" t="s">
        <v>48</v>
      </c>
      <c r="U7" s="137" t="s">
        <v>69</v>
      </c>
      <c r="V7" s="137" t="s">
        <v>70</v>
      </c>
      <c r="W7" s="69">
        <v>121</v>
      </c>
      <c r="X7" s="136">
        <v>1</v>
      </c>
      <c r="Y7" s="136">
        <v>1</v>
      </c>
      <c r="Z7" s="314"/>
      <c r="AA7" s="319">
        <v>8.16537145315463E-4</v>
      </c>
      <c r="AB7" s="315" t="s">
        <v>5168</v>
      </c>
      <c r="AC7" s="319">
        <v>1</v>
      </c>
      <c r="AD7" s="320">
        <v>1.5625E-2</v>
      </c>
      <c r="AE7" s="319">
        <v>1</v>
      </c>
      <c r="AF7" s="320">
        <v>1.5625E-2</v>
      </c>
      <c r="AG7" s="319">
        <v>3</v>
      </c>
      <c r="AH7" s="320">
        <v>4.6875E-2</v>
      </c>
      <c r="AI7" s="319">
        <v>0</v>
      </c>
      <c r="AJ7" s="320">
        <v>0</v>
      </c>
      <c r="AK7" s="320">
        <v>3.125E-2</v>
      </c>
      <c r="AL7" s="319">
        <v>5</v>
      </c>
      <c r="AM7" s="319">
        <v>5</v>
      </c>
      <c r="AN7" s="319">
        <v>4.6666666666666599</v>
      </c>
      <c r="AO7" s="319">
        <v>0.48888888888888798</v>
      </c>
      <c r="AP7">
        <v>1</v>
      </c>
      <c r="AR7" s="136">
        <v>1</v>
      </c>
      <c r="AT7" s="69">
        <v>2.3148</v>
      </c>
      <c r="AU7" s="69">
        <v>2.3148</v>
      </c>
      <c r="AV7" s="69">
        <v>8.1305999999999994</v>
      </c>
      <c r="AW7" s="69">
        <v>0.42530000000000001</v>
      </c>
      <c r="BB7" s="69"/>
    </row>
    <row r="8" spans="1:54" customFormat="1" ht="40" customHeight="1">
      <c r="A8" s="313">
        <v>7</v>
      </c>
      <c r="B8" s="136" t="s">
        <v>44</v>
      </c>
      <c r="C8" s="136" t="s">
        <v>59</v>
      </c>
      <c r="D8" s="31">
        <f t="shared" si="0"/>
        <v>5</v>
      </c>
      <c r="E8" s="137" t="s">
        <v>46</v>
      </c>
      <c r="F8" s="31">
        <f t="shared" si="1"/>
        <v>6</v>
      </c>
      <c r="G8" s="137" t="s">
        <v>72</v>
      </c>
      <c r="H8" s="138">
        <v>314</v>
      </c>
      <c r="I8" s="158">
        <f t="shared" si="2"/>
        <v>0.42499999999999999</v>
      </c>
      <c r="J8" s="95">
        <v>0</v>
      </c>
      <c r="K8" s="137">
        <v>0.85</v>
      </c>
      <c r="L8" s="137">
        <v>0.75</v>
      </c>
      <c r="M8" s="137">
        <v>1</v>
      </c>
      <c r="N8" s="136">
        <v>1</v>
      </c>
      <c r="O8" s="32">
        <v>43369</v>
      </c>
      <c r="P8" s="98">
        <f t="shared" si="3"/>
        <v>1</v>
      </c>
      <c r="Q8">
        <v>2.5499999999999998</v>
      </c>
      <c r="R8">
        <v>3.3</v>
      </c>
      <c r="S8">
        <v>0</v>
      </c>
      <c r="T8" s="112" t="s">
        <v>73</v>
      </c>
      <c r="U8" s="137" t="s">
        <v>74</v>
      </c>
      <c r="V8" s="137" t="s">
        <v>75</v>
      </c>
      <c r="W8" s="69">
        <v>87</v>
      </c>
      <c r="X8" s="136">
        <v>1</v>
      </c>
      <c r="Y8" s="136">
        <v>0</v>
      </c>
      <c r="Z8" s="314"/>
      <c r="AA8" s="319">
        <v>0.43057851239669398</v>
      </c>
      <c r="AB8" s="315" t="s">
        <v>5168</v>
      </c>
      <c r="AC8" s="319">
        <v>1</v>
      </c>
      <c r="AD8" s="320">
        <v>2.0833333333333301E-2</v>
      </c>
      <c r="AE8" s="319">
        <v>0</v>
      </c>
      <c r="AF8" s="320">
        <v>0</v>
      </c>
      <c r="AG8" s="319">
        <v>2</v>
      </c>
      <c r="AH8" s="320">
        <v>4.1666666666666602E-2</v>
      </c>
      <c r="AI8" s="319">
        <v>0</v>
      </c>
      <c r="AJ8" s="320">
        <v>0</v>
      </c>
      <c r="AK8" s="320">
        <v>0</v>
      </c>
      <c r="AL8" s="319">
        <v>5</v>
      </c>
      <c r="AM8" s="319">
        <v>5</v>
      </c>
      <c r="AN8" s="319">
        <v>10</v>
      </c>
      <c r="AO8" s="319">
        <v>0.66666666666666596</v>
      </c>
      <c r="AP8">
        <v>0</v>
      </c>
      <c r="AQ8">
        <v>0</v>
      </c>
      <c r="AR8" s="136"/>
      <c r="AT8" s="69">
        <v>2.3148</v>
      </c>
      <c r="AU8" s="69">
        <v>2.3148</v>
      </c>
      <c r="AV8" s="69">
        <v>9.9920000000000009</v>
      </c>
      <c r="AW8" s="69">
        <v>0.4874</v>
      </c>
      <c r="BB8" s="69"/>
    </row>
    <row r="9" spans="1:54" customFormat="1" ht="40" customHeight="1">
      <c r="A9" s="313">
        <v>8</v>
      </c>
      <c r="B9" s="136" t="s">
        <v>44</v>
      </c>
      <c r="C9" s="136" t="s">
        <v>45</v>
      </c>
      <c r="D9" s="31">
        <f t="shared" si="0"/>
        <v>4</v>
      </c>
      <c r="E9" s="137" t="s">
        <v>76</v>
      </c>
      <c r="F9" s="31">
        <f t="shared" si="1"/>
        <v>7</v>
      </c>
      <c r="G9" s="137" t="s">
        <v>77</v>
      </c>
      <c r="H9" s="138">
        <v>169</v>
      </c>
      <c r="I9" s="158">
        <f t="shared" si="2"/>
        <v>0.37201547417518782</v>
      </c>
      <c r="J9" s="95">
        <v>1.5752242823643601E-2</v>
      </c>
      <c r="K9" s="137">
        <v>0.72827870552673202</v>
      </c>
      <c r="L9" s="137">
        <v>0.68181818181818199</v>
      </c>
      <c r="M9" s="137">
        <v>0.79796949108955795</v>
      </c>
      <c r="N9" s="136">
        <v>0</v>
      </c>
      <c r="O9" s="32">
        <v>43052</v>
      </c>
      <c r="P9" s="98">
        <f t="shared" si="3"/>
        <v>0</v>
      </c>
      <c r="Q9">
        <v>2.5499999999999998</v>
      </c>
      <c r="R9">
        <v>0</v>
      </c>
      <c r="S9">
        <v>1.87</v>
      </c>
      <c r="T9" s="112" t="s">
        <v>48</v>
      </c>
      <c r="U9" s="137" t="s">
        <v>78</v>
      </c>
      <c r="V9" s="137" t="s">
        <v>79</v>
      </c>
      <c r="W9" s="69">
        <v>69</v>
      </c>
      <c r="X9" s="136">
        <v>3</v>
      </c>
      <c r="Y9" s="136">
        <v>2</v>
      </c>
      <c r="Z9" s="314"/>
      <c r="AA9" s="319">
        <v>0.70884499999999995</v>
      </c>
      <c r="AB9" s="315" t="s">
        <v>5177</v>
      </c>
      <c r="AC9" s="319">
        <v>0</v>
      </c>
      <c r="AD9" s="320">
        <v>0</v>
      </c>
      <c r="AE9" s="319">
        <v>2</v>
      </c>
      <c r="AF9" s="320">
        <v>5.5555555555555497E-2</v>
      </c>
      <c r="AG9" s="319">
        <v>2</v>
      </c>
      <c r="AH9" s="320">
        <v>5.5555555555555497E-2</v>
      </c>
      <c r="AI9" s="319">
        <v>0</v>
      </c>
      <c r="AJ9" s="320">
        <v>0</v>
      </c>
      <c r="AK9" s="320">
        <v>5.5555555555555552E-2</v>
      </c>
      <c r="AL9" s="319">
        <v>5</v>
      </c>
      <c r="AM9" s="319">
        <v>6.2</v>
      </c>
      <c r="AN9" s="319">
        <v>4.6666666666666599</v>
      </c>
      <c r="AO9" s="319">
        <v>0.52888888888888796</v>
      </c>
      <c r="AP9">
        <v>2</v>
      </c>
      <c r="AQ9">
        <v>2</v>
      </c>
      <c r="AR9" s="136"/>
      <c r="AT9" s="69">
        <v>2.3148</v>
      </c>
      <c r="AU9" s="69">
        <v>5</v>
      </c>
      <c r="AV9" s="69">
        <v>8.1305999999999994</v>
      </c>
      <c r="AW9" s="69">
        <v>0.51480000000000004</v>
      </c>
      <c r="BB9" s="69"/>
    </row>
    <row r="10" spans="1:54" customFormat="1" ht="40" customHeight="1">
      <c r="A10" s="313">
        <v>9</v>
      </c>
      <c r="B10" s="136" t="s">
        <v>44</v>
      </c>
      <c r="C10" s="136" t="s">
        <v>45</v>
      </c>
      <c r="D10" s="31">
        <f t="shared" si="0"/>
        <v>4</v>
      </c>
      <c r="E10" s="137" t="s">
        <v>80</v>
      </c>
      <c r="F10" s="31">
        <f t="shared" si="1"/>
        <v>4</v>
      </c>
      <c r="G10" s="137" t="s">
        <v>81</v>
      </c>
      <c r="H10" s="138">
        <v>63</v>
      </c>
      <c r="I10" s="158">
        <f t="shared" si="2"/>
        <v>0.44182613295987877</v>
      </c>
      <c r="J10" s="95">
        <v>3.3652265919757597E-2</v>
      </c>
      <c r="K10" s="137">
        <v>0.85</v>
      </c>
      <c r="L10" s="137">
        <v>0.75</v>
      </c>
      <c r="M10" s="137">
        <v>1</v>
      </c>
      <c r="N10" s="136">
        <v>1</v>
      </c>
      <c r="O10" s="32">
        <v>42674</v>
      </c>
      <c r="P10" s="98">
        <f t="shared" si="3"/>
        <v>1</v>
      </c>
      <c r="Q10">
        <v>0</v>
      </c>
      <c r="R10">
        <v>3.3</v>
      </c>
      <c r="S10">
        <v>1.87</v>
      </c>
      <c r="T10" s="112" t="s">
        <v>73</v>
      </c>
      <c r="U10" s="137" t="s">
        <v>82</v>
      </c>
      <c r="V10" s="137" t="s">
        <v>83</v>
      </c>
      <c r="W10" s="69">
        <v>24</v>
      </c>
      <c r="X10" s="136">
        <v>1</v>
      </c>
      <c r="Y10" s="136">
        <v>0</v>
      </c>
      <c r="Z10" s="314"/>
      <c r="AA10" s="319">
        <v>0.59450000000000003</v>
      </c>
      <c r="AB10" s="331" t="s">
        <v>5172</v>
      </c>
      <c r="AC10" s="319">
        <v>0</v>
      </c>
      <c r="AD10" s="320">
        <v>0</v>
      </c>
      <c r="AE10" s="319">
        <v>0</v>
      </c>
      <c r="AF10" s="320">
        <v>0</v>
      </c>
      <c r="AG10" s="319">
        <v>0</v>
      </c>
      <c r="AH10" s="320">
        <v>0</v>
      </c>
      <c r="AI10" s="319">
        <v>0</v>
      </c>
      <c r="AJ10" s="320">
        <v>0</v>
      </c>
      <c r="AK10" s="320">
        <v>0</v>
      </c>
      <c r="AL10" s="319">
        <v>5</v>
      </c>
      <c r="AM10" s="319">
        <v>6.2</v>
      </c>
      <c r="AN10" s="319">
        <v>2</v>
      </c>
      <c r="AO10" s="319">
        <v>0.44</v>
      </c>
      <c r="AP10">
        <v>0</v>
      </c>
      <c r="AR10" s="136"/>
      <c r="AS10">
        <v>0</v>
      </c>
      <c r="AT10" s="69">
        <v>2.3148</v>
      </c>
      <c r="AU10" s="69">
        <v>5</v>
      </c>
      <c r="AV10" s="69">
        <v>2.3148</v>
      </c>
      <c r="AW10" s="69">
        <v>0.32100000000000001</v>
      </c>
      <c r="BB10" s="69"/>
    </row>
    <row r="11" spans="1:54" customFormat="1" ht="40" customHeight="1">
      <c r="A11" s="313">
        <v>10</v>
      </c>
      <c r="B11" s="136" t="s">
        <v>44</v>
      </c>
      <c r="C11" s="136" t="s">
        <v>45</v>
      </c>
      <c r="D11" s="31">
        <f t="shared" si="0"/>
        <v>4</v>
      </c>
      <c r="E11" s="137" t="s">
        <v>46</v>
      </c>
      <c r="F11" s="31">
        <f t="shared" si="1"/>
        <v>6</v>
      </c>
      <c r="G11" s="137" t="s">
        <v>84</v>
      </c>
      <c r="H11" s="138">
        <v>19</v>
      </c>
      <c r="I11" s="158">
        <f t="shared" si="2"/>
        <v>0.38222457930666087</v>
      </c>
      <c r="J11" s="95">
        <v>2.0634947817012701E-2</v>
      </c>
      <c r="K11" s="137">
        <v>0.74381421079630905</v>
      </c>
      <c r="L11" s="137">
        <v>0.82499999999999996</v>
      </c>
      <c r="M11" s="137">
        <v>0.62203552699077302</v>
      </c>
      <c r="N11" s="136">
        <v>1</v>
      </c>
      <c r="O11" s="32">
        <v>42626</v>
      </c>
      <c r="P11" s="98">
        <f t="shared" si="3"/>
        <v>0</v>
      </c>
      <c r="Q11">
        <v>5.0999999999999996</v>
      </c>
      <c r="R11">
        <v>0</v>
      </c>
      <c r="S11">
        <v>0</v>
      </c>
      <c r="T11" s="112" t="s">
        <v>48</v>
      </c>
      <c r="U11" s="137" t="s">
        <v>85</v>
      </c>
      <c r="V11" s="137" t="s">
        <v>86</v>
      </c>
      <c r="W11" s="69">
        <v>53</v>
      </c>
      <c r="X11" s="136">
        <v>1</v>
      </c>
      <c r="Y11" s="136">
        <v>7</v>
      </c>
      <c r="Z11" s="314"/>
      <c r="AA11" s="319">
        <v>0.60499999999999998</v>
      </c>
      <c r="AB11" s="315" t="s">
        <v>5165</v>
      </c>
      <c r="AC11" s="319">
        <v>4</v>
      </c>
      <c r="AD11" s="320">
        <v>0.12903225806451599</v>
      </c>
      <c r="AE11" s="319">
        <v>0</v>
      </c>
      <c r="AF11" s="320">
        <v>0</v>
      </c>
      <c r="AG11" s="319">
        <v>0</v>
      </c>
      <c r="AH11" s="320">
        <v>0</v>
      </c>
      <c r="AI11" s="319">
        <v>0</v>
      </c>
      <c r="AJ11" s="320">
        <v>0</v>
      </c>
      <c r="AK11" s="320">
        <v>0</v>
      </c>
      <c r="AL11" s="319">
        <v>5</v>
      </c>
      <c r="AM11" s="319">
        <v>5</v>
      </c>
      <c r="AN11" s="319">
        <v>2</v>
      </c>
      <c r="AO11" s="319">
        <v>0.4</v>
      </c>
      <c r="AP11">
        <v>7</v>
      </c>
      <c r="AR11" s="136"/>
      <c r="AT11" s="69">
        <v>2.3148</v>
      </c>
      <c r="AU11" s="69">
        <v>2.3148</v>
      </c>
      <c r="AV11" s="69">
        <v>2.3148</v>
      </c>
      <c r="AW11" s="69">
        <v>0.23150000000000001</v>
      </c>
      <c r="BB11" s="69"/>
    </row>
    <row r="12" spans="1:54" customFormat="1" ht="40" customHeight="1">
      <c r="A12" s="313">
        <v>11</v>
      </c>
      <c r="B12" s="136" t="s">
        <v>44</v>
      </c>
      <c r="C12" s="136" t="s">
        <v>45</v>
      </c>
      <c r="D12" s="31">
        <f t="shared" si="0"/>
        <v>4</v>
      </c>
      <c r="E12" s="137" t="s">
        <v>46</v>
      </c>
      <c r="F12" s="31">
        <f t="shared" si="1"/>
        <v>6</v>
      </c>
      <c r="G12" s="137" t="s">
        <v>88</v>
      </c>
      <c r="H12" s="138">
        <v>38</v>
      </c>
      <c r="I12" s="158">
        <f t="shared" si="2"/>
        <v>0.44513530853784355</v>
      </c>
      <c r="J12" s="95">
        <v>0.146456406279378</v>
      </c>
      <c r="K12" s="137">
        <v>0.74381421079630905</v>
      </c>
      <c r="L12" s="137">
        <v>0.82499999999999996</v>
      </c>
      <c r="M12" s="137">
        <v>0.62203552699077302</v>
      </c>
      <c r="N12" s="136">
        <v>1</v>
      </c>
      <c r="O12" s="32">
        <v>42626</v>
      </c>
      <c r="P12" s="98">
        <f t="shared" si="3"/>
        <v>0</v>
      </c>
      <c r="Q12">
        <v>5.0999999999999996</v>
      </c>
      <c r="R12">
        <v>0</v>
      </c>
      <c r="S12">
        <v>0</v>
      </c>
      <c r="T12" s="112" t="s">
        <v>48</v>
      </c>
      <c r="U12" s="137" t="s">
        <v>89</v>
      </c>
      <c r="V12" s="137" t="s">
        <v>86</v>
      </c>
      <c r="W12" s="69">
        <v>53</v>
      </c>
      <c r="X12" s="136">
        <v>1</v>
      </c>
      <c r="Y12" s="136">
        <v>7</v>
      </c>
      <c r="Z12" s="314"/>
      <c r="AA12" s="319">
        <v>0.66549999999999998</v>
      </c>
      <c r="AB12" s="315" t="s">
        <v>5165</v>
      </c>
      <c r="AC12" s="319">
        <v>4</v>
      </c>
      <c r="AD12" s="320">
        <v>0.12903225806451599</v>
      </c>
      <c r="AE12" s="319">
        <v>0</v>
      </c>
      <c r="AF12" s="320">
        <v>0</v>
      </c>
      <c r="AG12" s="319">
        <v>0</v>
      </c>
      <c r="AH12" s="320">
        <v>0</v>
      </c>
      <c r="AI12" s="319">
        <v>0</v>
      </c>
      <c r="AJ12" s="320">
        <v>0</v>
      </c>
      <c r="AK12" s="320">
        <v>0</v>
      </c>
      <c r="AL12" s="319">
        <v>5</v>
      </c>
      <c r="AM12" s="319">
        <v>5</v>
      </c>
      <c r="AN12" s="319">
        <v>2</v>
      </c>
      <c r="AO12" s="319">
        <v>0.4</v>
      </c>
      <c r="AP12">
        <v>7</v>
      </c>
      <c r="AR12" s="136"/>
      <c r="AT12" s="69">
        <v>2.3148</v>
      </c>
      <c r="AU12" s="69">
        <v>2.3148</v>
      </c>
      <c r="AV12" s="69">
        <v>2.3148</v>
      </c>
      <c r="AW12" s="69">
        <v>0.23150000000000001</v>
      </c>
      <c r="BB12" s="69"/>
    </row>
    <row r="13" spans="1:54" customFormat="1" ht="40" customHeight="1">
      <c r="A13" s="313">
        <v>12</v>
      </c>
      <c r="B13" s="136" t="s">
        <v>44</v>
      </c>
      <c r="C13" s="136" t="s">
        <v>45</v>
      </c>
      <c r="D13" s="31">
        <f t="shared" si="0"/>
        <v>4</v>
      </c>
      <c r="E13" s="137" t="s">
        <v>46</v>
      </c>
      <c r="F13" s="31">
        <f t="shared" si="1"/>
        <v>6</v>
      </c>
      <c r="G13" s="137" t="s">
        <v>90</v>
      </c>
      <c r="H13" s="138">
        <v>35</v>
      </c>
      <c r="I13" s="158">
        <f t="shared" si="2"/>
        <v>0.29919541302899044</v>
      </c>
      <c r="J13" s="95">
        <v>3.1382164121684898E-4</v>
      </c>
      <c r="K13" s="137">
        <v>0.59807700441676404</v>
      </c>
      <c r="L13" s="137">
        <v>0.82499999999999996</v>
      </c>
      <c r="M13" s="137">
        <v>0.25769251104190999</v>
      </c>
      <c r="N13" s="136">
        <v>1</v>
      </c>
      <c r="O13" s="32">
        <v>42626</v>
      </c>
      <c r="P13" s="98">
        <f t="shared" si="3"/>
        <v>0</v>
      </c>
      <c r="Q13">
        <v>5.0999999999999996</v>
      </c>
      <c r="R13">
        <v>0</v>
      </c>
      <c r="S13">
        <v>0</v>
      </c>
      <c r="T13" s="112" t="s">
        <v>48</v>
      </c>
      <c r="U13" s="137" t="s">
        <v>91</v>
      </c>
      <c r="V13" s="137" t="s">
        <v>92</v>
      </c>
      <c r="W13" s="69">
        <v>78</v>
      </c>
      <c r="X13" s="136">
        <v>2</v>
      </c>
      <c r="Y13" s="136">
        <v>27</v>
      </c>
      <c r="Z13" s="314"/>
      <c r="AA13" s="319">
        <v>0.66549999999999998</v>
      </c>
      <c r="AB13" s="315" t="s">
        <v>5165</v>
      </c>
      <c r="AC13" s="319">
        <v>4</v>
      </c>
      <c r="AD13" s="320">
        <v>8.6956521739130405E-2</v>
      </c>
      <c r="AE13" s="319">
        <v>0</v>
      </c>
      <c r="AF13" s="320">
        <v>0</v>
      </c>
      <c r="AG13" s="319">
        <v>0</v>
      </c>
      <c r="AH13" s="320">
        <v>0</v>
      </c>
      <c r="AI13" s="319">
        <v>0</v>
      </c>
      <c r="AJ13" s="320">
        <v>0</v>
      </c>
      <c r="AK13" s="320">
        <v>0</v>
      </c>
      <c r="AL13" s="319">
        <v>5</v>
      </c>
      <c r="AM13" s="319">
        <v>5</v>
      </c>
      <c r="AN13" s="319">
        <v>2</v>
      </c>
      <c r="AO13" s="319">
        <v>0.4</v>
      </c>
      <c r="AP13">
        <v>27</v>
      </c>
      <c r="AQ13">
        <v>27</v>
      </c>
      <c r="AR13" s="136"/>
      <c r="AT13" s="69">
        <v>2.3148</v>
      </c>
      <c r="AU13" s="69">
        <v>2.3148</v>
      </c>
      <c r="AV13" s="69">
        <v>2.3148</v>
      </c>
      <c r="AW13" s="69">
        <v>0.23150000000000001</v>
      </c>
      <c r="BB13" s="69"/>
    </row>
    <row r="14" spans="1:54" customFormat="1" ht="40" customHeight="1">
      <c r="A14" s="313">
        <v>13</v>
      </c>
      <c r="B14" s="136" t="s">
        <v>44</v>
      </c>
      <c r="C14" s="136" t="s">
        <v>45</v>
      </c>
      <c r="D14" s="31">
        <f t="shared" si="0"/>
        <v>4</v>
      </c>
      <c r="E14" s="137" t="s">
        <v>46</v>
      </c>
      <c r="F14" s="31">
        <f t="shared" si="1"/>
        <v>6</v>
      </c>
      <c r="G14" s="137" t="s">
        <v>93</v>
      </c>
      <c r="H14" s="138">
        <v>38</v>
      </c>
      <c r="I14" s="158">
        <f t="shared" si="2"/>
        <v>0.3701980050713351</v>
      </c>
      <c r="J14" s="95">
        <v>7.0204172710241998E-3</v>
      </c>
      <c r="K14" s="137">
        <v>0.733375592871646</v>
      </c>
      <c r="L14" s="137">
        <v>0.82499999999999996</v>
      </c>
      <c r="M14" s="137">
        <v>0.59593898217911601</v>
      </c>
      <c r="N14" s="136">
        <v>1</v>
      </c>
      <c r="O14" s="32">
        <v>42625</v>
      </c>
      <c r="P14" s="98">
        <f t="shared" si="3"/>
        <v>0</v>
      </c>
      <c r="Q14">
        <v>5.0999999999999996</v>
      </c>
      <c r="R14">
        <v>0</v>
      </c>
      <c r="S14">
        <v>0</v>
      </c>
      <c r="T14" s="112" t="s">
        <v>48</v>
      </c>
      <c r="U14" s="137" t="s">
        <v>94</v>
      </c>
      <c r="V14" s="137" t="s">
        <v>86</v>
      </c>
      <c r="W14" s="69">
        <v>53</v>
      </c>
      <c r="X14" s="136">
        <v>1</v>
      </c>
      <c r="Y14" s="136">
        <v>8</v>
      </c>
      <c r="Z14" s="314"/>
      <c r="AA14" s="319">
        <v>0.64895000000000003</v>
      </c>
      <c r="AB14" s="315" t="s">
        <v>5165</v>
      </c>
      <c r="AC14" s="319">
        <v>4</v>
      </c>
      <c r="AD14" s="320">
        <v>0.12903225806451599</v>
      </c>
      <c r="AE14" s="319">
        <v>0</v>
      </c>
      <c r="AF14" s="320">
        <v>0</v>
      </c>
      <c r="AG14" s="319">
        <v>0</v>
      </c>
      <c r="AH14" s="320">
        <v>0</v>
      </c>
      <c r="AI14" s="319">
        <v>0</v>
      </c>
      <c r="AJ14" s="320">
        <v>0</v>
      </c>
      <c r="AK14" s="320">
        <v>0</v>
      </c>
      <c r="AL14" s="319">
        <v>5</v>
      </c>
      <c r="AM14" s="319">
        <v>6.2</v>
      </c>
      <c r="AN14" s="319">
        <v>2</v>
      </c>
      <c r="AO14" s="319">
        <v>0.44</v>
      </c>
      <c r="AP14">
        <v>8</v>
      </c>
      <c r="AQ14">
        <v>8</v>
      </c>
      <c r="AR14" s="136"/>
      <c r="AT14" s="69">
        <v>2.3148</v>
      </c>
      <c r="AU14" s="69">
        <v>5</v>
      </c>
      <c r="AV14" s="69">
        <v>2.3148</v>
      </c>
      <c r="AW14" s="69">
        <v>0.32100000000000001</v>
      </c>
      <c r="BB14" s="69"/>
    </row>
    <row r="15" spans="1:54" customFormat="1" ht="40" customHeight="1">
      <c r="A15" s="313">
        <v>14</v>
      </c>
      <c r="B15" s="136" t="s">
        <v>44</v>
      </c>
      <c r="C15" s="136" t="s">
        <v>45</v>
      </c>
      <c r="D15" s="31">
        <f t="shared" si="0"/>
        <v>4</v>
      </c>
      <c r="E15" s="137" t="s">
        <v>46</v>
      </c>
      <c r="F15" s="31">
        <f t="shared" si="1"/>
        <v>6</v>
      </c>
      <c r="G15" s="137" t="s">
        <v>90</v>
      </c>
      <c r="H15" s="138">
        <v>31</v>
      </c>
      <c r="I15" s="158">
        <f t="shared" si="2"/>
        <v>0.38555284009422142</v>
      </c>
      <c r="J15" s="95">
        <v>3.77300873167968E-2</v>
      </c>
      <c r="K15" s="137">
        <v>0.733375592871646</v>
      </c>
      <c r="L15" s="137">
        <v>0.82499999999999996</v>
      </c>
      <c r="M15" s="137">
        <v>0.59593898217911601</v>
      </c>
      <c r="N15" s="136">
        <v>1</v>
      </c>
      <c r="O15" s="32">
        <v>42625</v>
      </c>
      <c r="P15" s="98">
        <f t="shared" si="3"/>
        <v>0</v>
      </c>
      <c r="Q15">
        <v>5.0999999999999996</v>
      </c>
      <c r="R15">
        <v>0</v>
      </c>
      <c r="S15">
        <v>0</v>
      </c>
      <c r="T15" s="112" t="s">
        <v>48</v>
      </c>
      <c r="U15" s="137" t="s">
        <v>95</v>
      </c>
      <c r="V15" s="137" t="s">
        <v>86</v>
      </c>
      <c r="W15" s="69">
        <v>53</v>
      </c>
      <c r="X15" s="136">
        <v>1</v>
      </c>
      <c r="Y15" s="136">
        <v>8</v>
      </c>
      <c r="Z15" s="314"/>
      <c r="AA15" s="319">
        <v>0.59450000000000003</v>
      </c>
      <c r="AB15" s="315" t="s">
        <v>5165</v>
      </c>
      <c r="AC15" s="319">
        <v>4</v>
      </c>
      <c r="AD15" s="320">
        <v>0.12903225806451599</v>
      </c>
      <c r="AE15" s="319">
        <v>0</v>
      </c>
      <c r="AF15" s="320">
        <v>0</v>
      </c>
      <c r="AG15" s="319">
        <v>0</v>
      </c>
      <c r="AH15" s="320">
        <v>0</v>
      </c>
      <c r="AI15" s="319">
        <v>0</v>
      </c>
      <c r="AJ15" s="320">
        <v>0</v>
      </c>
      <c r="AK15" s="320">
        <v>0</v>
      </c>
      <c r="AL15" s="319">
        <v>5</v>
      </c>
      <c r="AM15" s="319">
        <v>5</v>
      </c>
      <c r="AN15" s="319">
        <v>2</v>
      </c>
      <c r="AO15" s="319">
        <v>0.4</v>
      </c>
      <c r="AP15">
        <v>8</v>
      </c>
      <c r="AQ15">
        <v>8</v>
      </c>
      <c r="AR15" s="136"/>
      <c r="AT15" s="69">
        <v>2.3148</v>
      </c>
      <c r="AU15" s="69">
        <v>2.3148</v>
      </c>
      <c r="AV15" s="69">
        <v>2.3148</v>
      </c>
      <c r="AW15" s="69">
        <v>0.23150000000000001</v>
      </c>
      <c r="BB15" s="69"/>
    </row>
    <row r="16" spans="1:54" customFormat="1" ht="40" customHeight="1">
      <c r="A16" s="313">
        <v>15</v>
      </c>
      <c r="B16" s="136" t="s">
        <v>44</v>
      </c>
      <c r="C16" s="136" t="s">
        <v>45</v>
      </c>
      <c r="D16" s="31">
        <f t="shared" si="0"/>
        <v>4</v>
      </c>
      <c r="E16" s="137" t="s">
        <v>46</v>
      </c>
      <c r="F16" s="31">
        <f t="shared" si="1"/>
        <v>6</v>
      </c>
      <c r="G16" s="137" t="s">
        <v>96</v>
      </c>
      <c r="H16" s="138">
        <v>34</v>
      </c>
      <c r="I16" s="158">
        <f t="shared" si="2"/>
        <v>0.52483352236980152</v>
      </c>
      <c r="J16" s="95">
        <v>0.23547924830378</v>
      </c>
      <c r="K16" s="137">
        <v>0.81418779643582295</v>
      </c>
      <c r="L16" s="137">
        <v>0.82499999999999996</v>
      </c>
      <c r="M16" s="137">
        <v>0.79796949108955795</v>
      </c>
      <c r="N16" s="136">
        <v>1</v>
      </c>
      <c r="O16" s="32">
        <v>42625</v>
      </c>
      <c r="P16" s="98">
        <f t="shared" si="3"/>
        <v>0</v>
      </c>
      <c r="Q16">
        <v>2.5499999999999998</v>
      </c>
      <c r="R16">
        <v>0</v>
      </c>
      <c r="S16">
        <v>0</v>
      </c>
      <c r="T16" s="112" t="s">
        <v>48</v>
      </c>
      <c r="U16" s="137" t="s">
        <v>97</v>
      </c>
      <c r="V16" s="137" t="s">
        <v>98</v>
      </c>
      <c r="W16" s="69">
        <v>55</v>
      </c>
      <c r="X16" s="136">
        <v>1</v>
      </c>
      <c r="Y16" s="136">
        <v>2</v>
      </c>
      <c r="Z16" s="314"/>
      <c r="AA16" s="319">
        <v>0.60499999999999998</v>
      </c>
      <c r="AB16" s="315" t="s">
        <v>5165</v>
      </c>
      <c r="AC16" s="319">
        <v>4</v>
      </c>
      <c r="AD16" s="320">
        <v>0.12121212121212099</v>
      </c>
      <c r="AE16" s="319">
        <v>0</v>
      </c>
      <c r="AF16" s="320">
        <v>0</v>
      </c>
      <c r="AG16" s="319">
        <v>0</v>
      </c>
      <c r="AH16" s="320">
        <v>0</v>
      </c>
      <c r="AI16" s="319">
        <v>0</v>
      </c>
      <c r="AJ16" s="320">
        <v>0</v>
      </c>
      <c r="AK16" s="320">
        <v>0</v>
      </c>
      <c r="AL16" s="319">
        <v>5</v>
      </c>
      <c r="AM16" s="319">
        <v>5</v>
      </c>
      <c r="AN16" s="319">
        <v>2</v>
      </c>
      <c r="AO16" s="319">
        <v>0.4</v>
      </c>
      <c r="AP16">
        <v>2</v>
      </c>
      <c r="AQ16">
        <v>2</v>
      </c>
      <c r="AR16" s="136"/>
      <c r="AT16" s="69">
        <v>2.3148</v>
      </c>
      <c r="AU16" s="69">
        <v>2.3148</v>
      </c>
      <c r="AV16" s="69">
        <v>2.3148</v>
      </c>
      <c r="AW16" s="69">
        <v>0.23150000000000001</v>
      </c>
      <c r="BB16" s="69"/>
    </row>
    <row r="17" spans="1:54" customFormat="1" ht="40" customHeight="1">
      <c r="A17" s="313">
        <v>16</v>
      </c>
      <c r="B17" s="136" t="s">
        <v>44</v>
      </c>
      <c r="C17" s="136" t="s">
        <v>45</v>
      </c>
      <c r="D17" s="31">
        <f t="shared" si="0"/>
        <v>4</v>
      </c>
      <c r="E17" s="137" t="s">
        <v>46</v>
      </c>
      <c r="F17" s="31">
        <f t="shared" si="1"/>
        <v>6</v>
      </c>
      <c r="G17" s="137" t="s">
        <v>99</v>
      </c>
      <c r="H17" s="138">
        <v>41</v>
      </c>
      <c r="I17" s="158">
        <f t="shared" si="2"/>
        <v>0.60647796978676305</v>
      </c>
      <c r="J17" s="95">
        <v>0.31795593957352603</v>
      </c>
      <c r="K17" s="137">
        <v>0.89500000000000002</v>
      </c>
      <c r="L17" s="137">
        <v>0.82499999999999996</v>
      </c>
      <c r="M17" s="137">
        <v>1</v>
      </c>
      <c r="N17" s="136">
        <v>1</v>
      </c>
      <c r="O17" s="32">
        <v>42625</v>
      </c>
      <c r="P17" s="98">
        <f t="shared" si="3"/>
        <v>0</v>
      </c>
      <c r="Q17">
        <v>2.5499999999999998</v>
      </c>
      <c r="R17">
        <v>1.65</v>
      </c>
      <c r="S17">
        <v>0</v>
      </c>
      <c r="T17" s="112" t="s">
        <v>48</v>
      </c>
      <c r="U17" s="137" t="s">
        <v>100</v>
      </c>
      <c r="V17" s="137" t="s">
        <v>5159</v>
      </c>
      <c r="W17" s="69">
        <v>47</v>
      </c>
      <c r="X17" s="136">
        <v>1</v>
      </c>
      <c r="Y17" s="136">
        <v>0</v>
      </c>
      <c r="Z17" s="314"/>
      <c r="AA17" s="319">
        <v>0.59450000000000003</v>
      </c>
      <c r="AB17" s="331" t="s">
        <v>5172</v>
      </c>
      <c r="AC17" s="319">
        <v>0</v>
      </c>
      <c r="AD17" s="320">
        <v>0</v>
      </c>
      <c r="AE17" s="319">
        <v>0</v>
      </c>
      <c r="AF17" s="320">
        <v>0</v>
      </c>
      <c r="AG17" s="319">
        <v>0</v>
      </c>
      <c r="AH17" s="320">
        <v>0</v>
      </c>
      <c r="AI17" s="319">
        <v>0</v>
      </c>
      <c r="AJ17" s="320">
        <v>0</v>
      </c>
      <c r="AK17" s="320">
        <v>0</v>
      </c>
      <c r="AL17" s="319">
        <v>5</v>
      </c>
      <c r="AM17" s="319">
        <v>5</v>
      </c>
      <c r="AN17" s="319">
        <v>2</v>
      </c>
      <c r="AO17" s="319">
        <v>0.4</v>
      </c>
      <c r="AP17">
        <v>0</v>
      </c>
      <c r="AR17" s="136">
        <v>0</v>
      </c>
      <c r="AS17">
        <v>0</v>
      </c>
      <c r="AT17" s="69">
        <v>2.3148</v>
      </c>
      <c r="AU17" s="69">
        <v>2.3148</v>
      </c>
      <c r="AV17" s="69">
        <v>2.3148</v>
      </c>
      <c r="AW17" s="69">
        <v>0.23150000000000001</v>
      </c>
      <c r="BB17" s="69"/>
    </row>
    <row r="18" spans="1:54" customFormat="1" ht="40" customHeight="1">
      <c r="A18" s="313">
        <v>17</v>
      </c>
      <c r="B18" s="136" t="s">
        <v>44</v>
      </c>
      <c r="C18" s="136" t="s">
        <v>45</v>
      </c>
      <c r="D18" s="31">
        <f t="shared" si="0"/>
        <v>4</v>
      </c>
      <c r="E18" s="137" t="s">
        <v>46</v>
      </c>
      <c r="F18" s="31">
        <f t="shared" si="1"/>
        <v>6</v>
      </c>
      <c r="G18" s="137" t="s">
        <v>102</v>
      </c>
      <c r="H18" s="138">
        <v>12</v>
      </c>
      <c r="I18" s="158">
        <f t="shared" si="2"/>
        <v>0.45917241780117951</v>
      </c>
      <c r="J18" s="95">
        <v>0.18263054988807301</v>
      </c>
      <c r="K18" s="137">
        <v>0.73571428571428599</v>
      </c>
      <c r="L18" s="137">
        <v>0.75</v>
      </c>
      <c r="M18" s="137">
        <v>0.71428571428571397</v>
      </c>
      <c r="N18" s="136">
        <v>1</v>
      </c>
      <c r="O18" s="32">
        <v>42623</v>
      </c>
      <c r="P18" s="98">
        <f t="shared" si="3"/>
        <v>0</v>
      </c>
      <c r="Q18">
        <v>5.0999999999999996</v>
      </c>
      <c r="R18">
        <v>0</v>
      </c>
      <c r="S18">
        <v>0</v>
      </c>
      <c r="T18" s="112" t="s">
        <v>48</v>
      </c>
      <c r="U18" s="137" t="s">
        <v>103</v>
      </c>
      <c r="V18" s="137" t="s">
        <v>104</v>
      </c>
      <c r="W18" s="69">
        <v>54</v>
      </c>
      <c r="X18" s="136">
        <v>1</v>
      </c>
      <c r="Y18" s="136">
        <v>4</v>
      </c>
      <c r="Z18" s="314"/>
      <c r="AA18" s="319">
        <v>0.5</v>
      </c>
      <c r="AB18" s="315" t="s">
        <v>5165</v>
      </c>
      <c r="AC18" s="319">
        <v>4</v>
      </c>
      <c r="AD18" s="320">
        <v>0.125</v>
      </c>
      <c r="AE18" s="319">
        <v>0</v>
      </c>
      <c r="AF18" s="320">
        <v>0</v>
      </c>
      <c r="AG18" s="319">
        <v>0</v>
      </c>
      <c r="AH18" s="320">
        <v>0</v>
      </c>
      <c r="AI18" s="319">
        <v>0</v>
      </c>
      <c r="AJ18" s="320">
        <v>0</v>
      </c>
      <c r="AK18" s="320">
        <v>0</v>
      </c>
      <c r="AL18" s="319">
        <v>5</v>
      </c>
      <c r="AM18" s="319">
        <v>5</v>
      </c>
      <c r="AN18" s="319">
        <v>2</v>
      </c>
      <c r="AO18" s="319">
        <v>0.4</v>
      </c>
      <c r="AP18">
        <v>4</v>
      </c>
      <c r="AQ18">
        <v>4</v>
      </c>
      <c r="AR18" s="136"/>
      <c r="AT18" s="69">
        <v>2.3148</v>
      </c>
      <c r="AU18" s="69">
        <v>2.3148</v>
      </c>
      <c r="AV18" s="69">
        <v>2.3148</v>
      </c>
      <c r="AW18" s="69">
        <v>0.23150000000000001</v>
      </c>
      <c r="BB18" s="69"/>
    </row>
    <row r="19" spans="1:54" customFormat="1" ht="40" customHeight="1">
      <c r="A19" s="313">
        <v>18</v>
      </c>
      <c r="B19" s="136" t="s">
        <v>44</v>
      </c>
      <c r="C19" s="136" t="s">
        <v>45</v>
      </c>
      <c r="D19" s="31">
        <f t="shared" si="0"/>
        <v>4</v>
      </c>
      <c r="E19" s="137" t="s">
        <v>46</v>
      </c>
      <c r="F19" s="31">
        <f t="shared" si="1"/>
        <v>6</v>
      </c>
      <c r="G19" s="137" t="s">
        <v>105</v>
      </c>
      <c r="H19" s="138">
        <v>28</v>
      </c>
      <c r="I19" s="158">
        <f t="shared" si="2"/>
        <v>0.44658721887429653</v>
      </c>
      <c r="J19" s="95">
        <v>0.13814528019334599</v>
      </c>
      <c r="K19" s="137">
        <v>0.75502915755524702</v>
      </c>
      <c r="L19" s="137">
        <v>0.82499999999999996</v>
      </c>
      <c r="M19" s="137">
        <v>0.65007289388811795</v>
      </c>
      <c r="N19" s="136">
        <v>1</v>
      </c>
      <c r="O19" s="32">
        <v>42621</v>
      </c>
      <c r="P19" s="98">
        <f t="shared" si="3"/>
        <v>0</v>
      </c>
      <c r="Q19">
        <v>2.5499999999999998</v>
      </c>
      <c r="R19">
        <v>0</v>
      </c>
      <c r="S19">
        <v>0</v>
      </c>
      <c r="T19" s="112" t="s">
        <v>48</v>
      </c>
      <c r="U19" s="137" t="s">
        <v>106</v>
      </c>
      <c r="V19" s="137" t="s">
        <v>104</v>
      </c>
      <c r="W19" s="69">
        <v>54</v>
      </c>
      <c r="X19" s="136">
        <v>3</v>
      </c>
      <c r="Y19" s="136">
        <v>6</v>
      </c>
      <c r="Z19" s="314"/>
      <c r="AA19" s="319">
        <v>0.59450000000000003</v>
      </c>
      <c r="AB19" s="315" t="s">
        <v>5165</v>
      </c>
      <c r="AC19" s="319">
        <v>4</v>
      </c>
      <c r="AD19" s="320">
        <v>0.125</v>
      </c>
      <c r="AE19" s="319">
        <v>0</v>
      </c>
      <c r="AF19" s="320">
        <v>0</v>
      </c>
      <c r="AG19" s="319">
        <v>0</v>
      </c>
      <c r="AH19" s="320">
        <v>0</v>
      </c>
      <c r="AI19" s="319">
        <v>0</v>
      </c>
      <c r="AJ19" s="320">
        <v>0</v>
      </c>
      <c r="AK19" s="320">
        <v>0</v>
      </c>
      <c r="AL19" s="319">
        <v>5</v>
      </c>
      <c r="AM19" s="319">
        <v>5</v>
      </c>
      <c r="AN19" s="319">
        <v>2</v>
      </c>
      <c r="AO19" s="319">
        <v>0.4</v>
      </c>
      <c r="AP19">
        <v>6</v>
      </c>
      <c r="AQ19">
        <v>6</v>
      </c>
      <c r="AR19" s="136"/>
      <c r="AT19" s="69">
        <v>2.3148</v>
      </c>
      <c r="AU19" s="69">
        <v>2.3148</v>
      </c>
      <c r="AV19" s="69">
        <v>2.3148</v>
      </c>
      <c r="AW19" s="69">
        <v>0.23150000000000001</v>
      </c>
      <c r="BB19" s="69"/>
    </row>
    <row r="20" spans="1:54" customFormat="1" ht="40" customHeight="1">
      <c r="A20" s="313">
        <v>19</v>
      </c>
      <c r="B20" s="136" t="s">
        <v>44</v>
      </c>
      <c r="C20" s="136" t="s">
        <v>45</v>
      </c>
      <c r="D20" s="31">
        <f t="shared" si="0"/>
        <v>4</v>
      </c>
      <c r="E20" s="137" t="s">
        <v>46</v>
      </c>
      <c r="F20" s="31">
        <f t="shared" si="1"/>
        <v>6</v>
      </c>
      <c r="G20" s="137" t="s">
        <v>107</v>
      </c>
      <c r="H20" s="138">
        <v>21</v>
      </c>
      <c r="I20" s="158">
        <f t="shared" si="2"/>
        <v>0.54544733801256751</v>
      </c>
      <c r="J20" s="95">
        <v>0.33586551846988799</v>
      </c>
      <c r="K20" s="137">
        <v>0.75502915755524702</v>
      </c>
      <c r="L20" s="137">
        <v>0.82499999999999996</v>
      </c>
      <c r="M20" s="137">
        <v>0.65007289388811795</v>
      </c>
      <c r="N20" s="136">
        <v>1</v>
      </c>
      <c r="O20" s="32">
        <v>42621</v>
      </c>
      <c r="P20" s="98">
        <f t="shared" si="3"/>
        <v>0</v>
      </c>
      <c r="Q20">
        <v>0</v>
      </c>
      <c r="R20">
        <v>0</v>
      </c>
      <c r="S20">
        <v>0</v>
      </c>
      <c r="T20" s="112" t="s">
        <v>48</v>
      </c>
      <c r="U20" s="137" t="s">
        <v>108</v>
      </c>
      <c r="V20" s="137" t="s">
        <v>104</v>
      </c>
      <c r="W20" s="69">
        <v>54</v>
      </c>
      <c r="X20" s="136">
        <v>2</v>
      </c>
      <c r="Y20" s="136">
        <v>6</v>
      </c>
      <c r="Z20" s="314"/>
      <c r="AA20" s="319">
        <v>0.60499999999999998</v>
      </c>
      <c r="AB20" s="315" t="s">
        <v>5165</v>
      </c>
      <c r="AC20" s="319">
        <v>4</v>
      </c>
      <c r="AD20" s="320">
        <v>0.125</v>
      </c>
      <c r="AE20" s="319">
        <v>0</v>
      </c>
      <c r="AF20" s="320">
        <v>0</v>
      </c>
      <c r="AG20" s="319">
        <v>0</v>
      </c>
      <c r="AH20" s="320">
        <v>0</v>
      </c>
      <c r="AI20" s="319">
        <v>0</v>
      </c>
      <c r="AJ20" s="320">
        <v>0</v>
      </c>
      <c r="AK20" s="320">
        <v>0</v>
      </c>
      <c r="AL20" s="319">
        <v>5</v>
      </c>
      <c r="AM20" s="319">
        <v>5</v>
      </c>
      <c r="AN20" s="319">
        <v>2</v>
      </c>
      <c r="AO20" s="319">
        <v>0.4</v>
      </c>
      <c r="AP20">
        <v>6</v>
      </c>
      <c r="AQ20">
        <v>6</v>
      </c>
      <c r="AR20" s="136"/>
      <c r="AT20" s="69">
        <v>2.3148</v>
      </c>
      <c r="AU20" s="69">
        <v>2.3148</v>
      </c>
      <c r="AV20" s="69">
        <v>2.3148</v>
      </c>
      <c r="AW20" s="69">
        <v>0.23150000000000001</v>
      </c>
      <c r="BB20" s="69"/>
    </row>
    <row r="21" spans="1:54" customFormat="1" ht="40" customHeight="1">
      <c r="A21" s="313">
        <v>20</v>
      </c>
      <c r="B21" s="136" t="s">
        <v>44</v>
      </c>
      <c r="C21" s="136" t="s">
        <v>59</v>
      </c>
      <c r="D21" s="31">
        <f t="shared" si="0"/>
        <v>5</v>
      </c>
      <c r="E21" s="137" t="s">
        <v>46</v>
      </c>
      <c r="F21" s="31">
        <f t="shared" si="1"/>
        <v>6</v>
      </c>
      <c r="G21" s="137" t="s">
        <v>109</v>
      </c>
      <c r="H21" s="138">
        <v>30</v>
      </c>
      <c r="I21" s="158">
        <f t="shared" si="2"/>
        <v>0.68945747091544152</v>
      </c>
      <c r="J21" s="95">
        <v>0.66888578427563605</v>
      </c>
      <c r="K21" s="137">
        <v>0.71002915755524698</v>
      </c>
      <c r="L21" s="137">
        <v>0.75</v>
      </c>
      <c r="M21" s="137">
        <v>0.65007289388811795</v>
      </c>
      <c r="N21" s="136">
        <v>1</v>
      </c>
      <c r="O21" s="32">
        <v>42621</v>
      </c>
      <c r="P21" s="98">
        <f t="shared" si="3"/>
        <v>0</v>
      </c>
      <c r="Q21">
        <v>2.5499999999999998</v>
      </c>
      <c r="R21">
        <v>0</v>
      </c>
      <c r="S21">
        <v>0</v>
      </c>
      <c r="T21" s="112" t="s">
        <v>48</v>
      </c>
      <c r="U21" s="137" t="s">
        <v>110</v>
      </c>
      <c r="V21" s="137" t="s">
        <v>104</v>
      </c>
      <c r="W21" s="69">
        <v>54</v>
      </c>
      <c r="X21" s="136">
        <v>2</v>
      </c>
      <c r="Y21" s="136">
        <v>6</v>
      </c>
      <c r="Z21" s="314"/>
      <c r="AA21" s="319">
        <v>0.60499999999999998</v>
      </c>
      <c r="AB21" s="315" t="s">
        <v>5165</v>
      </c>
      <c r="AC21" s="319">
        <v>4</v>
      </c>
      <c r="AD21" s="320">
        <v>0.125</v>
      </c>
      <c r="AE21" s="319">
        <v>0</v>
      </c>
      <c r="AF21" s="320">
        <v>0</v>
      </c>
      <c r="AG21" s="319">
        <v>0</v>
      </c>
      <c r="AH21" s="320">
        <v>0</v>
      </c>
      <c r="AI21" s="319">
        <v>0</v>
      </c>
      <c r="AJ21" s="320">
        <v>0</v>
      </c>
      <c r="AK21" s="320">
        <v>0</v>
      </c>
      <c r="AL21" s="319">
        <v>5</v>
      </c>
      <c r="AM21" s="319">
        <v>6.2</v>
      </c>
      <c r="AN21" s="319">
        <v>2</v>
      </c>
      <c r="AO21" s="319">
        <v>0.44</v>
      </c>
      <c r="AP21">
        <v>6</v>
      </c>
      <c r="AQ21">
        <v>6</v>
      </c>
      <c r="AR21" s="136"/>
      <c r="AT21" s="69">
        <v>2.3148</v>
      </c>
      <c r="AU21" s="69">
        <v>5</v>
      </c>
      <c r="AV21" s="69">
        <v>2.3148</v>
      </c>
      <c r="AW21" s="69">
        <v>0.32100000000000001</v>
      </c>
      <c r="BB21" s="69"/>
    </row>
    <row r="22" spans="1:54" customFormat="1" ht="40" customHeight="1">
      <c r="A22" s="313">
        <v>21</v>
      </c>
      <c r="B22" s="136" t="s">
        <v>44</v>
      </c>
      <c r="C22" s="136" t="s">
        <v>59</v>
      </c>
      <c r="D22" s="31">
        <f t="shared" si="0"/>
        <v>5</v>
      </c>
      <c r="E22" s="137" t="s">
        <v>46</v>
      </c>
      <c r="F22" s="31">
        <f t="shared" si="1"/>
        <v>6</v>
      </c>
      <c r="G22" s="137" t="s">
        <v>111</v>
      </c>
      <c r="H22" s="138">
        <v>41</v>
      </c>
      <c r="I22" s="158">
        <f t="shared" si="2"/>
        <v>0.40256471129598065</v>
      </c>
      <c r="J22" s="95">
        <v>9.5100265036714302E-2</v>
      </c>
      <c r="K22" s="137">
        <v>0.71002915755524698</v>
      </c>
      <c r="L22" s="137">
        <v>0.75</v>
      </c>
      <c r="M22" s="137">
        <v>0.65007289388811795</v>
      </c>
      <c r="N22" s="136">
        <v>1</v>
      </c>
      <c r="O22" s="32">
        <v>42621</v>
      </c>
      <c r="P22" s="98">
        <f t="shared" si="3"/>
        <v>0</v>
      </c>
      <c r="Q22">
        <v>2.5499999999999998</v>
      </c>
      <c r="R22">
        <v>0</v>
      </c>
      <c r="S22">
        <v>0</v>
      </c>
      <c r="T22" s="112" t="s">
        <v>48</v>
      </c>
      <c r="U22" s="137" t="s">
        <v>112</v>
      </c>
      <c r="V22" s="137" t="s">
        <v>104</v>
      </c>
      <c r="W22" s="69">
        <v>54</v>
      </c>
      <c r="X22" s="136">
        <v>2</v>
      </c>
      <c r="Y22" s="136">
        <v>6</v>
      </c>
      <c r="Z22" s="314"/>
      <c r="AA22" s="319">
        <v>0.5</v>
      </c>
      <c r="AB22" s="315" t="s">
        <v>5165</v>
      </c>
      <c r="AC22" s="319">
        <v>4</v>
      </c>
      <c r="AD22" s="320">
        <v>0.125</v>
      </c>
      <c r="AE22" s="319">
        <v>0</v>
      </c>
      <c r="AF22" s="320">
        <v>0</v>
      </c>
      <c r="AG22" s="319">
        <v>0</v>
      </c>
      <c r="AH22" s="320">
        <v>0</v>
      </c>
      <c r="AI22" s="319">
        <v>0</v>
      </c>
      <c r="AJ22" s="320">
        <v>0</v>
      </c>
      <c r="AK22" s="320">
        <v>0</v>
      </c>
      <c r="AL22" s="319">
        <v>5</v>
      </c>
      <c r="AM22" s="319">
        <v>6.2</v>
      </c>
      <c r="AN22" s="319">
        <v>2</v>
      </c>
      <c r="AO22" s="319">
        <v>0.44</v>
      </c>
      <c r="AP22">
        <v>6</v>
      </c>
      <c r="AQ22">
        <v>6</v>
      </c>
      <c r="AR22" s="136"/>
      <c r="AT22" s="69">
        <v>2.3148</v>
      </c>
      <c r="AU22" s="69">
        <v>5</v>
      </c>
      <c r="AV22" s="69">
        <v>2.3148</v>
      </c>
      <c r="AW22" s="69">
        <v>0.32100000000000001</v>
      </c>
      <c r="BB22" s="69"/>
    </row>
    <row r="23" spans="1:54" customFormat="1" ht="40" customHeight="1">
      <c r="A23" s="313">
        <v>22</v>
      </c>
      <c r="B23" s="136" t="s">
        <v>44</v>
      </c>
      <c r="C23" s="136" t="s">
        <v>59</v>
      </c>
      <c r="D23" s="31">
        <f t="shared" si="0"/>
        <v>5</v>
      </c>
      <c r="E23" s="137" t="s">
        <v>46</v>
      </c>
      <c r="F23" s="31">
        <f t="shared" si="1"/>
        <v>6</v>
      </c>
      <c r="G23" s="137" t="s">
        <v>113</v>
      </c>
      <c r="H23" s="138">
        <v>27</v>
      </c>
      <c r="I23" s="158">
        <f t="shared" si="2"/>
        <v>0.66681875104999055</v>
      </c>
      <c r="J23" s="95">
        <v>0.57860834454473398</v>
      </c>
      <c r="K23" s="137">
        <v>0.75502915755524702</v>
      </c>
      <c r="L23" s="137">
        <v>0.82499999999999996</v>
      </c>
      <c r="M23" s="137">
        <v>0.65007289388811795</v>
      </c>
      <c r="N23" s="136">
        <v>1</v>
      </c>
      <c r="O23" s="32">
        <v>42621</v>
      </c>
      <c r="P23" s="98">
        <f t="shared" si="3"/>
        <v>0</v>
      </c>
      <c r="Q23">
        <v>2.5499999999999998</v>
      </c>
      <c r="R23">
        <v>1.65</v>
      </c>
      <c r="S23">
        <v>0</v>
      </c>
      <c r="T23" s="112" t="s">
        <v>48</v>
      </c>
      <c r="U23" s="137" t="s">
        <v>114</v>
      </c>
      <c r="V23" s="137" t="s">
        <v>104</v>
      </c>
      <c r="W23" s="69">
        <v>54</v>
      </c>
      <c r="X23" s="136">
        <v>2</v>
      </c>
      <c r="Y23" s="136">
        <v>6</v>
      </c>
      <c r="Z23" s="314"/>
      <c r="AA23" s="319">
        <v>0.59450000000000003</v>
      </c>
      <c r="AB23" s="315" t="s">
        <v>5165</v>
      </c>
      <c r="AC23" s="319">
        <v>4</v>
      </c>
      <c r="AD23" s="320">
        <v>0.125</v>
      </c>
      <c r="AE23" s="319">
        <v>0</v>
      </c>
      <c r="AF23" s="320">
        <v>0</v>
      </c>
      <c r="AG23" s="319">
        <v>0</v>
      </c>
      <c r="AH23" s="320">
        <v>0</v>
      </c>
      <c r="AI23" s="319">
        <v>0</v>
      </c>
      <c r="AJ23" s="320">
        <v>0</v>
      </c>
      <c r="AK23" s="320">
        <v>0</v>
      </c>
      <c r="AL23" s="319">
        <v>5</v>
      </c>
      <c r="AM23" s="319">
        <v>5</v>
      </c>
      <c r="AN23" s="319">
        <v>2</v>
      </c>
      <c r="AO23" s="319">
        <v>0.4</v>
      </c>
      <c r="AP23">
        <v>6</v>
      </c>
      <c r="AQ23">
        <v>6</v>
      </c>
      <c r="AR23" s="136"/>
      <c r="AT23" s="69">
        <v>2.3148</v>
      </c>
      <c r="AU23" s="69">
        <v>2.3148</v>
      </c>
      <c r="AV23" s="69">
        <v>2.3148</v>
      </c>
      <c r="AW23" s="69">
        <v>0.23150000000000001</v>
      </c>
      <c r="BB23" s="69"/>
    </row>
    <row r="24" spans="1:54" customFormat="1" ht="40" customHeight="1">
      <c r="A24" s="313">
        <v>23</v>
      </c>
      <c r="B24" s="136" t="s">
        <v>115</v>
      </c>
      <c r="C24" s="136" t="s">
        <v>45</v>
      </c>
      <c r="D24" s="31">
        <f t="shared" si="0"/>
        <v>4</v>
      </c>
      <c r="E24" s="137" t="s">
        <v>80</v>
      </c>
      <c r="F24" s="31">
        <f t="shared" si="1"/>
        <v>4</v>
      </c>
      <c r="G24" s="137" t="s">
        <v>116</v>
      </c>
      <c r="H24" s="138">
        <v>64</v>
      </c>
      <c r="I24" s="158">
        <f t="shared" si="2"/>
        <v>0.41910050328749288</v>
      </c>
      <c r="J24" s="95">
        <v>3.4386371784278502E-4</v>
      </c>
      <c r="K24" s="137">
        <v>0.83785714285714297</v>
      </c>
      <c r="L24" s="137">
        <v>0.82499999999999996</v>
      </c>
      <c r="M24" s="137">
        <v>0.85714285714285698</v>
      </c>
      <c r="N24" s="136">
        <v>1</v>
      </c>
      <c r="O24" s="32">
        <v>43780</v>
      </c>
      <c r="P24" s="98">
        <f t="shared" si="3"/>
        <v>0</v>
      </c>
      <c r="Q24">
        <v>2.5499999999999998</v>
      </c>
      <c r="R24">
        <v>0</v>
      </c>
      <c r="S24">
        <v>1.87</v>
      </c>
      <c r="T24" s="112" t="s">
        <v>48</v>
      </c>
      <c r="U24" s="137" t="s">
        <v>117</v>
      </c>
      <c r="V24" s="137" t="s">
        <v>118</v>
      </c>
      <c r="W24" s="69">
        <v>50</v>
      </c>
      <c r="X24" s="136">
        <v>1</v>
      </c>
      <c r="Y24" s="136">
        <v>1</v>
      </c>
      <c r="Z24" s="314"/>
      <c r="AA24" s="319">
        <v>0.5</v>
      </c>
      <c r="AB24" s="315" t="s">
        <v>5176</v>
      </c>
      <c r="AC24" s="319">
        <v>0</v>
      </c>
      <c r="AD24" s="320">
        <v>0</v>
      </c>
      <c r="AE24" s="319">
        <v>2</v>
      </c>
      <c r="AF24" s="320">
        <v>6.6666666666666596E-2</v>
      </c>
      <c r="AG24" s="319">
        <v>0</v>
      </c>
      <c r="AH24" s="320">
        <v>0</v>
      </c>
      <c r="AI24" s="319">
        <v>0</v>
      </c>
      <c r="AJ24" s="320">
        <v>0</v>
      </c>
      <c r="AK24" s="320">
        <v>0</v>
      </c>
      <c r="AL24" s="319">
        <v>6.75</v>
      </c>
      <c r="AM24" s="319">
        <v>5</v>
      </c>
      <c r="AN24" s="319">
        <v>7.3333333333333304</v>
      </c>
      <c r="AO24" s="319">
        <v>0.63611111111111096</v>
      </c>
      <c r="AP24">
        <v>1</v>
      </c>
      <c r="AR24" s="136"/>
      <c r="AS24">
        <v>1</v>
      </c>
      <c r="AT24" s="69">
        <v>6.3414000000000001</v>
      </c>
      <c r="AU24" s="69">
        <v>2.3148</v>
      </c>
      <c r="AV24" s="69">
        <v>9.8416999999999994</v>
      </c>
      <c r="AW24" s="69">
        <v>0.61660000000000004</v>
      </c>
      <c r="BB24" s="69"/>
    </row>
    <row r="25" spans="1:54" customFormat="1" ht="40" customHeight="1">
      <c r="A25" s="313">
        <v>24</v>
      </c>
      <c r="B25" s="136" t="s">
        <v>115</v>
      </c>
      <c r="C25" s="136" t="s">
        <v>119</v>
      </c>
      <c r="D25" s="31">
        <f t="shared" si="0"/>
        <v>1</v>
      </c>
      <c r="E25" s="137" t="s">
        <v>46</v>
      </c>
      <c r="F25" s="31">
        <f t="shared" si="1"/>
        <v>6</v>
      </c>
      <c r="G25" s="137" t="s">
        <v>120</v>
      </c>
      <c r="H25" s="138">
        <v>144</v>
      </c>
      <c r="I25" s="158">
        <f t="shared" si="2"/>
        <v>0.71507894609045397</v>
      </c>
      <c r="J25" s="95">
        <v>0.74884229608998698</v>
      </c>
      <c r="K25" s="137">
        <v>0.68131559609092096</v>
      </c>
      <c r="L25" s="137">
        <v>0.68181818181818199</v>
      </c>
      <c r="M25" s="137">
        <v>0.68056171750003003</v>
      </c>
      <c r="N25" s="136">
        <v>1</v>
      </c>
      <c r="O25" s="32">
        <v>43267</v>
      </c>
      <c r="P25" s="98">
        <f t="shared" si="3"/>
        <v>0</v>
      </c>
      <c r="Q25">
        <v>2.5499999999999998</v>
      </c>
      <c r="R25">
        <v>0</v>
      </c>
      <c r="S25">
        <v>0</v>
      </c>
      <c r="T25" s="112" t="s">
        <v>48</v>
      </c>
      <c r="U25" s="137" t="s">
        <v>121</v>
      </c>
      <c r="V25" s="137" t="s">
        <v>122</v>
      </c>
      <c r="W25" s="69">
        <v>166</v>
      </c>
      <c r="X25" s="136">
        <v>3</v>
      </c>
      <c r="Y25" s="136">
        <v>5</v>
      </c>
      <c r="Z25" s="314"/>
      <c r="AA25" s="319">
        <v>0.66549999999999998</v>
      </c>
      <c r="AB25" s="315" t="s">
        <v>5168</v>
      </c>
      <c r="AC25" s="319">
        <v>2</v>
      </c>
      <c r="AD25" s="320">
        <v>2.06185567010309E-2</v>
      </c>
      <c r="AE25" s="319">
        <v>0</v>
      </c>
      <c r="AF25" s="320">
        <v>0</v>
      </c>
      <c r="AG25" s="319">
        <v>3</v>
      </c>
      <c r="AH25" s="320">
        <v>3.0927835051546299E-2</v>
      </c>
      <c r="AI25" s="319">
        <v>0</v>
      </c>
      <c r="AJ25" s="320">
        <v>0</v>
      </c>
      <c r="AK25" s="320">
        <v>0</v>
      </c>
      <c r="AL25" s="319">
        <v>5</v>
      </c>
      <c r="AM25" s="319">
        <v>5</v>
      </c>
      <c r="AN25" s="319">
        <v>4.6666666666666599</v>
      </c>
      <c r="AO25" s="319">
        <v>0.48888888888888798</v>
      </c>
      <c r="AP25">
        <v>5</v>
      </c>
      <c r="AR25" s="136">
        <v>5</v>
      </c>
      <c r="AT25" s="69">
        <v>2.3148</v>
      </c>
      <c r="AU25" s="69">
        <v>2.3148</v>
      </c>
      <c r="AV25" s="69">
        <v>8.1305999999999994</v>
      </c>
      <c r="AW25" s="69">
        <v>0.42530000000000001</v>
      </c>
      <c r="BB25" s="69"/>
    </row>
    <row r="26" spans="1:54" customFormat="1" ht="40" customHeight="1">
      <c r="A26" s="313">
        <v>25</v>
      </c>
      <c r="B26" s="136" t="s">
        <v>115</v>
      </c>
      <c r="C26" s="136" t="s">
        <v>45</v>
      </c>
      <c r="D26" s="31">
        <f t="shared" si="0"/>
        <v>4</v>
      </c>
      <c r="E26" s="137" t="s">
        <v>80</v>
      </c>
      <c r="F26" s="31">
        <f t="shared" si="1"/>
        <v>4</v>
      </c>
      <c r="G26" s="137" t="s">
        <v>123</v>
      </c>
      <c r="H26" s="138">
        <v>84</v>
      </c>
      <c r="I26" s="158">
        <f t="shared" si="2"/>
        <v>0.39317284008695319</v>
      </c>
      <c r="J26" s="95">
        <v>1.7157883738083399E-2</v>
      </c>
      <c r="K26" s="137">
        <v>0.76918779643582302</v>
      </c>
      <c r="L26" s="137">
        <v>0.75</v>
      </c>
      <c r="M26" s="137">
        <v>0.79796949108955795</v>
      </c>
      <c r="N26" s="136">
        <v>1</v>
      </c>
      <c r="O26" s="32">
        <v>43255</v>
      </c>
      <c r="P26" s="98">
        <f t="shared" si="3"/>
        <v>0</v>
      </c>
      <c r="Q26">
        <v>0</v>
      </c>
      <c r="R26">
        <v>0</v>
      </c>
      <c r="S26">
        <v>0</v>
      </c>
      <c r="T26" s="112" t="s">
        <v>48</v>
      </c>
      <c r="U26" s="137" t="s">
        <v>124</v>
      </c>
      <c r="V26" s="137" t="s">
        <v>125</v>
      </c>
      <c r="W26" s="69">
        <v>82</v>
      </c>
      <c r="X26" s="136">
        <v>1</v>
      </c>
      <c r="Y26" s="136">
        <v>2</v>
      </c>
      <c r="Z26" s="314"/>
      <c r="AA26" s="319">
        <v>0.54500000000000004</v>
      </c>
      <c r="AB26" s="315" t="s">
        <v>5165</v>
      </c>
      <c r="AC26" s="319">
        <v>4</v>
      </c>
      <c r="AD26" s="320">
        <v>8.8888888888888906E-2</v>
      </c>
      <c r="AE26" s="319">
        <v>1</v>
      </c>
      <c r="AF26" s="320">
        <v>2.2222222222222199E-2</v>
      </c>
      <c r="AG26" s="319">
        <v>1</v>
      </c>
      <c r="AH26" s="320">
        <v>2.2222222222222199E-2</v>
      </c>
      <c r="AI26" s="319">
        <v>0</v>
      </c>
      <c r="AJ26" s="320">
        <v>0</v>
      </c>
      <c r="AK26" s="320">
        <v>0</v>
      </c>
      <c r="AL26" s="319">
        <v>5</v>
      </c>
      <c r="AM26" s="319">
        <v>6.2</v>
      </c>
      <c r="AN26" s="319">
        <v>7.3333333333333304</v>
      </c>
      <c r="AO26" s="319">
        <v>0.61777777777777698</v>
      </c>
      <c r="AP26">
        <v>2</v>
      </c>
      <c r="AR26" s="136"/>
      <c r="AS26">
        <v>2</v>
      </c>
      <c r="AT26" s="69">
        <v>2.3148</v>
      </c>
      <c r="AU26" s="69">
        <v>5</v>
      </c>
      <c r="AV26" s="69">
        <v>9.8416999999999994</v>
      </c>
      <c r="AW26" s="69">
        <v>0.57189999999999996</v>
      </c>
      <c r="BB26" s="69"/>
    </row>
    <row r="27" spans="1:54" customFormat="1" ht="40" customHeight="1">
      <c r="A27" s="313">
        <v>26</v>
      </c>
      <c r="B27" s="136" t="s">
        <v>115</v>
      </c>
      <c r="C27" s="136" t="s">
        <v>45</v>
      </c>
      <c r="D27" s="31">
        <f t="shared" si="0"/>
        <v>4</v>
      </c>
      <c r="E27" s="137" t="s">
        <v>46</v>
      </c>
      <c r="F27" s="31">
        <f t="shared" si="1"/>
        <v>6</v>
      </c>
      <c r="G27" s="137" t="s">
        <v>126</v>
      </c>
      <c r="H27" s="138">
        <v>166</v>
      </c>
      <c r="I27" s="158">
        <f t="shared" si="2"/>
        <v>0.34554541749522183</v>
      </c>
      <c r="J27" s="95">
        <v>2.2121083396164899E-6</v>
      </c>
      <c r="K27" s="137">
        <v>0.69108862288210404</v>
      </c>
      <c r="L27" s="137">
        <v>0.61983471074380103</v>
      </c>
      <c r="M27" s="137">
        <v>0.79796949108955795</v>
      </c>
      <c r="N27" s="136">
        <v>1</v>
      </c>
      <c r="O27" s="32">
        <v>43206</v>
      </c>
      <c r="P27" s="98">
        <f t="shared" si="3"/>
        <v>0</v>
      </c>
      <c r="Q27">
        <v>12.75</v>
      </c>
      <c r="R27">
        <v>1.65</v>
      </c>
      <c r="S27">
        <v>1.87</v>
      </c>
      <c r="T27" s="112" t="s">
        <v>48</v>
      </c>
      <c r="U27" s="137" t="s">
        <v>127</v>
      </c>
      <c r="V27" s="137" t="s">
        <v>128</v>
      </c>
      <c r="W27" s="69">
        <v>169</v>
      </c>
      <c r="X27" s="136">
        <v>1</v>
      </c>
      <c r="Y27" s="136">
        <v>2</v>
      </c>
      <c r="Z27" s="314"/>
      <c r="AA27" s="319">
        <v>4.4100414312420698E-2</v>
      </c>
      <c r="AB27" s="315" t="s">
        <v>5176</v>
      </c>
      <c r="AC27" s="319">
        <v>0</v>
      </c>
      <c r="AD27" s="320">
        <v>0</v>
      </c>
      <c r="AE27" s="319">
        <v>8</v>
      </c>
      <c r="AF27" s="320">
        <v>8.98876404494382E-2</v>
      </c>
      <c r="AG27" s="319">
        <v>3</v>
      </c>
      <c r="AH27" s="320">
        <v>3.3707865168539297E-2</v>
      </c>
      <c r="AI27" s="319">
        <v>2</v>
      </c>
      <c r="AJ27" s="320">
        <v>2.2471910112359501E-2</v>
      </c>
      <c r="AK27" s="320">
        <v>3.3707865168539318E-2</v>
      </c>
      <c r="AL27" s="319">
        <v>6.75</v>
      </c>
      <c r="AM27" s="319">
        <v>5</v>
      </c>
      <c r="AN27" s="319">
        <v>4.6666666666666599</v>
      </c>
      <c r="AO27" s="319">
        <v>0.54722222222222205</v>
      </c>
      <c r="AP27">
        <v>2</v>
      </c>
      <c r="AR27" s="136">
        <v>2</v>
      </c>
      <c r="AT27" s="69">
        <v>6.3414000000000001</v>
      </c>
      <c r="AU27" s="69">
        <v>2.3148</v>
      </c>
      <c r="AV27" s="69">
        <v>8.1305999999999994</v>
      </c>
      <c r="AW27" s="69">
        <v>0.55959999999999999</v>
      </c>
      <c r="BB27" s="69"/>
    </row>
    <row r="28" spans="1:54" customFormat="1" ht="40" customHeight="1">
      <c r="A28" s="313">
        <v>27</v>
      </c>
      <c r="B28" s="136" t="s">
        <v>115</v>
      </c>
      <c r="C28" s="136" t="s">
        <v>45</v>
      </c>
      <c r="D28" s="31">
        <f t="shared" si="0"/>
        <v>4</v>
      </c>
      <c r="E28" s="137" t="s">
        <v>46</v>
      </c>
      <c r="F28" s="31">
        <f t="shared" si="1"/>
        <v>6</v>
      </c>
      <c r="G28" s="137" t="s">
        <v>129</v>
      </c>
      <c r="H28" s="138">
        <v>160</v>
      </c>
      <c r="I28" s="158">
        <f t="shared" si="2"/>
        <v>0.26597368799088444</v>
      </c>
      <c r="J28" s="95">
        <v>5.5463902992602996E-7</v>
      </c>
      <c r="K28" s="137">
        <v>0.53194682134273896</v>
      </c>
      <c r="L28" s="137">
        <v>0.38486858867302998</v>
      </c>
      <c r="M28" s="137">
        <v>0.75256417034730305</v>
      </c>
      <c r="N28" s="136">
        <v>1</v>
      </c>
      <c r="O28" s="32">
        <v>43191</v>
      </c>
      <c r="P28" s="98">
        <f t="shared" si="3"/>
        <v>0</v>
      </c>
      <c r="Q28">
        <v>7.65</v>
      </c>
      <c r="R28">
        <v>0</v>
      </c>
      <c r="S28">
        <v>0</v>
      </c>
      <c r="T28" s="112" t="s">
        <v>48</v>
      </c>
      <c r="U28" s="137" t="s">
        <v>130</v>
      </c>
      <c r="V28" s="137" t="s">
        <v>131</v>
      </c>
      <c r="W28" s="69">
        <v>131</v>
      </c>
      <c r="X28" s="136">
        <v>1</v>
      </c>
      <c r="Y28" s="136">
        <v>3</v>
      </c>
      <c r="Z28" s="314"/>
      <c r="AA28" s="319">
        <v>1.0457875918910499E-3</v>
      </c>
      <c r="AB28" s="315" t="s">
        <v>5178</v>
      </c>
      <c r="AC28" s="319">
        <v>5</v>
      </c>
      <c r="AD28" s="320">
        <v>6.7567567567567502E-2</v>
      </c>
      <c r="AE28" s="319">
        <v>5</v>
      </c>
      <c r="AF28" s="320">
        <v>6.7567567567567502E-2</v>
      </c>
      <c r="AG28" s="319">
        <v>4</v>
      </c>
      <c r="AH28" s="320">
        <v>5.4054054054054002E-2</v>
      </c>
      <c r="AI28" s="319">
        <v>0</v>
      </c>
      <c r="AJ28" s="320">
        <v>0</v>
      </c>
      <c r="AK28" s="320">
        <v>4.0540540540540543E-2</v>
      </c>
      <c r="AL28" s="319">
        <v>6.75</v>
      </c>
      <c r="AM28" s="319">
        <v>5</v>
      </c>
      <c r="AN28" s="319">
        <v>3.5</v>
      </c>
      <c r="AO28" s="319">
        <v>0.50833333333333297</v>
      </c>
      <c r="AP28">
        <v>3</v>
      </c>
      <c r="AR28" s="136">
        <v>3</v>
      </c>
      <c r="AT28" s="69">
        <v>6.3414000000000001</v>
      </c>
      <c r="AU28" s="69">
        <v>2.3148</v>
      </c>
      <c r="AV28" s="69">
        <v>5.7443999999999997</v>
      </c>
      <c r="AW28" s="69">
        <v>0.48</v>
      </c>
      <c r="BB28" s="69"/>
    </row>
    <row r="29" spans="1:54" customFormat="1" ht="40" customHeight="1">
      <c r="A29" s="313">
        <v>28</v>
      </c>
      <c r="B29" s="136" t="s">
        <v>115</v>
      </c>
      <c r="C29" s="136" t="s">
        <v>59</v>
      </c>
      <c r="D29" s="31">
        <f t="shared" si="0"/>
        <v>5</v>
      </c>
      <c r="E29" s="137" t="s">
        <v>46</v>
      </c>
      <c r="F29" s="31">
        <f t="shared" si="1"/>
        <v>6</v>
      </c>
      <c r="G29" s="137" t="s">
        <v>132</v>
      </c>
      <c r="H29" s="138">
        <v>81</v>
      </c>
      <c r="I29" s="158">
        <f t="shared" si="2"/>
        <v>0.51644935465716557</v>
      </c>
      <c r="J29" s="95">
        <v>0.280950657366279</v>
      </c>
      <c r="K29" s="137">
        <v>0.75194805194805203</v>
      </c>
      <c r="L29" s="137">
        <v>0.68181818181818199</v>
      </c>
      <c r="M29" s="137">
        <v>0.85714285714285698</v>
      </c>
      <c r="N29" s="136">
        <v>1</v>
      </c>
      <c r="O29" s="32">
        <v>43185</v>
      </c>
      <c r="P29" s="98">
        <f t="shared" si="3"/>
        <v>1</v>
      </c>
      <c r="Q29">
        <v>0</v>
      </c>
      <c r="R29">
        <v>0</v>
      </c>
      <c r="S29">
        <v>0</v>
      </c>
      <c r="T29" s="112" t="s">
        <v>73</v>
      </c>
      <c r="U29" s="137" t="s">
        <v>133</v>
      </c>
      <c r="V29" s="137" t="s">
        <v>134</v>
      </c>
      <c r="W29" s="69">
        <v>89</v>
      </c>
      <c r="X29" s="136">
        <v>1</v>
      </c>
      <c r="Y29" s="136">
        <v>1</v>
      </c>
      <c r="Z29" s="314"/>
      <c r="AA29" s="319">
        <v>0.5</v>
      </c>
      <c r="AB29" s="315" t="s">
        <v>5178</v>
      </c>
      <c r="AC29" s="319">
        <v>1</v>
      </c>
      <c r="AD29" s="320">
        <v>1.8181818181818101E-2</v>
      </c>
      <c r="AE29" s="319">
        <v>1</v>
      </c>
      <c r="AF29" s="320">
        <v>1.8181818181818101E-2</v>
      </c>
      <c r="AG29" s="319">
        <v>0</v>
      </c>
      <c r="AH29" s="320">
        <v>0</v>
      </c>
      <c r="AI29" s="319">
        <v>0</v>
      </c>
      <c r="AJ29" s="320">
        <v>0</v>
      </c>
      <c r="AK29" s="320">
        <v>0</v>
      </c>
      <c r="AL29" s="319">
        <v>5</v>
      </c>
      <c r="AM29" s="319">
        <v>5</v>
      </c>
      <c r="AN29" s="319">
        <v>5</v>
      </c>
      <c r="AO29" s="319">
        <v>0.5</v>
      </c>
      <c r="AP29">
        <v>1</v>
      </c>
      <c r="AR29" s="136">
        <v>1</v>
      </c>
      <c r="AT29" s="69">
        <v>2.3148</v>
      </c>
      <c r="AU29" s="69">
        <v>2.3148</v>
      </c>
      <c r="AV29" s="69">
        <v>8.5815000000000001</v>
      </c>
      <c r="AW29" s="69">
        <v>0.44040000000000001</v>
      </c>
      <c r="BB29" s="69"/>
    </row>
    <row r="30" spans="1:54" customFormat="1" ht="40" customHeight="1">
      <c r="A30" s="313">
        <v>29</v>
      </c>
      <c r="B30" s="136" t="s">
        <v>115</v>
      </c>
      <c r="C30" s="136" t="s">
        <v>45</v>
      </c>
      <c r="D30" s="31">
        <f t="shared" si="0"/>
        <v>4</v>
      </c>
      <c r="E30" s="137" t="s">
        <v>46</v>
      </c>
      <c r="F30" s="31">
        <f t="shared" si="1"/>
        <v>6</v>
      </c>
      <c r="G30" s="137" t="s">
        <v>135</v>
      </c>
      <c r="H30" s="138">
        <v>242</v>
      </c>
      <c r="I30" s="158">
        <f t="shared" si="2"/>
        <v>0.69024688560682756</v>
      </c>
      <c r="J30" s="95">
        <v>0.80005350769811401</v>
      </c>
      <c r="K30" s="137">
        <v>0.58044026351554101</v>
      </c>
      <c r="L30" s="137">
        <v>0.465690992294366</v>
      </c>
      <c r="M30" s="137">
        <v>0.75256417034730305</v>
      </c>
      <c r="N30" s="136">
        <v>1</v>
      </c>
      <c r="O30" s="32">
        <v>43158</v>
      </c>
      <c r="P30" s="98">
        <f t="shared" si="3"/>
        <v>1</v>
      </c>
      <c r="Q30">
        <v>5.0999999999999996</v>
      </c>
      <c r="R30">
        <v>9.9</v>
      </c>
      <c r="S30">
        <v>1.87</v>
      </c>
      <c r="T30" s="112" t="s">
        <v>73</v>
      </c>
      <c r="U30" s="137" t="s">
        <v>136</v>
      </c>
      <c r="V30" s="137" t="s">
        <v>137</v>
      </c>
      <c r="W30" s="69">
        <v>116</v>
      </c>
      <c r="X30" s="136">
        <v>2</v>
      </c>
      <c r="Y30" s="136">
        <v>3</v>
      </c>
      <c r="Z30" s="314"/>
      <c r="AA30" s="319">
        <v>1.2393760883331699E-3</v>
      </c>
      <c r="AB30" s="315" t="s">
        <v>5176</v>
      </c>
      <c r="AC30" s="319">
        <v>3</v>
      </c>
      <c r="AD30" s="320">
        <v>4.6153846153846101E-2</v>
      </c>
      <c r="AE30" s="319">
        <v>4</v>
      </c>
      <c r="AF30" s="320">
        <v>6.15384615384615E-2</v>
      </c>
      <c r="AG30" s="319">
        <v>2</v>
      </c>
      <c r="AH30" s="320">
        <v>3.0769230769230702E-2</v>
      </c>
      <c r="AI30" s="319">
        <v>0</v>
      </c>
      <c r="AJ30" s="320">
        <v>0</v>
      </c>
      <c r="AK30" s="320">
        <v>4.6153846153846163E-2</v>
      </c>
      <c r="AL30" s="319">
        <v>8.5</v>
      </c>
      <c r="AM30" s="319">
        <v>6.2</v>
      </c>
      <c r="AN30" s="319">
        <v>2</v>
      </c>
      <c r="AO30" s="319">
        <v>0.55666666666666598</v>
      </c>
      <c r="AP30">
        <v>3</v>
      </c>
      <c r="AR30" s="136">
        <v>3</v>
      </c>
      <c r="AT30" s="69">
        <v>9.0888000000000009</v>
      </c>
      <c r="AU30" s="69">
        <v>5</v>
      </c>
      <c r="AV30" s="69">
        <v>2.3148</v>
      </c>
      <c r="AW30" s="69">
        <v>0.54679999999999995</v>
      </c>
      <c r="BB30" s="69"/>
    </row>
    <row r="31" spans="1:54" customFormat="1" ht="40" customHeight="1">
      <c r="A31" s="313">
        <v>30</v>
      </c>
      <c r="B31" s="136" t="s">
        <v>115</v>
      </c>
      <c r="C31" s="136" t="s">
        <v>59</v>
      </c>
      <c r="D31" s="31">
        <f t="shared" si="0"/>
        <v>5</v>
      </c>
      <c r="E31" s="137" t="s">
        <v>46</v>
      </c>
      <c r="F31" s="31">
        <f t="shared" si="1"/>
        <v>6</v>
      </c>
      <c r="G31" s="137" t="s">
        <v>138</v>
      </c>
      <c r="H31" s="138">
        <v>30</v>
      </c>
      <c r="I31" s="158">
        <f t="shared" si="2"/>
        <v>0.31193174695672626</v>
      </c>
      <c r="J31" s="95">
        <v>5.7547793456569399E-5</v>
      </c>
      <c r="K31" s="137">
        <v>0.62380594611999596</v>
      </c>
      <c r="L31" s="137">
        <v>0.56348610067618299</v>
      </c>
      <c r="M31" s="137">
        <v>0.71428571428571397</v>
      </c>
      <c r="N31" s="136">
        <v>1</v>
      </c>
      <c r="O31" s="32">
        <v>43118</v>
      </c>
      <c r="P31" s="98">
        <f t="shared" si="3"/>
        <v>1</v>
      </c>
      <c r="Q31">
        <v>0</v>
      </c>
      <c r="R31">
        <v>3.3</v>
      </c>
      <c r="S31">
        <v>0</v>
      </c>
      <c r="T31" s="112" t="s">
        <v>73</v>
      </c>
      <c r="U31" s="137" t="s">
        <v>139</v>
      </c>
      <c r="V31" s="137" t="s">
        <v>140</v>
      </c>
      <c r="W31" s="69">
        <v>84</v>
      </c>
      <c r="X31" s="136">
        <v>1</v>
      </c>
      <c r="Y31" s="136">
        <v>4</v>
      </c>
      <c r="Z31" s="314"/>
      <c r="AA31" s="319">
        <v>2.7382887602325101E-2</v>
      </c>
      <c r="AB31" s="315" t="s">
        <v>5165</v>
      </c>
      <c r="AC31" s="319">
        <v>3</v>
      </c>
      <c r="AD31" s="320">
        <v>6.3829787234042507E-2</v>
      </c>
      <c r="AE31" s="319">
        <v>2</v>
      </c>
      <c r="AF31" s="320">
        <v>4.2553191489361701E-2</v>
      </c>
      <c r="AG31" s="319">
        <v>2</v>
      </c>
      <c r="AH31" s="320">
        <v>4.2553191489361701E-2</v>
      </c>
      <c r="AI31" s="319">
        <v>0</v>
      </c>
      <c r="AJ31" s="320">
        <v>0</v>
      </c>
      <c r="AK31" s="320">
        <v>2.1276595744680851E-2</v>
      </c>
      <c r="AL31" s="319">
        <v>5</v>
      </c>
      <c r="AM31" s="319">
        <v>5</v>
      </c>
      <c r="AN31" s="319">
        <v>3.5</v>
      </c>
      <c r="AO31" s="319">
        <v>0.45</v>
      </c>
      <c r="AP31">
        <v>4</v>
      </c>
      <c r="AR31" s="136">
        <v>4</v>
      </c>
      <c r="AT31" s="69">
        <v>2.3148</v>
      </c>
      <c r="AU31" s="69">
        <v>2.3148</v>
      </c>
      <c r="AV31" s="69">
        <v>5.7443999999999997</v>
      </c>
      <c r="AW31" s="69">
        <v>0.3458</v>
      </c>
      <c r="BB31" s="69"/>
    </row>
    <row r="32" spans="1:54" customFormat="1" ht="40" customHeight="1">
      <c r="A32" s="313">
        <v>31</v>
      </c>
      <c r="B32" s="136" t="s">
        <v>115</v>
      </c>
      <c r="C32" s="136" t="s">
        <v>119</v>
      </c>
      <c r="D32" s="31">
        <f t="shared" si="0"/>
        <v>1</v>
      </c>
      <c r="E32" s="137" t="s">
        <v>46</v>
      </c>
      <c r="F32" s="31">
        <f t="shared" si="1"/>
        <v>6</v>
      </c>
      <c r="G32" s="137" t="s">
        <v>141</v>
      </c>
      <c r="H32" s="138">
        <v>168</v>
      </c>
      <c r="I32" s="158">
        <f t="shared" si="2"/>
        <v>0.34570511485725119</v>
      </c>
      <c r="J32" s="95">
        <v>3.2160683239834702E-4</v>
      </c>
      <c r="K32" s="137">
        <v>0.69108862288210404</v>
      </c>
      <c r="L32" s="137">
        <v>0.61983471074380103</v>
      </c>
      <c r="M32" s="137">
        <v>0.79796949108955795</v>
      </c>
      <c r="N32" s="136">
        <v>1</v>
      </c>
      <c r="O32" s="32">
        <v>43114</v>
      </c>
      <c r="P32" s="98">
        <f t="shared" si="3"/>
        <v>1</v>
      </c>
      <c r="Q32">
        <v>0</v>
      </c>
      <c r="R32">
        <v>8.25</v>
      </c>
      <c r="S32">
        <v>0</v>
      </c>
      <c r="T32" s="112" t="s">
        <v>73</v>
      </c>
      <c r="U32" s="137" t="s">
        <v>142</v>
      </c>
      <c r="V32" s="137" t="s">
        <v>143</v>
      </c>
      <c r="W32" s="69">
        <v>83</v>
      </c>
      <c r="X32" s="136">
        <v>2</v>
      </c>
      <c r="Y32" s="136">
        <v>2</v>
      </c>
      <c r="Z32" s="314"/>
      <c r="AA32" s="319">
        <v>2.2630485621756301E-2</v>
      </c>
      <c r="AB32" s="315" t="s">
        <v>5178</v>
      </c>
      <c r="AC32" s="319">
        <v>2</v>
      </c>
      <c r="AD32" s="320">
        <v>3.7735849056603703E-2</v>
      </c>
      <c r="AE32" s="319">
        <v>2</v>
      </c>
      <c r="AF32" s="320">
        <v>3.7735849056603703E-2</v>
      </c>
      <c r="AG32" s="319">
        <v>1</v>
      </c>
      <c r="AH32" s="320">
        <v>1.8867924528301799E-2</v>
      </c>
      <c r="AI32" s="319">
        <v>0</v>
      </c>
      <c r="AJ32" s="320">
        <v>0</v>
      </c>
      <c r="AK32" s="320">
        <v>3.7735849056603772E-2</v>
      </c>
      <c r="AL32" s="319">
        <v>6.75</v>
      </c>
      <c r="AM32" s="319">
        <v>5</v>
      </c>
      <c r="AN32" s="319">
        <v>2</v>
      </c>
      <c r="AO32" s="319">
        <v>0.45833333333333298</v>
      </c>
      <c r="AP32">
        <v>2</v>
      </c>
      <c r="AR32" s="136">
        <v>2</v>
      </c>
      <c r="AT32" s="69">
        <v>6.3414000000000001</v>
      </c>
      <c r="AU32" s="69">
        <v>2.3148</v>
      </c>
      <c r="AV32" s="69">
        <v>2.3148</v>
      </c>
      <c r="AW32" s="69">
        <v>0.36570000000000003</v>
      </c>
      <c r="BB32" s="69"/>
    </row>
    <row r="33" spans="1:54" customFormat="1" ht="40" customHeight="1">
      <c r="A33" s="313">
        <v>32</v>
      </c>
      <c r="B33" s="136" t="s">
        <v>115</v>
      </c>
      <c r="C33" s="136" t="s">
        <v>45</v>
      </c>
      <c r="D33" s="31">
        <f t="shared" si="0"/>
        <v>4</v>
      </c>
      <c r="E33" s="137" t="s">
        <v>46</v>
      </c>
      <c r="F33" s="31">
        <f t="shared" si="1"/>
        <v>6</v>
      </c>
      <c r="G33" s="137" t="s">
        <v>144</v>
      </c>
      <c r="H33" s="138">
        <v>152</v>
      </c>
      <c r="I33" s="158">
        <f t="shared" si="2"/>
        <v>0.30679565353382954</v>
      </c>
      <c r="J33" s="95">
        <v>3.4010565153365098E-2</v>
      </c>
      <c r="K33" s="137">
        <v>0.57958074191429398</v>
      </c>
      <c r="L33" s="137">
        <v>0.51226009152380303</v>
      </c>
      <c r="M33" s="137">
        <v>0.68056171750003003</v>
      </c>
      <c r="N33" s="136">
        <v>1</v>
      </c>
      <c r="O33" s="32">
        <v>43103</v>
      </c>
      <c r="P33" s="98">
        <f t="shared" si="3"/>
        <v>1</v>
      </c>
      <c r="Q33">
        <v>2.5499999999999998</v>
      </c>
      <c r="R33">
        <v>6.6</v>
      </c>
      <c r="S33">
        <v>1.87</v>
      </c>
      <c r="T33" s="112" t="s">
        <v>73</v>
      </c>
      <c r="U33" s="137" t="s">
        <v>145</v>
      </c>
      <c r="V33" s="137" t="s">
        <v>146</v>
      </c>
      <c r="W33" s="69">
        <v>139</v>
      </c>
      <c r="X33" s="136">
        <v>1</v>
      </c>
      <c r="Y33" s="136">
        <v>5</v>
      </c>
      <c r="Z33" s="314"/>
      <c r="AA33" s="319">
        <v>1.00736013888038E-2</v>
      </c>
      <c r="AB33" s="315" t="s">
        <v>5165</v>
      </c>
      <c r="AC33" s="319">
        <v>4</v>
      </c>
      <c r="AD33" s="320">
        <v>0.05</v>
      </c>
      <c r="AE33" s="319">
        <v>1</v>
      </c>
      <c r="AF33" s="320">
        <v>1.2500000000000001E-2</v>
      </c>
      <c r="AG33" s="319">
        <v>2</v>
      </c>
      <c r="AH33" s="320">
        <v>2.5000000000000001E-2</v>
      </c>
      <c r="AI33" s="319">
        <v>0</v>
      </c>
      <c r="AJ33" s="320">
        <v>0</v>
      </c>
      <c r="AK33" s="320">
        <v>0</v>
      </c>
      <c r="AL33" s="319">
        <v>5</v>
      </c>
      <c r="AM33" s="319">
        <v>6.2</v>
      </c>
      <c r="AN33" s="319">
        <v>6.1666666666666599</v>
      </c>
      <c r="AO33" s="319">
        <v>0.57888888888888801</v>
      </c>
      <c r="AP33">
        <v>5</v>
      </c>
      <c r="AR33" s="136"/>
      <c r="AS33">
        <v>5</v>
      </c>
      <c r="AT33" s="69">
        <v>2.3148</v>
      </c>
      <c r="AU33" s="69">
        <v>5</v>
      </c>
      <c r="AV33" s="69">
        <v>9.5120000000000005</v>
      </c>
      <c r="AW33" s="69">
        <v>0.56089999999999995</v>
      </c>
      <c r="BB33" s="69"/>
    </row>
    <row r="34" spans="1:54" customFormat="1" ht="40" customHeight="1">
      <c r="A34" s="313">
        <v>33</v>
      </c>
      <c r="B34" s="136" t="s">
        <v>115</v>
      </c>
      <c r="C34" s="136" t="s">
        <v>59</v>
      </c>
      <c r="D34" s="31">
        <f t="shared" si="0"/>
        <v>5</v>
      </c>
      <c r="E34" s="137" t="s">
        <v>46</v>
      </c>
      <c r="F34" s="31">
        <f t="shared" si="1"/>
        <v>6</v>
      </c>
      <c r="G34" s="137" t="s">
        <v>147</v>
      </c>
      <c r="H34" s="138">
        <v>140</v>
      </c>
      <c r="I34" s="158">
        <f t="shared" si="2"/>
        <v>0.39972754214263195</v>
      </c>
      <c r="J34" s="95">
        <v>7.1176378758531902E-2</v>
      </c>
      <c r="K34" s="137">
        <v>0.72827870552673202</v>
      </c>
      <c r="L34" s="137">
        <v>0.68181818181818199</v>
      </c>
      <c r="M34" s="137">
        <v>0.79796949108955795</v>
      </c>
      <c r="N34" s="136">
        <v>1</v>
      </c>
      <c r="O34" s="32">
        <v>43102</v>
      </c>
      <c r="P34" s="98">
        <f t="shared" si="3"/>
        <v>1</v>
      </c>
      <c r="Q34">
        <v>0</v>
      </c>
      <c r="R34">
        <v>3.3</v>
      </c>
      <c r="S34">
        <v>0</v>
      </c>
      <c r="T34" s="112" t="s">
        <v>73</v>
      </c>
      <c r="U34" s="137" t="s">
        <v>148</v>
      </c>
      <c r="V34" s="137" t="s">
        <v>149</v>
      </c>
      <c r="W34" s="69">
        <v>98</v>
      </c>
      <c r="X34" s="136">
        <v>1</v>
      </c>
      <c r="Y34" s="136">
        <v>2</v>
      </c>
      <c r="Z34" s="314"/>
      <c r="AA34" s="319">
        <v>0.413223140495867</v>
      </c>
      <c r="AB34" s="315" t="s">
        <v>5178</v>
      </c>
      <c r="AC34" s="319">
        <v>3</v>
      </c>
      <c r="AD34" s="320">
        <v>5.2631578947368397E-2</v>
      </c>
      <c r="AE34" s="319">
        <v>3</v>
      </c>
      <c r="AF34" s="320">
        <v>5.2631578947368397E-2</v>
      </c>
      <c r="AG34" s="319">
        <v>2</v>
      </c>
      <c r="AH34" s="320">
        <v>3.5087719298245598E-2</v>
      </c>
      <c r="AI34" s="319">
        <v>0</v>
      </c>
      <c r="AJ34" s="320">
        <v>0</v>
      </c>
      <c r="AK34" s="320">
        <v>1.754385964912281E-2</v>
      </c>
      <c r="AL34" s="319">
        <v>6.75</v>
      </c>
      <c r="AM34" s="319">
        <v>5</v>
      </c>
      <c r="AN34" s="319">
        <v>3.5</v>
      </c>
      <c r="AO34" s="319">
        <v>0.50833333333333297</v>
      </c>
      <c r="AP34">
        <v>2</v>
      </c>
      <c r="AR34" s="136">
        <v>2</v>
      </c>
      <c r="AT34" s="69">
        <v>6.3414000000000001</v>
      </c>
      <c r="AU34" s="69">
        <v>2.3148</v>
      </c>
      <c r="AV34" s="69">
        <v>5.7443999999999997</v>
      </c>
      <c r="AW34" s="69">
        <v>0.48</v>
      </c>
      <c r="BB34" s="69"/>
    </row>
    <row r="35" spans="1:54" customFormat="1" ht="40" customHeight="1">
      <c r="A35" s="313">
        <v>34</v>
      </c>
      <c r="B35" s="136" t="s">
        <v>115</v>
      </c>
      <c r="C35" s="136" t="s">
        <v>59</v>
      </c>
      <c r="D35" s="31">
        <f t="shared" si="0"/>
        <v>5</v>
      </c>
      <c r="E35" s="137" t="s">
        <v>46</v>
      </c>
      <c r="F35" s="31">
        <f t="shared" si="1"/>
        <v>6</v>
      </c>
      <c r="G35" s="137" t="s">
        <v>150</v>
      </c>
      <c r="H35" s="138">
        <v>46</v>
      </c>
      <c r="I35" s="158">
        <f t="shared" si="2"/>
        <v>0.36366241215979583</v>
      </c>
      <c r="J35" s="95">
        <v>3.6236201437487597E-2</v>
      </c>
      <c r="K35" s="137">
        <v>0.69108862288210404</v>
      </c>
      <c r="L35" s="137">
        <v>0.61983471074380203</v>
      </c>
      <c r="M35" s="137">
        <v>0.79796949108955795</v>
      </c>
      <c r="N35" s="136">
        <v>1</v>
      </c>
      <c r="O35" s="32">
        <v>43079</v>
      </c>
      <c r="P35" s="98">
        <f t="shared" si="3"/>
        <v>1</v>
      </c>
      <c r="Q35">
        <v>0</v>
      </c>
      <c r="R35">
        <v>3.3</v>
      </c>
      <c r="S35">
        <v>0</v>
      </c>
      <c r="T35" s="112" t="s">
        <v>73</v>
      </c>
      <c r="U35" s="137" t="s">
        <v>151</v>
      </c>
      <c r="V35" s="137" t="s">
        <v>152</v>
      </c>
      <c r="W35" s="69">
        <v>81</v>
      </c>
      <c r="X35" s="136">
        <v>2</v>
      </c>
      <c r="Y35" s="136">
        <v>2</v>
      </c>
      <c r="Z35" s="314"/>
      <c r="AA35" s="319">
        <v>0.55000000000000004</v>
      </c>
      <c r="AB35" s="315" t="s">
        <v>5176</v>
      </c>
      <c r="AC35" s="319">
        <v>1</v>
      </c>
      <c r="AD35" s="320">
        <v>2.1739130434782601E-2</v>
      </c>
      <c r="AE35" s="319">
        <v>3</v>
      </c>
      <c r="AF35" s="320">
        <v>6.5217391304347797E-2</v>
      </c>
      <c r="AG35" s="319">
        <v>2</v>
      </c>
      <c r="AH35" s="320">
        <v>4.3478260869565202E-2</v>
      </c>
      <c r="AI35" s="319">
        <v>0</v>
      </c>
      <c r="AJ35" s="320">
        <v>0</v>
      </c>
      <c r="AK35" s="320">
        <v>2.1739130434782612E-2</v>
      </c>
      <c r="AL35" s="319">
        <v>5</v>
      </c>
      <c r="AM35" s="319">
        <v>5</v>
      </c>
      <c r="AN35" s="319">
        <v>5</v>
      </c>
      <c r="AO35" s="319">
        <v>0.5</v>
      </c>
      <c r="AP35">
        <v>2</v>
      </c>
      <c r="AR35" s="136">
        <v>2</v>
      </c>
      <c r="AT35" s="69">
        <v>2.3148</v>
      </c>
      <c r="AU35" s="69">
        <v>2.3148</v>
      </c>
      <c r="AV35" s="69">
        <v>8.5815000000000001</v>
      </c>
      <c r="AW35" s="69">
        <v>0.44040000000000001</v>
      </c>
      <c r="BB35" s="69"/>
    </row>
    <row r="36" spans="1:54" customFormat="1" ht="40" customHeight="1">
      <c r="A36" s="313">
        <v>35</v>
      </c>
      <c r="B36" s="136" t="s">
        <v>115</v>
      </c>
      <c r="C36" s="136" t="s">
        <v>59</v>
      </c>
      <c r="D36" s="31">
        <f t="shared" si="0"/>
        <v>5</v>
      </c>
      <c r="E36" s="137" t="s">
        <v>46</v>
      </c>
      <c r="F36" s="31">
        <f t="shared" si="1"/>
        <v>6</v>
      </c>
      <c r="G36" s="137" t="s">
        <v>150</v>
      </c>
      <c r="H36" s="138">
        <v>21</v>
      </c>
      <c r="I36" s="158">
        <f t="shared" si="2"/>
        <v>0.40987725034710443</v>
      </c>
      <c r="J36" s="95">
        <v>6.7806448746156794E-2</v>
      </c>
      <c r="K36" s="137">
        <v>0.75194805194805203</v>
      </c>
      <c r="L36" s="137">
        <v>0.68181818181818199</v>
      </c>
      <c r="M36" s="137">
        <v>0.85714285714285698</v>
      </c>
      <c r="N36" s="136">
        <v>1</v>
      </c>
      <c r="O36" s="32">
        <v>43076</v>
      </c>
      <c r="P36" s="98">
        <f t="shared" si="3"/>
        <v>1</v>
      </c>
      <c r="Q36">
        <v>0</v>
      </c>
      <c r="R36">
        <v>1.65</v>
      </c>
      <c r="S36">
        <v>0</v>
      </c>
      <c r="T36" s="112" t="s">
        <v>153</v>
      </c>
      <c r="U36" s="137" t="s">
        <v>154</v>
      </c>
      <c r="V36" s="137" t="s">
        <v>155</v>
      </c>
      <c r="W36" s="69">
        <v>99</v>
      </c>
      <c r="X36" s="136">
        <v>2</v>
      </c>
      <c r="Y36" s="136">
        <v>1</v>
      </c>
      <c r="Z36" s="314"/>
      <c r="AA36" s="319">
        <v>0.55000000000000004</v>
      </c>
      <c r="AB36" s="315" t="s">
        <v>5176</v>
      </c>
      <c r="AC36" s="319">
        <v>3</v>
      </c>
      <c r="AD36" s="320">
        <v>5.5555555555555497E-2</v>
      </c>
      <c r="AE36" s="319">
        <v>6</v>
      </c>
      <c r="AF36" s="320">
        <v>0.11111111111111099</v>
      </c>
      <c r="AG36" s="319">
        <v>2</v>
      </c>
      <c r="AH36" s="320">
        <v>3.7037037037037E-2</v>
      </c>
      <c r="AI36" s="319">
        <v>0</v>
      </c>
      <c r="AJ36" s="320">
        <v>0</v>
      </c>
      <c r="AK36" s="320">
        <v>1.8518518518518521E-2</v>
      </c>
      <c r="AL36" s="319">
        <v>5</v>
      </c>
      <c r="AM36" s="319">
        <v>5</v>
      </c>
      <c r="AN36" s="319">
        <v>3.5</v>
      </c>
      <c r="AO36" s="319">
        <v>0.45</v>
      </c>
      <c r="AP36">
        <v>1</v>
      </c>
      <c r="AQ36">
        <v>1</v>
      </c>
      <c r="AR36" s="136"/>
      <c r="AT36" s="69">
        <v>2.3148</v>
      </c>
      <c r="AU36" s="69">
        <v>2.3148</v>
      </c>
      <c r="AV36" s="69">
        <v>5.7443999999999997</v>
      </c>
      <c r="AW36" s="69">
        <v>0.3458</v>
      </c>
      <c r="BB36" s="69"/>
    </row>
    <row r="37" spans="1:54" customFormat="1" ht="40" customHeight="1">
      <c r="A37" s="313">
        <v>36</v>
      </c>
      <c r="B37" s="136" t="s">
        <v>115</v>
      </c>
      <c r="C37" s="136" t="s">
        <v>45</v>
      </c>
      <c r="D37" s="31">
        <f t="shared" si="0"/>
        <v>4</v>
      </c>
      <c r="E37" s="137" t="s">
        <v>46</v>
      </c>
      <c r="F37" s="31">
        <f t="shared" si="1"/>
        <v>6</v>
      </c>
      <c r="G37" s="137" t="s">
        <v>156</v>
      </c>
      <c r="H37" s="138">
        <v>116</v>
      </c>
      <c r="I37" s="158">
        <f t="shared" si="2"/>
        <v>0.69930424064049856</v>
      </c>
      <c r="J37" s="95">
        <v>0.73812989787273398</v>
      </c>
      <c r="K37" s="137">
        <v>0.66047858340826304</v>
      </c>
      <c r="L37" s="137">
        <v>0.75</v>
      </c>
      <c r="M37" s="137">
        <v>0.526196458520657</v>
      </c>
      <c r="N37" s="136">
        <v>1</v>
      </c>
      <c r="O37" s="32">
        <v>43066</v>
      </c>
      <c r="P37" s="98">
        <f t="shared" si="3"/>
        <v>0</v>
      </c>
      <c r="Q37">
        <v>5.0999999999999996</v>
      </c>
      <c r="R37">
        <v>0</v>
      </c>
      <c r="S37">
        <v>1.87</v>
      </c>
      <c r="T37" s="112" t="s">
        <v>48</v>
      </c>
      <c r="U37" s="137" t="s">
        <v>157</v>
      </c>
      <c r="V37" s="137" t="s">
        <v>158</v>
      </c>
      <c r="W37" s="69">
        <v>177</v>
      </c>
      <c r="X37" s="136">
        <v>1</v>
      </c>
      <c r="Y37" s="136">
        <v>11</v>
      </c>
      <c r="Z37" s="314"/>
      <c r="AA37" s="319">
        <v>0.77472949999999996</v>
      </c>
      <c r="AB37" s="315" t="s">
        <v>5168</v>
      </c>
      <c r="AC37" s="319">
        <v>1</v>
      </c>
      <c r="AD37" s="320">
        <v>1.09890109890109E-2</v>
      </c>
      <c r="AE37" s="319">
        <v>2</v>
      </c>
      <c r="AF37" s="320">
        <v>2.19780219780219E-2</v>
      </c>
      <c r="AG37" s="319">
        <v>4</v>
      </c>
      <c r="AH37" s="320">
        <v>4.3956043956043897E-2</v>
      </c>
      <c r="AI37" s="319">
        <v>2</v>
      </c>
      <c r="AJ37" s="320">
        <v>2.19780219780219E-2</v>
      </c>
      <c r="AK37" s="320">
        <v>0</v>
      </c>
      <c r="AL37" s="319">
        <v>7.2857142857142803</v>
      </c>
      <c r="AM37" s="319">
        <v>6.2</v>
      </c>
      <c r="AN37" s="319">
        <v>4.6666666666666599</v>
      </c>
      <c r="AO37" s="319">
        <v>0.60507936507936499</v>
      </c>
      <c r="AP37">
        <v>11</v>
      </c>
      <c r="AR37" s="136"/>
      <c r="AT37" s="69">
        <v>7.4837999999999996</v>
      </c>
      <c r="AU37" s="69">
        <v>5</v>
      </c>
      <c r="AV37" s="69">
        <v>8.1305999999999994</v>
      </c>
      <c r="AW37" s="69">
        <v>0.68710000000000004</v>
      </c>
      <c r="BB37" s="69"/>
    </row>
    <row r="38" spans="1:54" customFormat="1" ht="40" customHeight="1">
      <c r="A38" s="313">
        <v>37</v>
      </c>
      <c r="B38" s="136" t="s">
        <v>115</v>
      </c>
      <c r="C38" s="136" t="s">
        <v>45</v>
      </c>
      <c r="D38" s="31">
        <f t="shared" si="0"/>
        <v>4</v>
      </c>
      <c r="E38" s="137" t="s">
        <v>80</v>
      </c>
      <c r="F38" s="31">
        <f t="shared" si="1"/>
        <v>4</v>
      </c>
      <c r="G38" s="137" t="s">
        <v>159</v>
      </c>
      <c r="H38" s="138">
        <v>50</v>
      </c>
      <c r="I38" s="158">
        <f t="shared" si="2"/>
        <v>0.81620557849867204</v>
      </c>
      <c r="J38" s="95">
        <v>0.97193257358908103</v>
      </c>
      <c r="K38" s="137">
        <v>0.66047858340826304</v>
      </c>
      <c r="L38" s="137">
        <v>0.75</v>
      </c>
      <c r="M38" s="137">
        <v>0.526196458520657</v>
      </c>
      <c r="N38" s="136">
        <v>1</v>
      </c>
      <c r="O38" s="32">
        <v>43066</v>
      </c>
      <c r="P38" s="98">
        <f t="shared" si="3"/>
        <v>0</v>
      </c>
      <c r="Q38">
        <v>7.65</v>
      </c>
      <c r="R38">
        <v>0</v>
      </c>
      <c r="S38">
        <v>0</v>
      </c>
      <c r="T38" s="112" t="s">
        <v>48</v>
      </c>
      <c r="U38" s="137" t="s">
        <v>160</v>
      </c>
      <c r="V38" s="137" t="s">
        <v>158</v>
      </c>
      <c r="W38" s="69">
        <v>177</v>
      </c>
      <c r="X38" s="136">
        <v>1</v>
      </c>
      <c r="Y38" s="136">
        <v>11</v>
      </c>
      <c r="Z38" s="314"/>
      <c r="AA38" s="319">
        <v>0.66549999999999998</v>
      </c>
      <c r="AB38" s="315" t="s">
        <v>5168</v>
      </c>
      <c r="AC38" s="319">
        <v>1</v>
      </c>
      <c r="AD38" s="320">
        <v>1.09890109890109E-2</v>
      </c>
      <c r="AE38" s="319">
        <v>2</v>
      </c>
      <c r="AF38" s="320">
        <v>2.19780219780219E-2</v>
      </c>
      <c r="AG38" s="319">
        <v>4</v>
      </c>
      <c r="AH38" s="320">
        <v>4.3956043956043897E-2</v>
      </c>
      <c r="AI38" s="319">
        <v>2</v>
      </c>
      <c r="AJ38" s="320">
        <v>2.19780219780219E-2</v>
      </c>
      <c r="AK38" s="320">
        <v>0</v>
      </c>
      <c r="AL38" s="319">
        <v>6.75</v>
      </c>
      <c r="AM38" s="319">
        <v>7.4</v>
      </c>
      <c r="AN38" s="319">
        <v>2</v>
      </c>
      <c r="AO38" s="319">
        <v>0.538333333333333</v>
      </c>
      <c r="AP38">
        <v>11</v>
      </c>
      <c r="AR38" s="136"/>
      <c r="AT38" s="69">
        <v>6.3414000000000001</v>
      </c>
      <c r="AU38" s="69">
        <v>7.6852</v>
      </c>
      <c r="AV38" s="69">
        <v>2.3148</v>
      </c>
      <c r="AW38" s="69">
        <v>0.54469999999999996</v>
      </c>
      <c r="BB38" s="69"/>
    </row>
    <row r="39" spans="1:54" customFormat="1" ht="40" customHeight="1">
      <c r="A39" s="313">
        <v>38</v>
      </c>
      <c r="B39" s="136" t="s">
        <v>115</v>
      </c>
      <c r="C39" s="136" t="s">
        <v>45</v>
      </c>
      <c r="D39" s="31">
        <f t="shared" si="0"/>
        <v>4</v>
      </c>
      <c r="E39" s="137" t="s">
        <v>80</v>
      </c>
      <c r="F39" s="31">
        <f t="shared" si="1"/>
        <v>4</v>
      </c>
      <c r="G39" s="137" t="s">
        <v>161</v>
      </c>
      <c r="H39" s="138">
        <v>37</v>
      </c>
      <c r="I39" s="158">
        <f t="shared" si="2"/>
        <v>0.83763887230551992</v>
      </c>
      <c r="J39" s="95">
        <v>0.93956345889675397</v>
      </c>
      <c r="K39" s="137">
        <v>0.73571428571428599</v>
      </c>
      <c r="L39" s="137">
        <v>0.75</v>
      </c>
      <c r="M39" s="137">
        <v>0.71428571428571397</v>
      </c>
      <c r="N39" s="136">
        <v>1</v>
      </c>
      <c r="O39" s="32">
        <v>43064</v>
      </c>
      <c r="P39" s="98">
        <f t="shared" si="3"/>
        <v>0</v>
      </c>
      <c r="Q39">
        <v>2.5499999999999998</v>
      </c>
      <c r="R39">
        <v>0</v>
      </c>
      <c r="S39">
        <v>0</v>
      </c>
      <c r="T39" s="112" t="s">
        <v>48</v>
      </c>
      <c r="U39" s="137" t="s">
        <v>162</v>
      </c>
      <c r="V39" s="137" t="s">
        <v>163</v>
      </c>
      <c r="W39" s="69">
        <v>179</v>
      </c>
      <c r="X39" s="136">
        <v>1</v>
      </c>
      <c r="Y39" s="136">
        <v>4</v>
      </c>
      <c r="Z39" s="314"/>
      <c r="AA39" s="319">
        <v>0.45454545454545398</v>
      </c>
      <c r="AB39" s="315" t="s">
        <v>5168</v>
      </c>
      <c r="AC39" s="319">
        <v>1</v>
      </c>
      <c r="AD39" s="320">
        <v>1.0869565217391301E-2</v>
      </c>
      <c r="AE39" s="319">
        <v>2</v>
      </c>
      <c r="AF39" s="320">
        <v>2.1739130434782601E-2</v>
      </c>
      <c r="AG39" s="319">
        <v>4</v>
      </c>
      <c r="AH39" s="320">
        <v>4.3478260869565202E-2</v>
      </c>
      <c r="AI39" s="319">
        <v>2</v>
      </c>
      <c r="AJ39" s="320">
        <v>2.1739130434782601E-2</v>
      </c>
      <c r="AK39" s="320">
        <v>0</v>
      </c>
      <c r="AL39" s="319">
        <v>6.75</v>
      </c>
      <c r="AM39" s="319">
        <v>5</v>
      </c>
      <c r="AN39" s="319">
        <v>4.6666666666666599</v>
      </c>
      <c r="AO39" s="319">
        <v>0.54722222222222205</v>
      </c>
      <c r="AP39">
        <v>4</v>
      </c>
      <c r="AR39" s="136"/>
      <c r="AT39" s="69">
        <v>6.3414000000000001</v>
      </c>
      <c r="AU39" s="69">
        <v>2.3148</v>
      </c>
      <c r="AV39" s="69">
        <v>8.1305999999999994</v>
      </c>
      <c r="AW39" s="69">
        <v>0.55959999999999999</v>
      </c>
      <c r="BB39" s="69"/>
    </row>
    <row r="40" spans="1:54" customFormat="1" ht="40" customHeight="1">
      <c r="A40" s="313">
        <v>39</v>
      </c>
      <c r="B40" s="136" t="s">
        <v>115</v>
      </c>
      <c r="C40" s="136" t="s">
        <v>45</v>
      </c>
      <c r="D40" s="31">
        <f t="shared" si="0"/>
        <v>4</v>
      </c>
      <c r="E40" s="137" t="s">
        <v>46</v>
      </c>
      <c r="F40" s="31">
        <f t="shared" si="1"/>
        <v>6</v>
      </c>
      <c r="G40" s="137" t="s">
        <v>164</v>
      </c>
      <c r="H40" s="138">
        <v>124</v>
      </c>
      <c r="I40" s="158">
        <f t="shared" si="2"/>
        <v>0.2850309838730018</v>
      </c>
      <c r="J40" s="95">
        <v>3.6526355096100398E-6</v>
      </c>
      <c r="K40" s="137">
        <v>0.57005831511049398</v>
      </c>
      <c r="L40" s="137">
        <v>0.75</v>
      </c>
      <c r="M40" s="137">
        <v>0.30014578777623502</v>
      </c>
      <c r="N40" s="136">
        <v>0</v>
      </c>
      <c r="O40" s="32">
        <v>42877</v>
      </c>
      <c r="P40" s="98">
        <f t="shared" si="3"/>
        <v>1</v>
      </c>
      <c r="Q40">
        <v>0</v>
      </c>
      <c r="R40">
        <v>3.3</v>
      </c>
      <c r="S40">
        <v>0</v>
      </c>
      <c r="T40" s="112" t="s">
        <v>73</v>
      </c>
      <c r="U40" s="137" t="s">
        <v>165</v>
      </c>
      <c r="V40" s="137" t="s">
        <v>166</v>
      </c>
      <c r="W40" s="69">
        <v>99</v>
      </c>
      <c r="X40" s="136">
        <v>3</v>
      </c>
      <c r="Y40" s="136">
        <v>24</v>
      </c>
      <c r="Z40" s="314"/>
      <c r="AA40" s="319">
        <v>0.54500000000000004</v>
      </c>
      <c r="AB40" s="315" t="s">
        <v>5176</v>
      </c>
      <c r="AC40" s="319">
        <v>0</v>
      </c>
      <c r="AD40" s="320">
        <v>0</v>
      </c>
      <c r="AE40" s="319">
        <v>5</v>
      </c>
      <c r="AF40" s="320">
        <v>9.0909090909090898E-2</v>
      </c>
      <c r="AG40" s="319">
        <v>0</v>
      </c>
      <c r="AH40" s="320">
        <v>0</v>
      </c>
      <c r="AI40" s="319">
        <v>0</v>
      </c>
      <c r="AJ40" s="320">
        <v>0</v>
      </c>
      <c r="AK40" s="320">
        <v>3.6363636363636362E-2</v>
      </c>
      <c r="AL40" s="319">
        <v>6.75</v>
      </c>
      <c r="AM40" s="319">
        <v>6.2</v>
      </c>
      <c r="AN40" s="319">
        <v>3.5</v>
      </c>
      <c r="AO40" s="319">
        <v>0.54833333333333301</v>
      </c>
      <c r="AP40">
        <v>24</v>
      </c>
      <c r="AR40" s="136">
        <v>24</v>
      </c>
      <c r="AT40" s="69">
        <v>6.3414000000000001</v>
      </c>
      <c r="AU40" s="69">
        <v>5</v>
      </c>
      <c r="AV40" s="69">
        <v>5.7443999999999997</v>
      </c>
      <c r="AW40" s="69">
        <v>0.56950000000000001</v>
      </c>
      <c r="BB40" s="69"/>
    </row>
    <row r="41" spans="1:54" customFormat="1" ht="40" customHeight="1">
      <c r="A41" s="313">
        <v>40</v>
      </c>
      <c r="B41" s="136" t="s">
        <v>115</v>
      </c>
      <c r="C41" s="136" t="s">
        <v>45</v>
      </c>
      <c r="D41" s="31">
        <f t="shared" si="0"/>
        <v>4</v>
      </c>
      <c r="E41" s="137" t="s">
        <v>46</v>
      </c>
      <c r="F41" s="31">
        <f t="shared" si="1"/>
        <v>6</v>
      </c>
      <c r="G41" s="137" t="s">
        <v>167</v>
      </c>
      <c r="H41" s="138">
        <v>70</v>
      </c>
      <c r="I41" s="158">
        <f t="shared" si="2"/>
        <v>0.69627333544411196</v>
      </c>
      <c r="J41" s="95">
        <v>0.74049533461038097</v>
      </c>
      <c r="K41" s="137">
        <v>0.65205133627784295</v>
      </c>
      <c r="L41" s="137">
        <v>0.75</v>
      </c>
      <c r="M41" s="137">
        <v>0.50512834069460699</v>
      </c>
      <c r="N41" s="136">
        <v>1</v>
      </c>
      <c r="O41" s="32">
        <v>42734</v>
      </c>
      <c r="P41" s="98">
        <f t="shared" si="3"/>
        <v>0</v>
      </c>
      <c r="Q41">
        <v>2.5499999999999998</v>
      </c>
      <c r="R41">
        <v>1.65</v>
      </c>
      <c r="S41">
        <v>0</v>
      </c>
      <c r="T41" s="112" t="s">
        <v>48</v>
      </c>
      <c r="U41" s="137" t="s">
        <v>168</v>
      </c>
      <c r="V41" s="137" t="s">
        <v>169</v>
      </c>
      <c r="W41" s="69">
        <v>40</v>
      </c>
      <c r="X41" s="136">
        <v>2</v>
      </c>
      <c r="Y41" s="136">
        <v>12</v>
      </c>
      <c r="Z41" s="314"/>
      <c r="AA41" s="319">
        <v>0.55000000000000004</v>
      </c>
      <c r="AB41" s="315" t="s">
        <v>5165</v>
      </c>
      <c r="AC41" s="319">
        <v>4</v>
      </c>
      <c r="AD41" s="320">
        <v>0.16666666666666599</v>
      </c>
      <c r="AE41" s="319">
        <v>0</v>
      </c>
      <c r="AF41" s="320">
        <v>0</v>
      </c>
      <c r="AG41" s="319">
        <v>0</v>
      </c>
      <c r="AH41" s="320">
        <v>0</v>
      </c>
      <c r="AI41" s="319">
        <v>0</v>
      </c>
      <c r="AJ41" s="320">
        <v>0</v>
      </c>
      <c r="AK41" s="320">
        <v>0</v>
      </c>
      <c r="AL41" s="319">
        <v>5</v>
      </c>
      <c r="AM41" s="319">
        <v>6.2</v>
      </c>
      <c r="AN41" s="319">
        <v>2</v>
      </c>
      <c r="AO41" s="319">
        <v>0.44</v>
      </c>
      <c r="AP41">
        <v>12</v>
      </c>
      <c r="AQ41">
        <v>12</v>
      </c>
      <c r="AR41" s="136"/>
      <c r="AT41" s="69">
        <v>2.3148</v>
      </c>
      <c r="AU41" s="69">
        <v>5</v>
      </c>
      <c r="AV41" s="69">
        <v>2.3148</v>
      </c>
      <c r="AW41" s="69">
        <v>0.32100000000000001</v>
      </c>
      <c r="BB41" s="69"/>
    </row>
    <row r="42" spans="1:54" customFormat="1" ht="40" customHeight="1">
      <c r="A42" s="313">
        <v>41</v>
      </c>
      <c r="B42" s="136" t="s">
        <v>170</v>
      </c>
      <c r="C42" s="136" t="s">
        <v>45</v>
      </c>
      <c r="D42" s="31">
        <f t="shared" si="0"/>
        <v>4</v>
      </c>
      <c r="E42" s="137" t="s">
        <v>46</v>
      </c>
      <c r="F42" s="31">
        <f t="shared" si="1"/>
        <v>6</v>
      </c>
      <c r="G42" s="137" t="s">
        <v>171</v>
      </c>
      <c r="H42" s="138">
        <v>98</v>
      </c>
      <c r="I42" s="158">
        <f t="shared" si="2"/>
        <v>0.86089555777426696</v>
      </c>
      <c r="J42" s="95">
        <v>0.99821968697710495</v>
      </c>
      <c r="K42" s="137">
        <v>0.72357142857142898</v>
      </c>
      <c r="L42" s="137">
        <v>0.82499999999999996</v>
      </c>
      <c r="M42" s="137">
        <v>0.57142857142857095</v>
      </c>
      <c r="N42" s="136">
        <v>1</v>
      </c>
      <c r="O42" s="32">
        <v>43319</v>
      </c>
      <c r="P42" s="98">
        <f t="shared" si="3"/>
        <v>1</v>
      </c>
      <c r="Q42">
        <v>0</v>
      </c>
      <c r="R42">
        <v>1.65</v>
      </c>
      <c r="S42">
        <v>0</v>
      </c>
      <c r="T42" s="112" t="s">
        <v>73</v>
      </c>
      <c r="U42" s="137" t="s">
        <v>172</v>
      </c>
      <c r="V42" s="137" t="s">
        <v>173</v>
      </c>
      <c r="W42" s="69">
        <v>104</v>
      </c>
      <c r="X42" s="136">
        <v>2</v>
      </c>
      <c r="Y42" s="136">
        <v>9</v>
      </c>
      <c r="Z42" s="314"/>
      <c r="AA42" s="319">
        <v>0.5</v>
      </c>
      <c r="AB42" s="315" t="s">
        <v>5168</v>
      </c>
      <c r="AC42" s="319">
        <v>2</v>
      </c>
      <c r="AD42" s="320">
        <v>3.5087719298245598E-2</v>
      </c>
      <c r="AE42" s="319">
        <v>1</v>
      </c>
      <c r="AF42" s="320">
        <v>1.7543859649122799E-2</v>
      </c>
      <c r="AG42" s="319">
        <v>4</v>
      </c>
      <c r="AH42" s="320">
        <v>7.0175438596491196E-2</v>
      </c>
      <c r="AI42" s="319">
        <v>1</v>
      </c>
      <c r="AJ42" s="320">
        <v>1.7543859649122799E-2</v>
      </c>
      <c r="AK42" s="320">
        <v>0</v>
      </c>
      <c r="AL42" s="319">
        <v>5</v>
      </c>
      <c r="AM42" s="319">
        <v>6.2</v>
      </c>
      <c r="AN42" s="319">
        <v>3.5</v>
      </c>
      <c r="AO42" s="319">
        <v>0.49</v>
      </c>
      <c r="AP42">
        <v>9</v>
      </c>
      <c r="AQ42">
        <v>9</v>
      </c>
      <c r="AR42" s="136"/>
      <c r="AT42" s="69">
        <v>2.3148</v>
      </c>
      <c r="AU42" s="69">
        <v>5</v>
      </c>
      <c r="AV42" s="69">
        <v>5.7443999999999997</v>
      </c>
      <c r="AW42" s="69">
        <v>0.43530000000000002</v>
      </c>
      <c r="BB42" s="69"/>
    </row>
    <row r="43" spans="1:54" customFormat="1" ht="40" customHeight="1">
      <c r="A43" s="313">
        <v>42</v>
      </c>
      <c r="B43" s="136" t="s">
        <v>170</v>
      </c>
      <c r="C43" s="136" t="s">
        <v>45</v>
      </c>
      <c r="D43" s="31">
        <f t="shared" si="0"/>
        <v>4</v>
      </c>
      <c r="E43" s="137" t="s">
        <v>80</v>
      </c>
      <c r="F43" s="31">
        <f t="shared" si="1"/>
        <v>4</v>
      </c>
      <c r="G43" s="137" t="s">
        <v>174</v>
      </c>
      <c r="H43" s="138">
        <v>62</v>
      </c>
      <c r="I43" s="158">
        <f t="shared" si="2"/>
        <v>0.3666897368115225</v>
      </c>
      <c r="J43" s="95">
        <v>3.8807513990102302E-6</v>
      </c>
      <c r="K43" s="137">
        <v>0.733375592871646</v>
      </c>
      <c r="L43" s="137">
        <v>0.82499999999999996</v>
      </c>
      <c r="M43" s="137">
        <v>0.59593898217911601</v>
      </c>
      <c r="N43" s="136">
        <v>1</v>
      </c>
      <c r="O43" s="32">
        <v>43256</v>
      </c>
      <c r="P43" s="98">
        <f t="shared" si="3"/>
        <v>0</v>
      </c>
      <c r="Q43">
        <v>5.0999999999999996</v>
      </c>
      <c r="R43">
        <v>0</v>
      </c>
      <c r="S43">
        <v>1.87</v>
      </c>
      <c r="T43" s="112" t="s">
        <v>48</v>
      </c>
      <c r="U43" s="137" t="s">
        <v>175</v>
      </c>
      <c r="V43" s="137" t="s">
        <v>176</v>
      </c>
      <c r="W43" s="69">
        <v>89</v>
      </c>
      <c r="X43" s="136">
        <v>3</v>
      </c>
      <c r="Y43" s="136">
        <v>8</v>
      </c>
      <c r="Z43" s="314"/>
      <c r="AA43" s="319">
        <v>0.64895000000000003</v>
      </c>
      <c r="AB43" s="315" t="s">
        <v>5168</v>
      </c>
      <c r="AC43" s="319">
        <v>2</v>
      </c>
      <c r="AD43" s="320">
        <v>4.4444444444444398E-2</v>
      </c>
      <c r="AE43" s="319">
        <v>0</v>
      </c>
      <c r="AF43" s="320">
        <v>0</v>
      </c>
      <c r="AG43" s="319">
        <v>3</v>
      </c>
      <c r="AH43" s="320">
        <v>6.6666666666666596E-2</v>
      </c>
      <c r="AI43" s="319">
        <v>0</v>
      </c>
      <c r="AJ43" s="320">
        <v>0</v>
      </c>
      <c r="AK43" s="320">
        <v>0</v>
      </c>
      <c r="AL43" s="319">
        <v>5</v>
      </c>
      <c r="AM43" s="319">
        <v>5</v>
      </c>
      <c r="AN43" s="319">
        <v>7.3333333333333304</v>
      </c>
      <c r="AO43" s="319">
        <v>0.57777777777777695</v>
      </c>
      <c r="AP43">
        <v>8</v>
      </c>
      <c r="AR43" s="136">
        <v>8</v>
      </c>
      <c r="AT43" s="69">
        <v>2.3148</v>
      </c>
      <c r="AU43" s="69">
        <v>2.3148</v>
      </c>
      <c r="AV43" s="69">
        <v>9.8416999999999994</v>
      </c>
      <c r="AW43" s="69">
        <v>0.4824</v>
      </c>
      <c r="BB43" s="69"/>
    </row>
    <row r="44" spans="1:54" customFormat="1" ht="40" customHeight="1">
      <c r="A44" s="313">
        <v>43</v>
      </c>
      <c r="B44" s="136" t="s">
        <v>170</v>
      </c>
      <c r="C44" s="136" t="s">
        <v>45</v>
      </c>
      <c r="D44" s="31">
        <f t="shared" si="0"/>
        <v>4</v>
      </c>
      <c r="E44" s="137" t="s">
        <v>80</v>
      </c>
      <c r="F44" s="31">
        <f t="shared" si="1"/>
        <v>4</v>
      </c>
      <c r="G44" s="137" t="s">
        <v>177</v>
      </c>
      <c r="H44" s="138">
        <v>112</v>
      </c>
      <c r="I44" s="158">
        <f t="shared" si="2"/>
        <v>0.36786907687805398</v>
      </c>
      <c r="J44" s="95">
        <v>2.3868041821972801E-5</v>
      </c>
      <c r="K44" s="137">
        <v>0.73571428571428599</v>
      </c>
      <c r="L44" s="137">
        <v>0.75</v>
      </c>
      <c r="M44" s="137">
        <v>0.71428571428571397</v>
      </c>
      <c r="N44" s="136">
        <v>1</v>
      </c>
      <c r="O44" s="32">
        <v>43238</v>
      </c>
      <c r="P44" s="98">
        <f t="shared" si="3"/>
        <v>0</v>
      </c>
      <c r="Q44">
        <v>5.0999999999999996</v>
      </c>
      <c r="R44">
        <v>3.3</v>
      </c>
      <c r="S44">
        <v>0</v>
      </c>
      <c r="T44" s="112" t="s">
        <v>48</v>
      </c>
      <c r="U44" s="137" t="s">
        <v>178</v>
      </c>
      <c r="V44" s="137" t="s">
        <v>179</v>
      </c>
      <c r="W44" s="69">
        <v>158</v>
      </c>
      <c r="X44" s="136">
        <v>1</v>
      </c>
      <c r="Y44" s="136">
        <v>4</v>
      </c>
      <c r="Z44" s="314"/>
      <c r="AA44" s="319">
        <v>0.54</v>
      </c>
      <c r="AB44" s="315" t="s">
        <v>5176</v>
      </c>
      <c r="AC44" s="319">
        <v>4</v>
      </c>
      <c r="AD44" s="320">
        <v>4.6511627906976702E-2</v>
      </c>
      <c r="AE44" s="319">
        <v>5</v>
      </c>
      <c r="AF44" s="320">
        <v>5.8139534883720902E-2</v>
      </c>
      <c r="AG44" s="319">
        <v>2</v>
      </c>
      <c r="AH44" s="320">
        <v>2.3255813953488299E-2</v>
      </c>
      <c r="AI44" s="319">
        <v>0</v>
      </c>
      <c r="AJ44" s="320">
        <v>0</v>
      </c>
      <c r="AK44" s="320">
        <v>0</v>
      </c>
      <c r="AL44" s="319">
        <v>5</v>
      </c>
      <c r="AM44" s="319">
        <v>6.2</v>
      </c>
      <c r="AN44" s="319">
        <v>4.6666666666666599</v>
      </c>
      <c r="AO44" s="319">
        <v>0.52888888888888796</v>
      </c>
      <c r="AP44">
        <v>4</v>
      </c>
      <c r="AQ44">
        <v>4</v>
      </c>
      <c r="AR44" s="136"/>
      <c r="AT44" s="69">
        <v>2.3148</v>
      </c>
      <c r="AU44" s="69">
        <v>5</v>
      </c>
      <c r="AV44" s="69">
        <v>8.1305999999999994</v>
      </c>
      <c r="AW44" s="69">
        <v>0.51480000000000004</v>
      </c>
      <c r="BB44" s="69"/>
    </row>
    <row r="45" spans="1:54" customFormat="1" ht="40" customHeight="1">
      <c r="A45" s="313">
        <v>44</v>
      </c>
      <c r="B45" s="136" t="s">
        <v>170</v>
      </c>
      <c r="C45" s="136" t="s">
        <v>45</v>
      </c>
      <c r="D45" s="31">
        <f t="shared" si="0"/>
        <v>4</v>
      </c>
      <c r="E45" s="137" t="s">
        <v>80</v>
      </c>
      <c r="F45" s="31">
        <f t="shared" si="1"/>
        <v>4</v>
      </c>
      <c r="G45" s="137" t="s">
        <v>180</v>
      </c>
      <c r="H45" s="138">
        <v>53</v>
      </c>
      <c r="I45" s="158">
        <f t="shared" si="2"/>
        <v>0.34451925062337879</v>
      </c>
      <c r="J45" s="95">
        <v>7.0002701842541995E-5</v>
      </c>
      <c r="K45" s="137">
        <v>0.68896849854491504</v>
      </c>
      <c r="L45" s="137">
        <v>0.82499999999999996</v>
      </c>
      <c r="M45" s="137">
        <v>0.48492124636228701</v>
      </c>
      <c r="N45" s="136">
        <v>1</v>
      </c>
      <c r="O45" s="32">
        <v>43230</v>
      </c>
      <c r="P45" s="98">
        <f t="shared" si="3"/>
        <v>0</v>
      </c>
      <c r="Q45">
        <v>2.5499999999999998</v>
      </c>
      <c r="R45">
        <v>0</v>
      </c>
      <c r="S45">
        <v>0</v>
      </c>
      <c r="T45" s="112" t="s">
        <v>48</v>
      </c>
      <c r="U45" s="137" t="s">
        <v>181</v>
      </c>
      <c r="V45" s="137" t="s">
        <v>182</v>
      </c>
      <c r="W45" s="69">
        <v>254</v>
      </c>
      <c r="X45" s="136">
        <v>1</v>
      </c>
      <c r="Y45" s="136">
        <v>13</v>
      </c>
      <c r="Z45" s="314"/>
      <c r="AA45" s="319">
        <v>0.54500000000000004</v>
      </c>
      <c r="AB45" s="315" t="s">
        <v>5176</v>
      </c>
      <c r="AC45" s="319">
        <v>3</v>
      </c>
      <c r="AD45" s="320">
        <v>2.2556390977443601E-2</v>
      </c>
      <c r="AE45" s="319">
        <v>6</v>
      </c>
      <c r="AF45" s="320">
        <v>4.5112781954887202E-2</v>
      </c>
      <c r="AG45" s="319">
        <v>2</v>
      </c>
      <c r="AH45" s="320">
        <v>1.50375939849624E-2</v>
      </c>
      <c r="AI45" s="319">
        <v>4</v>
      </c>
      <c r="AJ45" s="320">
        <v>3.00751879699248E-2</v>
      </c>
      <c r="AK45" s="320">
        <v>1.503759398496241E-2</v>
      </c>
      <c r="AL45" s="319">
        <v>6.75</v>
      </c>
      <c r="AM45" s="319">
        <v>5</v>
      </c>
      <c r="AN45" s="319">
        <v>4.6666666666666599</v>
      </c>
      <c r="AO45" s="319">
        <v>0.54722222222222205</v>
      </c>
      <c r="AP45">
        <v>13</v>
      </c>
      <c r="AR45" s="136">
        <v>13</v>
      </c>
      <c r="AT45" s="69">
        <v>6.3414000000000001</v>
      </c>
      <c r="AU45" s="69">
        <v>2.3148</v>
      </c>
      <c r="AV45" s="69">
        <v>8.1305999999999994</v>
      </c>
      <c r="AW45" s="69">
        <v>0.55959999999999999</v>
      </c>
      <c r="BB45" s="69"/>
    </row>
    <row r="46" spans="1:54" customFormat="1" ht="40" customHeight="1">
      <c r="A46" s="313">
        <v>45</v>
      </c>
      <c r="B46" s="136" t="s">
        <v>170</v>
      </c>
      <c r="C46" s="136" t="s">
        <v>45</v>
      </c>
      <c r="D46" s="31">
        <f t="shared" si="0"/>
        <v>4</v>
      </c>
      <c r="E46" s="137" t="s">
        <v>80</v>
      </c>
      <c r="F46" s="31">
        <f t="shared" si="1"/>
        <v>4</v>
      </c>
      <c r="G46" s="137" t="s">
        <v>183</v>
      </c>
      <c r="H46" s="138">
        <v>239</v>
      </c>
      <c r="I46" s="158">
        <f t="shared" si="2"/>
        <v>0.46380639483410846</v>
      </c>
      <c r="J46" s="95">
        <v>0.31733637035029</v>
      </c>
      <c r="K46" s="137">
        <v>0.61027641931792698</v>
      </c>
      <c r="L46" s="137">
        <v>0.61983471074380103</v>
      </c>
      <c r="M46" s="137">
        <v>0.59593898217911601</v>
      </c>
      <c r="N46" s="136">
        <v>1</v>
      </c>
      <c r="O46" s="32">
        <v>43226</v>
      </c>
      <c r="P46" s="98">
        <f t="shared" si="3"/>
        <v>0</v>
      </c>
      <c r="Q46">
        <v>5.0999999999999996</v>
      </c>
      <c r="R46">
        <v>1.65</v>
      </c>
      <c r="S46">
        <v>0</v>
      </c>
      <c r="T46" s="112" t="s">
        <v>48</v>
      </c>
      <c r="U46" s="137" t="s">
        <v>184</v>
      </c>
      <c r="V46" s="137" t="s">
        <v>185</v>
      </c>
      <c r="W46" s="69">
        <v>101</v>
      </c>
      <c r="X46" s="136">
        <v>1</v>
      </c>
      <c r="Y46" s="136">
        <v>8</v>
      </c>
      <c r="Z46" s="314"/>
      <c r="AA46" s="319">
        <v>2.6636081576807202E-2</v>
      </c>
      <c r="AB46" s="315" t="s">
        <v>5176</v>
      </c>
      <c r="AC46" s="319">
        <v>2</v>
      </c>
      <c r="AD46" s="320">
        <v>3.7037037037037E-2</v>
      </c>
      <c r="AE46" s="319">
        <v>3</v>
      </c>
      <c r="AF46" s="320">
        <v>5.5555555555555497E-2</v>
      </c>
      <c r="AG46" s="319">
        <v>1</v>
      </c>
      <c r="AH46" s="320">
        <v>1.85185185185185E-2</v>
      </c>
      <c r="AI46" s="319">
        <v>0</v>
      </c>
      <c r="AJ46" s="320">
        <v>0</v>
      </c>
      <c r="AK46" s="320">
        <v>0</v>
      </c>
      <c r="AL46" s="319">
        <v>6.75</v>
      </c>
      <c r="AM46" s="319">
        <v>6.2</v>
      </c>
      <c r="AN46" s="319">
        <v>7.3333333333333304</v>
      </c>
      <c r="AO46" s="319">
        <v>0.676111111111111</v>
      </c>
      <c r="AP46">
        <v>8</v>
      </c>
      <c r="AQ46">
        <v>8</v>
      </c>
      <c r="AR46" s="136"/>
      <c r="AT46" s="69">
        <v>6.3414000000000001</v>
      </c>
      <c r="AU46" s="69">
        <v>5</v>
      </c>
      <c r="AV46" s="69">
        <v>9.8416999999999994</v>
      </c>
      <c r="AW46" s="69">
        <v>0.70609999999999995</v>
      </c>
      <c r="BB46" s="69"/>
    </row>
    <row r="47" spans="1:54" customFormat="1" ht="40" customHeight="1">
      <c r="A47" s="313">
        <v>46</v>
      </c>
      <c r="B47" s="136" t="s">
        <v>170</v>
      </c>
      <c r="C47" s="136" t="s">
        <v>59</v>
      </c>
      <c r="D47" s="31">
        <f t="shared" si="0"/>
        <v>5</v>
      </c>
      <c r="E47" s="137" t="s">
        <v>80</v>
      </c>
      <c r="F47" s="31">
        <f t="shared" si="1"/>
        <v>4</v>
      </c>
      <c r="G47" s="137" t="s">
        <v>186</v>
      </c>
      <c r="H47" s="138">
        <v>79</v>
      </c>
      <c r="I47" s="158">
        <f t="shared" si="2"/>
        <v>0.80721889872652697</v>
      </c>
      <c r="J47" s="95">
        <v>0.95682268529248704</v>
      </c>
      <c r="K47" s="137">
        <v>0.65761511216056701</v>
      </c>
      <c r="L47" s="137">
        <v>0.61983471074380103</v>
      </c>
      <c r="M47" s="137">
        <v>0.71428571428571397</v>
      </c>
      <c r="N47" s="136">
        <v>1</v>
      </c>
      <c r="O47" s="32">
        <v>43202</v>
      </c>
      <c r="P47" s="98">
        <f t="shared" si="3"/>
        <v>1</v>
      </c>
      <c r="Q47">
        <v>0</v>
      </c>
      <c r="R47">
        <v>0</v>
      </c>
      <c r="S47">
        <v>0</v>
      </c>
      <c r="T47" s="112" t="s">
        <v>73</v>
      </c>
      <c r="U47" s="137" t="s">
        <v>187</v>
      </c>
      <c r="V47" s="137" t="s">
        <v>188</v>
      </c>
      <c r="W47" s="69">
        <v>95</v>
      </c>
      <c r="X47" s="136">
        <v>2</v>
      </c>
      <c r="Y47" s="136">
        <v>4</v>
      </c>
      <c r="Z47" s="314"/>
      <c r="AA47" s="319">
        <v>2.7382887602325101E-2</v>
      </c>
      <c r="AB47" s="315" t="s">
        <v>5169</v>
      </c>
      <c r="AC47" s="319">
        <v>2</v>
      </c>
      <c r="AD47" s="320">
        <v>3.9215686274509803E-2</v>
      </c>
      <c r="AE47" s="319">
        <v>1</v>
      </c>
      <c r="AF47" s="320">
        <v>1.9607843137254902E-2</v>
      </c>
      <c r="AG47" s="319">
        <v>2</v>
      </c>
      <c r="AH47" s="320">
        <v>3.9215686274509803E-2</v>
      </c>
      <c r="AI47" s="319">
        <v>0</v>
      </c>
      <c r="AJ47" s="320">
        <v>0</v>
      </c>
      <c r="AK47" s="320">
        <v>0</v>
      </c>
      <c r="AL47" s="319">
        <v>5</v>
      </c>
      <c r="AM47" s="319">
        <v>5</v>
      </c>
      <c r="AN47" s="319">
        <v>5</v>
      </c>
      <c r="AO47" s="319">
        <v>0.5</v>
      </c>
      <c r="AP47">
        <v>4</v>
      </c>
      <c r="AQ47">
        <v>4</v>
      </c>
      <c r="AR47" s="136"/>
      <c r="AT47" s="69">
        <v>2.3148</v>
      </c>
      <c r="AU47" s="69">
        <v>2.3148</v>
      </c>
      <c r="AV47" s="69">
        <v>8.5815000000000001</v>
      </c>
      <c r="AW47" s="69">
        <v>0.44040000000000001</v>
      </c>
      <c r="BB47" s="69"/>
    </row>
    <row r="48" spans="1:54" customFormat="1" ht="40" customHeight="1">
      <c r="A48" s="313">
        <v>47</v>
      </c>
      <c r="B48" s="136" t="s">
        <v>170</v>
      </c>
      <c r="C48" s="136" t="s">
        <v>59</v>
      </c>
      <c r="D48" s="31">
        <f t="shared" si="0"/>
        <v>5</v>
      </c>
      <c r="E48" s="137" t="s">
        <v>80</v>
      </c>
      <c r="F48" s="31">
        <f t="shared" si="1"/>
        <v>4</v>
      </c>
      <c r="G48" s="137" t="s">
        <v>189</v>
      </c>
      <c r="H48" s="138">
        <v>85</v>
      </c>
      <c r="I48" s="158">
        <f t="shared" si="2"/>
        <v>0.81934771016925201</v>
      </c>
      <c r="J48" s="95">
        <v>0.99957809179387302</v>
      </c>
      <c r="K48" s="137">
        <v>0.63911732854463099</v>
      </c>
      <c r="L48" s="137">
        <v>0.56348610067618299</v>
      </c>
      <c r="M48" s="137">
        <v>0.75256417034730305</v>
      </c>
      <c r="N48" s="136">
        <v>1</v>
      </c>
      <c r="O48" s="32">
        <v>43170</v>
      </c>
      <c r="P48" s="98">
        <f t="shared" si="3"/>
        <v>1</v>
      </c>
      <c r="Q48">
        <v>0</v>
      </c>
      <c r="R48">
        <v>1.65</v>
      </c>
      <c r="S48">
        <v>0</v>
      </c>
      <c r="T48" s="112" t="s">
        <v>73</v>
      </c>
      <c r="U48" s="137" t="s">
        <v>190</v>
      </c>
      <c r="V48" s="137" t="s">
        <v>191</v>
      </c>
      <c r="W48" s="69">
        <v>93</v>
      </c>
      <c r="X48" s="136">
        <v>1</v>
      </c>
      <c r="Y48" s="136">
        <v>3</v>
      </c>
      <c r="Z48" s="314"/>
      <c r="AA48" s="319">
        <v>2.2856790477973898E-2</v>
      </c>
      <c r="AB48" s="315" t="s">
        <v>5165</v>
      </c>
      <c r="AC48" s="319">
        <v>3</v>
      </c>
      <c r="AD48" s="320">
        <v>5.8823529411764698E-2</v>
      </c>
      <c r="AE48" s="319">
        <v>1</v>
      </c>
      <c r="AF48" s="320">
        <v>1.9607843137254902E-2</v>
      </c>
      <c r="AG48" s="319">
        <v>1</v>
      </c>
      <c r="AH48" s="320">
        <v>1.9607843137254902E-2</v>
      </c>
      <c r="AI48" s="319">
        <v>0</v>
      </c>
      <c r="AJ48" s="320">
        <v>0</v>
      </c>
      <c r="AK48" s="320">
        <v>0</v>
      </c>
      <c r="AL48" s="319">
        <v>5</v>
      </c>
      <c r="AM48" s="319">
        <v>5</v>
      </c>
      <c r="AN48" s="319">
        <v>2</v>
      </c>
      <c r="AO48" s="319">
        <v>0.4</v>
      </c>
      <c r="AP48">
        <v>3</v>
      </c>
      <c r="AR48" s="136">
        <v>3</v>
      </c>
      <c r="AT48" s="69">
        <v>2.3148</v>
      </c>
      <c r="AU48" s="69">
        <v>2.3148</v>
      </c>
      <c r="AV48" s="69">
        <v>2.3148</v>
      </c>
      <c r="AW48" s="69">
        <v>0.23150000000000001</v>
      </c>
      <c r="BB48" s="69"/>
    </row>
    <row r="49" spans="1:54" customFormat="1" ht="40" customHeight="1">
      <c r="A49" s="313">
        <v>48</v>
      </c>
      <c r="B49" s="136" t="s">
        <v>170</v>
      </c>
      <c r="C49" s="136" t="s">
        <v>45</v>
      </c>
      <c r="D49" s="31">
        <f t="shared" si="0"/>
        <v>4</v>
      </c>
      <c r="E49" s="137" t="s">
        <v>46</v>
      </c>
      <c r="F49" s="31">
        <f t="shared" si="1"/>
        <v>6</v>
      </c>
      <c r="G49" s="137" t="s">
        <v>192</v>
      </c>
      <c r="H49" s="138">
        <v>81</v>
      </c>
      <c r="I49" s="158">
        <f t="shared" si="2"/>
        <v>0.23660305968959169</v>
      </c>
      <c r="J49" s="95">
        <v>5.6405313753060698E-9</v>
      </c>
      <c r="K49" s="137">
        <v>0.47320611373865201</v>
      </c>
      <c r="L49" s="137">
        <v>0.21724828480251601</v>
      </c>
      <c r="M49" s="137">
        <v>0.85714285714285698</v>
      </c>
      <c r="N49" s="136">
        <v>1</v>
      </c>
      <c r="O49" s="32">
        <v>43136</v>
      </c>
      <c r="P49" s="98">
        <f t="shared" si="3"/>
        <v>0</v>
      </c>
      <c r="Q49">
        <v>2.5499999999999998</v>
      </c>
      <c r="R49">
        <v>0</v>
      </c>
      <c r="S49">
        <v>1.87</v>
      </c>
      <c r="T49" s="112" t="s">
        <v>48</v>
      </c>
      <c r="U49" s="137" t="s">
        <v>193</v>
      </c>
      <c r="V49" s="137" t="s">
        <v>194</v>
      </c>
      <c r="W49" s="69">
        <v>106</v>
      </c>
      <c r="X49" s="136">
        <v>2</v>
      </c>
      <c r="Y49" s="136">
        <v>1</v>
      </c>
      <c r="Z49" s="314"/>
      <c r="AA49" s="319">
        <v>1.2431811738395799E-6</v>
      </c>
      <c r="AB49" s="315" t="s">
        <v>5168</v>
      </c>
      <c r="AC49" s="319">
        <v>3</v>
      </c>
      <c r="AD49" s="320">
        <v>5.5555555555555497E-2</v>
      </c>
      <c r="AE49" s="319">
        <v>1</v>
      </c>
      <c r="AF49" s="320">
        <v>1.85185185185185E-2</v>
      </c>
      <c r="AG49" s="319">
        <v>4</v>
      </c>
      <c r="AH49" s="320">
        <v>7.4074074074074001E-2</v>
      </c>
      <c r="AI49" s="319">
        <v>0</v>
      </c>
      <c r="AJ49" s="320">
        <v>0</v>
      </c>
      <c r="AK49" s="320">
        <v>1.8518518518518521E-2</v>
      </c>
      <c r="AL49" s="319">
        <v>5</v>
      </c>
      <c r="AM49" s="319">
        <v>5</v>
      </c>
      <c r="AN49" s="319">
        <v>4.6666666666666599</v>
      </c>
      <c r="AO49" s="319">
        <v>0.48888888888888798</v>
      </c>
      <c r="AP49">
        <v>1</v>
      </c>
      <c r="AR49" s="136">
        <v>1</v>
      </c>
      <c r="AT49" s="69">
        <v>2.3148</v>
      </c>
      <c r="AU49" s="69">
        <v>2.3148</v>
      </c>
      <c r="AV49" s="69">
        <v>8.1305999999999994</v>
      </c>
      <c r="AW49" s="69">
        <v>0.42530000000000001</v>
      </c>
      <c r="BB49" s="69"/>
    </row>
    <row r="50" spans="1:54" customFormat="1" ht="40" customHeight="1">
      <c r="A50" s="313">
        <v>49</v>
      </c>
      <c r="B50" s="136" t="s">
        <v>170</v>
      </c>
      <c r="C50" s="136" t="s">
        <v>45</v>
      </c>
      <c r="D50" s="31">
        <f t="shared" si="0"/>
        <v>4</v>
      </c>
      <c r="E50" s="137" t="s">
        <v>80</v>
      </c>
      <c r="F50" s="31">
        <f t="shared" si="1"/>
        <v>4</v>
      </c>
      <c r="G50" s="137" t="s">
        <v>195</v>
      </c>
      <c r="H50" s="138">
        <v>69</v>
      </c>
      <c r="I50" s="158">
        <f t="shared" si="2"/>
        <v>0.41044345791721937</v>
      </c>
      <c r="J50" s="95">
        <v>2.8029772977295701E-2</v>
      </c>
      <c r="K50" s="137">
        <v>0.79285714285714304</v>
      </c>
      <c r="L50" s="137">
        <v>0.75</v>
      </c>
      <c r="M50" s="137">
        <v>0.85714285714285698</v>
      </c>
      <c r="N50" s="136">
        <v>1</v>
      </c>
      <c r="O50" s="32">
        <v>43116</v>
      </c>
      <c r="P50" s="98">
        <f t="shared" si="3"/>
        <v>0</v>
      </c>
      <c r="Q50">
        <v>0</v>
      </c>
      <c r="R50">
        <v>0</v>
      </c>
      <c r="S50">
        <v>0</v>
      </c>
      <c r="T50" s="112" t="s">
        <v>48</v>
      </c>
      <c r="U50" s="137" t="s">
        <v>196</v>
      </c>
      <c r="V50" s="137" t="s">
        <v>197</v>
      </c>
      <c r="W50" s="69">
        <v>140</v>
      </c>
      <c r="X50" s="136">
        <v>1</v>
      </c>
      <c r="Y50" s="136">
        <v>1</v>
      </c>
      <c r="Z50" s="314"/>
      <c r="AA50" s="319">
        <v>0.60499999999999998</v>
      </c>
      <c r="AB50" s="315" t="s">
        <v>5176</v>
      </c>
      <c r="AC50" s="319">
        <v>2</v>
      </c>
      <c r="AD50" s="320">
        <v>2.53164556962025E-2</v>
      </c>
      <c r="AE50" s="319">
        <v>4</v>
      </c>
      <c r="AF50" s="320">
        <v>5.0632911392405E-2</v>
      </c>
      <c r="AG50" s="319">
        <v>1</v>
      </c>
      <c r="AH50" s="320">
        <v>1.26582278481012E-2</v>
      </c>
      <c r="AI50" s="319">
        <v>0</v>
      </c>
      <c r="AJ50" s="320">
        <v>0</v>
      </c>
      <c r="AK50" s="320">
        <v>1.3333333333333331E-2</v>
      </c>
      <c r="AL50" s="319">
        <v>5</v>
      </c>
      <c r="AM50" s="319">
        <v>6.2</v>
      </c>
      <c r="AN50" s="319">
        <v>2</v>
      </c>
      <c r="AO50" s="319">
        <v>0.44</v>
      </c>
      <c r="AP50">
        <v>1</v>
      </c>
      <c r="AR50" s="136">
        <v>1</v>
      </c>
      <c r="AT50" s="69">
        <v>2.3148</v>
      </c>
      <c r="AU50" s="69">
        <v>5</v>
      </c>
      <c r="AV50" s="69">
        <v>2.3148</v>
      </c>
      <c r="AW50" s="69">
        <v>0.32100000000000001</v>
      </c>
      <c r="BB50" s="69"/>
    </row>
    <row r="51" spans="1:54" customFormat="1" ht="40" customHeight="1">
      <c r="A51" s="313">
        <v>50</v>
      </c>
      <c r="B51" s="136" t="s">
        <v>170</v>
      </c>
      <c r="C51" s="136" t="s">
        <v>45</v>
      </c>
      <c r="D51" s="31">
        <f t="shared" si="0"/>
        <v>4</v>
      </c>
      <c r="E51" s="137" t="s">
        <v>46</v>
      </c>
      <c r="F51" s="31">
        <f t="shared" si="1"/>
        <v>6</v>
      </c>
      <c r="G51" s="137" t="s">
        <v>198</v>
      </c>
      <c r="H51" s="138">
        <v>32</v>
      </c>
      <c r="I51" s="158">
        <f t="shared" si="2"/>
        <v>0.39392681488223291</v>
      </c>
      <c r="J51" s="95">
        <v>1.86658333286428E-2</v>
      </c>
      <c r="K51" s="137">
        <v>0.76918779643582302</v>
      </c>
      <c r="L51" s="137">
        <v>0.75</v>
      </c>
      <c r="M51" s="137">
        <v>0.79796949108955795</v>
      </c>
      <c r="N51" s="136">
        <v>1</v>
      </c>
      <c r="O51" s="32">
        <v>43067</v>
      </c>
      <c r="P51" s="98">
        <f t="shared" si="3"/>
        <v>0</v>
      </c>
      <c r="Q51">
        <v>2.5499999999999998</v>
      </c>
      <c r="R51">
        <v>0</v>
      </c>
      <c r="S51">
        <v>0</v>
      </c>
      <c r="T51" s="112" t="s">
        <v>48</v>
      </c>
      <c r="U51" s="137" t="s">
        <v>198</v>
      </c>
      <c r="V51" s="137" t="s">
        <v>199</v>
      </c>
      <c r="W51" s="69">
        <v>135</v>
      </c>
      <c r="X51" s="136">
        <v>1</v>
      </c>
      <c r="Y51" s="136">
        <v>2</v>
      </c>
      <c r="Z51" s="314"/>
      <c r="AA51" s="319">
        <v>0.5</v>
      </c>
      <c r="AB51" s="315" t="s">
        <v>5176</v>
      </c>
      <c r="AC51" s="319">
        <v>0</v>
      </c>
      <c r="AD51" s="320">
        <v>0</v>
      </c>
      <c r="AE51" s="319">
        <v>5</v>
      </c>
      <c r="AF51" s="320">
        <v>6.9444444444444406E-2</v>
      </c>
      <c r="AG51" s="319">
        <v>2</v>
      </c>
      <c r="AH51" s="320">
        <v>2.77777777777777E-2</v>
      </c>
      <c r="AI51" s="319">
        <v>2</v>
      </c>
      <c r="AJ51" s="320">
        <v>2.77777777777777E-2</v>
      </c>
      <c r="AK51" s="320">
        <v>1.388888888888889E-2</v>
      </c>
      <c r="AL51" s="319">
        <v>5</v>
      </c>
      <c r="AM51" s="319">
        <v>5</v>
      </c>
      <c r="AN51" s="319">
        <v>2</v>
      </c>
      <c r="AO51" s="319">
        <v>0.4</v>
      </c>
      <c r="AP51">
        <v>2</v>
      </c>
      <c r="AR51" s="136"/>
      <c r="AS51">
        <v>2</v>
      </c>
      <c r="AT51" s="69">
        <v>2.3148</v>
      </c>
      <c r="AU51" s="69">
        <v>2.3148</v>
      </c>
      <c r="AV51" s="69">
        <v>2.3148</v>
      </c>
      <c r="AW51" s="69">
        <v>0.23150000000000001</v>
      </c>
      <c r="BB51" s="69"/>
    </row>
    <row r="52" spans="1:54" customFormat="1" ht="40" customHeight="1">
      <c r="A52" s="313">
        <v>51</v>
      </c>
      <c r="B52" s="136" t="s">
        <v>170</v>
      </c>
      <c r="C52" s="136" t="s">
        <v>45</v>
      </c>
      <c r="D52" s="31">
        <f t="shared" si="0"/>
        <v>4</v>
      </c>
      <c r="E52" s="137" t="s">
        <v>80</v>
      </c>
      <c r="F52" s="31">
        <f t="shared" si="1"/>
        <v>4</v>
      </c>
      <c r="G52" s="137" t="s">
        <v>200</v>
      </c>
      <c r="H52" s="138">
        <v>59</v>
      </c>
      <c r="I52" s="158">
        <f t="shared" si="2"/>
        <v>0.38362381054253353</v>
      </c>
      <c r="J52" s="95">
        <v>2.29340850550486E-5</v>
      </c>
      <c r="K52" s="137">
        <v>0.76722468700001201</v>
      </c>
      <c r="L52" s="137">
        <v>0.82499999999999996</v>
      </c>
      <c r="M52" s="137">
        <v>0.68056171750003003</v>
      </c>
      <c r="N52" s="136">
        <v>1</v>
      </c>
      <c r="O52" s="32">
        <v>43048</v>
      </c>
      <c r="P52" s="98">
        <f t="shared" si="3"/>
        <v>0</v>
      </c>
      <c r="Q52">
        <v>5.0999999999999996</v>
      </c>
      <c r="R52">
        <v>0</v>
      </c>
      <c r="S52">
        <v>0</v>
      </c>
      <c r="T52" s="112" t="s">
        <v>48</v>
      </c>
      <c r="U52" s="137" t="s">
        <v>201</v>
      </c>
      <c r="V52" s="137" t="s">
        <v>199</v>
      </c>
      <c r="W52" s="69">
        <v>135</v>
      </c>
      <c r="X52" s="136">
        <v>1</v>
      </c>
      <c r="Y52" s="136">
        <v>5</v>
      </c>
      <c r="Z52" s="314"/>
      <c r="AA52" s="319">
        <v>0.59450000000000003</v>
      </c>
      <c r="AB52" s="315" t="s">
        <v>5176</v>
      </c>
      <c r="AC52" s="319">
        <v>0</v>
      </c>
      <c r="AD52" s="320">
        <v>0</v>
      </c>
      <c r="AE52" s="319">
        <v>5</v>
      </c>
      <c r="AF52" s="320">
        <v>6.9444444444444406E-2</v>
      </c>
      <c r="AG52" s="319">
        <v>2</v>
      </c>
      <c r="AH52" s="320">
        <v>2.77777777777777E-2</v>
      </c>
      <c r="AI52" s="319">
        <v>2</v>
      </c>
      <c r="AJ52" s="320">
        <v>2.77777777777777E-2</v>
      </c>
      <c r="AK52" s="320">
        <v>1.388888888888889E-2</v>
      </c>
      <c r="AL52" s="319">
        <v>6.75</v>
      </c>
      <c r="AM52" s="319">
        <v>5</v>
      </c>
      <c r="AN52" s="319">
        <v>7.3333333333333304</v>
      </c>
      <c r="AO52" s="319">
        <v>0.63611111111111096</v>
      </c>
      <c r="AP52">
        <v>5</v>
      </c>
      <c r="AR52" s="136"/>
      <c r="AS52">
        <v>5</v>
      </c>
      <c r="AT52" s="69">
        <v>6.3414000000000001</v>
      </c>
      <c r="AU52" s="69">
        <v>2.3148</v>
      </c>
      <c r="AV52" s="69">
        <v>9.8416999999999994</v>
      </c>
      <c r="AW52" s="69">
        <v>0.61660000000000004</v>
      </c>
      <c r="BB52" s="69"/>
    </row>
    <row r="53" spans="1:54" customFormat="1" ht="40" customHeight="1">
      <c r="A53" s="313">
        <v>52</v>
      </c>
      <c r="B53" s="136" t="s">
        <v>170</v>
      </c>
      <c r="C53" s="136" t="s">
        <v>45</v>
      </c>
      <c r="D53" s="31">
        <f t="shared" si="0"/>
        <v>4</v>
      </c>
      <c r="E53" s="137" t="s">
        <v>46</v>
      </c>
      <c r="F53" s="31">
        <f t="shared" si="1"/>
        <v>6</v>
      </c>
      <c r="G53" s="137" t="s">
        <v>202</v>
      </c>
      <c r="H53" s="138">
        <v>286</v>
      </c>
      <c r="I53" s="158">
        <f t="shared" si="2"/>
        <v>0.34972501127200245</v>
      </c>
      <c r="J53" s="95">
        <v>6.35811747695891E-4</v>
      </c>
      <c r="K53" s="137">
        <v>0.69881421079630901</v>
      </c>
      <c r="L53" s="137">
        <v>0.75</v>
      </c>
      <c r="M53" s="137">
        <v>0.62203552699077302</v>
      </c>
      <c r="N53" s="136">
        <v>1</v>
      </c>
      <c r="O53" s="32">
        <v>42807</v>
      </c>
      <c r="P53" s="98">
        <f t="shared" si="3"/>
        <v>2</v>
      </c>
      <c r="Q53">
        <v>2.5499999999999998</v>
      </c>
      <c r="R53">
        <v>1.65</v>
      </c>
      <c r="S53">
        <v>7.48</v>
      </c>
      <c r="T53" s="112" t="s">
        <v>64</v>
      </c>
      <c r="U53" s="137" t="s">
        <v>203</v>
      </c>
      <c r="V53" s="137" t="s">
        <v>204</v>
      </c>
      <c r="W53" s="69">
        <v>106</v>
      </c>
      <c r="X53" s="136">
        <v>1</v>
      </c>
      <c r="Y53" s="136">
        <v>7</v>
      </c>
      <c r="Z53" s="314"/>
      <c r="AA53" s="319">
        <v>0.57350000000000001</v>
      </c>
      <c r="AB53" s="315" t="s">
        <v>5165</v>
      </c>
      <c r="AC53" s="319">
        <v>4</v>
      </c>
      <c r="AD53" s="320">
        <v>6.15384615384615E-2</v>
      </c>
      <c r="AE53" s="319">
        <v>2</v>
      </c>
      <c r="AF53" s="320">
        <v>3.0769230769230702E-2</v>
      </c>
      <c r="AG53" s="319">
        <v>0</v>
      </c>
      <c r="AH53" s="320">
        <v>0</v>
      </c>
      <c r="AI53" s="319">
        <v>0</v>
      </c>
      <c r="AJ53" s="320">
        <v>0</v>
      </c>
      <c r="AK53" s="320">
        <v>0</v>
      </c>
      <c r="AL53" s="319">
        <v>5</v>
      </c>
      <c r="AM53" s="319">
        <v>6.2</v>
      </c>
      <c r="AN53" s="319">
        <v>7.3333333333333304</v>
      </c>
      <c r="AO53" s="319">
        <v>0.61777777777777698</v>
      </c>
      <c r="AP53">
        <v>7</v>
      </c>
      <c r="AR53" s="136">
        <v>7</v>
      </c>
      <c r="AT53" s="69">
        <v>2.3148</v>
      </c>
      <c r="AU53" s="69">
        <v>5</v>
      </c>
      <c r="AV53" s="69">
        <v>9.8416999999999994</v>
      </c>
      <c r="AW53" s="69">
        <v>0.57189999999999996</v>
      </c>
      <c r="BB53" s="69"/>
    </row>
    <row r="54" spans="1:54" customFormat="1" ht="40" customHeight="1">
      <c r="A54" s="313">
        <v>53</v>
      </c>
      <c r="B54" s="136" t="s">
        <v>170</v>
      </c>
      <c r="C54" s="136" t="s">
        <v>45</v>
      </c>
      <c r="D54" s="31">
        <f t="shared" si="0"/>
        <v>4</v>
      </c>
      <c r="E54" s="137" t="s">
        <v>80</v>
      </c>
      <c r="F54" s="31">
        <f t="shared" si="1"/>
        <v>4</v>
      </c>
      <c r="G54" s="137" t="s">
        <v>205</v>
      </c>
      <c r="H54" s="138">
        <v>90</v>
      </c>
      <c r="I54" s="158">
        <f t="shared" si="2"/>
        <v>0.34079947313757858</v>
      </c>
      <c r="J54" s="95">
        <v>4.0793980509712402E-4</v>
      </c>
      <c r="K54" s="137">
        <v>0.68119100647006003</v>
      </c>
      <c r="L54" s="137">
        <v>0.82499999999999996</v>
      </c>
      <c r="M54" s="137">
        <v>0.46547751617515098</v>
      </c>
      <c r="N54" s="136">
        <v>1</v>
      </c>
      <c r="O54" s="32">
        <v>42726</v>
      </c>
      <c r="P54" s="98">
        <f t="shared" si="3"/>
        <v>0</v>
      </c>
      <c r="Q54">
        <v>2.5499999999999998</v>
      </c>
      <c r="R54">
        <v>0</v>
      </c>
      <c r="S54">
        <v>0</v>
      </c>
      <c r="T54" s="112" t="s">
        <v>48</v>
      </c>
      <c r="U54" s="137" t="s">
        <v>206</v>
      </c>
      <c r="V54" s="137" t="s">
        <v>207</v>
      </c>
      <c r="W54" s="69">
        <v>33</v>
      </c>
      <c r="X54" s="136">
        <v>1</v>
      </c>
      <c r="Y54" s="136">
        <v>14</v>
      </c>
      <c r="Z54" s="314"/>
      <c r="AA54" s="319">
        <v>0.66549999999999998</v>
      </c>
      <c r="AB54" s="315" t="s">
        <v>5165</v>
      </c>
      <c r="AC54" s="319">
        <v>1</v>
      </c>
      <c r="AD54" s="320">
        <v>0.05</v>
      </c>
      <c r="AE54" s="319">
        <v>0</v>
      </c>
      <c r="AF54" s="320">
        <v>0</v>
      </c>
      <c r="AG54" s="319">
        <v>0</v>
      </c>
      <c r="AH54" s="320">
        <v>0</v>
      </c>
      <c r="AI54" s="319">
        <v>0</v>
      </c>
      <c r="AJ54" s="320">
        <v>0</v>
      </c>
      <c r="AK54" s="320">
        <v>0</v>
      </c>
      <c r="AL54" s="319">
        <v>5</v>
      </c>
      <c r="AM54" s="319">
        <v>6.2</v>
      </c>
      <c r="AN54" s="319">
        <v>2</v>
      </c>
      <c r="AO54" s="319">
        <v>0.44</v>
      </c>
      <c r="AP54">
        <v>14</v>
      </c>
      <c r="AR54" s="136"/>
      <c r="AS54">
        <v>14</v>
      </c>
      <c r="AT54" s="69">
        <v>2.3148</v>
      </c>
      <c r="AU54" s="69">
        <v>5</v>
      </c>
      <c r="AV54" s="69">
        <v>2.3148</v>
      </c>
      <c r="AW54" s="69">
        <v>0.32100000000000001</v>
      </c>
      <c r="BB54" s="69"/>
    </row>
    <row r="55" spans="1:54" customFormat="1" ht="40" customHeight="1">
      <c r="A55" s="313">
        <v>54</v>
      </c>
      <c r="B55" s="136" t="s">
        <v>170</v>
      </c>
      <c r="C55" s="136" t="s">
        <v>45</v>
      </c>
      <c r="D55" s="31">
        <f t="shared" si="0"/>
        <v>4</v>
      </c>
      <c r="E55" s="137" t="s">
        <v>46</v>
      </c>
      <c r="F55" s="31">
        <f t="shared" si="1"/>
        <v>6</v>
      </c>
      <c r="G55" s="137" t="s">
        <v>208</v>
      </c>
      <c r="H55" s="138">
        <v>39</v>
      </c>
      <c r="I55" s="158">
        <f t="shared" si="2"/>
        <v>0.33189325684484783</v>
      </c>
      <c r="J55" s="95">
        <v>3.30793028143261E-3</v>
      </c>
      <c r="K55" s="137">
        <v>0.66047858340826304</v>
      </c>
      <c r="L55" s="137">
        <v>0.75</v>
      </c>
      <c r="M55" s="137">
        <v>0.526196458520657</v>
      </c>
      <c r="N55" s="136">
        <v>1</v>
      </c>
      <c r="O55" s="32">
        <v>42692</v>
      </c>
      <c r="P55" s="98">
        <f t="shared" si="3"/>
        <v>0</v>
      </c>
      <c r="Q55">
        <v>5.0999999999999996</v>
      </c>
      <c r="R55">
        <v>0</v>
      </c>
      <c r="S55">
        <v>0</v>
      </c>
      <c r="T55" s="112" t="s">
        <v>48</v>
      </c>
      <c r="U55" s="137" t="s">
        <v>209</v>
      </c>
      <c r="V55" s="137" t="s">
        <v>210</v>
      </c>
      <c r="W55" s="69">
        <v>51</v>
      </c>
      <c r="X55" s="136">
        <v>3</v>
      </c>
      <c r="Y55" s="136">
        <v>11</v>
      </c>
      <c r="Z55" s="314"/>
      <c r="AA55" s="319">
        <v>0.60499999999999998</v>
      </c>
      <c r="AB55" s="315" t="s">
        <v>5165</v>
      </c>
      <c r="AC55" s="319">
        <v>5</v>
      </c>
      <c r="AD55" s="320">
        <v>0.16129032258064499</v>
      </c>
      <c r="AE55" s="319">
        <v>0</v>
      </c>
      <c r="AF55" s="320">
        <v>0</v>
      </c>
      <c r="AG55" s="319">
        <v>0</v>
      </c>
      <c r="AH55" s="320">
        <v>0</v>
      </c>
      <c r="AI55" s="319">
        <v>0</v>
      </c>
      <c r="AJ55" s="320">
        <v>0</v>
      </c>
      <c r="AK55" s="320">
        <v>0</v>
      </c>
      <c r="AL55" s="319">
        <v>5</v>
      </c>
      <c r="AM55" s="319">
        <v>7.4</v>
      </c>
      <c r="AN55" s="319">
        <v>2</v>
      </c>
      <c r="AO55" s="319">
        <v>0.48</v>
      </c>
      <c r="AP55">
        <v>11</v>
      </c>
      <c r="AR55" s="136"/>
      <c r="AS55">
        <v>11</v>
      </c>
      <c r="AT55" s="69">
        <v>2.3148</v>
      </c>
      <c r="AU55" s="69">
        <v>7.6852</v>
      </c>
      <c r="AV55" s="69">
        <v>2.3148</v>
      </c>
      <c r="AW55" s="69">
        <v>0.41049999999999998</v>
      </c>
      <c r="BB55" s="69"/>
    </row>
    <row r="56" spans="1:54" customFormat="1" ht="40" customHeight="1">
      <c r="A56" s="313">
        <v>55</v>
      </c>
      <c r="B56" s="136" t="s">
        <v>170</v>
      </c>
      <c r="C56" s="136" t="s">
        <v>45</v>
      </c>
      <c r="D56" s="31">
        <f t="shared" si="0"/>
        <v>4</v>
      </c>
      <c r="E56" s="137" t="s">
        <v>46</v>
      </c>
      <c r="F56" s="31">
        <f t="shared" si="1"/>
        <v>6</v>
      </c>
      <c r="G56" s="137" t="s">
        <v>211</v>
      </c>
      <c r="H56" s="138">
        <v>454</v>
      </c>
      <c r="I56" s="158">
        <f t="shared" si="2"/>
        <v>0.83928571428571197</v>
      </c>
      <c r="J56" s="95">
        <v>0.999999999999996</v>
      </c>
      <c r="K56" s="137">
        <v>0.67857142857142805</v>
      </c>
      <c r="L56" s="137">
        <v>0.75</v>
      </c>
      <c r="M56" s="137">
        <v>0.57142857142857095</v>
      </c>
      <c r="N56" s="136">
        <v>1</v>
      </c>
      <c r="O56" s="32">
        <v>42669</v>
      </c>
      <c r="P56" s="98">
        <f t="shared" si="3"/>
        <v>0</v>
      </c>
      <c r="Q56">
        <v>5.0999999999999996</v>
      </c>
      <c r="R56">
        <v>1.65</v>
      </c>
      <c r="S56">
        <v>0</v>
      </c>
      <c r="T56" s="112" t="s">
        <v>48</v>
      </c>
      <c r="U56" s="137" t="s">
        <v>212</v>
      </c>
      <c r="V56" s="137" t="s">
        <v>213</v>
      </c>
      <c r="W56" s="69">
        <v>67</v>
      </c>
      <c r="X56" s="136">
        <v>2</v>
      </c>
      <c r="Y56" s="136">
        <v>9</v>
      </c>
      <c r="Z56" s="314"/>
      <c r="AA56" s="319">
        <v>0.45454545454545398</v>
      </c>
      <c r="AB56" s="315" t="s">
        <v>5165</v>
      </c>
      <c r="AC56" s="319">
        <v>4</v>
      </c>
      <c r="AD56" s="320">
        <v>0.10256410256410201</v>
      </c>
      <c r="AE56" s="319">
        <v>0</v>
      </c>
      <c r="AF56" s="320">
        <v>0</v>
      </c>
      <c r="AG56" s="319">
        <v>0</v>
      </c>
      <c r="AH56" s="320">
        <v>0</v>
      </c>
      <c r="AI56" s="319">
        <v>0</v>
      </c>
      <c r="AJ56" s="320">
        <v>0</v>
      </c>
      <c r="AK56" s="320">
        <v>0</v>
      </c>
      <c r="AL56" s="319">
        <v>5</v>
      </c>
      <c r="AM56" s="319">
        <v>5</v>
      </c>
      <c r="AN56" s="319">
        <v>4.6666666666666599</v>
      </c>
      <c r="AO56" s="319">
        <v>0.48888888888888798</v>
      </c>
      <c r="AP56">
        <v>9</v>
      </c>
      <c r="AQ56">
        <v>9</v>
      </c>
      <c r="AR56" s="136"/>
      <c r="AT56" s="69">
        <v>2.3148</v>
      </c>
      <c r="AU56" s="69">
        <v>2.3148</v>
      </c>
      <c r="AV56" s="69">
        <v>8.1305999999999994</v>
      </c>
      <c r="AW56" s="69">
        <v>0.42530000000000001</v>
      </c>
      <c r="BB56" s="69"/>
    </row>
    <row r="57" spans="1:54" customFormat="1" ht="40" customHeight="1">
      <c r="A57" s="313">
        <v>56</v>
      </c>
      <c r="B57" s="136" t="s">
        <v>170</v>
      </c>
      <c r="C57" s="136" t="s">
        <v>45</v>
      </c>
      <c r="D57" s="31">
        <f t="shared" si="0"/>
        <v>4</v>
      </c>
      <c r="E57" s="137" t="s">
        <v>46</v>
      </c>
      <c r="F57" s="31">
        <f t="shared" si="1"/>
        <v>6</v>
      </c>
      <c r="G57" s="137" t="s">
        <v>214</v>
      </c>
      <c r="H57" s="138">
        <v>104</v>
      </c>
      <c r="I57" s="158">
        <f t="shared" si="2"/>
        <v>0.33622450492364991</v>
      </c>
      <c r="J57" s="95">
        <v>6.0204384187287898E-3</v>
      </c>
      <c r="K57" s="137">
        <v>0.66642857142857104</v>
      </c>
      <c r="L57" s="137">
        <v>0.82499999999999996</v>
      </c>
      <c r="M57" s="137">
        <v>0.42857142857142899</v>
      </c>
      <c r="N57" s="136">
        <v>1</v>
      </c>
      <c r="O57" s="32">
        <v>42637</v>
      </c>
      <c r="P57" s="98">
        <f t="shared" si="3"/>
        <v>0</v>
      </c>
      <c r="Q57">
        <v>2.5499999999999998</v>
      </c>
      <c r="R57">
        <v>1.65</v>
      </c>
      <c r="S57">
        <v>0</v>
      </c>
      <c r="T57" s="112" t="s">
        <v>48</v>
      </c>
      <c r="U57" s="137" t="s">
        <v>215</v>
      </c>
      <c r="V57" s="137" t="s">
        <v>216</v>
      </c>
      <c r="W57" s="69">
        <v>57</v>
      </c>
      <c r="X57" s="136">
        <v>1</v>
      </c>
      <c r="Y57" s="136">
        <v>16</v>
      </c>
      <c r="Z57" s="314"/>
      <c r="AA57" s="319">
        <v>0.5</v>
      </c>
      <c r="AB57" s="315" t="s">
        <v>5165</v>
      </c>
      <c r="AC57" s="319">
        <v>6</v>
      </c>
      <c r="AD57" s="320">
        <v>0.1875</v>
      </c>
      <c r="AE57" s="319">
        <v>0</v>
      </c>
      <c r="AF57" s="320">
        <v>0</v>
      </c>
      <c r="AG57" s="319">
        <v>0</v>
      </c>
      <c r="AH57" s="320">
        <v>0</v>
      </c>
      <c r="AI57" s="319">
        <v>0</v>
      </c>
      <c r="AJ57" s="320">
        <v>0</v>
      </c>
      <c r="AK57" s="320">
        <v>0</v>
      </c>
      <c r="AL57" s="319">
        <v>5</v>
      </c>
      <c r="AM57" s="319">
        <v>5</v>
      </c>
      <c r="AN57" s="319">
        <v>2</v>
      </c>
      <c r="AO57" s="319">
        <v>0.4</v>
      </c>
      <c r="AP57">
        <v>16</v>
      </c>
      <c r="AQ57">
        <v>16</v>
      </c>
      <c r="AR57" s="136"/>
      <c r="AT57" s="69">
        <v>2.3148</v>
      </c>
      <c r="AU57" s="69">
        <v>2.3148</v>
      </c>
      <c r="AV57" s="69">
        <v>2.3148</v>
      </c>
      <c r="AW57" s="69">
        <v>0.23150000000000001</v>
      </c>
      <c r="BB57" s="69"/>
    </row>
    <row r="58" spans="1:54" customFormat="1" ht="40" customHeight="1">
      <c r="A58" s="313">
        <v>57</v>
      </c>
      <c r="B58" s="136" t="s">
        <v>217</v>
      </c>
      <c r="C58" s="136" t="s">
        <v>45</v>
      </c>
      <c r="D58" s="31">
        <f t="shared" si="0"/>
        <v>4</v>
      </c>
      <c r="E58" s="137" t="s">
        <v>80</v>
      </c>
      <c r="F58" s="31">
        <f t="shared" si="1"/>
        <v>4</v>
      </c>
      <c r="G58" s="137" t="s">
        <v>218</v>
      </c>
      <c r="H58" s="138">
        <f t="shared" ref="H58:H64" si="4">LEN(U58)</f>
        <v>23</v>
      </c>
      <c r="I58" s="158">
        <f t="shared" si="2"/>
        <v>0.87355823874818705</v>
      </c>
      <c r="J58" s="95">
        <v>0.99609080935745298</v>
      </c>
      <c r="K58" s="137">
        <v>0.75102566813892102</v>
      </c>
      <c r="L58" s="137">
        <v>0.75</v>
      </c>
      <c r="M58" s="137">
        <v>0.75256417034730305</v>
      </c>
      <c r="N58" s="136">
        <v>1</v>
      </c>
      <c r="O58" s="32">
        <v>44162</v>
      </c>
      <c r="P58" s="98">
        <f t="shared" si="3"/>
        <v>0</v>
      </c>
      <c r="Q58">
        <v>2.5499999999999998</v>
      </c>
      <c r="R58">
        <v>1.65</v>
      </c>
      <c r="S58">
        <v>0</v>
      </c>
      <c r="T58" s="112" t="s">
        <v>48</v>
      </c>
      <c r="U58" s="137" t="s">
        <v>219</v>
      </c>
      <c r="V58" s="137" t="s">
        <v>220</v>
      </c>
      <c r="W58" s="69">
        <f t="shared" ref="W58:W64" si="5">LEN(V58)</f>
        <v>77</v>
      </c>
      <c r="X58" s="136">
        <v>1</v>
      </c>
      <c r="Y58" s="136">
        <v>3</v>
      </c>
      <c r="Z58" s="314"/>
      <c r="AA58" s="319">
        <v>0.5</v>
      </c>
      <c r="AB58" s="315" t="s">
        <v>5168</v>
      </c>
      <c r="AC58" s="319">
        <v>1</v>
      </c>
      <c r="AD58" s="320">
        <v>2.7027027027027001E-2</v>
      </c>
      <c r="AE58" s="319">
        <v>1</v>
      </c>
      <c r="AF58" s="320">
        <v>2.7027027027027001E-2</v>
      </c>
      <c r="AG58" s="319">
        <v>2</v>
      </c>
      <c r="AH58" s="320">
        <v>5.4054054054054002E-2</v>
      </c>
      <c r="AI58" s="319">
        <v>0</v>
      </c>
      <c r="AJ58" s="320">
        <v>0</v>
      </c>
      <c r="AK58" s="320">
        <v>0</v>
      </c>
      <c r="AL58" s="319">
        <v>5</v>
      </c>
      <c r="AM58" s="319">
        <v>5</v>
      </c>
      <c r="AN58" s="319">
        <v>2</v>
      </c>
      <c r="AO58" s="319">
        <v>0.4</v>
      </c>
      <c r="AP58">
        <v>3</v>
      </c>
      <c r="AR58" s="136"/>
      <c r="AT58" s="69">
        <v>2.3148</v>
      </c>
      <c r="AU58" s="69">
        <v>2.3148</v>
      </c>
      <c r="AV58" s="69">
        <v>2.3148</v>
      </c>
      <c r="AW58" s="69">
        <v>0.23150000000000001</v>
      </c>
      <c r="BB58" s="69"/>
    </row>
    <row r="59" spans="1:54" customFormat="1" ht="40" customHeight="1">
      <c r="A59" s="313">
        <v>58</v>
      </c>
      <c r="B59" s="136" t="s">
        <v>217</v>
      </c>
      <c r="C59" s="136" t="s">
        <v>59</v>
      </c>
      <c r="D59" s="31">
        <f t="shared" si="0"/>
        <v>5</v>
      </c>
      <c r="E59" s="137" t="s">
        <v>221</v>
      </c>
      <c r="F59" s="31">
        <f t="shared" si="1"/>
        <v>2</v>
      </c>
      <c r="G59" s="137" t="s">
        <v>222</v>
      </c>
      <c r="H59" s="138">
        <f t="shared" si="4"/>
        <v>84</v>
      </c>
      <c r="I59" s="158">
        <f t="shared" si="2"/>
        <v>0.83541680192816903</v>
      </c>
      <c r="J59" s="95">
        <v>0.98988480059348505</v>
      </c>
      <c r="K59" s="137">
        <v>0.68094880326285301</v>
      </c>
      <c r="L59" s="137">
        <v>0.56348610067618299</v>
      </c>
      <c r="M59" s="137">
        <v>0.85714285714285698</v>
      </c>
      <c r="N59" s="136" t="s">
        <v>223</v>
      </c>
      <c r="O59" s="32">
        <v>44160</v>
      </c>
      <c r="P59" s="98">
        <f t="shared" si="3"/>
        <v>1</v>
      </c>
      <c r="Q59">
        <v>0</v>
      </c>
      <c r="R59">
        <v>0</v>
      </c>
      <c r="S59">
        <v>0</v>
      </c>
      <c r="T59" s="112" t="s">
        <v>73</v>
      </c>
      <c r="U59" s="137" t="s">
        <v>224</v>
      </c>
      <c r="V59" s="137" t="s">
        <v>5160</v>
      </c>
      <c r="W59" s="69">
        <f t="shared" si="5"/>
        <v>110</v>
      </c>
      <c r="X59" s="136">
        <v>0</v>
      </c>
      <c r="Y59" s="136">
        <v>1</v>
      </c>
      <c r="Z59" s="314"/>
      <c r="AA59" s="319">
        <v>2.7382887602325101E-2</v>
      </c>
      <c r="AB59" s="331" t="s">
        <v>5172</v>
      </c>
      <c r="AC59" s="319">
        <v>0</v>
      </c>
      <c r="AD59" s="320">
        <v>0</v>
      </c>
      <c r="AE59" s="319">
        <v>0</v>
      </c>
      <c r="AF59" s="320">
        <v>0</v>
      </c>
      <c r="AG59" s="319">
        <v>0</v>
      </c>
      <c r="AH59" s="320">
        <v>0</v>
      </c>
      <c r="AI59" s="319">
        <v>0</v>
      </c>
      <c r="AJ59" s="320">
        <v>0</v>
      </c>
      <c r="AK59" s="320">
        <v>0</v>
      </c>
      <c r="AL59" s="319">
        <v>5</v>
      </c>
      <c r="AM59" s="319">
        <v>5</v>
      </c>
      <c r="AN59" s="319">
        <v>3.5</v>
      </c>
      <c r="AO59" s="319">
        <v>0.45</v>
      </c>
      <c r="AQ59">
        <v>1</v>
      </c>
      <c r="AR59" s="136">
        <v>1</v>
      </c>
      <c r="AT59" s="69">
        <v>2.3148</v>
      </c>
      <c r="AU59" s="69">
        <v>2.3148</v>
      </c>
      <c r="AV59" s="69">
        <v>5.7443999999999997</v>
      </c>
      <c r="AW59" s="69">
        <v>0.3458</v>
      </c>
      <c r="BB59" s="69"/>
    </row>
    <row r="60" spans="1:54" customFormat="1" ht="40" customHeight="1">
      <c r="A60" s="313">
        <v>59</v>
      </c>
      <c r="B60" s="136" t="s">
        <v>217</v>
      </c>
      <c r="C60" s="136" t="s">
        <v>45</v>
      </c>
      <c r="D60" s="31">
        <f t="shared" si="0"/>
        <v>4</v>
      </c>
      <c r="E60" s="137" t="s">
        <v>221</v>
      </c>
      <c r="F60" s="31">
        <f t="shared" si="1"/>
        <v>2</v>
      </c>
      <c r="G60" s="137" t="s">
        <v>226</v>
      </c>
      <c r="H60" s="138">
        <f t="shared" si="4"/>
        <v>47</v>
      </c>
      <c r="I60" s="158">
        <f t="shared" si="2"/>
        <v>0.82111613622408397</v>
      </c>
      <c r="J60" s="95">
        <v>0.98461716028760105</v>
      </c>
      <c r="K60" s="137">
        <v>0.65761511216056701</v>
      </c>
      <c r="L60" s="137">
        <v>0.61983471074380203</v>
      </c>
      <c r="M60" s="137">
        <v>0.71428571428571397</v>
      </c>
      <c r="N60" s="136">
        <v>1</v>
      </c>
      <c r="O60" s="32">
        <v>44112</v>
      </c>
      <c r="P60" s="98">
        <f t="shared" si="3"/>
        <v>1</v>
      </c>
      <c r="Q60">
        <v>2.5499999999999998</v>
      </c>
      <c r="R60">
        <v>1.65</v>
      </c>
      <c r="S60">
        <v>0</v>
      </c>
      <c r="T60" s="112" t="s">
        <v>73</v>
      </c>
      <c r="U60" s="137" t="s">
        <v>227</v>
      </c>
      <c r="V60" s="137" t="s">
        <v>228</v>
      </c>
      <c r="W60" s="69">
        <f t="shared" si="5"/>
        <v>68</v>
      </c>
      <c r="X60" s="136">
        <v>0</v>
      </c>
      <c r="Y60" s="136">
        <v>4</v>
      </c>
      <c r="Z60" s="314"/>
      <c r="AA60" s="319">
        <v>0.55000000000000004</v>
      </c>
      <c r="AB60" s="315" t="s">
        <v>5176</v>
      </c>
      <c r="AC60" s="319">
        <v>0</v>
      </c>
      <c r="AD60" s="320">
        <v>0</v>
      </c>
      <c r="AE60" s="319">
        <v>1</v>
      </c>
      <c r="AF60" s="320">
        <v>2.27272727272727E-2</v>
      </c>
      <c r="AG60" s="319">
        <v>0</v>
      </c>
      <c r="AH60" s="320">
        <v>0</v>
      </c>
      <c r="AI60" s="319">
        <v>0</v>
      </c>
      <c r="AJ60" s="320">
        <v>0</v>
      </c>
      <c r="AK60" s="320">
        <v>0</v>
      </c>
      <c r="AL60" s="319">
        <v>5</v>
      </c>
      <c r="AM60" s="319">
        <v>5</v>
      </c>
      <c r="AN60" s="319">
        <v>2</v>
      </c>
      <c r="AO60" s="319">
        <v>0.4</v>
      </c>
      <c r="AR60" s="136">
        <v>4</v>
      </c>
      <c r="AT60" s="69">
        <v>2.3148</v>
      </c>
      <c r="AU60" s="69">
        <v>2.3148</v>
      </c>
      <c r="AV60" s="69">
        <v>2.3148</v>
      </c>
      <c r="AW60" s="69">
        <v>0.23150000000000001</v>
      </c>
      <c r="BB60" s="69"/>
    </row>
    <row r="61" spans="1:54" customFormat="1" ht="40" customHeight="1">
      <c r="A61" s="313">
        <v>60</v>
      </c>
      <c r="B61" s="136" t="s">
        <v>217</v>
      </c>
      <c r="C61" s="136" t="s">
        <v>59</v>
      </c>
      <c r="D61" s="31">
        <f t="shared" si="0"/>
        <v>5</v>
      </c>
      <c r="E61" s="137" t="s">
        <v>80</v>
      </c>
      <c r="F61" s="31">
        <f t="shared" si="1"/>
        <v>4</v>
      </c>
      <c r="G61" s="137" t="s">
        <v>229</v>
      </c>
      <c r="H61" s="138">
        <f t="shared" si="4"/>
        <v>47</v>
      </c>
      <c r="I61" s="158">
        <f t="shared" si="2"/>
        <v>0.54760448662045058</v>
      </c>
      <c r="J61" s="95">
        <v>0.34326092129284902</v>
      </c>
      <c r="K61" s="137">
        <v>0.75194805194805203</v>
      </c>
      <c r="L61" s="137">
        <v>0.68181818181818199</v>
      </c>
      <c r="M61" s="137">
        <v>0.85714285714285698</v>
      </c>
      <c r="N61" s="136">
        <v>1</v>
      </c>
      <c r="O61" s="32">
        <v>44089</v>
      </c>
      <c r="P61" s="98">
        <f t="shared" si="3"/>
        <v>0</v>
      </c>
      <c r="Q61">
        <v>2.5499999999999998</v>
      </c>
      <c r="R61">
        <v>0</v>
      </c>
      <c r="S61">
        <v>0</v>
      </c>
      <c r="T61" s="112" t="s">
        <v>48</v>
      </c>
      <c r="U61" s="137" t="s">
        <v>230</v>
      </c>
      <c r="V61" s="137" t="s">
        <v>231</v>
      </c>
      <c r="W61" s="69">
        <f t="shared" si="5"/>
        <v>94</v>
      </c>
      <c r="X61" s="136">
        <v>0</v>
      </c>
      <c r="Y61" s="136">
        <v>1</v>
      </c>
      <c r="Z61" s="314"/>
      <c r="AA61" s="319">
        <v>0.55000000000000004</v>
      </c>
      <c r="AB61" s="315" t="s">
        <v>5168</v>
      </c>
      <c r="AC61" s="319">
        <v>0</v>
      </c>
      <c r="AD61" s="320">
        <v>0</v>
      </c>
      <c r="AE61" s="319">
        <v>0</v>
      </c>
      <c r="AF61" s="320">
        <v>0</v>
      </c>
      <c r="AG61" s="319">
        <v>1</v>
      </c>
      <c r="AH61" s="320">
        <v>1.7543859649122799E-2</v>
      </c>
      <c r="AI61" s="319">
        <v>0</v>
      </c>
      <c r="AJ61" s="320">
        <v>0</v>
      </c>
      <c r="AK61" s="320">
        <v>0</v>
      </c>
      <c r="AL61" s="319">
        <v>5</v>
      </c>
      <c r="AM61" s="319">
        <v>5</v>
      </c>
      <c r="AN61" s="319">
        <v>2</v>
      </c>
      <c r="AO61" s="319">
        <v>0.4</v>
      </c>
      <c r="AR61" s="136">
        <v>1</v>
      </c>
      <c r="AT61" s="69">
        <v>2.3148</v>
      </c>
      <c r="AU61" s="69">
        <v>2.3148</v>
      </c>
      <c r="AV61" s="69">
        <v>2.3148</v>
      </c>
      <c r="AW61" s="69">
        <v>0.23150000000000001</v>
      </c>
      <c r="BB61" s="69"/>
    </row>
    <row r="62" spans="1:54" customFormat="1" ht="40" customHeight="1">
      <c r="A62" s="313">
        <v>61</v>
      </c>
      <c r="B62" s="136" t="s">
        <v>217</v>
      </c>
      <c r="C62" s="136" t="s">
        <v>45</v>
      </c>
      <c r="D62" s="31">
        <f t="shared" si="0"/>
        <v>4</v>
      </c>
      <c r="E62" s="137" t="s">
        <v>80</v>
      </c>
      <c r="F62" s="31">
        <f t="shared" si="1"/>
        <v>4</v>
      </c>
      <c r="G62" s="137" t="s">
        <v>232</v>
      </c>
      <c r="H62" s="138">
        <f t="shared" si="4"/>
        <v>49</v>
      </c>
      <c r="I62" s="158">
        <f t="shared" si="2"/>
        <v>0.36263856225596114</v>
      </c>
      <c r="J62" s="95">
        <v>3.05243751191031E-3</v>
      </c>
      <c r="K62" s="137">
        <v>0.72222468700001197</v>
      </c>
      <c r="L62" s="137">
        <v>0.75</v>
      </c>
      <c r="M62" s="137">
        <v>0.68056171750003003</v>
      </c>
      <c r="N62" s="136">
        <v>1</v>
      </c>
      <c r="O62" s="32">
        <v>44055</v>
      </c>
      <c r="P62" s="98">
        <f t="shared" si="3"/>
        <v>1</v>
      </c>
      <c r="Q62">
        <v>0</v>
      </c>
      <c r="R62">
        <v>1.65</v>
      </c>
      <c r="S62">
        <v>0</v>
      </c>
      <c r="T62" s="112" t="s">
        <v>73</v>
      </c>
      <c r="U62" s="137" t="s">
        <v>233</v>
      </c>
      <c r="V62" s="137" t="s">
        <v>234</v>
      </c>
      <c r="W62" s="69">
        <f t="shared" si="5"/>
        <v>63</v>
      </c>
      <c r="X62" s="136">
        <v>1</v>
      </c>
      <c r="Y62" s="136">
        <v>5</v>
      </c>
      <c r="Z62" s="314"/>
      <c r="AA62" s="319">
        <v>0.5</v>
      </c>
      <c r="AB62" s="315" t="s">
        <v>5176</v>
      </c>
      <c r="AC62" s="319">
        <v>1</v>
      </c>
      <c r="AD62" s="320">
        <v>2.8571428571428501E-2</v>
      </c>
      <c r="AE62" s="319">
        <v>4</v>
      </c>
      <c r="AF62" s="320">
        <v>0.114285714285714</v>
      </c>
      <c r="AG62" s="319">
        <v>0</v>
      </c>
      <c r="AH62" s="320">
        <v>0</v>
      </c>
      <c r="AI62" s="319">
        <v>0</v>
      </c>
      <c r="AJ62" s="320">
        <v>0</v>
      </c>
      <c r="AK62" s="320">
        <v>2.8571428571428571E-2</v>
      </c>
      <c r="AL62" s="319">
        <v>5</v>
      </c>
      <c r="AM62" s="319">
        <v>5</v>
      </c>
      <c r="AN62" s="319">
        <v>4.6666666666666599</v>
      </c>
      <c r="AO62" s="319">
        <v>0.48888888888888798</v>
      </c>
      <c r="AP62">
        <v>5</v>
      </c>
      <c r="AQ62">
        <v>5</v>
      </c>
      <c r="AR62" s="136"/>
      <c r="AT62" s="69">
        <v>2.3148</v>
      </c>
      <c r="AU62" s="69">
        <v>2.3148</v>
      </c>
      <c r="AV62" s="69">
        <v>8.1305999999999994</v>
      </c>
      <c r="AW62" s="69">
        <v>0.42530000000000001</v>
      </c>
      <c r="BB62" s="69"/>
    </row>
    <row r="63" spans="1:54" customFormat="1" ht="40" customHeight="1">
      <c r="A63" s="313">
        <v>62</v>
      </c>
      <c r="B63" s="136" t="s">
        <v>217</v>
      </c>
      <c r="C63" s="136" t="s">
        <v>59</v>
      </c>
      <c r="D63" s="31">
        <f t="shared" si="0"/>
        <v>5</v>
      </c>
      <c r="E63" s="137" t="s">
        <v>221</v>
      </c>
      <c r="F63" s="31">
        <f t="shared" si="1"/>
        <v>2</v>
      </c>
      <c r="G63" s="137" t="s">
        <v>235</v>
      </c>
      <c r="H63" s="138">
        <f t="shared" si="4"/>
        <v>15</v>
      </c>
      <c r="I63" s="158">
        <f t="shared" si="2"/>
        <v>0.62210250365713593</v>
      </c>
      <c r="J63" s="95">
        <v>0.435114098223363</v>
      </c>
      <c r="K63" s="137">
        <v>0.80909090909090897</v>
      </c>
      <c r="L63" s="137">
        <v>0.68181818181818199</v>
      </c>
      <c r="M63" s="137">
        <v>1</v>
      </c>
      <c r="N63" s="136">
        <v>1</v>
      </c>
      <c r="O63" s="32">
        <v>44050</v>
      </c>
      <c r="P63" s="98">
        <f t="shared" si="3"/>
        <v>0</v>
      </c>
      <c r="Q63">
        <v>2.5499999999999998</v>
      </c>
      <c r="R63">
        <v>0</v>
      </c>
      <c r="S63">
        <v>0</v>
      </c>
      <c r="T63" s="112" t="s">
        <v>48</v>
      </c>
      <c r="U63" s="137" t="s">
        <v>235</v>
      </c>
      <c r="V63" s="137" t="s">
        <v>236</v>
      </c>
      <c r="W63" s="69">
        <f t="shared" si="5"/>
        <v>40</v>
      </c>
      <c r="X63" s="136">
        <v>0</v>
      </c>
      <c r="Y63" s="136">
        <v>0</v>
      </c>
      <c r="Z63" s="314"/>
      <c r="AA63" s="319">
        <v>0.55000000000000004</v>
      </c>
      <c r="AB63" s="315" t="s">
        <v>5176</v>
      </c>
      <c r="AC63" s="319">
        <v>0</v>
      </c>
      <c r="AD63" s="320">
        <v>0</v>
      </c>
      <c r="AE63" s="319">
        <v>2</v>
      </c>
      <c r="AF63" s="320">
        <v>8.6956521739130405E-2</v>
      </c>
      <c r="AG63" s="319">
        <v>0</v>
      </c>
      <c r="AH63" s="320">
        <v>0</v>
      </c>
      <c r="AI63" s="319">
        <v>0</v>
      </c>
      <c r="AJ63" s="320">
        <v>0</v>
      </c>
      <c r="AK63" s="320">
        <v>4.3478260869565223E-2</v>
      </c>
      <c r="AL63" s="319">
        <v>5</v>
      </c>
      <c r="AM63" s="319">
        <v>5</v>
      </c>
      <c r="AN63" s="319">
        <v>3.5</v>
      </c>
      <c r="AO63" s="319">
        <v>0.45</v>
      </c>
      <c r="AQ63">
        <v>0</v>
      </c>
      <c r="AR63" s="136"/>
      <c r="AT63" s="69">
        <v>2.3148</v>
      </c>
      <c r="AU63" s="69">
        <v>2.3148</v>
      </c>
      <c r="AV63" s="69">
        <v>5.7443999999999997</v>
      </c>
      <c r="AW63" s="69">
        <v>0.3458</v>
      </c>
      <c r="BB63" s="69"/>
    </row>
    <row r="64" spans="1:54" customFormat="1" ht="40" customHeight="1">
      <c r="A64" s="313">
        <v>63</v>
      </c>
      <c r="B64" s="136" t="s">
        <v>217</v>
      </c>
      <c r="C64" s="136" t="s">
        <v>59</v>
      </c>
      <c r="D64" s="31">
        <f t="shared" si="0"/>
        <v>5</v>
      </c>
      <c r="E64" s="137" t="s">
        <v>221</v>
      </c>
      <c r="F64" s="31">
        <f t="shared" si="1"/>
        <v>2</v>
      </c>
      <c r="G64" s="137" t="s">
        <v>237</v>
      </c>
      <c r="H64" s="138">
        <f t="shared" si="4"/>
        <v>32</v>
      </c>
      <c r="I64" s="158">
        <f t="shared" si="2"/>
        <v>0.72840708783027508</v>
      </c>
      <c r="J64" s="95">
        <v>0.70486612371249802</v>
      </c>
      <c r="K64" s="137">
        <v>0.75194805194805203</v>
      </c>
      <c r="L64" s="137">
        <v>0.68181818181818199</v>
      </c>
      <c r="M64" s="137">
        <v>0.85714285714285698</v>
      </c>
      <c r="N64" s="136">
        <v>1</v>
      </c>
      <c r="O64" s="32">
        <v>44046</v>
      </c>
      <c r="P64" s="98">
        <f t="shared" si="3"/>
        <v>0</v>
      </c>
      <c r="Q64">
        <v>2.5499999999999998</v>
      </c>
      <c r="R64">
        <v>1.65</v>
      </c>
      <c r="S64">
        <v>0</v>
      </c>
      <c r="T64" s="112" t="s">
        <v>48</v>
      </c>
      <c r="U64" s="137" t="s">
        <v>238</v>
      </c>
      <c r="V64" s="137" t="s">
        <v>239</v>
      </c>
      <c r="W64" s="69">
        <f t="shared" si="5"/>
        <v>171</v>
      </c>
      <c r="X64" s="136">
        <v>0</v>
      </c>
      <c r="Y64" s="136">
        <v>1</v>
      </c>
      <c r="Z64" s="314"/>
      <c r="AA64" s="319">
        <v>0.55000000000000004</v>
      </c>
      <c r="AB64" s="315" t="s">
        <v>5176</v>
      </c>
      <c r="AC64" s="319">
        <v>1</v>
      </c>
      <c r="AD64" s="320">
        <v>9.5238095238095195E-3</v>
      </c>
      <c r="AE64" s="319">
        <v>2</v>
      </c>
      <c r="AF64" s="320">
        <v>1.9047619047619001E-2</v>
      </c>
      <c r="AG64" s="319">
        <v>1</v>
      </c>
      <c r="AH64" s="320">
        <v>9.5238095238095195E-3</v>
      </c>
      <c r="AI64" s="319">
        <v>0</v>
      </c>
      <c r="AJ64" s="320">
        <v>0</v>
      </c>
      <c r="AK64" s="320">
        <v>9.5238095238095247E-3</v>
      </c>
      <c r="AL64" s="319">
        <v>5</v>
      </c>
      <c r="AM64" s="319">
        <v>5</v>
      </c>
      <c r="AN64" s="319">
        <v>2</v>
      </c>
      <c r="AO64" s="319">
        <v>0.4</v>
      </c>
      <c r="AR64" s="136">
        <v>1</v>
      </c>
      <c r="AT64" s="69">
        <v>2.3148</v>
      </c>
      <c r="AU64" s="69">
        <v>2.3148</v>
      </c>
      <c r="AV64" s="69">
        <v>2.3148</v>
      </c>
      <c r="AW64" s="69">
        <v>0.23150000000000001</v>
      </c>
      <c r="BB64" s="69"/>
    </row>
    <row r="65" spans="1:54" customFormat="1" ht="40" customHeight="1">
      <c r="A65" s="313">
        <v>64</v>
      </c>
      <c r="B65" s="136" t="s">
        <v>217</v>
      </c>
      <c r="C65" s="136" t="s">
        <v>45</v>
      </c>
      <c r="D65" s="31">
        <f t="shared" si="0"/>
        <v>4</v>
      </c>
      <c r="E65" s="137" t="s">
        <v>80</v>
      </c>
      <c r="F65" s="31">
        <f t="shared" si="1"/>
        <v>4</v>
      </c>
      <c r="G65" s="137" t="s">
        <v>159</v>
      </c>
      <c r="H65" s="138">
        <v>108</v>
      </c>
      <c r="I65" s="158">
        <f t="shared" si="2"/>
        <v>0.33236850577313731</v>
      </c>
      <c r="J65" s="95">
        <v>4.2584281380115803E-3</v>
      </c>
      <c r="K65" s="137">
        <v>0.66047858340826304</v>
      </c>
      <c r="L65" s="137">
        <v>0.75</v>
      </c>
      <c r="M65" s="137">
        <v>0.526196458520657</v>
      </c>
      <c r="N65" s="136">
        <v>1</v>
      </c>
      <c r="O65" s="32">
        <v>44008</v>
      </c>
      <c r="P65" s="98">
        <f t="shared" si="3"/>
        <v>0</v>
      </c>
      <c r="Q65">
        <v>5.0999999999999996</v>
      </c>
      <c r="R65">
        <v>3.3</v>
      </c>
      <c r="S65">
        <v>0</v>
      </c>
      <c r="T65" s="112" t="s">
        <v>48</v>
      </c>
      <c r="U65" s="137" t="s">
        <v>240</v>
      </c>
      <c r="V65" s="137" t="s">
        <v>241</v>
      </c>
      <c r="W65" s="69">
        <v>121</v>
      </c>
      <c r="X65" s="136">
        <v>3</v>
      </c>
      <c r="Y65" s="136">
        <v>11</v>
      </c>
      <c r="Z65" s="314"/>
      <c r="AA65" s="319">
        <v>0.54500000000000004</v>
      </c>
      <c r="AB65" s="315" t="s">
        <v>5176</v>
      </c>
      <c r="AC65" s="319">
        <v>0</v>
      </c>
      <c r="AD65" s="320">
        <v>0</v>
      </c>
      <c r="AE65" s="319">
        <v>2</v>
      </c>
      <c r="AF65" s="320">
        <v>2.77777777777777E-2</v>
      </c>
      <c r="AG65" s="319">
        <v>1</v>
      </c>
      <c r="AH65" s="320">
        <v>1.38888888888888E-2</v>
      </c>
      <c r="AI65" s="319">
        <v>0</v>
      </c>
      <c r="AJ65" s="320">
        <v>0</v>
      </c>
      <c r="AK65" s="320">
        <v>1.388888888888889E-2</v>
      </c>
      <c r="AL65" s="319">
        <v>6.75</v>
      </c>
      <c r="AM65" s="319">
        <v>5</v>
      </c>
      <c r="AN65" s="319">
        <v>4.6666666666666599</v>
      </c>
      <c r="AO65" s="319">
        <v>0.54722222222222205</v>
      </c>
      <c r="AP65">
        <v>11</v>
      </c>
      <c r="AR65" s="136"/>
      <c r="AS65">
        <v>11</v>
      </c>
      <c r="AT65" s="69">
        <v>6.3414000000000001</v>
      </c>
      <c r="AU65" s="69">
        <v>2.3148</v>
      </c>
      <c r="AV65" s="69">
        <v>8.1305999999999994</v>
      </c>
      <c r="AW65" s="69">
        <v>0.55959999999999999</v>
      </c>
      <c r="BB65" s="69"/>
    </row>
    <row r="66" spans="1:54" customFormat="1" ht="40" customHeight="1">
      <c r="A66" s="313">
        <v>65</v>
      </c>
      <c r="B66" s="136" t="s">
        <v>217</v>
      </c>
      <c r="C66" s="136" t="s">
        <v>45</v>
      </c>
      <c r="D66" s="31">
        <f t="shared" ref="D66:D129" si="6">IF(C66="投诉",4,IF(C66="建议",1,IF(C66="举报",2,IF(C66="求助",3,5))))</f>
        <v>4</v>
      </c>
      <c r="E66" s="137" t="s">
        <v>80</v>
      </c>
      <c r="F66" s="31">
        <f t="shared" ref="F66:F129" si="7">IF(E66="12345app",1,IF(E66="e福州app",2,IF(E66="qq",3,IF(E66="电话",4,IF(E66="短信",5,IF(E66="网站",6,IF(E66="微博",7,IF(E66="微信",8,9))))))))</f>
        <v>4</v>
      </c>
      <c r="G66" s="137" t="s">
        <v>242</v>
      </c>
      <c r="H66" s="138">
        <v>109</v>
      </c>
      <c r="I66" s="158">
        <f t="shared" ref="I66:I129" si="8">(J66+K66)/2</f>
        <v>0.69320763801102947</v>
      </c>
      <c r="J66" s="95">
        <v>0.67211685660310905</v>
      </c>
      <c r="K66" s="137">
        <v>0.71429841941895</v>
      </c>
      <c r="L66" s="137">
        <v>0.82499999999999996</v>
      </c>
      <c r="M66" s="137">
        <v>0.54824604854737402</v>
      </c>
      <c r="N66" s="136">
        <v>1</v>
      </c>
      <c r="O66" s="32">
        <v>44008</v>
      </c>
      <c r="P66" s="98">
        <f t="shared" ref="P66:P129" si="9">IF(T66="利己",0,IF(T66="生态",2,1))</f>
        <v>1</v>
      </c>
      <c r="Q66">
        <v>0</v>
      </c>
      <c r="R66">
        <v>3.3</v>
      </c>
      <c r="S66">
        <v>0</v>
      </c>
      <c r="T66" s="112" t="s">
        <v>73</v>
      </c>
      <c r="U66" s="137" t="s">
        <v>243</v>
      </c>
      <c r="V66" s="137" t="s">
        <v>244</v>
      </c>
      <c r="W66" s="69">
        <v>117</v>
      </c>
      <c r="X66" s="136">
        <v>5</v>
      </c>
      <c r="Y66" s="136">
        <v>10</v>
      </c>
      <c r="Z66" s="314"/>
      <c r="AA66" s="319">
        <v>0.54500000000000004</v>
      </c>
      <c r="AB66" s="315" t="s">
        <v>5165</v>
      </c>
      <c r="AC66" s="319">
        <v>3</v>
      </c>
      <c r="AD66" s="320">
        <v>4.4117647058823498E-2</v>
      </c>
      <c r="AE66" s="319">
        <v>1</v>
      </c>
      <c r="AF66" s="320">
        <v>1.47058823529411E-2</v>
      </c>
      <c r="AG66" s="319">
        <v>0</v>
      </c>
      <c r="AH66" s="320">
        <v>0</v>
      </c>
      <c r="AI66" s="319">
        <v>0</v>
      </c>
      <c r="AJ66" s="320">
        <v>0</v>
      </c>
      <c r="AK66" s="320">
        <v>0</v>
      </c>
      <c r="AL66" s="319">
        <v>5</v>
      </c>
      <c r="AM66" s="319">
        <v>5</v>
      </c>
      <c r="AN66" s="319">
        <v>7.3333333333333304</v>
      </c>
      <c r="AO66" s="319">
        <v>0.57777777777777695</v>
      </c>
      <c r="AP66">
        <v>10</v>
      </c>
      <c r="AR66" s="136"/>
      <c r="AT66" s="69">
        <v>2.3148</v>
      </c>
      <c r="AU66" s="69">
        <v>2.3148</v>
      </c>
      <c r="AV66" s="69">
        <v>9.8416999999999994</v>
      </c>
      <c r="AW66" s="69">
        <v>0.4824</v>
      </c>
      <c r="BB66" s="69"/>
    </row>
    <row r="67" spans="1:54" customFormat="1" ht="40" customHeight="1">
      <c r="A67" s="313">
        <v>66</v>
      </c>
      <c r="B67" s="136" t="s">
        <v>217</v>
      </c>
      <c r="C67" s="136" t="s">
        <v>45</v>
      </c>
      <c r="D67" s="31">
        <f t="shared" si="6"/>
        <v>4</v>
      </c>
      <c r="E67" s="137" t="s">
        <v>221</v>
      </c>
      <c r="F67" s="31">
        <f t="shared" si="7"/>
        <v>2</v>
      </c>
      <c r="G67" s="137" t="s">
        <v>245</v>
      </c>
      <c r="H67" s="138">
        <v>24</v>
      </c>
      <c r="I67" s="158">
        <f t="shared" si="8"/>
        <v>0.70025356912792258</v>
      </c>
      <c r="J67" s="95">
        <v>0.64855908630779302</v>
      </c>
      <c r="K67" s="137">
        <v>0.75194805194805203</v>
      </c>
      <c r="L67" s="137">
        <v>0.68181818181818199</v>
      </c>
      <c r="M67" s="137">
        <v>0.85714285714285698</v>
      </c>
      <c r="N67" s="136">
        <v>1</v>
      </c>
      <c r="O67" s="32">
        <v>43999</v>
      </c>
      <c r="P67" s="98">
        <f t="shared" si="9"/>
        <v>1</v>
      </c>
      <c r="Q67">
        <v>0</v>
      </c>
      <c r="R67">
        <v>1.65</v>
      </c>
      <c r="S67">
        <v>0</v>
      </c>
      <c r="T67" s="112" t="s">
        <v>73</v>
      </c>
      <c r="U67" s="137" t="s">
        <v>245</v>
      </c>
      <c r="V67" s="137" t="s">
        <v>246</v>
      </c>
      <c r="W67" s="69">
        <v>93</v>
      </c>
      <c r="X67" s="136">
        <v>1</v>
      </c>
      <c r="Y67" s="136">
        <v>1</v>
      </c>
      <c r="Z67" s="314"/>
      <c r="AA67" s="319">
        <v>0.45454545454545398</v>
      </c>
      <c r="AB67" s="315" t="s">
        <v>5168</v>
      </c>
      <c r="AC67" s="319">
        <v>0</v>
      </c>
      <c r="AD67" s="320">
        <v>0</v>
      </c>
      <c r="AE67" s="319">
        <v>0</v>
      </c>
      <c r="AF67" s="320">
        <v>0</v>
      </c>
      <c r="AG67" s="319">
        <v>1</v>
      </c>
      <c r="AH67" s="320">
        <v>0.02</v>
      </c>
      <c r="AI67" s="319">
        <v>0</v>
      </c>
      <c r="AJ67" s="320">
        <v>0</v>
      </c>
      <c r="AK67" s="320">
        <v>0</v>
      </c>
      <c r="AL67" s="319">
        <v>5</v>
      </c>
      <c r="AM67" s="319">
        <v>5</v>
      </c>
      <c r="AN67" s="319">
        <v>2</v>
      </c>
      <c r="AO67" s="319">
        <v>0.4</v>
      </c>
      <c r="AP67">
        <v>1</v>
      </c>
      <c r="AR67" s="136"/>
      <c r="AT67" s="69">
        <v>2.3148</v>
      </c>
      <c r="AU67" s="69">
        <v>2.3148</v>
      </c>
      <c r="AV67" s="69">
        <v>2.3148</v>
      </c>
      <c r="AW67" s="69">
        <v>0.23150000000000001</v>
      </c>
      <c r="BB67" s="69"/>
    </row>
    <row r="68" spans="1:54" customFormat="1" ht="40" customHeight="1">
      <c r="A68" s="313">
        <v>67</v>
      </c>
      <c r="B68" s="136" t="s">
        <v>217</v>
      </c>
      <c r="C68" s="136" t="s">
        <v>45</v>
      </c>
      <c r="D68" s="31">
        <f t="shared" si="6"/>
        <v>4</v>
      </c>
      <c r="E68" s="137" t="s">
        <v>80</v>
      </c>
      <c r="F68" s="31">
        <f t="shared" si="7"/>
        <v>4</v>
      </c>
      <c r="G68" s="137" t="s">
        <v>247</v>
      </c>
      <c r="H68" s="138">
        <v>34</v>
      </c>
      <c r="I68" s="158">
        <f t="shared" si="8"/>
        <v>0.39111201435103415</v>
      </c>
      <c r="J68" s="95">
        <v>1.49993417020563E-2</v>
      </c>
      <c r="K68" s="137">
        <v>0.76722468700001201</v>
      </c>
      <c r="L68" s="137">
        <v>0.82499999999999996</v>
      </c>
      <c r="M68" s="137">
        <v>0.68056171750003003</v>
      </c>
      <c r="N68" s="136">
        <v>0</v>
      </c>
      <c r="O68" s="32">
        <v>43972</v>
      </c>
      <c r="P68" s="98">
        <f t="shared" si="9"/>
        <v>1</v>
      </c>
      <c r="Q68">
        <v>0</v>
      </c>
      <c r="R68">
        <v>6.6</v>
      </c>
      <c r="S68">
        <v>0</v>
      </c>
      <c r="T68" s="112" t="s">
        <v>73</v>
      </c>
      <c r="U68" s="137" t="s">
        <v>248</v>
      </c>
      <c r="V68" s="137" t="s">
        <v>249</v>
      </c>
      <c r="W68" s="69">
        <v>102</v>
      </c>
      <c r="X68" s="136">
        <v>1</v>
      </c>
      <c r="Y68" s="136">
        <v>5</v>
      </c>
      <c r="Z68" s="314"/>
      <c r="AA68" s="319">
        <v>0.54500000000000004</v>
      </c>
      <c r="AB68" s="315" t="s">
        <v>5176</v>
      </c>
      <c r="AC68" s="319">
        <v>1</v>
      </c>
      <c r="AD68" s="320">
        <v>1.63934426229508E-2</v>
      </c>
      <c r="AE68" s="319">
        <v>2</v>
      </c>
      <c r="AF68" s="320">
        <v>3.2786885245901599E-2</v>
      </c>
      <c r="AG68" s="319">
        <v>0</v>
      </c>
      <c r="AH68" s="320">
        <v>0</v>
      </c>
      <c r="AI68" s="319">
        <v>0</v>
      </c>
      <c r="AJ68" s="320">
        <v>0</v>
      </c>
      <c r="AK68" s="320">
        <v>3.2786885245901641E-2</v>
      </c>
      <c r="AL68" s="319">
        <v>6.75</v>
      </c>
      <c r="AM68" s="319">
        <v>5</v>
      </c>
      <c r="AN68" s="319">
        <v>4.6666666666666599</v>
      </c>
      <c r="AO68" s="319">
        <v>0.54722222222222205</v>
      </c>
      <c r="AR68" s="136"/>
      <c r="AS68">
        <v>5</v>
      </c>
      <c r="AT68" s="69">
        <v>6.3414000000000001</v>
      </c>
      <c r="AU68" s="69">
        <v>2.3148</v>
      </c>
      <c r="AV68" s="69">
        <v>8.1305999999999994</v>
      </c>
      <c r="AW68" s="69">
        <v>0.55959999999999999</v>
      </c>
      <c r="BB68" s="69"/>
    </row>
    <row r="69" spans="1:54" customFormat="1" ht="40" customHeight="1">
      <c r="A69" s="313">
        <v>68</v>
      </c>
      <c r="B69" s="136" t="s">
        <v>217</v>
      </c>
      <c r="C69" s="136" t="s">
        <v>119</v>
      </c>
      <c r="D69" s="31">
        <f t="shared" si="6"/>
        <v>1</v>
      </c>
      <c r="E69" s="137" t="s">
        <v>221</v>
      </c>
      <c r="F69" s="31">
        <f t="shared" si="7"/>
        <v>2</v>
      </c>
      <c r="G69" s="137" t="s">
        <v>250</v>
      </c>
      <c r="H69" s="138">
        <v>71</v>
      </c>
      <c r="I69" s="158">
        <f t="shared" si="8"/>
        <v>0.89642319104405299</v>
      </c>
      <c r="J69" s="95">
        <v>0.99998923923096295</v>
      </c>
      <c r="K69" s="137">
        <v>0.79285714285714304</v>
      </c>
      <c r="L69" s="137">
        <v>0.75</v>
      </c>
      <c r="M69" s="137">
        <v>0.85714285714285698</v>
      </c>
      <c r="N69" s="136">
        <v>0</v>
      </c>
      <c r="O69" s="32">
        <v>43796</v>
      </c>
      <c r="P69" s="98">
        <f t="shared" si="9"/>
        <v>2</v>
      </c>
      <c r="Q69">
        <v>0</v>
      </c>
      <c r="R69">
        <v>0</v>
      </c>
      <c r="S69">
        <v>3.74</v>
      </c>
      <c r="T69" s="112" t="s">
        <v>64</v>
      </c>
      <c r="U69" s="137" t="s">
        <v>251</v>
      </c>
      <c r="V69" s="137" t="s">
        <v>252</v>
      </c>
      <c r="W69" s="69">
        <v>90</v>
      </c>
      <c r="X69" s="136">
        <v>1</v>
      </c>
      <c r="Y69" s="136">
        <v>1</v>
      </c>
      <c r="Z69" s="314"/>
      <c r="AA69" s="319">
        <v>0.5</v>
      </c>
      <c r="AB69" s="315" t="s">
        <v>5176</v>
      </c>
      <c r="AC69" s="319">
        <v>1</v>
      </c>
      <c r="AD69" s="320">
        <v>1.9607843137254902E-2</v>
      </c>
      <c r="AE69" s="319">
        <v>2</v>
      </c>
      <c r="AF69" s="320">
        <v>3.9215686274509803E-2</v>
      </c>
      <c r="AG69" s="319">
        <v>0</v>
      </c>
      <c r="AH69" s="320">
        <v>0</v>
      </c>
      <c r="AI69" s="319">
        <v>0</v>
      </c>
      <c r="AJ69" s="320">
        <v>0</v>
      </c>
      <c r="AK69" s="320">
        <v>1.9607843137254902E-2</v>
      </c>
      <c r="AL69" s="319">
        <v>5</v>
      </c>
      <c r="AM69" s="319">
        <v>6.2</v>
      </c>
      <c r="AN69" s="319">
        <v>3.5</v>
      </c>
      <c r="AO69" s="319">
        <v>0.49</v>
      </c>
      <c r="AR69" s="136">
        <v>1</v>
      </c>
      <c r="AT69" s="69">
        <v>2.3148</v>
      </c>
      <c r="AU69" s="69">
        <v>5</v>
      </c>
      <c r="AV69" s="69">
        <v>5.7443999999999997</v>
      </c>
      <c r="AW69" s="69">
        <v>0.43530000000000002</v>
      </c>
      <c r="BB69" s="69"/>
    </row>
    <row r="70" spans="1:54" customFormat="1" ht="40" customHeight="1">
      <c r="A70" s="313">
        <v>69</v>
      </c>
      <c r="B70" s="136" t="s">
        <v>217</v>
      </c>
      <c r="C70" s="136" t="s">
        <v>45</v>
      </c>
      <c r="D70" s="31">
        <f t="shared" si="6"/>
        <v>4</v>
      </c>
      <c r="E70" s="137" t="s">
        <v>46</v>
      </c>
      <c r="F70" s="31">
        <f t="shared" si="7"/>
        <v>6</v>
      </c>
      <c r="G70" s="137" t="s">
        <v>253</v>
      </c>
      <c r="H70" s="138">
        <v>162</v>
      </c>
      <c r="I70" s="158">
        <f t="shared" si="8"/>
        <v>0.36498598085124601</v>
      </c>
      <c r="J70" s="95">
        <v>1.6932561757599901E-3</v>
      </c>
      <c r="K70" s="137">
        <v>0.72827870552673202</v>
      </c>
      <c r="L70" s="137">
        <v>0.68181818181818199</v>
      </c>
      <c r="M70" s="137">
        <v>0.79796949108955795</v>
      </c>
      <c r="N70" s="136">
        <v>1</v>
      </c>
      <c r="O70" s="32">
        <v>43702</v>
      </c>
      <c r="P70" s="98">
        <f t="shared" si="9"/>
        <v>1</v>
      </c>
      <c r="Q70">
        <v>0</v>
      </c>
      <c r="R70">
        <v>4.95</v>
      </c>
      <c r="S70">
        <v>0</v>
      </c>
      <c r="T70" s="112" t="s">
        <v>73</v>
      </c>
      <c r="U70" s="137" t="s">
        <v>254</v>
      </c>
      <c r="V70" s="137" t="s">
        <v>255</v>
      </c>
      <c r="W70" s="69">
        <v>146</v>
      </c>
      <c r="X70" s="136">
        <v>1</v>
      </c>
      <c r="Y70" s="136">
        <v>2</v>
      </c>
      <c r="Z70" s="314"/>
      <c r="AA70" s="319">
        <v>0.5</v>
      </c>
      <c r="AB70" s="315" t="s">
        <v>5176</v>
      </c>
      <c r="AC70" s="319">
        <v>0</v>
      </c>
      <c r="AD70" s="320">
        <v>0</v>
      </c>
      <c r="AE70" s="319">
        <v>3</v>
      </c>
      <c r="AF70" s="320">
        <v>3.7037037037037E-2</v>
      </c>
      <c r="AG70" s="319">
        <v>2</v>
      </c>
      <c r="AH70" s="320">
        <v>2.4691358024691301E-2</v>
      </c>
      <c r="AI70" s="319">
        <v>0</v>
      </c>
      <c r="AJ70" s="320">
        <v>0</v>
      </c>
      <c r="AK70" s="320">
        <v>4.9382716049382713E-2</v>
      </c>
      <c r="AL70" s="319">
        <v>5</v>
      </c>
      <c r="AM70" s="319">
        <v>5</v>
      </c>
      <c r="AN70" s="319">
        <v>3.5</v>
      </c>
      <c r="AO70" s="319">
        <v>0.45</v>
      </c>
      <c r="AP70">
        <v>2</v>
      </c>
      <c r="AQ70">
        <v>2</v>
      </c>
      <c r="AR70" s="136"/>
      <c r="AT70" s="69">
        <v>2.3148</v>
      </c>
      <c r="AU70" s="69">
        <v>2.3148</v>
      </c>
      <c r="AV70" s="69">
        <v>5.7443999999999997</v>
      </c>
      <c r="AW70" s="69">
        <v>0.3458</v>
      </c>
      <c r="BB70" s="69"/>
    </row>
    <row r="71" spans="1:54" customFormat="1" ht="40" customHeight="1">
      <c r="A71" s="313">
        <v>70</v>
      </c>
      <c r="B71" s="136" t="s">
        <v>217</v>
      </c>
      <c r="C71" s="136" t="s">
        <v>45</v>
      </c>
      <c r="D71" s="31">
        <f t="shared" si="6"/>
        <v>4</v>
      </c>
      <c r="E71" s="137" t="s">
        <v>46</v>
      </c>
      <c r="F71" s="31">
        <f t="shared" si="7"/>
        <v>6</v>
      </c>
      <c r="G71" s="137" t="s">
        <v>256</v>
      </c>
      <c r="H71" s="138">
        <v>130</v>
      </c>
      <c r="I71" s="158">
        <f t="shared" si="8"/>
        <v>0.53230387520959899</v>
      </c>
      <c r="J71" s="95">
        <v>0.49140668545917499</v>
      </c>
      <c r="K71" s="137">
        <v>0.57320106496002299</v>
      </c>
      <c r="L71" s="137">
        <v>0.423355447540333</v>
      </c>
      <c r="M71" s="137">
        <v>0.79796949108955795</v>
      </c>
      <c r="N71" s="136">
        <v>1</v>
      </c>
      <c r="O71" s="32">
        <v>43640</v>
      </c>
      <c r="P71" s="98">
        <f t="shared" si="9"/>
        <v>0</v>
      </c>
      <c r="Q71">
        <v>2.5499999999999998</v>
      </c>
      <c r="R71">
        <v>1.65</v>
      </c>
      <c r="S71">
        <v>0</v>
      </c>
      <c r="T71" s="112" t="s">
        <v>48</v>
      </c>
      <c r="U71" s="137" t="s">
        <v>257</v>
      </c>
      <c r="V71" s="137" t="s">
        <v>258</v>
      </c>
      <c r="W71" s="69">
        <v>102</v>
      </c>
      <c r="X71" s="136">
        <v>1</v>
      </c>
      <c r="Y71" s="136">
        <v>2</v>
      </c>
      <c r="Z71" s="314"/>
      <c r="AA71" s="319">
        <v>3.36897349954273E-3</v>
      </c>
      <c r="AB71" s="315" t="s">
        <v>5176</v>
      </c>
      <c r="AC71" s="319">
        <v>1</v>
      </c>
      <c r="AD71" s="320">
        <v>1.6666666666666601E-2</v>
      </c>
      <c r="AE71" s="319">
        <v>2</v>
      </c>
      <c r="AF71" s="320">
        <v>3.3333333333333298E-2</v>
      </c>
      <c r="AG71" s="319">
        <v>0</v>
      </c>
      <c r="AH71" s="320">
        <v>0</v>
      </c>
      <c r="AI71" s="319">
        <v>0</v>
      </c>
      <c r="AJ71" s="320">
        <v>0</v>
      </c>
      <c r="AK71" s="320">
        <v>1.666666666666667E-2</v>
      </c>
      <c r="AL71" s="319">
        <v>5</v>
      </c>
      <c r="AM71" s="319">
        <v>6.2</v>
      </c>
      <c r="AN71" s="319">
        <v>4.6666666666666599</v>
      </c>
      <c r="AO71" s="319">
        <v>0.52888888888888796</v>
      </c>
      <c r="AP71">
        <v>2</v>
      </c>
      <c r="AR71" s="136">
        <v>2</v>
      </c>
      <c r="AT71" s="69">
        <v>2.3148</v>
      </c>
      <c r="AU71" s="69">
        <v>5</v>
      </c>
      <c r="AV71" s="69">
        <v>8.1305999999999994</v>
      </c>
      <c r="AW71" s="69">
        <v>0.51480000000000004</v>
      </c>
      <c r="BB71" s="69"/>
    </row>
    <row r="72" spans="1:54" customFormat="1" ht="40" customHeight="1">
      <c r="A72" s="313">
        <v>71</v>
      </c>
      <c r="B72" s="136" t="s">
        <v>217</v>
      </c>
      <c r="C72" s="136" t="s">
        <v>45</v>
      </c>
      <c r="D72" s="31">
        <f t="shared" si="6"/>
        <v>4</v>
      </c>
      <c r="E72" s="137" t="s">
        <v>46</v>
      </c>
      <c r="F72" s="31">
        <f t="shared" si="7"/>
        <v>6</v>
      </c>
      <c r="G72" s="137" t="s">
        <v>259</v>
      </c>
      <c r="H72" s="138">
        <v>95</v>
      </c>
      <c r="I72" s="158">
        <f t="shared" si="8"/>
        <v>0.81696293809769249</v>
      </c>
      <c r="J72" s="95">
        <v>0.97664641935385199</v>
      </c>
      <c r="K72" s="137">
        <v>0.65727945684153299</v>
      </c>
      <c r="L72" s="137">
        <v>0.56348610067618299</v>
      </c>
      <c r="M72" s="137">
        <v>0.79796949108955795</v>
      </c>
      <c r="N72" s="136">
        <v>1</v>
      </c>
      <c r="O72" s="32">
        <v>43638</v>
      </c>
      <c r="P72" s="98">
        <f t="shared" si="9"/>
        <v>0</v>
      </c>
      <c r="Q72">
        <v>2.5499999999999998</v>
      </c>
      <c r="R72">
        <v>1.65</v>
      </c>
      <c r="S72">
        <v>0</v>
      </c>
      <c r="T72" s="112" t="s">
        <v>48</v>
      </c>
      <c r="U72" s="137" t="s">
        <v>260</v>
      </c>
      <c r="V72" s="137" t="s">
        <v>261</v>
      </c>
      <c r="W72" s="69">
        <v>84</v>
      </c>
      <c r="X72" s="136">
        <v>1</v>
      </c>
      <c r="Y72" s="136">
        <v>2</v>
      </c>
      <c r="Z72" s="314"/>
      <c r="AA72" s="319">
        <v>2.9598412144695101E-2</v>
      </c>
      <c r="AB72" s="315" t="s">
        <v>5176</v>
      </c>
      <c r="AC72" s="319">
        <v>0</v>
      </c>
      <c r="AD72" s="320">
        <v>0</v>
      </c>
      <c r="AE72" s="319">
        <v>3</v>
      </c>
      <c r="AF72" s="320">
        <v>5.8823529411764698E-2</v>
      </c>
      <c r="AG72" s="319">
        <v>1</v>
      </c>
      <c r="AH72" s="320">
        <v>1.9607843137254902E-2</v>
      </c>
      <c r="AI72" s="319">
        <v>0</v>
      </c>
      <c r="AJ72" s="320">
        <v>0</v>
      </c>
      <c r="AK72" s="320">
        <v>1.9607843137254902E-2</v>
      </c>
      <c r="AL72" s="319">
        <v>5</v>
      </c>
      <c r="AM72" s="319">
        <v>6.2</v>
      </c>
      <c r="AN72" s="319">
        <v>4.6666666666666599</v>
      </c>
      <c r="AO72" s="319">
        <v>0.52888888888888796</v>
      </c>
      <c r="AP72">
        <v>2</v>
      </c>
      <c r="AR72" s="136">
        <v>2</v>
      </c>
      <c r="AT72" s="69">
        <v>2.3148</v>
      </c>
      <c r="AU72" s="69">
        <v>5</v>
      </c>
      <c r="AV72" s="69">
        <v>8.1305999999999994</v>
      </c>
      <c r="AW72" s="69">
        <v>0.51480000000000004</v>
      </c>
      <c r="BB72" s="69"/>
    </row>
    <row r="73" spans="1:54" customFormat="1" ht="40" customHeight="1">
      <c r="A73" s="313">
        <v>72</v>
      </c>
      <c r="B73" s="136" t="s">
        <v>217</v>
      </c>
      <c r="C73" s="136" t="s">
        <v>45</v>
      </c>
      <c r="D73" s="31">
        <f t="shared" si="6"/>
        <v>4</v>
      </c>
      <c r="E73" s="137" t="s">
        <v>80</v>
      </c>
      <c r="F73" s="31">
        <f t="shared" si="7"/>
        <v>4</v>
      </c>
      <c r="G73" s="137" t="s">
        <v>262</v>
      </c>
      <c r="H73" s="138">
        <v>48</v>
      </c>
      <c r="I73" s="158">
        <f t="shared" si="8"/>
        <v>0.73244148293671452</v>
      </c>
      <c r="J73" s="95">
        <v>0.72106875507711998</v>
      </c>
      <c r="K73" s="137">
        <v>0.74381421079630905</v>
      </c>
      <c r="L73" s="137">
        <v>0.82499999999999996</v>
      </c>
      <c r="M73" s="137">
        <v>0.62203552699077302</v>
      </c>
      <c r="N73" s="136">
        <v>1</v>
      </c>
      <c r="O73" s="32">
        <v>43634</v>
      </c>
      <c r="P73" s="98">
        <f t="shared" si="9"/>
        <v>1</v>
      </c>
      <c r="Q73">
        <v>0</v>
      </c>
      <c r="R73">
        <v>1.65</v>
      </c>
      <c r="S73">
        <v>0</v>
      </c>
      <c r="T73" s="112" t="s">
        <v>73</v>
      </c>
      <c r="U73" s="137" t="s">
        <v>263</v>
      </c>
      <c r="V73" s="137" t="s">
        <v>264</v>
      </c>
      <c r="W73" s="69">
        <v>54</v>
      </c>
      <c r="X73" s="136">
        <v>1</v>
      </c>
      <c r="Y73" s="136">
        <v>7</v>
      </c>
      <c r="Z73" s="314"/>
      <c r="AA73" s="319">
        <v>0.5</v>
      </c>
      <c r="AB73" s="315" t="s">
        <v>5178</v>
      </c>
      <c r="AC73" s="319">
        <v>2</v>
      </c>
      <c r="AD73" s="320">
        <v>6.6666666666666596E-2</v>
      </c>
      <c r="AE73" s="319">
        <v>2</v>
      </c>
      <c r="AF73" s="320">
        <v>6.6666666666666596E-2</v>
      </c>
      <c r="AG73" s="319">
        <v>0</v>
      </c>
      <c r="AH73" s="320">
        <v>0</v>
      </c>
      <c r="AI73" s="319">
        <v>1</v>
      </c>
      <c r="AJ73" s="320">
        <v>3.3333333333333298E-2</v>
      </c>
      <c r="AK73" s="320">
        <v>0</v>
      </c>
      <c r="AL73" s="319">
        <v>5</v>
      </c>
      <c r="AM73" s="319">
        <v>5</v>
      </c>
      <c r="AN73" s="319">
        <v>4.6666666666666599</v>
      </c>
      <c r="AO73" s="319">
        <v>0.48888888888888798</v>
      </c>
      <c r="AP73">
        <v>7</v>
      </c>
      <c r="AR73" s="136"/>
      <c r="AS73">
        <v>7</v>
      </c>
      <c r="AT73" s="69">
        <v>2.3148</v>
      </c>
      <c r="AU73" s="69">
        <v>2.3148</v>
      </c>
      <c r="AV73" s="69">
        <v>8.1305999999999994</v>
      </c>
      <c r="AW73" s="69">
        <v>0.42530000000000001</v>
      </c>
      <c r="BB73" s="69"/>
    </row>
    <row r="74" spans="1:54" customFormat="1" ht="40" customHeight="1">
      <c r="A74" s="313">
        <v>73</v>
      </c>
      <c r="B74" s="136" t="s">
        <v>217</v>
      </c>
      <c r="C74" s="136" t="s">
        <v>45</v>
      </c>
      <c r="D74" s="31">
        <f t="shared" si="6"/>
        <v>4</v>
      </c>
      <c r="E74" s="137" t="s">
        <v>80</v>
      </c>
      <c r="F74" s="31">
        <f t="shared" si="7"/>
        <v>4</v>
      </c>
      <c r="G74" s="137" t="s">
        <v>265</v>
      </c>
      <c r="H74" s="138">
        <v>69</v>
      </c>
      <c r="I74" s="158">
        <f t="shared" si="8"/>
        <v>0.39075982626118466</v>
      </c>
      <c r="J74" s="95">
        <v>8.0536680808329696E-4</v>
      </c>
      <c r="K74" s="137">
        <v>0.78071428571428603</v>
      </c>
      <c r="L74" s="137">
        <v>0.82499999999999996</v>
      </c>
      <c r="M74" s="137">
        <v>0.71428571428571397</v>
      </c>
      <c r="N74" s="136">
        <v>1</v>
      </c>
      <c r="O74" s="32">
        <v>43633</v>
      </c>
      <c r="P74" s="98">
        <f t="shared" si="9"/>
        <v>1</v>
      </c>
      <c r="Q74">
        <v>0</v>
      </c>
      <c r="R74">
        <v>1.65</v>
      </c>
      <c r="S74">
        <v>0</v>
      </c>
      <c r="T74" s="112" t="s">
        <v>73</v>
      </c>
      <c r="U74" s="137" t="s">
        <v>266</v>
      </c>
      <c r="V74" s="137" t="s">
        <v>267</v>
      </c>
      <c r="W74" s="69">
        <v>104</v>
      </c>
      <c r="X74" s="136">
        <v>1</v>
      </c>
      <c r="Y74" s="136">
        <v>4</v>
      </c>
      <c r="Z74" s="314"/>
      <c r="AA74" s="319">
        <v>0.59450000000000003</v>
      </c>
      <c r="AB74" s="315" t="s">
        <v>5176</v>
      </c>
      <c r="AC74" s="319">
        <v>1</v>
      </c>
      <c r="AD74" s="320">
        <v>1.6666666666666601E-2</v>
      </c>
      <c r="AE74" s="319">
        <v>2</v>
      </c>
      <c r="AF74" s="320">
        <v>3.3333333333333298E-2</v>
      </c>
      <c r="AG74" s="319">
        <v>0</v>
      </c>
      <c r="AH74" s="320">
        <v>0</v>
      </c>
      <c r="AI74" s="319">
        <v>0</v>
      </c>
      <c r="AJ74" s="320">
        <v>0</v>
      </c>
      <c r="AK74" s="320">
        <v>0</v>
      </c>
      <c r="AL74" s="319">
        <v>5</v>
      </c>
      <c r="AM74" s="319">
        <v>5</v>
      </c>
      <c r="AN74" s="319">
        <v>4.6666666666666599</v>
      </c>
      <c r="AO74" s="319">
        <v>0.48888888888888798</v>
      </c>
      <c r="AP74">
        <v>4</v>
      </c>
      <c r="AR74" s="136"/>
      <c r="AS74">
        <v>4</v>
      </c>
      <c r="AT74" s="69">
        <v>2.3148</v>
      </c>
      <c r="AU74" s="69">
        <v>2.3148</v>
      </c>
      <c r="AV74" s="69">
        <v>8.1305999999999994</v>
      </c>
      <c r="AW74" s="69">
        <v>0.42530000000000001</v>
      </c>
      <c r="BB74" s="69"/>
    </row>
    <row r="75" spans="1:54" customFormat="1" ht="40" customHeight="1">
      <c r="A75" s="313">
        <v>74</v>
      </c>
      <c r="B75" s="136" t="s">
        <v>217</v>
      </c>
      <c r="C75" s="136" t="s">
        <v>45</v>
      </c>
      <c r="D75" s="31">
        <f t="shared" si="6"/>
        <v>4</v>
      </c>
      <c r="E75" s="137" t="s">
        <v>80</v>
      </c>
      <c r="F75" s="31">
        <f t="shared" si="7"/>
        <v>4</v>
      </c>
      <c r="G75" s="137" t="s">
        <v>268</v>
      </c>
      <c r="H75" s="138">
        <v>105</v>
      </c>
      <c r="I75" s="158">
        <f t="shared" si="8"/>
        <v>0.41083807717960247</v>
      </c>
      <c r="J75" s="95">
        <v>7.4883579233819804E-3</v>
      </c>
      <c r="K75" s="137">
        <v>0.81418779643582295</v>
      </c>
      <c r="L75" s="137">
        <v>0.82499999999999996</v>
      </c>
      <c r="M75" s="137">
        <v>0.79796949108955795</v>
      </c>
      <c r="N75" s="136">
        <v>1</v>
      </c>
      <c r="O75" s="32">
        <v>43628</v>
      </c>
      <c r="P75" s="98">
        <f t="shared" si="9"/>
        <v>0</v>
      </c>
      <c r="Q75">
        <v>2.5499999999999998</v>
      </c>
      <c r="R75">
        <v>1.65</v>
      </c>
      <c r="S75">
        <v>0</v>
      </c>
      <c r="T75" s="112" t="s">
        <v>48</v>
      </c>
      <c r="U75" s="137" t="s">
        <v>269</v>
      </c>
      <c r="V75" s="137" t="s">
        <v>270</v>
      </c>
      <c r="W75" s="69">
        <v>66</v>
      </c>
      <c r="X75" s="136">
        <v>2</v>
      </c>
      <c r="Y75" s="136">
        <v>2</v>
      </c>
      <c r="Z75" s="314"/>
      <c r="AA75" s="319">
        <v>0.59450000000000003</v>
      </c>
      <c r="AB75" s="315" t="s">
        <v>5176</v>
      </c>
      <c r="AC75" s="319">
        <v>0</v>
      </c>
      <c r="AD75" s="320">
        <v>0</v>
      </c>
      <c r="AE75" s="319">
        <v>2</v>
      </c>
      <c r="AF75" s="320">
        <v>5.1282051282051197E-2</v>
      </c>
      <c r="AG75" s="319">
        <v>1</v>
      </c>
      <c r="AH75" s="320">
        <v>2.5641025641025599E-2</v>
      </c>
      <c r="AI75" s="319">
        <v>0</v>
      </c>
      <c r="AJ75" s="320">
        <v>0</v>
      </c>
      <c r="AK75" s="320">
        <v>0</v>
      </c>
      <c r="AL75" s="319">
        <v>5</v>
      </c>
      <c r="AM75" s="319">
        <v>6.2</v>
      </c>
      <c r="AN75" s="319">
        <v>7.3333333333333304</v>
      </c>
      <c r="AO75" s="319">
        <v>0.61777777777777698</v>
      </c>
      <c r="AP75">
        <v>2</v>
      </c>
      <c r="AQ75">
        <v>2</v>
      </c>
      <c r="AR75" s="136"/>
      <c r="AT75" s="69">
        <v>2.3148</v>
      </c>
      <c r="AU75" s="69">
        <v>5</v>
      </c>
      <c r="AV75" s="69">
        <v>9.8416999999999994</v>
      </c>
      <c r="AW75" s="69">
        <v>0.57189999999999996</v>
      </c>
      <c r="BB75" s="69"/>
    </row>
    <row r="76" spans="1:54" customFormat="1" ht="40" customHeight="1">
      <c r="A76" s="313">
        <v>75</v>
      </c>
      <c r="B76" s="136" t="s">
        <v>217</v>
      </c>
      <c r="C76" s="136" t="s">
        <v>45</v>
      </c>
      <c r="D76" s="31">
        <f t="shared" si="6"/>
        <v>4</v>
      </c>
      <c r="E76" s="137" t="s">
        <v>221</v>
      </c>
      <c r="F76" s="31">
        <f t="shared" si="7"/>
        <v>2</v>
      </c>
      <c r="G76" s="137" t="s">
        <v>271</v>
      </c>
      <c r="H76" s="138">
        <v>63</v>
      </c>
      <c r="I76" s="158">
        <f t="shared" si="8"/>
        <v>0.46552346776164655</v>
      </c>
      <c r="J76" s="95">
        <v>0.13818979266615</v>
      </c>
      <c r="K76" s="137">
        <v>0.79285714285714304</v>
      </c>
      <c r="L76" s="137">
        <v>0.75</v>
      </c>
      <c r="M76" s="137">
        <v>0.85714285714285698</v>
      </c>
      <c r="N76" s="136">
        <v>0</v>
      </c>
      <c r="O76" s="32">
        <v>43583</v>
      </c>
      <c r="P76" s="98">
        <f t="shared" si="9"/>
        <v>0</v>
      </c>
      <c r="Q76">
        <v>5.0999999999999996</v>
      </c>
      <c r="R76">
        <v>1.65</v>
      </c>
      <c r="S76">
        <v>0</v>
      </c>
      <c r="T76" s="112" t="s">
        <v>48</v>
      </c>
      <c r="U76" s="137" t="s">
        <v>272</v>
      </c>
      <c r="V76" s="137" t="s">
        <v>273</v>
      </c>
      <c r="W76" s="69">
        <v>169</v>
      </c>
      <c r="X76" s="136">
        <v>1</v>
      </c>
      <c r="Y76" s="136">
        <v>1</v>
      </c>
      <c r="Z76" s="314"/>
      <c r="AA76" s="319">
        <v>0.413223140495867</v>
      </c>
      <c r="AB76" s="315" t="s">
        <v>5177</v>
      </c>
      <c r="AC76" s="319">
        <v>1</v>
      </c>
      <c r="AD76" s="320">
        <v>1.0638297872340399E-2</v>
      </c>
      <c r="AE76" s="319">
        <v>2</v>
      </c>
      <c r="AF76" s="320">
        <v>2.1276595744680799E-2</v>
      </c>
      <c r="AG76" s="319">
        <v>2</v>
      </c>
      <c r="AH76" s="320">
        <v>2.1276595744680799E-2</v>
      </c>
      <c r="AI76" s="319">
        <v>0</v>
      </c>
      <c r="AJ76" s="320">
        <v>0</v>
      </c>
      <c r="AK76" s="320">
        <v>3.1914893617021267E-2</v>
      </c>
      <c r="AL76" s="319">
        <v>6.75</v>
      </c>
      <c r="AM76" s="319">
        <v>5</v>
      </c>
      <c r="AN76" s="319">
        <v>2</v>
      </c>
      <c r="AO76" s="319">
        <v>0.45833333333333298</v>
      </c>
      <c r="AP76">
        <v>1</v>
      </c>
      <c r="AR76" s="136">
        <v>1</v>
      </c>
      <c r="AT76" s="69">
        <v>6.3414000000000001</v>
      </c>
      <c r="AU76" s="69">
        <v>2.3148</v>
      </c>
      <c r="AV76" s="69">
        <v>2.3148</v>
      </c>
      <c r="AW76" s="69">
        <v>0.36570000000000003</v>
      </c>
      <c r="BB76" s="69"/>
    </row>
    <row r="77" spans="1:54" customFormat="1" ht="40" customHeight="1">
      <c r="A77" s="313">
        <v>76</v>
      </c>
      <c r="B77" s="136" t="s">
        <v>217</v>
      </c>
      <c r="C77" s="136" t="s">
        <v>45</v>
      </c>
      <c r="D77" s="31">
        <f t="shared" si="6"/>
        <v>4</v>
      </c>
      <c r="E77" s="137" t="s">
        <v>46</v>
      </c>
      <c r="F77" s="31">
        <f t="shared" si="7"/>
        <v>6</v>
      </c>
      <c r="G77" s="137" t="s">
        <v>274</v>
      </c>
      <c r="H77" s="138">
        <v>25</v>
      </c>
      <c r="I77" s="158">
        <f t="shared" si="8"/>
        <v>0.40713806269037833</v>
      </c>
      <c r="J77" s="95">
        <v>8.8328944933713198E-5</v>
      </c>
      <c r="K77" s="137">
        <v>0.81418779643582295</v>
      </c>
      <c r="L77" s="137">
        <v>0.82499999999999996</v>
      </c>
      <c r="M77" s="137">
        <v>0.79796949108955795</v>
      </c>
      <c r="N77" s="136">
        <v>1</v>
      </c>
      <c r="O77" s="32">
        <v>43456</v>
      </c>
      <c r="P77" s="98">
        <f t="shared" si="9"/>
        <v>1</v>
      </c>
      <c r="Q77">
        <v>0</v>
      </c>
      <c r="R77">
        <v>0</v>
      </c>
      <c r="S77">
        <v>0</v>
      </c>
      <c r="T77" s="112" t="s">
        <v>73</v>
      </c>
      <c r="U77" s="137" t="s">
        <v>275</v>
      </c>
      <c r="V77" s="137" t="s">
        <v>276</v>
      </c>
      <c r="W77" s="69">
        <v>92</v>
      </c>
      <c r="X77" s="136">
        <v>1</v>
      </c>
      <c r="Y77" s="136">
        <v>2</v>
      </c>
      <c r="Z77" s="314"/>
      <c r="AA77" s="319">
        <v>0.55000000000000004</v>
      </c>
      <c r="AB77" s="315" t="s">
        <v>5179</v>
      </c>
      <c r="AC77" s="319">
        <v>1</v>
      </c>
      <c r="AD77" s="320">
        <v>1.9230769230769201E-2</v>
      </c>
      <c r="AE77" s="319">
        <v>1</v>
      </c>
      <c r="AF77" s="320">
        <v>1.9230769230769201E-2</v>
      </c>
      <c r="AG77" s="319">
        <v>1</v>
      </c>
      <c r="AH77" s="320">
        <v>1.9230769230769201E-2</v>
      </c>
      <c r="AI77" s="319">
        <v>0</v>
      </c>
      <c r="AJ77" s="320">
        <v>0</v>
      </c>
      <c r="AK77" s="320">
        <v>0</v>
      </c>
      <c r="AL77" s="319">
        <v>5</v>
      </c>
      <c r="AM77" s="319">
        <v>5</v>
      </c>
      <c r="AN77" s="319">
        <v>2</v>
      </c>
      <c r="AO77" s="319">
        <v>0.4</v>
      </c>
      <c r="AP77">
        <v>2</v>
      </c>
      <c r="AR77" s="136"/>
      <c r="AS77">
        <v>2</v>
      </c>
      <c r="AT77" s="69">
        <v>2.3148</v>
      </c>
      <c r="AU77" s="69">
        <v>2.3148</v>
      </c>
      <c r="AV77" s="69">
        <v>2.3148</v>
      </c>
      <c r="AW77" s="69">
        <v>0.23150000000000001</v>
      </c>
      <c r="BB77" s="69"/>
    </row>
    <row r="78" spans="1:54" customFormat="1" ht="40" customHeight="1">
      <c r="A78" s="313">
        <v>77</v>
      </c>
      <c r="B78" s="136" t="s">
        <v>217</v>
      </c>
      <c r="C78" s="136" t="s">
        <v>45</v>
      </c>
      <c r="D78" s="31">
        <f t="shared" si="6"/>
        <v>4</v>
      </c>
      <c r="E78" s="137" t="s">
        <v>80</v>
      </c>
      <c r="F78" s="31">
        <f t="shared" si="7"/>
        <v>4</v>
      </c>
      <c r="G78" s="137" t="s">
        <v>277</v>
      </c>
      <c r="H78" s="138">
        <v>46</v>
      </c>
      <c r="I78" s="158">
        <f t="shared" si="8"/>
        <v>0.3733311846700505</v>
      </c>
      <c r="J78" s="95">
        <v>1.3286776468455001E-2</v>
      </c>
      <c r="K78" s="137">
        <v>0.733375592871646</v>
      </c>
      <c r="L78" s="137">
        <v>0.82499999999999996</v>
      </c>
      <c r="M78" s="137">
        <v>0.59593898217911601</v>
      </c>
      <c r="N78" s="136">
        <v>1</v>
      </c>
      <c r="O78" s="32">
        <v>43447</v>
      </c>
      <c r="P78" s="98">
        <f t="shared" si="9"/>
        <v>0</v>
      </c>
      <c r="Q78">
        <v>2.5499999999999998</v>
      </c>
      <c r="R78">
        <v>0</v>
      </c>
      <c r="S78">
        <v>0</v>
      </c>
      <c r="T78" s="112" t="s">
        <v>48</v>
      </c>
      <c r="U78" s="137" t="s">
        <v>278</v>
      </c>
      <c r="V78" s="137" t="s">
        <v>279</v>
      </c>
      <c r="W78" s="69">
        <v>43</v>
      </c>
      <c r="X78" s="136">
        <v>3</v>
      </c>
      <c r="Y78" s="136">
        <v>8</v>
      </c>
      <c r="Z78" s="314"/>
      <c r="AA78" s="319">
        <v>0.54500000000000004</v>
      </c>
      <c r="AB78" s="315" t="s">
        <v>5176</v>
      </c>
      <c r="AC78" s="319">
        <v>0</v>
      </c>
      <c r="AD78" s="320">
        <v>0</v>
      </c>
      <c r="AE78" s="319">
        <v>2</v>
      </c>
      <c r="AF78" s="320">
        <v>7.4074074074074001E-2</v>
      </c>
      <c r="AG78" s="319">
        <v>1</v>
      </c>
      <c r="AH78" s="320">
        <v>3.7037037037037E-2</v>
      </c>
      <c r="AI78" s="319">
        <v>0</v>
      </c>
      <c r="AJ78" s="320">
        <v>0</v>
      </c>
      <c r="AK78" s="320">
        <v>3.7037037037037028E-2</v>
      </c>
      <c r="AL78" s="319">
        <v>5</v>
      </c>
      <c r="AM78" s="319">
        <v>5</v>
      </c>
      <c r="AN78" s="319">
        <v>4.6666666666666599</v>
      </c>
      <c r="AO78" s="319">
        <v>0.48888888888888798</v>
      </c>
      <c r="AP78">
        <v>8</v>
      </c>
      <c r="AQ78">
        <v>8</v>
      </c>
      <c r="AR78" s="136"/>
      <c r="AT78" s="69">
        <v>2.3148</v>
      </c>
      <c r="AU78" s="69">
        <v>2.3148</v>
      </c>
      <c r="AV78" s="69">
        <v>8.1305999999999994</v>
      </c>
      <c r="AW78" s="69">
        <v>0.42530000000000001</v>
      </c>
      <c r="BB78" s="69"/>
    </row>
    <row r="79" spans="1:54" customFormat="1" ht="40" customHeight="1">
      <c r="A79" s="313">
        <v>78</v>
      </c>
      <c r="B79" s="136" t="s">
        <v>217</v>
      </c>
      <c r="C79" s="136" t="s">
        <v>59</v>
      </c>
      <c r="D79" s="31">
        <f t="shared" si="6"/>
        <v>5</v>
      </c>
      <c r="E79" s="137" t="s">
        <v>46</v>
      </c>
      <c r="F79" s="31">
        <f t="shared" si="7"/>
        <v>6</v>
      </c>
      <c r="G79" s="137" t="s">
        <v>280</v>
      </c>
      <c r="H79" s="138">
        <v>91</v>
      </c>
      <c r="I79" s="158">
        <f t="shared" si="8"/>
        <v>0.39169176309568876</v>
      </c>
      <c r="J79" s="95">
        <v>4.5291865785667601E-2</v>
      </c>
      <c r="K79" s="137">
        <v>0.73809166040570995</v>
      </c>
      <c r="L79" s="137">
        <v>0.56348610067618299</v>
      </c>
      <c r="M79" s="137">
        <v>1</v>
      </c>
      <c r="N79" s="136">
        <v>1</v>
      </c>
      <c r="O79" s="32">
        <v>43353</v>
      </c>
      <c r="P79" s="98">
        <f t="shared" si="9"/>
        <v>1</v>
      </c>
      <c r="Q79">
        <v>0</v>
      </c>
      <c r="R79">
        <v>0</v>
      </c>
      <c r="S79">
        <v>0</v>
      </c>
      <c r="T79" s="112" t="s">
        <v>73</v>
      </c>
      <c r="U79" s="137" t="s">
        <v>281</v>
      </c>
      <c r="V79" s="137" t="s">
        <v>282</v>
      </c>
      <c r="W79" s="69">
        <v>129</v>
      </c>
      <c r="X79" s="136">
        <v>1</v>
      </c>
      <c r="Y79" s="136">
        <v>0</v>
      </c>
      <c r="Z79" s="314"/>
      <c r="AA79" s="319">
        <v>0.66549999999999998</v>
      </c>
      <c r="AB79" s="315" t="s">
        <v>5168</v>
      </c>
      <c r="AC79" s="319">
        <v>1</v>
      </c>
      <c r="AD79" s="320">
        <v>1.3698630136986301E-2</v>
      </c>
      <c r="AE79" s="319">
        <v>1</v>
      </c>
      <c r="AF79" s="320">
        <v>1.3698630136986301E-2</v>
      </c>
      <c r="AG79" s="319">
        <v>2</v>
      </c>
      <c r="AH79" s="320">
        <v>2.7397260273972601E-2</v>
      </c>
      <c r="AI79" s="319">
        <v>0</v>
      </c>
      <c r="AJ79" s="320">
        <v>0</v>
      </c>
      <c r="AK79" s="320">
        <v>1.3698630136986301E-2</v>
      </c>
      <c r="AL79" s="319">
        <v>5</v>
      </c>
      <c r="AM79" s="319">
        <v>5</v>
      </c>
      <c r="AN79" s="319">
        <v>3.5</v>
      </c>
      <c r="AO79" s="319">
        <v>0.45</v>
      </c>
      <c r="AP79">
        <v>0</v>
      </c>
      <c r="AR79" s="136">
        <v>0</v>
      </c>
      <c r="AS79">
        <v>0</v>
      </c>
      <c r="AT79" s="69">
        <v>2.3148</v>
      </c>
      <c r="AU79" s="69">
        <v>2.3148</v>
      </c>
      <c r="AV79" s="69">
        <v>5.7443999999999997</v>
      </c>
      <c r="AW79" s="69">
        <v>0.3458</v>
      </c>
      <c r="BB79" s="69"/>
    </row>
    <row r="80" spans="1:54" customFormat="1" ht="40" customHeight="1">
      <c r="A80" s="313">
        <v>79</v>
      </c>
      <c r="B80" s="136" t="s">
        <v>217</v>
      </c>
      <c r="C80" s="136" t="s">
        <v>59</v>
      </c>
      <c r="D80" s="31">
        <f t="shared" si="6"/>
        <v>5</v>
      </c>
      <c r="E80" s="137" t="s">
        <v>46</v>
      </c>
      <c r="F80" s="31">
        <f t="shared" si="7"/>
        <v>6</v>
      </c>
      <c r="G80" s="137" t="s">
        <v>283</v>
      </c>
      <c r="H80" s="138">
        <v>263</v>
      </c>
      <c r="I80" s="158">
        <f t="shared" si="8"/>
        <v>0.35505906045813335</v>
      </c>
      <c r="J80" s="95">
        <v>1.5436864366780201E-6</v>
      </c>
      <c r="K80" s="137">
        <v>0.71011657722983001</v>
      </c>
      <c r="L80" s="137">
        <v>0.68181818181818199</v>
      </c>
      <c r="M80" s="137">
        <v>0.75256417034730305</v>
      </c>
      <c r="N80" s="136">
        <v>1</v>
      </c>
      <c r="O80" s="32">
        <v>43331</v>
      </c>
      <c r="P80" s="98">
        <f t="shared" si="9"/>
        <v>0</v>
      </c>
      <c r="Q80">
        <v>5.0999999999999996</v>
      </c>
      <c r="R80">
        <v>3.3</v>
      </c>
      <c r="S80">
        <v>1.87</v>
      </c>
      <c r="T80" s="112" t="s">
        <v>48</v>
      </c>
      <c r="U80" s="137" t="s">
        <v>284</v>
      </c>
      <c r="V80" s="137" t="s">
        <v>285</v>
      </c>
      <c r="W80" s="69">
        <v>238</v>
      </c>
      <c r="X80" s="136">
        <v>2</v>
      </c>
      <c r="Y80" s="136">
        <v>3</v>
      </c>
      <c r="Z80" s="314"/>
      <c r="AA80" s="319">
        <v>0.5</v>
      </c>
      <c r="AB80" s="315" t="s">
        <v>5176</v>
      </c>
      <c r="AC80" s="319">
        <v>2</v>
      </c>
      <c r="AD80" s="320">
        <v>1.4492753623188401E-2</v>
      </c>
      <c r="AE80" s="319">
        <v>3</v>
      </c>
      <c r="AF80" s="320">
        <v>2.1739130434782601E-2</v>
      </c>
      <c r="AG80" s="319">
        <v>2</v>
      </c>
      <c r="AH80" s="320">
        <v>1.4492753623188401E-2</v>
      </c>
      <c r="AI80" s="319">
        <v>0</v>
      </c>
      <c r="AJ80" s="320">
        <v>0</v>
      </c>
      <c r="AK80" s="320">
        <v>7.246376811594203E-3</v>
      </c>
      <c r="AL80" s="319">
        <v>5</v>
      </c>
      <c r="AM80" s="319">
        <v>6.2</v>
      </c>
      <c r="AN80" s="319">
        <v>7.6666666666666599</v>
      </c>
      <c r="AO80" s="319">
        <v>0.62888888888888805</v>
      </c>
      <c r="AP80">
        <v>3</v>
      </c>
      <c r="AR80" s="136">
        <v>3</v>
      </c>
      <c r="AT80" s="69">
        <v>2.3148</v>
      </c>
      <c r="AU80" s="69">
        <v>5</v>
      </c>
      <c r="AV80" s="69">
        <v>9.8867999999999991</v>
      </c>
      <c r="AW80" s="69">
        <v>0.57340000000000002</v>
      </c>
      <c r="BB80" s="69"/>
    </row>
    <row r="81" spans="1:54" customFormat="1" ht="40" customHeight="1">
      <c r="A81" s="313">
        <v>80</v>
      </c>
      <c r="B81" s="136" t="s">
        <v>217</v>
      </c>
      <c r="C81" s="136" t="s">
        <v>45</v>
      </c>
      <c r="D81" s="31">
        <f t="shared" si="6"/>
        <v>4</v>
      </c>
      <c r="E81" s="137" t="s">
        <v>46</v>
      </c>
      <c r="F81" s="31">
        <f t="shared" si="7"/>
        <v>6</v>
      </c>
      <c r="G81" s="137" t="s">
        <v>286</v>
      </c>
      <c r="H81" s="138">
        <v>87</v>
      </c>
      <c r="I81" s="158">
        <f t="shared" si="8"/>
        <v>0.40739351259920453</v>
      </c>
      <c r="J81" s="95">
        <v>5.9922876258611301E-4</v>
      </c>
      <c r="K81" s="137">
        <v>0.81418779643582295</v>
      </c>
      <c r="L81" s="137">
        <v>0.82499999999999996</v>
      </c>
      <c r="M81" s="137">
        <v>0.79796949108955795</v>
      </c>
      <c r="N81" s="136">
        <v>0</v>
      </c>
      <c r="O81" s="32">
        <v>43317</v>
      </c>
      <c r="P81" s="98">
        <f t="shared" si="9"/>
        <v>1</v>
      </c>
      <c r="Q81">
        <v>0</v>
      </c>
      <c r="R81">
        <v>3.3</v>
      </c>
      <c r="S81">
        <v>0</v>
      </c>
      <c r="T81" s="112" t="s">
        <v>287</v>
      </c>
      <c r="U81" s="137" t="s">
        <v>288</v>
      </c>
      <c r="V81" s="137" t="s">
        <v>289</v>
      </c>
      <c r="W81" s="69">
        <v>68</v>
      </c>
      <c r="X81" s="136">
        <v>1</v>
      </c>
      <c r="Y81" s="136">
        <v>2</v>
      </c>
      <c r="Z81" s="314"/>
      <c r="AA81" s="319">
        <v>0.5</v>
      </c>
      <c r="AB81" s="315" t="s">
        <v>5169</v>
      </c>
      <c r="AC81" s="319">
        <v>1</v>
      </c>
      <c r="AD81" s="320">
        <v>2.7027027027027001E-2</v>
      </c>
      <c r="AE81" s="319">
        <v>0</v>
      </c>
      <c r="AF81" s="320">
        <v>0</v>
      </c>
      <c r="AG81" s="319">
        <v>1</v>
      </c>
      <c r="AH81" s="320">
        <v>2.7027027027027001E-2</v>
      </c>
      <c r="AI81" s="319">
        <v>0</v>
      </c>
      <c r="AJ81" s="320">
        <v>0</v>
      </c>
      <c r="AK81" s="320">
        <v>2.7027027027027029E-2</v>
      </c>
      <c r="AL81" s="319">
        <v>5</v>
      </c>
      <c r="AM81" s="319">
        <v>5</v>
      </c>
      <c r="AN81" s="319">
        <v>2</v>
      </c>
      <c r="AO81" s="319">
        <v>0.4</v>
      </c>
      <c r="AP81">
        <v>2</v>
      </c>
      <c r="AQ81">
        <v>2</v>
      </c>
      <c r="AR81" s="136"/>
      <c r="AT81" s="69">
        <v>2.3148</v>
      </c>
      <c r="AU81" s="69">
        <v>2.3148</v>
      </c>
      <c r="AV81" s="69">
        <v>2.3148</v>
      </c>
      <c r="AW81" s="69">
        <v>0.23150000000000001</v>
      </c>
      <c r="BB81" s="69"/>
    </row>
    <row r="82" spans="1:54" customFormat="1" ht="40" customHeight="1">
      <c r="A82" s="313">
        <v>81</v>
      </c>
      <c r="B82" s="136" t="s">
        <v>217</v>
      </c>
      <c r="C82" s="136" t="s">
        <v>45</v>
      </c>
      <c r="D82" s="31">
        <f t="shared" si="6"/>
        <v>4</v>
      </c>
      <c r="E82" s="137" t="s">
        <v>80</v>
      </c>
      <c r="F82" s="31">
        <f t="shared" si="7"/>
        <v>4</v>
      </c>
      <c r="G82" s="137" t="s">
        <v>290</v>
      </c>
      <c r="H82" s="138">
        <v>119</v>
      </c>
      <c r="I82" s="158">
        <f t="shared" si="8"/>
        <v>0.32880755608034068</v>
      </c>
      <c r="J82" s="95">
        <v>1.14352971536391E-13</v>
      </c>
      <c r="K82" s="137">
        <v>0.65761511216056701</v>
      </c>
      <c r="L82" s="137">
        <v>0.61983471074380103</v>
      </c>
      <c r="M82" s="137">
        <v>0.71428571428571397</v>
      </c>
      <c r="N82" s="136">
        <v>1</v>
      </c>
      <c r="O82" s="32">
        <v>43317</v>
      </c>
      <c r="P82" s="98">
        <f t="shared" si="9"/>
        <v>1</v>
      </c>
      <c r="Q82">
        <v>0</v>
      </c>
      <c r="R82">
        <v>1.65</v>
      </c>
      <c r="S82">
        <v>0</v>
      </c>
      <c r="T82" s="112" t="s">
        <v>287</v>
      </c>
      <c r="U82" s="137" t="s">
        <v>291</v>
      </c>
      <c r="V82" s="137" t="s">
        <v>292</v>
      </c>
      <c r="W82" s="69">
        <v>51</v>
      </c>
      <c r="X82" s="136">
        <v>1</v>
      </c>
      <c r="Y82" s="136">
        <v>4</v>
      </c>
      <c r="Z82" s="314"/>
      <c r="AA82" s="319">
        <v>0.58399999999999996</v>
      </c>
      <c r="AB82" s="315" t="s">
        <v>5177</v>
      </c>
      <c r="AC82" s="319">
        <v>0</v>
      </c>
      <c r="AD82" s="320">
        <v>0</v>
      </c>
      <c r="AE82" s="319">
        <v>1</v>
      </c>
      <c r="AF82" s="320">
        <v>3.2258064516128997E-2</v>
      </c>
      <c r="AG82" s="319">
        <v>1</v>
      </c>
      <c r="AH82" s="320">
        <v>3.2258064516128997E-2</v>
      </c>
      <c r="AI82" s="319">
        <v>0</v>
      </c>
      <c r="AJ82" s="320">
        <v>0</v>
      </c>
      <c r="AK82" s="320">
        <v>3.2258064516129031E-2</v>
      </c>
      <c r="AL82" s="319">
        <v>5</v>
      </c>
      <c r="AM82" s="319">
        <v>5</v>
      </c>
      <c r="AN82" s="319">
        <v>6.1666666666666599</v>
      </c>
      <c r="AO82" s="319">
        <v>0.53888888888888797</v>
      </c>
      <c r="AP82">
        <v>4</v>
      </c>
      <c r="AQ82">
        <v>4</v>
      </c>
      <c r="AR82" s="136"/>
      <c r="AT82" s="69">
        <v>2.3148</v>
      </c>
      <c r="AU82" s="69">
        <v>2.3148</v>
      </c>
      <c r="AV82" s="69">
        <v>9.5120000000000005</v>
      </c>
      <c r="AW82" s="69">
        <v>0.47139999999999999</v>
      </c>
      <c r="BB82" s="69"/>
    </row>
    <row r="83" spans="1:54" customFormat="1" ht="40" customHeight="1">
      <c r="A83" s="313">
        <v>82</v>
      </c>
      <c r="B83" s="136" t="s">
        <v>217</v>
      </c>
      <c r="C83" s="136" t="s">
        <v>45</v>
      </c>
      <c r="D83" s="31">
        <f t="shared" si="6"/>
        <v>4</v>
      </c>
      <c r="E83" s="137" t="s">
        <v>80</v>
      </c>
      <c r="F83" s="31">
        <f t="shared" si="7"/>
        <v>4</v>
      </c>
      <c r="G83" s="137" t="s">
        <v>293</v>
      </c>
      <c r="H83" s="138">
        <v>51</v>
      </c>
      <c r="I83" s="158">
        <f t="shared" si="8"/>
        <v>0.39123232453001283</v>
      </c>
      <c r="J83" s="95">
        <v>1.75036334573964E-3</v>
      </c>
      <c r="K83" s="137">
        <v>0.78071428571428603</v>
      </c>
      <c r="L83" s="137">
        <v>0.82499999999999996</v>
      </c>
      <c r="M83" s="137">
        <v>0.71428571428571397</v>
      </c>
      <c r="N83" s="136">
        <v>1</v>
      </c>
      <c r="O83" s="32">
        <v>43315</v>
      </c>
      <c r="P83" s="98">
        <f t="shared" si="9"/>
        <v>0</v>
      </c>
      <c r="Q83">
        <v>10.199999999999999</v>
      </c>
      <c r="R83">
        <v>0</v>
      </c>
      <c r="S83">
        <v>0</v>
      </c>
      <c r="T83" s="112" t="s">
        <v>48</v>
      </c>
      <c r="U83" s="137" t="s">
        <v>294</v>
      </c>
      <c r="V83" s="137" t="s">
        <v>295</v>
      </c>
      <c r="W83" s="69">
        <v>87</v>
      </c>
      <c r="X83" s="136">
        <v>1</v>
      </c>
      <c r="Y83" s="136">
        <v>4</v>
      </c>
      <c r="Z83" s="314"/>
      <c r="AA83" s="319">
        <v>0.54500000000000004</v>
      </c>
      <c r="AB83" s="315" t="s">
        <v>5165</v>
      </c>
      <c r="AC83" s="319">
        <v>2</v>
      </c>
      <c r="AD83" s="320">
        <v>4.1666666666666602E-2</v>
      </c>
      <c r="AE83" s="319">
        <v>1</v>
      </c>
      <c r="AF83" s="320">
        <v>2.0833333333333301E-2</v>
      </c>
      <c r="AG83" s="319">
        <v>0</v>
      </c>
      <c r="AH83" s="320">
        <v>0</v>
      </c>
      <c r="AI83" s="319">
        <v>1</v>
      </c>
      <c r="AJ83" s="320">
        <v>2.0833333333333301E-2</v>
      </c>
      <c r="AK83" s="320">
        <v>0</v>
      </c>
      <c r="AL83" s="319">
        <v>6.75</v>
      </c>
      <c r="AM83" s="319">
        <v>5</v>
      </c>
      <c r="AN83" s="319">
        <v>7.3333333333333304</v>
      </c>
      <c r="AO83" s="319">
        <v>0.63611111111111096</v>
      </c>
      <c r="AP83">
        <v>4</v>
      </c>
      <c r="AR83" s="136"/>
      <c r="AT83" s="69">
        <v>6.3414000000000001</v>
      </c>
      <c r="AU83" s="69">
        <v>2.3148</v>
      </c>
      <c r="AV83" s="69">
        <v>9.8416999999999994</v>
      </c>
      <c r="AW83" s="69">
        <v>0.61660000000000004</v>
      </c>
      <c r="BB83" s="69"/>
    </row>
    <row r="84" spans="1:54" customFormat="1" ht="40" customHeight="1">
      <c r="A84" s="313">
        <v>83</v>
      </c>
      <c r="B84" s="136" t="s">
        <v>217</v>
      </c>
      <c r="C84" s="136" t="s">
        <v>45</v>
      </c>
      <c r="D84" s="31">
        <f t="shared" si="6"/>
        <v>4</v>
      </c>
      <c r="E84" s="137" t="s">
        <v>80</v>
      </c>
      <c r="F84" s="31">
        <f t="shared" si="7"/>
        <v>4</v>
      </c>
      <c r="G84" s="137" t="s">
        <v>296</v>
      </c>
      <c r="H84" s="138">
        <v>47</v>
      </c>
      <c r="I84" s="158">
        <f t="shared" si="8"/>
        <v>0.3996903089469534</v>
      </c>
      <c r="J84" s="95">
        <v>3.3549497549858502E-3</v>
      </c>
      <c r="K84" s="137">
        <v>0.79602566813892095</v>
      </c>
      <c r="L84" s="137">
        <v>0.82499999999999996</v>
      </c>
      <c r="M84" s="137">
        <v>0.75256417034730305</v>
      </c>
      <c r="N84" s="136">
        <v>1</v>
      </c>
      <c r="O84" s="32">
        <v>43304</v>
      </c>
      <c r="P84" s="98">
        <f t="shared" si="9"/>
        <v>0</v>
      </c>
      <c r="Q84">
        <v>7.65</v>
      </c>
      <c r="R84">
        <v>0</v>
      </c>
      <c r="S84">
        <v>0</v>
      </c>
      <c r="T84" s="112" t="s">
        <v>48</v>
      </c>
      <c r="U84" s="137" t="s">
        <v>297</v>
      </c>
      <c r="V84" s="137" t="s">
        <v>298</v>
      </c>
      <c r="W84" s="69">
        <v>78</v>
      </c>
      <c r="X84" s="136">
        <v>1</v>
      </c>
      <c r="Y84" s="136">
        <v>3</v>
      </c>
      <c r="Z84" s="314"/>
      <c r="AA84" s="319">
        <v>0.60499999999999998</v>
      </c>
      <c r="AB84" s="315" t="s">
        <v>5165</v>
      </c>
      <c r="AC84" s="319">
        <v>2</v>
      </c>
      <c r="AD84" s="320">
        <v>4.6511627906976702E-2</v>
      </c>
      <c r="AE84" s="319">
        <v>1</v>
      </c>
      <c r="AF84" s="320">
        <v>2.3255813953488299E-2</v>
      </c>
      <c r="AG84" s="319">
        <v>0</v>
      </c>
      <c r="AH84" s="320">
        <v>0</v>
      </c>
      <c r="AI84" s="319">
        <v>1</v>
      </c>
      <c r="AJ84" s="320">
        <v>2.3255813953488299E-2</v>
      </c>
      <c r="AK84" s="320">
        <v>0</v>
      </c>
      <c r="AL84" s="319">
        <v>5</v>
      </c>
      <c r="AM84" s="319">
        <v>5</v>
      </c>
      <c r="AN84" s="319">
        <v>2</v>
      </c>
      <c r="AO84" s="319">
        <v>0.4</v>
      </c>
      <c r="AP84">
        <v>4</v>
      </c>
      <c r="AR84" s="136"/>
      <c r="AT84" s="69">
        <v>2.3148</v>
      </c>
      <c r="AU84" s="69">
        <v>2.3148</v>
      </c>
      <c r="AV84" s="69">
        <v>2.3148</v>
      </c>
      <c r="AW84" s="69">
        <v>0.23150000000000001</v>
      </c>
      <c r="BB84" s="69"/>
    </row>
    <row r="85" spans="1:54" customFormat="1" ht="40" customHeight="1">
      <c r="A85" s="313">
        <v>84</v>
      </c>
      <c r="B85" s="136" t="s">
        <v>217</v>
      </c>
      <c r="C85" s="136" t="s">
        <v>45</v>
      </c>
      <c r="D85" s="31">
        <f t="shared" si="6"/>
        <v>4</v>
      </c>
      <c r="E85" s="137" t="s">
        <v>80</v>
      </c>
      <c r="F85" s="31">
        <f t="shared" si="7"/>
        <v>4</v>
      </c>
      <c r="G85" s="137" t="s">
        <v>299</v>
      </c>
      <c r="H85" s="138">
        <v>118</v>
      </c>
      <c r="I85" s="158">
        <f t="shared" si="8"/>
        <v>0.36786671152299916</v>
      </c>
      <c r="J85" s="95">
        <v>1.9137331712326701E-5</v>
      </c>
      <c r="K85" s="137">
        <v>0.73571428571428599</v>
      </c>
      <c r="L85" s="137">
        <v>0.75</v>
      </c>
      <c r="M85" s="137">
        <v>0.71428571428571397</v>
      </c>
      <c r="N85" s="136">
        <v>1</v>
      </c>
      <c r="O85" s="32">
        <v>43279</v>
      </c>
      <c r="P85" s="98">
        <f t="shared" si="9"/>
        <v>1</v>
      </c>
      <c r="Q85">
        <v>2.5499999999999998</v>
      </c>
      <c r="R85">
        <v>3.3</v>
      </c>
      <c r="S85">
        <v>0</v>
      </c>
      <c r="T85" s="112" t="s">
        <v>73</v>
      </c>
      <c r="U85" s="137" t="s">
        <v>300</v>
      </c>
      <c r="V85" s="137" t="s">
        <v>301</v>
      </c>
      <c r="W85" s="69">
        <v>94</v>
      </c>
      <c r="X85" s="136">
        <v>1</v>
      </c>
      <c r="Y85" s="136">
        <v>4</v>
      </c>
      <c r="Z85" s="314"/>
      <c r="AA85" s="319">
        <v>0.54500000000000004</v>
      </c>
      <c r="AB85" s="315" t="s">
        <v>5176</v>
      </c>
      <c r="AC85" s="319">
        <v>0</v>
      </c>
      <c r="AD85" s="320">
        <v>0</v>
      </c>
      <c r="AE85" s="319">
        <v>1</v>
      </c>
      <c r="AF85" s="320">
        <v>1.9230769230769201E-2</v>
      </c>
      <c r="AG85" s="319">
        <v>0</v>
      </c>
      <c r="AH85" s="320">
        <v>0</v>
      </c>
      <c r="AI85" s="319">
        <v>0</v>
      </c>
      <c r="AJ85" s="320">
        <v>0</v>
      </c>
      <c r="AK85" s="320">
        <v>0</v>
      </c>
      <c r="AL85" s="319">
        <v>6.75</v>
      </c>
      <c r="AM85" s="319">
        <v>6.2</v>
      </c>
      <c r="AN85" s="319">
        <v>4.6666666666666599</v>
      </c>
      <c r="AO85" s="319">
        <v>0.58722222222222198</v>
      </c>
      <c r="AP85">
        <v>2</v>
      </c>
      <c r="AR85" s="136"/>
      <c r="AS85">
        <v>2</v>
      </c>
      <c r="AT85" s="69">
        <v>6.3414000000000001</v>
      </c>
      <c r="AU85" s="69">
        <v>5</v>
      </c>
      <c r="AV85" s="69">
        <v>8.1305999999999994</v>
      </c>
      <c r="AW85" s="69">
        <v>0.64910000000000001</v>
      </c>
      <c r="BB85" s="69"/>
    </row>
    <row r="86" spans="1:54" customFormat="1" ht="40" customHeight="1">
      <c r="A86" s="313">
        <v>85</v>
      </c>
      <c r="B86" s="136" t="s">
        <v>217</v>
      </c>
      <c r="C86" s="136" t="s">
        <v>45</v>
      </c>
      <c r="D86" s="31">
        <f t="shared" si="6"/>
        <v>4</v>
      </c>
      <c r="E86" s="137" t="s">
        <v>80</v>
      </c>
      <c r="F86" s="31">
        <f t="shared" si="7"/>
        <v>4</v>
      </c>
      <c r="G86" s="137" t="s">
        <v>302</v>
      </c>
      <c r="H86" s="138">
        <v>96</v>
      </c>
      <c r="I86" s="158">
        <f t="shared" si="8"/>
        <v>0.36413937860375162</v>
      </c>
      <c r="J86" s="95">
        <v>5.1680771218087798E-8</v>
      </c>
      <c r="K86" s="137">
        <v>0.72827870552673202</v>
      </c>
      <c r="L86" s="137">
        <v>0.68181818181818199</v>
      </c>
      <c r="M86" s="137">
        <v>0.79796949108955795</v>
      </c>
      <c r="N86" s="136">
        <v>1</v>
      </c>
      <c r="O86" s="32">
        <v>43277</v>
      </c>
      <c r="P86" s="98">
        <f t="shared" si="9"/>
        <v>1</v>
      </c>
      <c r="Q86">
        <v>0</v>
      </c>
      <c r="R86">
        <v>1.65</v>
      </c>
      <c r="S86">
        <v>0</v>
      </c>
      <c r="T86" s="112" t="s">
        <v>287</v>
      </c>
      <c r="U86" s="137" t="s">
        <v>303</v>
      </c>
      <c r="V86" s="137" t="s">
        <v>304</v>
      </c>
      <c r="W86" s="69">
        <v>60</v>
      </c>
      <c r="X86" s="136">
        <v>1</v>
      </c>
      <c r="Y86" s="136">
        <v>2</v>
      </c>
      <c r="Z86" s="314"/>
      <c r="AA86" s="319">
        <v>0.58399999999999996</v>
      </c>
      <c r="AB86" s="315" t="s">
        <v>5165</v>
      </c>
      <c r="AC86" s="319">
        <v>2</v>
      </c>
      <c r="AD86" s="320">
        <v>6.0606060606060601E-2</v>
      </c>
      <c r="AE86" s="319">
        <v>1</v>
      </c>
      <c r="AF86" s="320">
        <v>3.03030303030303E-2</v>
      </c>
      <c r="AG86" s="319">
        <v>0</v>
      </c>
      <c r="AH86" s="320">
        <v>0</v>
      </c>
      <c r="AI86" s="319">
        <v>0</v>
      </c>
      <c r="AJ86" s="320">
        <v>0</v>
      </c>
      <c r="AK86" s="320">
        <v>0</v>
      </c>
      <c r="AL86" s="319">
        <v>5</v>
      </c>
      <c r="AM86" s="319">
        <v>5</v>
      </c>
      <c r="AN86" s="319">
        <v>6.1666666666666599</v>
      </c>
      <c r="AO86" s="319">
        <v>0.53888888888888797</v>
      </c>
      <c r="AP86">
        <v>2</v>
      </c>
      <c r="AR86" s="136"/>
      <c r="AT86" s="69">
        <v>2.3148</v>
      </c>
      <c r="AU86" s="69">
        <v>2.3148</v>
      </c>
      <c r="AV86" s="69">
        <v>9.5120000000000005</v>
      </c>
      <c r="AW86" s="69">
        <v>0.47139999999999999</v>
      </c>
      <c r="BB86" s="69"/>
    </row>
    <row r="87" spans="1:54" customFormat="1" ht="40" customHeight="1">
      <c r="A87" s="313">
        <v>86</v>
      </c>
      <c r="B87" s="136" t="s">
        <v>217</v>
      </c>
      <c r="C87" s="136" t="s">
        <v>45</v>
      </c>
      <c r="D87" s="31">
        <f t="shared" si="6"/>
        <v>4</v>
      </c>
      <c r="E87" s="137" t="s">
        <v>80</v>
      </c>
      <c r="F87" s="31">
        <f t="shared" si="7"/>
        <v>4</v>
      </c>
      <c r="G87" s="137" t="s">
        <v>305</v>
      </c>
      <c r="H87" s="138">
        <v>46</v>
      </c>
      <c r="I87" s="158">
        <f t="shared" si="8"/>
        <v>0.39038041267086976</v>
      </c>
      <c r="J87" s="95">
        <v>4.6539627453490203E-5</v>
      </c>
      <c r="K87" s="137">
        <v>0.78071428571428603</v>
      </c>
      <c r="L87" s="137">
        <v>0.82499999999999996</v>
      </c>
      <c r="M87" s="137">
        <v>0.71428571428571397</v>
      </c>
      <c r="N87" s="136">
        <v>1</v>
      </c>
      <c r="O87" s="32">
        <v>43251</v>
      </c>
      <c r="P87" s="98">
        <f t="shared" si="9"/>
        <v>0</v>
      </c>
      <c r="Q87">
        <v>5.0999999999999996</v>
      </c>
      <c r="R87">
        <v>0</v>
      </c>
      <c r="S87">
        <v>0</v>
      </c>
      <c r="T87" s="112" t="s">
        <v>48</v>
      </c>
      <c r="U87" s="137" t="s">
        <v>306</v>
      </c>
      <c r="V87" s="137" t="s">
        <v>307</v>
      </c>
      <c r="W87" s="69">
        <v>70</v>
      </c>
      <c r="X87" s="136">
        <v>1</v>
      </c>
      <c r="Y87" s="136">
        <v>4</v>
      </c>
      <c r="Z87" s="314"/>
      <c r="AA87" s="319">
        <v>0.54500000000000004</v>
      </c>
      <c r="AB87" s="315" t="s">
        <v>5176</v>
      </c>
      <c r="AC87" s="319">
        <v>1</v>
      </c>
      <c r="AD87" s="320">
        <v>2.5641025641025599E-2</v>
      </c>
      <c r="AE87" s="319">
        <v>2</v>
      </c>
      <c r="AF87" s="320">
        <v>5.1282051282051197E-2</v>
      </c>
      <c r="AG87" s="319">
        <v>0</v>
      </c>
      <c r="AH87" s="320">
        <v>0</v>
      </c>
      <c r="AI87" s="319">
        <v>1</v>
      </c>
      <c r="AJ87" s="320">
        <v>2.5641025641025599E-2</v>
      </c>
      <c r="AK87" s="320">
        <v>2.564102564102564E-2</v>
      </c>
      <c r="AL87" s="319">
        <v>6.75</v>
      </c>
      <c r="AM87" s="319">
        <v>5</v>
      </c>
      <c r="AN87" s="319">
        <v>7.3333333333333304</v>
      </c>
      <c r="AO87" s="319">
        <v>0.63611111111111096</v>
      </c>
      <c r="AP87">
        <v>4</v>
      </c>
      <c r="AR87" s="136"/>
      <c r="AS87">
        <v>4</v>
      </c>
      <c r="AT87" s="69">
        <v>6.3414000000000001</v>
      </c>
      <c r="AU87" s="69">
        <v>2.3148</v>
      </c>
      <c r="AV87" s="69">
        <v>9.8416999999999994</v>
      </c>
      <c r="AW87" s="69">
        <v>0.61660000000000004</v>
      </c>
      <c r="BB87" s="69"/>
    </row>
    <row r="88" spans="1:54" customFormat="1" ht="40" customHeight="1">
      <c r="A88" s="313">
        <v>87</v>
      </c>
      <c r="B88" s="136" t="s">
        <v>217</v>
      </c>
      <c r="C88" s="136" t="s">
        <v>45</v>
      </c>
      <c r="D88" s="31">
        <f t="shared" si="6"/>
        <v>4</v>
      </c>
      <c r="E88" s="137" t="s">
        <v>80</v>
      </c>
      <c r="F88" s="31">
        <f t="shared" si="7"/>
        <v>4</v>
      </c>
      <c r="G88" s="137" t="s">
        <v>308</v>
      </c>
      <c r="H88" s="138">
        <v>87</v>
      </c>
      <c r="I88" s="158">
        <f t="shared" si="8"/>
        <v>0.85796873827605502</v>
      </c>
      <c r="J88" s="95">
        <v>0.98022319083782405</v>
      </c>
      <c r="K88" s="137">
        <v>0.73571428571428599</v>
      </c>
      <c r="L88" s="137">
        <v>0.75</v>
      </c>
      <c r="M88" s="137">
        <v>0.71428571428571397</v>
      </c>
      <c r="N88" s="136">
        <v>1</v>
      </c>
      <c r="O88" s="32">
        <v>43246</v>
      </c>
      <c r="P88" s="98">
        <f t="shared" si="9"/>
        <v>1</v>
      </c>
      <c r="Q88">
        <v>0</v>
      </c>
      <c r="R88">
        <v>4.95</v>
      </c>
      <c r="S88">
        <v>0</v>
      </c>
      <c r="T88" s="112" t="s">
        <v>73</v>
      </c>
      <c r="U88" s="137" t="s">
        <v>309</v>
      </c>
      <c r="V88" s="137" t="s">
        <v>310</v>
      </c>
      <c r="W88" s="69">
        <v>42</v>
      </c>
      <c r="X88" s="136">
        <v>2</v>
      </c>
      <c r="Y88" s="136">
        <v>4</v>
      </c>
      <c r="Z88" s="314"/>
      <c r="AA88" s="319">
        <v>0.54500000000000004</v>
      </c>
      <c r="AB88" s="315" t="s">
        <v>5178</v>
      </c>
      <c r="AC88" s="319">
        <v>3</v>
      </c>
      <c r="AD88" s="320">
        <v>0.12</v>
      </c>
      <c r="AE88" s="319">
        <v>3</v>
      </c>
      <c r="AF88" s="320">
        <v>0.12</v>
      </c>
      <c r="AG88" s="319">
        <v>0</v>
      </c>
      <c r="AH88" s="320">
        <v>0</v>
      </c>
      <c r="AI88" s="319">
        <v>0</v>
      </c>
      <c r="AJ88" s="320">
        <v>0</v>
      </c>
      <c r="AK88" s="320">
        <v>0.04</v>
      </c>
      <c r="AL88" s="319">
        <v>6.75</v>
      </c>
      <c r="AM88" s="319">
        <v>6.2</v>
      </c>
      <c r="AN88" s="319">
        <v>4.6666666666666599</v>
      </c>
      <c r="AO88" s="319">
        <v>0.58722222222222198</v>
      </c>
      <c r="AP88">
        <v>4</v>
      </c>
      <c r="AQ88">
        <v>4</v>
      </c>
      <c r="AR88" s="136"/>
      <c r="AT88" s="69">
        <v>6.3414000000000001</v>
      </c>
      <c r="AU88" s="69">
        <v>5</v>
      </c>
      <c r="AV88" s="69">
        <v>8.1305999999999994</v>
      </c>
      <c r="AW88" s="69">
        <v>0.64910000000000001</v>
      </c>
      <c r="BB88" s="69"/>
    </row>
    <row r="89" spans="1:54" customFormat="1" ht="40" customHeight="1">
      <c r="A89" s="313">
        <v>88</v>
      </c>
      <c r="B89" s="136" t="s">
        <v>217</v>
      </c>
      <c r="C89" s="136" t="s">
        <v>45</v>
      </c>
      <c r="D89" s="31">
        <f t="shared" si="6"/>
        <v>4</v>
      </c>
      <c r="E89" s="137" t="s">
        <v>80</v>
      </c>
      <c r="F89" s="31">
        <f t="shared" si="7"/>
        <v>4</v>
      </c>
      <c r="G89" s="137" t="s">
        <v>311</v>
      </c>
      <c r="H89" s="138">
        <v>64</v>
      </c>
      <c r="I89" s="158">
        <f t="shared" si="8"/>
        <v>0.3748317249272019</v>
      </c>
      <c r="J89" s="95">
        <v>3.9634292299156798E-2</v>
      </c>
      <c r="K89" s="137">
        <v>0.71002915755524698</v>
      </c>
      <c r="L89" s="137">
        <v>0.75</v>
      </c>
      <c r="M89" s="137">
        <v>0.65007289388811795</v>
      </c>
      <c r="N89" s="136">
        <v>1</v>
      </c>
      <c r="O89" s="32">
        <v>43242</v>
      </c>
      <c r="P89" s="98">
        <f t="shared" si="9"/>
        <v>0</v>
      </c>
      <c r="Q89">
        <v>2.5499999999999998</v>
      </c>
      <c r="R89">
        <v>0</v>
      </c>
      <c r="S89">
        <v>0</v>
      </c>
      <c r="T89" s="112" t="s">
        <v>48</v>
      </c>
      <c r="U89" s="137" t="s">
        <v>312</v>
      </c>
      <c r="V89" s="137" t="s">
        <v>313</v>
      </c>
      <c r="W89" s="69">
        <v>125</v>
      </c>
      <c r="X89" s="136">
        <v>2</v>
      </c>
      <c r="Y89" s="136">
        <v>6</v>
      </c>
      <c r="Z89" s="314"/>
      <c r="AA89" s="319">
        <v>0.54500000000000004</v>
      </c>
      <c r="AB89" s="315" t="s">
        <v>5176</v>
      </c>
      <c r="AC89" s="319">
        <v>1</v>
      </c>
      <c r="AD89" s="320">
        <v>1.4925373134328301E-2</v>
      </c>
      <c r="AE89" s="319">
        <v>4</v>
      </c>
      <c r="AF89" s="320">
        <v>5.9701492537313397E-2</v>
      </c>
      <c r="AG89" s="319">
        <v>1</v>
      </c>
      <c r="AH89" s="320">
        <v>1.4925373134328301E-2</v>
      </c>
      <c r="AI89" s="319">
        <v>0</v>
      </c>
      <c r="AJ89" s="320">
        <v>0</v>
      </c>
      <c r="AK89" s="320">
        <v>1.492537313432836E-2</v>
      </c>
      <c r="AL89" s="319">
        <v>5</v>
      </c>
      <c r="AM89" s="319">
        <v>6.2</v>
      </c>
      <c r="AN89" s="319">
        <v>4.6666666666666599</v>
      </c>
      <c r="AO89" s="319">
        <v>0.52888888888888796</v>
      </c>
      <c r="AP89">
        <v>6</v>
      </c>
      <c r="AQ89">
        <v>6</v>
      </c>
      <c r="AR89" s="136"/>
      <c r="AT89" s="69">
        <v>2.3148</v>
      </c>
      <c r="AU89" s="69">
        <v>5</v>
      </c>
      <c r="AV89" s="69">
        <v>8.1305999999999994</v>
      </c>
      <c r="AW89" s="69">
        <v>0.51480000000000004</v>
      </c>
      <c r="BB89" s="69"/>
    </row>
    <row r="90" spans="1:54" customFormat="1" ht="40" customHeight="1">
      <c r="A90" s="313">
        <v>89</v>
      </c>
      <c r="B90" s="136" t="s">
        <v>217</v>
      </c>
      <c r="C90" s="136" t="s">
        <v>45</v>
      </c>
      <c r="D90" s="31">
        <f t="shared" si="6"/>
        <v>4</v>
      </c>
      <c r="E90" s="137" t="s">
        <v>80</v>
      </c>
      <c r="F90" s="31">
        <f t="shared" si="7"/>
        <v>4</v>
      </c>
      <c r="G90" s="137" t="s">
        <v>314</v>
      </c>
      <c r="H90" s="138">
        <v>70</v>
      </c>
      <c r="I90" s="158">
        <f t="shared" si="8"/>
        <v>0.39643059988384793</v>
      </c>
      <c r="J90" s="95">
        <v>4.0569105528298596E-6</v>
      </c>
      <c r="K90" s="137">
        <v>0.79285714285714304</v>
      </c>
      <c r="L90" s="137">
        <v>0.75</v>
      </c>
      <c r="M90" s="137">
        <v>0.85714285714285698</v>
      </c>
      <c r="N90" s="136">
        <v>1</v>
      </c>
      <c r="O90" s="32">
        <v>43236</v>
      </c>
      <c r="P90" s="98">
        <f t="shared" si="9"/>
        <v>1</v>
      </c>
      <c r="Q90">
        <v>0</v>
      </c>
      <c r="R90">
        <v>1.65</v>
      </c>
      <c r="S90">
        <v>0</v>
      </c>
      <c r="T90" s="112" t="s">
        <v>73</v>
      </c>
      <c r="U90" s="137" t="s">
        <v>315</v>
      </c>
      <c r="V90" s="137" t="s">
        <v>316</v>
      </c>
      <c r="W90" s="69">
        <v>248</v>
      </c>
      <c r="X90" s="136">
        <v>1</v>
      </c>
      <c r="Y90" s="136">
        <v>1</v>
      </c>
      <c r="Z90" s="314"/>
      <c r="AA90" s="319">
        <v>0.5</v>
      </c>
      <c r="AB90" s="315" t="s">
        <v>5176</v>
      </c>
      <c r="AC90" s="319">
        <v>1</v>
      </c>
      <c r="AD90" s="320">
        <v>7.4626865671641798E-3</v>
      </c>
      <c r="AE90" s="319">
        <v>5</v>
      </c>
      <c r="AF90" s="320">
        <v>3.7313432835820802E-2</v>
      </c>
      <c r="AG90" s="319">
        <v>4</v>
      </c>
      <c r="AH90" s="320">
        <v>2.9850746268656699E-2</v>
      </c>
      <c r="AI90" s="319">
        <v>0</v>
      </c>
      <c r="AJ90" s="320">
        <v>0</v>
      </c>
      <c r="AK90" s="320">
        <v>7.462686567164179E-3</v>
      </c>
      <c r="AL90" s="319">
        <v>5</v>
      </c>
      <c r="AM90" s="319">
        <v>5</v>
      </c>
      <c r="AN90" s="319">
        <v>4.6666666666666599</v>
      </c>
      <c r="AO90" s="319">
        <v>0.48888888888888798</v>
      </c>
      <c r="AP90">
        <v>1</v>
      </c>
      <c r="AR90" s="136">
        <v>1</v>
      </c>
      <c r="AT90" s="69">
        <v>2.3148</v>
      </c>
      <c r="AU90" s="69">
        <v>2.3148</v>
      </c>
      <c r="AV90" s="69">
        <v>8.1305999999999994</v>
      </c>
      <c r="AW90" s="69">
        <v>0.42530000000000001</v>
      </c>
      <c r="BB90" s="69"/>
    </row>
    <row r="91" spans="1:54" customFormat="1" ht="40" customHeight="1">
      <c r="A91" s="313">
        <v>90</v>
      </c>
      <c r="B91" s="136" t="s">
        <v>217</v>
      </c>
      <c r="C91" s="136" t="s">
        <v>59</v>
      </c>
      <c r="D91" s="31">
        <f t="shared" si="6"/>
        <v>5</v>
      </c>
      <c r="E91" s="137" t="s">
        <v>46</v>
      </c>
      <c r="F91" s="31">
        <f t="shared" si="7"/>
        <v>6</v>
      </c>
      <c r="G91" s="137" t="s">
        <v>317</v>
      </c>
      <c r="H91" s="138">
        <v>121</v>
      </c>
      <c r="I91" s="158">
        <f t="shared" si="8"/>
        <v>0.34082409633065514</v>
      </c>
      <c r="J91" s="95">
        <v>6.99389398457262E-4</v>
      </c>
      <c r="K91" s="137">
        <v>0.68094880326285301</v>
      </c>
      <c r="L91" s="137">
        <v>0.56348610067618299</v>
      </c>
      <c r="M91" s="137">
        <v>0.85714285714285698</v>
      </c>
      <c r="N91" s="136">
        <v>1</v>
      </c>
      <c r="O91" s="32">
        <v>43229</v>
      </c>
      <c r="P91" s="98">
        <f t="shared" si="9"/>
        <v>1</v>
      </c>
      <c r="Q91">
        <v>2.5499999999999998</v>
      </c>
      <c r="R91">
        <v>3.3</v>
      </c>
      <c r="S91">
        <v>1.87</v>
      </c>
      <c r="T91" s="112" t="s">
        <v>73</v>
      </c>
      <c r="U91" s="137" t="s">
        <v>318</v>
      </c>
      <c r="V91" s="137" t="s">
        <v>319</v>
      </c>
      <c r="W91" s="69">
        <v>132</v>
      </c>
      <c r="X91" s="136">
        <v>2</v>
      </c>
      <c r="Y91" s="136">
        <v>1</v>
      </c>
      <c r="Z91" s="314"/>
      <c r="AA91" s="319">
        <v>0.55000000000000004</v>
      </c>
      <c r="AB91" s="315" t="s">
        <v>5168</v>
      </c>
      <c r="AC91" s="319">
        <v>0</v>
      </c>
      <c r="AD91" s="320">
        <v>0</v>
      </c>
      <c r="AE91" s="319">
        <v>0</v>
      </c>
      <c r="AF91" s="320">
        <v>0</v>
      </c>
      <c r="AG91" s="319">
        <v>1</v>
      </c>
      <c r="AH91" s="320">
        <v>1.38888888888888E-2</v>
      </c>
      <c r="AI91" s="319">
        <v>0</v>
      </c>
      <c r="AJ91" s="320">
        <v>0</v>
      </c>
      <c r="AK91" s="320">
        <v>0</v>
      </c>
      <c r="AL91" s="319">
        <v>5</v>
      </c>
      <c r="AM91" s="319">
        <v>5</v>
      </c>
      <c r="AN91" s="319">
        <v>3.5</v>
      </c>
      <c r="AO91" s="319">
        <v>0.45</v>
      </c>
      <c r="AP91">
        <v>1</v>
      </c>
      <c r="AR91" s="136">
        <v>1</v>
      </c>
      <c r="AT91" s="69">
        <v>2.3148</v>
      </c>
      <c r="AU91" s="69">
        <v>2.3148</v>
      </c>
      <c r="AV91" s="69">
        <v>5.7443999999999997</v>
      </c>
      <c r="AW91" s="69">
        <v>0.3458</v>
      </c>
      <c r="BB91" s="69"/>
    </row>
    <row r="92" spans="1:54" customFormat="1" ht="40" customHeight="1">
      <c r="A92" s="313">
        <v>91</v>
      </c>
      <c r="B92" s="136" t="s">
        <v>217</v>
      </c>
      <c r="C92" s="136" t="s">
        <v>45</v>
      </c>
      <c r="D92" s="31">
        <f t="shared" si="6"/>
        <v>4</v>
      </c>
      <c r="E92" s="137" t="s">
        <v>80</v>
      </c>
      <c r="F92" s="31">
        <f t="shared" si="7"/>
        <v>4</v>
      </c>
      <c r="G92" s="137" t="s">
        <v>320</v>
      </c>
      <c r="H92" s="138">
        <v>109</v>
      </c>
      <c r="I92" s="158">
        <f t="shared" si="8"/>
        <v>0.37551368137340041</v>
      </c>
      <c r="J92" s="95">
        <v>1.6946078797985801E-6</v>
      </c>
      <c r="K92" s="137">
        <v>0.75102566813892102</v>
      </c>
      <c r="L92" s="137">
        <v>0.75</v>
      </c>
      <c r="M92" s="137">
        <v>0.75256417034730305</v>
      </c>
      <c r="N92" s="136">
        <v>1</v>
      </c>
      <c r="O92" s="32">
        <v>43225</v>
      </c>
      <c r="P92" s="98">
        <f t="shared" si="9"/>
        <v>0</v>
      </c>
      <c r="Q92">
        <v>2.5499999999999998</v>
      </c>
      <c r="R92">
        <v>1.65</v>
      </c>
      <c r="S92">
        <v>1.87</v>
      </c>
      <c r="T92" s="112" t="s">
        <v>48</v>
      </c>
      <c r="U92" s="137" t="s">
        <v>321</v>
      </c>
      <c r="V92" s="137" t="s">
        <v>322</v>
      </c>
      <c r="W92" s="69">
        <v>92</v>
      </c>
      <c r="X92" s="136">
        <v>2</v>
      </c>
      <c r="Y92" s="136">
        <v>3</v>
      </c>
      <c r="Z92" s="314"/>
      <c r="AA92" s="319">
        <v>0.53500000000000003</v>
      </c>
      <c r="AB92" s="315" t="s">
        <v>5178</v>
      </c>
      <c r="AC92" s="319">
        <v>2</v>
      </c>
      <c r="AD92" s="320">
        <v>3.8461538461538401E-2</v>
      </c>
      <c r="AE92" s="319">
        <v>2</v>
      </c>
      <c r="AF92" s="320">
        <v>3.8461538461538401E-2</v>
      </c>
      <c r="AG92" s="319">
        <v>0</v>
      </c>
      <c r="AH92" s="320">
        <v>0</v>
      </c>
      <c r="AI92" s="319">
        <v>0</v>
      </c>
      <c r="AJ92" s="320">
        <v>0</v>
      </c>
      <c r="AK92" s="320">
        <v>3.8461538461538457E-2</v>
      </c>
      <c r="AL92" s="319">
        <v>5</v>
      </c>
      <c r="AM92" s="319">
        <v>5</v>
      </c>
      <c r="AN92" s="319">
        <v>4.6666666666666599</v>
      </c>
      <c r="AO92" s="319">
        <v>0.48888888888888798</v>
      </c>
      <c r="AP92">
        <v>3</v>
      </c>
      <c r="AR92" s="136">
        <v>3</v>
      </c>
      <c r="AT92" s="69">
        <v>2.3148</v>
      </c>
      <c r="AU92" s="69">
        <v>2.3148</v>
      </c>
      <c r="AV92" s="69">
        <v>8.1305999999999994</v>
      </c>
      <c r="AW92" s="69">
        <v>0.42530000000000001</v>
      </c>
      <c r="BB92" s="69"/>
    </row>
    <row r="93" spans="1:54" customFormat="1" ht="40" customHeight="1">
      <c r="A93" s="313">
        <v>92</v>
      </c>
      <c r="B93" s="136" t="s">
        <v>217</v>
      </c>
      <c r="C93" s="136" t="s">
        <v>45</v>
      </c>
      <c r="D93" s="31">
        <f t="shared" si="6"/>
        <v>4</v>
      </c>
      <c r="E93" s="137" t="s">
        <v>80</v>
      </c>
      <c r="F93" s="31">
        <f t="shared" si="7"/>
        <v>4</v>
      </c>
      <c r="G93" s="137" t="s">
        <v>302</v>
      </c>
      <c r="H93" s="138">
        <v>116</v>
      </c>
      <c r="I93" s="158">
        <f t="shared" si="8"/>
        <v>0.36111234413394522</v>
      </c>
      <c r="J93" s="95">
        <v>1.26787846888021E-9</v>
      </c>
      <c r="K93" s="137">
        <v>0.72222468700001197</v>
      </c>
      <c r="L93" s="137">
        <v>0.75</v>
      </c>
      <c r="M93" s="137">
        <v>0.68056171750003003</v>
      </c>
      <c r="N93" s="136">
        <v>1</v>
      </c>
      <c r="O93" s="32">
        <v>43222</v>
      </c>
      <c r="P93" s="98">
        <f t="shared" si="9"/>
        <v>0</v>
      </c>
      <c r="Q93">
        <v>2.5499999999999998</v>
      </c>
      <c r="R93">
        <v>1.65</v>
      </c>
      <c r="S93">
        <v>0</v>
      </c>
      <c r="T93" s="112" t="s">
        <v>48</v>
      </c>
      <c r="U93" s="137" t="s">
        <v>323</v>
      </c>
      <c r="V93" s="137" t="s">
        <v>324</v>
      </c>
      <c r="W93" s="69">
        <v>67</v>
      </c>
      <c r="X93" s="136">
        <v>2</v>
      </c>
      <c r="Y93" s="136">
        <v>5</v>
      </c>
      <c r="Z93" s="314"/>
      <c r="AA93" s="319">
        <v>0.5</v>
      </c>
      <c r="AB93" s="315" t="s">
        <v>5176</v>
      </c>
      <c r="AC93" s="319">
        <v>1</v>
      </c>
      <c r="AD93" s="320">
        <v>2.5000000000000001E-2</v>
      </c>
      <c r="AE93" s="319">
        <v>2</v>
      </c>
      <c r="AF93" s="320">
        <v>0.05</v>
      </c>
      <c r="AG93" s="319">
        <v>0</v>
      </c>
      <c r="AH93" s="320">
        <v>0</v>
      </c>
      <c r="AI93" s="319">
        <v>0</v>
      </c>
      <c r="AJ93" s="320">
        <v>0</v>
      </c>
      <c r="AK93" s="320">
        <v>0.05</v>
      </c>
      <c r="AL93" s="319">
        <v>5</v>
      </c>
      <c r="AM93" s="319">
        <v>5</v>
      </c>
      <c r="AN93" s="319">
        <v>4.6666666666666599</v>
      </c>
      <c r="AO93" s="319">
        <v>0.48888888888888798</v>
      </c>
      <c r="AP93">
        <v>5</v>
      </c>
      <c r="AQ93">
        <v>5</v>
      </c>
      <c r="AR93" s="136"/>
      <c r="AT93" s="69">
        <v>2.3148</v>
      </c>
      <c r="AU93" s="69">
        <v>2.3148</v>
      </c>
      <c r="AV93" s="69">
        <v>8.1305999999999994</v>
      </c>
      <c r="AW93" s="69">
        <v>0.42530000000000001</v>
      </c>
      <c r="BB93" s="69"/>
    </row>
    <row r="94" spans="1:54" customFormat="1" ht="40" customHeight="1">
      <c r="A94" s="313">
        <v>93</v>
      </c>
      <c r="B94" s="136" t="s">
        <v>217</v>
      </c>
      <c r="C94" s="136" t="s">
        <v>59</v>
      </c>
      <c r="D94" s="31">
        <f t="shared" si="6"/>
        <v>5</v>
      </c>
      <c r="E94" s="137" t="s">
        <v>46</v>
      </c>
      <c r="F94" s="31">
        <f t="shared" si="7"/>
        <v>6</v>
      </c>
      <c r="G94" s="137" t="s">
        <v>325</v>
      </c>
      <c r="H94" s="138">
        <v>49</v>
      </c>
      <c r="I94" s="158">
        <f t="shared" si="8"/>
        <v>0.36027667234549432</v>
      </c>
      <c r="J94" s="95">
        <v>4.76268501057866E-2</v>
      </c>
      <c r="K94" s="137">
        <v>0.67292649458520204</v>
      </c>
      <c r="L94" s="137">
        <v>0.61983471074380203</v>
      </c>
      <c r="M94" s="137">
        <v>0.75256417034730305</v>
      </c>
      <c r="N94" s="136">
        <v>1</v>
      </c>
      <c r="O94" s="32">
        <v>43220</v>
      </c>
      <c r="P94" s="98">
        <f t="shared" si="9"/>
        <v>1</v>
      </c>
      <c r="Q94">
        <v>0</v>
      </c>
      <c r="R94">
        <v>1.65</v>
      </c>
      <c r="S94">
        <v>0</v>
      </c>
      <c r="T94" s="112" t="s">
        <v>326</v>
      </c>
      <c r="U94" s="137" t="s">
        <v>327</v>
      </c>
      <c r="V94" s="137" t="s">
        <v>328</v>
      </c>
      <c r="W94" s="69">
        <v>98</v>
      </c>
      <c r="X94" s="136">
        <v>3</v>
      </c>
      <c r="Y94" s="136">
        <v>3</v>
      </c>
      <c r="Z94" s="314"/>
      <c r="AA94" s="319">
        <v>0.55000000000000004</v>
      </c>
      <c r="AB94" s="315" t="s">
        <v>5177</v>
      </c>
      <c r="AC94" s="319">
        <v>1</v>
      </c>
      <c r="AD94" s="320">
        <v>1.8181818181818101E-2</v>
      </c>
      <c r="AE94" s="319">
        <v>2</v>
      </c>
      <c r="AF94" s="320">
        <v>3.6363636363636299E-2</v>
      </c>
      <c r="AG94" s="319">
        <v>2</v>
      </c>
      <c r="AH94" s="320">
        <v>3.6363636363636299E-2</v>
      </c>
      <c r="AI94" s="319">
        <v>0</v>
      </c>
      <c r="AJ94" s="320">
        <v>0</v>
      </c>
      <c r="AK94" s="320">
        <v>1.8181818181818181E-2</v>
      </c>
      <c r="AL94" s="319">
        <v>5</v>
      </c>
      <c r="AM94" s="319">
        <v>5</v>
      </c>
      <c r="AN94" s="319">
        <v>5</v>
      </c>
      <c r="AO94" s="319">
        <v>0.5</v>
      </c>
      <c r="AP94">
        <v>3</v>
      </c>
      <c r="AQ94">
        <v>3</v>
      </c>
      <c r="AR94" s="136"/>
      <c r="AT94" s="69">
        <v>2.3148</v>
      </c>
      <c r="AU94" s="69">
        <v>2.3148</v>
      </c>
      <c r="AV94" s="69">
        <v>8.5815000000000001</v>
      </c>
      <c r="AW94" s="69">
        <v>0.44040000000000001</v>
      </c>
      <c r="BB94" s="69"/>
    </row>
    <row r="95" spans="1:54" customFormat="1" ht="40" customHeight="1">
      <c r="A95" s="313">
        <v>94</v>
      </c>
      <c r="B95" s="136" t="s">
        <v>217</v>
      </c>
      <c r="C95" s="136" t="s">
        <v>45</v>
      </c>
      <c r="D95" s="31">
        <f t="shared" si="6"/>
        <v>4</v>
      </c>
      <c r="E95" s="137" t="s">
        <v>80</v>
      </c>
      <c r="F95" s="31">
        <f t="shared" si="7"/>
        <v>4</v>
      </c>
      <c r="G95" s="137" t="s">
        <v>180</v>
      </c>
      <c r="H95" s="138">
        <v>57</v>
      </c>
      <c r="I95" s="158">
        <f t="shared" si="8"/>
        <v>0.39834218716098119</v>
      </c>
      <c r="J95" s="95">
        <v>6.5870618304142404E-4</v>
      </c>
      <c r="K95" s="137">
        <v>0.79602566813892095</v>
      </c>
      <c r="L95" s="137">
        <v>0.82499999999999996</v>
      </c>
      <c r="M95" s="137">
        <v>0.75256417034730305</v>
      </c>
      <c r="N95" s="136">
        <v>1</v>
      </c>
      <c r="O95" s="32">
        <v>43220</v>
      </c>
      <c r="P95" s="98">
        <f t="shared" si="9"/>
        <v>0</v>
      </c>
      <c r="Q95">
        <v>10.199999999999999</v>
      </c>
      <c r="R95">
        <v>0</v>
      </c>
      <c r="S95">
        <v>0</v>
      </c>
      <c r="T95" s="112" t="s">
        <v>48</v>
      </c>
      <c r="U95" s="137" t="s">
        <v>329</v>
      </c>
      <c r="V95" s="137" t="s">
        <v>330</v>
      </c>
      <c r="W95" s="69">
        <v>114</v>
      </c>
      <c r="X95" s="136">
        <v>1</v>
      </c>
      <c r="Y95" s="136">
        <v>3</v>
      </c>
      <c r="Z95" s="314"/>
      <c r="AA95" s="319">
        <v>0.64895000000000003</v>
      </c>
      <c r="AB95" s="315" t="s">
        <v>5178</v>
      </c>
      <c r="AC95" s="319">
        <v>2</v>
      </c>
      <c r="AD95" s="320">
        <v>3.125E-2</v>
      </c>
      <c r="AE95" s="319">
        <v>2</v>
      </c>
      <c r="AF95" s="320">
        <v>3.125E-2</v>
      </c>
      <c r="AG95" s="319">
        <v>1</v>
      </c>
      <c r="AH95" s="320">
        <v>1.5625E-2</v>
      </c>
      <c r="AI95" s="319">
        <v>1</v>
      </c>
      <c r="AJ95" s="320">
        <v>1.5625E-2</v>
      </c>
      <c r="AK95" s="320">
        <v>3.125E-2</v>
      </c>
      <c r="AL95" s="319">
        <v>6.75</v>
      </c>
      <c r="AM95" s="319">
        <v>6.2</v>
      </c>
      <c r="AN95" s="319">
        <v>7.3333333333333304</v>
      </c>
      <c r="AO95" s="319">
        <v>0.676111111111111</v>
      </c>
      <c r="AP95">
        <v>3</v>
      </c>
      <c r="AR95" s="136"/>
      <c r="AS95">
        <v>3</v>
      </c>
      <c r="AT95" s="69">
        <v>6.3414000000000001</v>
      </c>
      <c r="AU95" s="69">
        <v>5</v>
      </c>
      <c r="AV95" s="69">
        <v>9.8416999999999994</v>
      </c>
      <c r="AW95" s="69">
        <v>0.70609999999999995</v>
      </c>
      <c r="BB95" s="69"/>
    </row>
    <row r="96" spans="1:54" customFormat="1" ht="40" customHeight="1">
      <c r="A96" s="313">
        <v>95</v>
      </c>
      <c r="B96" s="136" t="s">
        <v>217</v>
      </c>
      <c r="C96" s="136" t="s">
        <v>45</v>
      </c>
      <c r="D96" s="31">
        <f t="shared" si="6"/>
        <v>4</v>
      </c>
      <c r="E96" s="137" t="s">
        <v>46</v>
      </c>
      <c r="F96" s="31">
        <f t="shared" si="7"/>
        <v>6</v>
      </c>
      <c r="G96" s="137" t="s">
        <v>331</v>
      </c>
      <c r="H96" s="138">
        <v>175</v>
      </c>
      <c r="I96" s="158">
        <f t="shared" si="8"/>
        <v>0.80860426498953908</v>
      </c>
      <c r="J96" s="95">
        <v>0.98101752350901805</v>
      </c>
      <c r="K96" s="137">
        <v>0.63619100647005999</v>
      </c>
      <c r="L96" s="137">
        <v>0.75</v>
      </c>
      <c r="M96" s="137">
        <v>0.46547751617515098</v>
      </c>
      <c r="N96" s="136">
        <v>1</v>
      </c>
      <c r="O96" s="32">
        <v>43202</v>
      </c>
      <c r="P96" s="98">
        <f t="shared" si="9"/>
        <v>1</v>
      </c>
      <c r="Q96">
        <v>0</v>
      </c>
      <c r="R96">
        <v>3.3</v>
      </c>
      <c r="S96">
        <v>0</v>
      </c>
      <c r="T96" s="112" t="s">
        <v>73</v>
      </c>
      <c r="U96" s="137" t="s">
        <v>332</v>
      </c>
      <c r="V96" s="137" t="s">
        <v>333</v>
      </c>
      <c r="W96" s="69">
        <v>103</v>
      </c>
      <c r="X96" s="136">
        <v>2</v>
      </c>
      <c r="Y96" s="136">
        <v>14</v>
      </c>
      <c r="Z96" s="314"/>
      <c r="AA96" s="319">
        <v>0.5</v>
      </c>
      <c r="AB96" s="315" t="s">
        <v>5176</v>
      </c>
      <c r="AC96" s="319">
        <v>1</v>
      </c>
      <c r="AD96" s="320">
        <v>1.7857142857142801E-2</v>
      </c>
      <c r="AE96" s="319">
        <v>5</v>
      </c>
      <c r="AF96" s="320">
        <v>8.9285714285714204E-2</v>
      </c>
      <c r="AG96" s="319">
        <v>3</v>
      </c>
      <c r="AH96" s="320">
        <v>5.3571428571428499E-2</v>
      </c>
      <c r="AI96" s="319">
        <v>0</v>
      </c>
      <c r="AJ96" s="320">
        <v>0</v>
      </c>
      <c r="AK96" s="320">
        <v>3.5714285714285712E-2</v>
      </c>
      <c r="AL96" s="319">
        <v>5</v>
      </c>
      <c r="AM96" s="319">
        <v>5</v>
      </c>
      <c r="AN96" s="319">
        <v>2</v>
      </c>
      <c r="AO96" s="319">
        <v>0.4</v>
      </c>
      <c r="AP96">
        <v>14</v>
      </c>
      <c r="AR96" s="136">
        <v>14</v>
      </c>
      <c r="AT96" s="69">
        <v>2.3148</v>
      </c>
      <c r="AU96" s="69">
        <v>2.3148</v>
      </c>
      <c r="AV96" s="69">
        <v>2.3148</v>
      </c>
      <c r="AW96" s="69">
        <v>0.23150000000000001</v>
      </c>
      <c r="BB96" s="69"/>
    </row>
    <row r="97" spans="1:54" customFormat="1" ht="40" customHeight="1">
      <c r="A97" s="313">
        <v>96</v>
      </c>
      <c r="B97" s="136" t="s">
        <v>217</v>
      </c>
      <c r="C97" s="136" t="s">
        <v>45</v>
      </c>
      <c r="D97" s="31">
        <f t="shared" si="6"/>
        <v>4</v>
      </c>
      <c r="E97" s="137" t="s">
        <v>46</v>
      </c>
      <c r="F97" s="31">
        <f t="shared" si="7"/>
        <v>6</v>
      </c>
      <c r="G97" s="137" t="s">
        <v>334</v>
      </c>
      <c r="H97" s="138">
        <v>122</v>
      </c>
      <c r="I97" s="158">
        <f t="shared" si="8"/>
        <v>0.45556465714517497</v>
      </c>
      <c r="J97" s="95">
        <v>0.188904627290338</v>
      </c>
      <c r="K97" s="137">
        <v>0.72222468700001197</v>
      </c>
      <c r="L97" s="137">
        <v>0.75</v>
      </c>
      <c r="M97" s="137">
        <v>0.68056171750003003</v>
      </c>
      <c r="N97" s="136">
        <v>1</v>
      </c>
      <c r="O97" s="32">
        <v>43201</v>
      </c>
      <c r="P97" s="98">
        <f t="shared" si="9"/>
        <v>0</v>
      </c>
      <c r="Q97">
        <v>2.5499999999999998</v>
      </c>
      <c r="R97">
        <v>1.65</v>
      </c>
      <c r="S97">
        <v>0</v>
      </c>
      <c r="T97" s="112" t="s">
        <v>48</v>
      </c>
      <c r="U97" s="137" t="s">
        <v>335</v>
      </c>
      <c r="V97" s="137" t="s">
        <v>336</v>
      </c>
      <c r="W97" s="69">
        <v>55</v>
      </c>
      <c r="X97" s="136">
        <v>2</v>
      </c>
      <c r="Y97" s="136">
        <v>5</v>
      </c>
      <c r="Z97" s="314"/>
      <c r="AA97" s="319">
        <v>0.5</v>
      </c>
      <c r="AB97" s="331" t="s">
        <v>5172</v>
      </c>
      <c r="AC97" s="319">
        <v>0</v>
      </c>
      <c r="AD97" s="320">
        <v>0</v>
      </c>
      <c r="AE97" s="319">
        <v>0</v>
      </c>
      <c r="AF97" s="320">
        <v>0</v>
      </c>
      <c r="AG97" s="319">
        <v>0</v>
      </c>
      <c r="AH97" s="320">
        <v>0</v>
      </c>
      <c r="AI97" s="319">
        <v>0</v>
      </c>
      <c r="AJ97" s="320">
        <v>0</v>
      </c>
      <c r="AK97" s="320">
        <v>0</v>
      </c>
      <c r="AL97" s="319">
        <v>6.75</v>
      </c>
      <c r="AM97" s="319">
        <v>5</v>
      </c>
      <c r="AN97" s="319">
        <v>2</v>
      </c>
      <c r="AO97" s="319">
        <v>0.45833333333333298</v>
      </c>
      <c r="AP97">
        <v>5</v>
      </c>
      <c r="AR97" s="136"/>
      <c r="AT97" s="69">
        <v>6.3414000000000001</v>
      </c>
      <c r="AU97" s="69">
        <v>2.3148</v>
      </c>
      <c r="AV97" s="69">
        <v>2.3148</v>
      </c>
      <c r="AW97" s="69">
        <v>0.36570000000000003</v>
      </c>
      <c r="BB97" s="69"/>
    </row>
    <row r="98" spans="1:54" customFormat="1" ht="40" customHeight="1">
      <c r="A98" s="313">
        <v>97</v>
      </c>
      <c r="B98" s="136" t="s">
        <v>217</v>
      </c>
      <c r="C98" s="136" t="s">
        <v>45</v>
      </c>
      <c r="D98" s="31">
        <f t="shared" si="6"/>
        <v>4</v>
      </c>
      <c r="E98" s="137" t="s">
        <v>80</v>
      </c>
      <c r="F98" s="31">
        <f t="shared" si="7"/>
        <v>4</v>
      </c>
      <c r="G98" s="137" t="s">
        <v>200</v>
      </c>
      <c r="H98" s="138">
        <v>65</v>
      </c>
      <c r="I98" s="158">
        <f t="shared" si="8"/>
        <v>0.3611151326420336</v>
      </c>
      <c r="J98" s="95">
        <v>5.5782840552298702E-6</v>
      </c>
      <c r="K98" s="137">
        <v>0.72222468700001197</v>
      </c>
      <c r="L98" s="137">
        <v>0.75</v>
      </c>
      <c r="M98" s="137">
        <v>0.68056171750003003</v>
      </c>
      <c r="N98" s="136">
        <v>1</v>
      </c>
      <c r="O98" s="32">
        <v>43193</v>
      </c>
      <c r="P98" s="98">
        <f t="shared" si="9"/>
        <v>0</v>
      </c>
      <c r="Q98">
        <v>10.199999999999999</v>
      </c>
      <c r="R98">
        <v>0</v>
      </c>
      <c r="S98">
        <v>0</v>
      </c>
      <c r="T98" s="112" t="s">
        <v>48</v>
      </c>
      <c r="U98" s="137" t="s">
        <v>337</v>
      </c>
      <c r="V98" s="137" t="s">
        <v>338</v>
      </c>
      <c r="W98" s="69">
        <v>159</v>
      </c>
      <c r="X98" s="136">
        <v>2</v>
      </c>
      <c r="Y98" s="136">
        <v>5</v>
      </c>
      <c r="Z98" s="314"/>
      <c r="AA98" s="319">
        <v>0.45909090909090899</v>
      </c>
      <c r="AB98" s="315" t="s">
        <v>5193</v>
      </c>
      <c r="AC98" s="319">
        <v>2</v>
      </c>
      <c r="AD98" s="320">
        <v>2.2471910112359501E-2</v>
      </c>
      <c r="AE98" s="319">
        <v>2</v>
      </c>
      <c r="AF98" s="320">
        <v>2.2471910112359501E-2</v>
      </c>
      <c r="AG98" s="319">
        <v>1</v>
      </c>
      <c r="AH98" s="320">
        <v>1.12359550561797E-2</v>
      </c>
      <c r="AI98" s="319">
        <v>2</v>
      </c>
      <c r="AJ98" s="320">
        <v>2.2471910112359501E-2</v>
      </c>
      <c r="AK98" s="320">
        <v>1.123595505617977E-2</v>
      </c>
      <c r="AL98" s="319">
        <v>6.75</v>
      </c>
      <c r="AM98" s="319">
        <v>5</v>
      </c>
      <c r="AN98" s="319">
        <v>7.3333333333333304</v>
      </c>
      <c r="AO98" s="319">
        <v>0.63611111111111096</v>
      </c>
      <c r="AP98">
        <v>5</v>
      </c>
      <c r="AR98" s="136">
        <v>5</v>
      </c>
      <c r="AS98">
        <v>5</v>
      </c>
      <c r="AT98" s="69">
        <v>6.3414000000000001</v>
      </c>
      <c r="AU98" s="69">
        <v>2.3148</v>
      </c>
      <c r="AV98" s="69">
        <v>9.8416999999999994</v>
      </c>
      <c r="AW98" s="69">
        <v>0.61660000000000004</v>
      </c>
      <c r="BB98" s="69"/>
    </row>
    <row r="99" spans="1:54" customFormat="1" ht="40" customHeight="1">
      <c r="A99" s="313">
        <v>98</v>
      </c>
      <c r="B99" s="136" t="s">
        <v>217</v>
      </c>
      <c r="C99" s="136" t="s">
        <v>45</v>
      </c>
      <c r="D99" s="31">
        <f t="shared" si="6"/>
        <v>4</v>
      </c>
      <c r="E99" s="137" t="s">
        <v>80</v>
      </c>
      <c r="F99" s="31">
        <f t="shared" si="7"/>
        <v>4</v>
      </c>
      <c r="G99" s="137" t="s">
        <v>159</v>
      </c>
      <c r="H99" s="138">
        <v>98</v>
      </c>
      <c r="I99" s="158">
        <f t="shared" si="8"/>
        <v>0.36785936427819715</v>
      </c>
      <c r="J99" s="95">
        <v>4.4428421083209102E-6</v>
      </c>
      <c r="K99" s="137">
        <v>0.73571428571428599</v>
      </c>
      <c r="L99" s="137">
        <v>0.75</v>
      </c>
      <c r="M99" s="137">
        <v>0.71428571428571397</v>
      </c>
      <c r="N99" s="136">
        <v>1</v>
      </c>
      <c r="O99" s="32">
        <v>43186</v>
      </c>
      <c r="P99" s="98">
        <f t="shared" si="9"/>
        <v>0</v>
      </c>
      <c r="Q99">
        <v>10.199999999999999</v>
      </c>
      <c r="R99">
        <v>1.65</v>
      </c>
      <c r="S99">
        <v>0</v>
      </c>
      <c r="T99" s="112" t="s">
        <v>48</v>
      </c>
      <c r="U99" s="137" t="s">
        <v>339</v>
      </c>
      <c r="V99" s="137" t="s">
        <v>340</v>
      </c>
      <c r="W99" s="69">
        <v>155</v>
      </c>
      <c r="X99" s="136">
        <v>2</v>
      </c>
      <c r="Y99" s="136">
        <v>4</v>
      </c>
      <c r="Z99" s="314"/>
      <c r="AA99" s="319">
        <v>0.66549999999999998</v>
      </c>
      <c r="AB99" s="315" t="s">
        <v>5193</v>
      </c>
      <c r="AC99" s="319">
        <v>2</v>
      </c>
      <c r="AD99" s="320">
        <v>2.2988505747126398E-2</v>
      </c>
      <c r="AE99" s="319">
        <v>2</v>
      </c>
      <c r="AF99" s="320">
        <v>2.2988505747126398E-2</v>
      </c>
      <c r="AG99" s="319">
        <v>1</v>
      </c>
      <c r="AH99" s="320">
        <v>1.1494252873563199E-2</v>
      </c>
      <c r="AI99" s="319">
        <v>2</v>
      </c>
      <c r="AJ99" s="320">
        <v>2.2988505747126398E-2</v>
      </c>
      <c r="AK99" s="320">
        <v>1.149425287356322E-2</v>
      </c>
      <c r="AL99" s="319">
        <v>6.75</v>
      </c>
      <c r="AM99" s="319">
        <v>7.4</v>
      </c>
      <c r="AN99" s="319">
        <v>4.6666666666666599</v>
      </c>
      <c r="AO99" s="319">
        <v>0.62722222222222201</v>
      </c>
      <c r="AP99">
        <v>4</v>
      </c>
      <c r="AR99" s="136">
        <v>4</v>
      </c>
      <c r="AS99">
        <v>4</v>
      </c>
      <c r="AT99" s="69">
        <v>6.3414000000000001</v>
      </c>
      <c r="AU99" s="69">
        <v>7.6852</v>
      </c>
      <c r="AV99" s="69">
        <v>8.1305999999999994</v>
      </c>
      <c r="AW99" s="69">
        <v>0.73860000000000003</v>
      </c>
      <c r="BB99" s="69"/>
    </row>
    <row r="100" spans="1:54" customFormat="1" ht="40" customHeight="1">
      <c r="A100" s="313">
        <v>99</v>
      </c>
      <c r="B100" s="136" t="s">
        <v>217</v>
      </c>
      <c r="C100" s="136" t="s">
        <v>45</v>
      </c>
      <c r="D100" s="31">
        <f t="shared" si="6"/>
        <v>4</v>
      </c>
      <c r="E100" s="137" t="s">
        <v>80</v>
      </c>
      <c r="F100" s="31">
        <f t="shared" si="7"/>
        <v>4</v>
      </c>
      <c r="G100" s="137" t="s">
        <v>159</v>
      </c>
      <c r="H100" s="138">
        <v>45</v>
      </c>
      <c r="I100" s="158">
        <f t="shared" si="8"/>
        <v>0.40892844504351389</v>
      </c>
      <c r="J100" s="95">
        <v>3.6690936512048201E-3</v>
      </c>
      <c r="K100" s="137">
        <v>0.81418779643582295</v>
      </c>
      <c r="L100" s="137">
        <v>0.82499999999999996</v>
      </c>
      <c r="M100" s="137">
        <v>0.79796949108955795</v>
      </c>
      <c r="N100" s="136">
        <v>1</v>
      </c>
      <c r="O100" s="32">
        <v>43186</v>
      </c>
      <c r="P100" s="98">
        <f t="shared" si="9"/>
        <v>0</v>
      </c>
      <c r="Q100">
        <v>7.65</v>
      </c>
      <c r="R100">
        <v>0</v>
      </c>
      <c r="S100">
        <v>0</v>
      </c>
      <c r="T100" s="112" t="s">
        <v>48</v>
      </c>
      <c r="U100" s="137" t="s">
        <v>341</v>
      </c>
      <c r="V100" s="137" t="s">
        <v>342</v>
      </c>
      <c r="W100" s="69">
        <v>91</v>
      </c>
      <c r="X100" s="136">
        <v>2</v>
      </c>
      <c r="Y100" s="136">
        <v>2</v>
      </c>
      <c r="Z100" s="314"/>
      <c r="AA100" s="319">
        <v>0.55000000000000004</v>
      </c>
      <c r="AB100" s="315" t="s">
        <v>5178</v>
      </c>
      <c r="AC100" s="319">
        <v>2</v>
      </c>
      <c r="AD100" s="320">
        <v>4.08163265306122E-2</v>
      </c>
      <c r="AE100" s="319">
        <v>2</v>
      </c>
      <c r="AF100" s="320">
        <v>4.08163265306122E-2</v>
      </c>
      <c r="AG100" s="319">
        <v>0</v>
      </c>
      <c r="AH100" s="320">
        <v>0</v>
      </c>
      <c r="AI100" s="319">
        <v>1</v>
      </c>
      <c r="AJ100" s="320">
        <v>2.04081632653061E-2</v>
      </c>
      <c r="AK100" s="320">
        <v>2.0408163265306121E-2</v>
      </c>
      <c r="AL100" s="319">
        <v>6.75</v>
      </c>
      <c r="AM100" s="319">
        <v>5</v>
      </c>
      <c r="AN100" s="319">
        <v>2</v>
      </c>
      <c r="AO100" s="319">
        <v>0.45833333333333298</v>
      </c>
      <c r="AP100">
        <v>2</v>
      </c>
      <c r="AR100" s="136"/>
      <c r="AS100">
        <v>2</v>
      </c>
      <c r="AT100" s="69">
        <v>6.3414000000000001</v>
      </c>
      <c r="AU100" s="69">
        <v>2.3148</v>
      </c>
      <c r="AV100" s="69">
        <v>2.3148</v>
      </c>
      <c r="AW100" s="69">
        <v>0.36570000000000003</v>
      </c>
      <c r="BB100" s="69"/>
    </row>
    <row r="101" spans="1:54" customFormat="1" ht="40" customHeight="1">
      <c r="A101" s="313">
        <v>100</v>
      </c>
      <c r="B101" s="136" t="s">
        <v>217</v>
      </c>
      <c r="C101" s="136" t="s">
        <v>45</v>
      </c>
      <c r="D101" s="31">
        <f t="shared" si="6"/>
        <v>4</v>
      </c>
      <c r="E101" s="137" t="s">
        <v>46</v>
      </c>
      <c r="F101" s="31">
        <f t="shared" si="7"/>
        <v>6</v>
      </c>
      <c r="G101" s="137" t="s">
        <v>343</v>
      </c>
      <c r="H101" s="138">
        <v>126</v>
      </c>
      <c r="I101" s="158">
        <f t="shared" si="8"/>
        <v>0.38487676982551716</v>
      </c>
      <c r="J101" s="95">
        <v>5.6574321521130099E-4</v>
      </c>
      <c r="K101" s="137">
        <v>0.76918779643582302</v>
      </c>
      <c r="L101" s="137">
        <v>0.75</v>
      </c>
      <c r="M101" s="137">
        <v>0.79796949108955795</v>
      </c>
      <c r="N101" s="136">
        <v>0</v>
      </c>
      <c r="O101" s="32">
        <v>43186</v>
      </c>
      <c r="P101" s="98">
        <f t="shared" si="9"/>
        <v>0</v>
      </c>
      <c r="Q101">
        <v>5.0999999999999996</v>
      </c>
      <c r="R101">
        <v>1.65</v>
      </c>
      <c r="S101">
        <v>0</v>
      </c>
      <c r="T101" s="112" t="s">
        <v>48</v>
      </c>
      <c r="U101" s="137" t="s">
        <v>344</v>
      </c>
      <c r="V101" s="137" t="s">
        <v>345</v>
      </c>
      <c r="W101" s="69">
        <v>153</v>
      </c>
      <c r="X101" s="136">
        <v>2</v>
      </c>
      <c r="Y101" s="136">
        <v>2</v>
      </c>
      <c r="Z101" s="314"/>
      <c r="AA101" s="319">
        <v>0.5</v>
      </c>
      <c r="AB101" s="315" t="s">
        <v>5193</v>
      </c>
      <c r="AC101" s="319">
        <v>2</v>
      </c>
      <c r="AD101" s="320">
        <v>2.3529411764705799E-2</v>
      </c>
      <c r="AE101" s="319">
        <v>2</v>
      </c>
      <c r="AF101" s="320">
        <v>2.3529411764705799E-2</v>
      </c>
      <c r="AG101" s="319">
        <v>1</v>
      </c>
      <c r="AH101" s="320">
        <v>1.1764705882352899E-2</v>
      </c>
      <c r="AI101" s="319">
        <v>2</v>
      </c>
      <c r="AJ101" s="320">
        <v>2.3529411764705799E-2</v>
      </c>
      <c r="AK101" s="320">
        <v>1.1764705882352939E-2</v>
      </c>
      <c r="AL101" s="319">
        <v>6.75</v>
      </c>
      <c r="AM101" s="319">
        <v>6.2</v>
      </c>
      <c r="AN101" s="319">
        <v>4.6666666666666599</v>
      </c>
      <c r="AO101" s="319">
        <v>0.58722222222222198</v>
      </c>
      <c r="AP101">
        <v>2</v>
      </c>
      <c r="AR101" s="136"/>
      <c r="AS101">
        <v>2</v>
      </c>
      <c r="AT101" s="69">
        <v>6.3414000000000001</v>
      </c>
      <c r="AU101" s="69">
        <v>5</v>
      </c>
      <c r="AV101" s="69">
        <v>8.1305999999999994</v>
      </c>
      <c r="AW101" s="69">
        <v>0.64910000000000001</v>
      </c>
      <c r="BB101" s="69"/>
    </row>
    <row r="102" spans="1:54" customFormat="1" ht="40" customHeight="1">
      <c r="A102" s="313">
        <v>101</v>
      </c>
      <c r="B102" s="136" t="s">
        <v>217</v>
      </c>
      <c r="C102" s="136" t="s">
        <v>45</v>
      </c>
      <c r="D102" s="31">
        <f t="shared" si="6"/>
        <v>4</v>
      </c>
      <c r="E102" s="137" t="s">
        <v>80</v>
      </c>
      <c r="F102" s="31">
        <f t="shared" si="7"/>
        <v>4</v>
      </c>
      <c r="G102" s="137" t="s">
        <v>305</v>
      </c>
      <c r="H102" s="138">
        <v>157</v>
      </c>
      <c r="I102" s="158">
        <f t="shared" si="8"/>
        <v>0.38361234448530629</v>
      </c>
      <c r="J102" s="95">
        <v>1.9706005716102498E-9</v>
      </c>
      <c r="K102" s="137">
        <v>0.76722468700001201</v>
      </c>
      <c r="L102" s="137">
        <v>0.82499999999999996</v>
      </c>
      <c r="M102" s="137">
        <v>0.68056171750003003</v>
      </c>
      <c r="N102" s="136">
        <v>1</v>
      </c>
      <c r="O102" s="32">
        <v>43183</v>
      </c>
      <c r="P102" s="98">
        <f t="shared" si="9"/>
        <v>0</v>
      </c>
      <c r="Q102">
        <v>2.5499999999999998</v>
      </c>
      <c r="R102">
        <v>0</v>
      </c>
      <c r="S102">
        <v>0</v>
      </c>
      <c r="T102" s="112" t="s">
        <v>48</v>
      </c>
      <c r="U102" s="137" t="s">
        <v>346</v>
      </c>
      <c r="V102" s="137" t="s">
        <v>346</v>
      </c>
      <c r="W102" s="69">
        <v>157</v>
      </c>
      <c r="X102" s="136">
        <v>2</v>
      </c>
      <c r="Y102" s="136">
        <v>5</v>
      </c>
      <c r="Z102" s="314"/>
      <c r="AA102" s="319">
        <v>0.59450000000000003</v>
      </c>
      <c r="AB102" s="315" t="s">
        <v>5193</v>
      </c>
      <c r="AC102" s="319">
        <v>2</v>
      </c>
      <c r="AD102" s="320">
        <v>2.27272727272727E-2</v>
      </c>
      <c r="AE102" s="319">
        <v>2</v>
      </c>
      <c r="AF102" s="320">
        <v>2.27272727272727E-2</v>
      </c>
      <c r="AG102" s="319">
        <v>1</v>
      </c>
      <c r="AH102" s="320">
        <v>1.13636363636363E-2</v>
      </c>
      <c r="AI102" s="319">
        <v>2</v>
      </c>
      <c r="AJ102" s="320">
        <v>2.27272727272727E-2</v>
      </c>
      <c r="AK102" s="320">
        <v>1.136363636363636E-2</v>
      </c>
      <c r="AL102" s="319">
        <v>6.75</v>
      </c>
      <c r="AM102" s="319">
        <v>5</v>
      </c>
      <c r="AN102" s="319">
        <v>7.3333333333333304</v>
      </c>
      <c r="AO102" s="319">
        <v>0.63611111111111096</v>
      </c>
      <c r="AP102">
        <v>5</v>
      </c>
      <c r="AR102" s="136"/>
      <c r="AS102">
        <v>5</v>
      </c>
      <c r="AT102" s="69">
        <v>6.3414000000000001</v>
      </c>
      <c r="AU102" s="69">
        <v>2.3148</v>
      </c>
      <c r="AV102" s="69">
        <v>9.8416999999999994</v>
      </c>
      <c r="AW102" s="69">
        <v>0.61660000000000004</v>
      </c>
      <c r="BB102" s="69"/>
    </row>
    <row r="103" spans="1:54" customFormat="1" ht="40" customHeight="1">
      <c r="A103" s="313">
        <v>102</v>
      </c>
      <c r="B103" s="136" t="s">
        <v>217</v>
      </c>
      <c r="C103" s="136" t="s">
        <v>45</v>
      </c>
      <c r="D103" s="31">
        <f t="shared" si="6"/>
        <v>4</v>
      </c>
      <c r="E103" s="137" t="s">
        <v>46</v>
      </c>
      <c r="F103" s="31">
        <f t="shared" si="7"/>
        <v>6</v>
      </c>
      <c r="G103" s="137" t="s">
        <v>347</v>
      </c>
      <c r="H103" s="138">
        <v>254</v>
      </c>
      <c r="I103" s="158">
        <f t="shared" si="8"/>
        <v>0.32198424932419678</v>
      </c>
      <c r="J103" s="95">
        <v>1.03478559054793E-10</v>
      </c>
      <c r="K103" s="137">
        <v>0.643968498544915</v>
      </c>
      <c r="L103" s="137">
        <v>0.75</v>
      </c>
      <c r="M103" s="137">
        <v>0.48492124636228701</v>
      </c>
      <c r="N103" s="136">
        <v>1</v>
      </c>
      <c r="O103" s="32">
        <v>43181</v>
      </c>
      <c r="P103" s="98">
        <f t="shared" si="9"/>
        <v>0</v>
      </c>
      <c r="Q103">
        <v>2.5499999999999998</v>
      </c>
      <c r="R103">
        <v>0</v>
      </c>
      <c r="S103">
        <v>0</v>
      </c>
      <c r="T103" s="112" t="s">
        <v>48</v>
      </c>
      <c r="U103" s="137" t="s">
        <v>348</v>
      </c>
      <c r="V103" s="137" t="s">
        <v>349</v>
      </c>
      <c r="W103" s="69">
        <v>26</v>
      </c>
      <c r="X103" s="136">
        <v>1</v>
      </c>
      <c r="Y103" s="136">
        <v>13</v>
      </c>
      <c r="Z103" s="314"/>
      <c r="AA103" s="319">
        <v>0.55000000000000004</v>
      </c>
      <c r="AB103" s="315" t="s">
        <v>5179</v>
      </c>
      <c r="AC103" s="319">
        <v>1</v>
      </c>
      <c r="AD103" s="320">
        <v>6.25E-2</v>
      </c>
      <c r="AE103" s="319">
        <v>1</v>
      </c>
      <c r="AF103" s="320">
        <v>6.25E-2</v>
      </c>
      <c r="AG103" s="319">
        <v>1</v>
      </c>
      <c r="AH103" s="320">
        <v>6.25E-2</v>
      </c>
      <c r="AI103" s="319">
        <v>0</v>
      </c>
      <c r="AJ103" s="320">
        <v>0</v>
      </c>
      <c r="AK103" s="320">
        <v>0</v>
      </c>
      <c r="AL103" s="319">
        <v>7.2857142857142803</v>
      </c>
      <c r="AM103" s="319">
        <v>5</v>
      </c>
      <c r="AN103" s="319">
        <v>2</v>
      </c>
      <c r="AO103" s="319">
        <v>0.476190476190476</v>
      </c>
      <c r="AP103">
        <v>13</v>
      </c>
      <c r="AQ103">
        <v>13</v>
      </c>
      <c r="AR103" s="136"/>
      <c r="AT103" s="69">
        <v>7.4837999999999996</v>
      </c>
      <c r="AU103" s="69">
        <v>2.3148</v>
      </c>
      <c r="AV103" s="69">
        <v>2.3148</v>
      </c>
      <c r="AW103" s="69">
        <v>0.40379999999999999</v>
      </c>
      <c r="BB103" s="69"/>
    </row>
    <row r="104" spans="1:54" customFormat="1" ht="40" customHeight="1">
      <c r="A104" s="313">
        <v>103</v>
      </c>
      <c r="B104" s="136" t="s">
        <v>217</v>
      </c>
      <c r="C104" s="136" t="s">
        <v>45</v>
      </c>
      <c r="D104" s="31">
        <f t="shared" si="6"/>
        <v>4</v>
      </c>
      <c r="E104" s="137" t="s">
        <v>46</v>
      </c>
      <c r="F104" s="31">
        <f t="shared" si="7"/>
        <v>6</v>
      </c>
      <c r="G104" s="137" t="s">
        <v>350</v>
      </c>
      <c r="H104" s="138">
        <v>108</v>
      </c>
      <c r="I104" s="158">
        <f t="shared" si="8"/>
        <v>0.618899283878517</v>
      </c>
      <c r="J104" s="95">
        <v>0.48677289961811299</v>
      </c>
      <c r="K104" s="137">
        <v>0.75102566813892102</v>
      </c>
      <c r="L104" s="137">
        <v>0.75</v>
      </c>
      <c r="M104" s="137">
        <v>0.75256417034730305</v>
      </c>
      <c r="N104" s="136">
        <v>0</v>
      </c>
      <c r="O104" s="32">
        <v>43179</v>
      </c>
      <c r="P104" s="98">
        <f t="shared" si="9"/>
        <v>0</v>
      </c>
      <c r="Q104">
        <v>2.5499999999999998</v>
      </c>
      <c r="R104">
        <v>1.65</v>
      </c>
      <c r="S104">
        <v>0</v>
      </c>
      <c r="T104" s="112" t="s">
        <v>48</v>
      </c>
      <c r="U104" s="137" t="s">
        <v>351</v>
      </c>
      <c r="V104" s="137" t="s">
        <v>352</v>
      </c>
      <c r="W104" s="69">
        <v>78</v>
      </c>
      <c r="X104" s="136">
        <v>2</v>
      </c>
      <c r="Y104" s="136">
        <v>3</v>
      </c>
      <c r="Z104" s="314"/>
      <c r="AA104" s="319">
        <v>0.5</v>
      </c>
      <c r="AB104" s="331" t="s">
        <v>5161</v>
      </c>
      <c r="AC104" s="319">
        <v>0</v>
      </c>
      <c r="AD104" s="320">
        <v>0</v>
      </c>
      <c r="AE104" s="319">
        <v>0</v>
      </c>
      <c r="AF104" s="320">
        <v>0</v>
      </c>
      <c r="AG104" s="319">
        <v>0</v>
      </c>
      <c r="AH104" s="320">
        <v>0</v>
      </c>
      <c r="AI104" s="319">
        <v>0</v>
      </c>
      <c r="AJ104" s="320">
        <v>0</v>
      </c>
      <c r="AK104" s="320">
        <v>0</v>
      </c>
      <c r="AL104" s="319">
        <v>6.75</v>
      </c>
      <c r="AM104" s="319">
        <v>5</v>
      </c>
      <c r="AN104" s="319">
        <v>2</v>
      </c>
      <c r="AO104" s="319">
        <v>0.45833333333333298</v>
      </c>
      <c r="AP104">
        <v>3</v>
      </c>
      <c r="AR104" s="136"/>
      <c r="AS104">
        <v>3</v>
      </c>
      <c r="AT104" s="69">
        <v>6.3414000000000001</v>
      </c>
      <c r="AU104" s="69">
        <v>2.3148</v>
      </c>
      <c r="AV104" s="69">
        <v>2.3148</v>
      </c>
      <c r="AW104" s="69">
        <v>0.36570000000000003</v>
      </c>
      <c r="BB104" s="69"/>
    </row>
    <row r="105" spans="1:54" customFormat="1" ht="40" customHeight="1">
      <c r="A105" s="313">
        <v>104</v>
      </c>
      <c r="B105" s="136" t="s">
        <v>217</v>
      </c>
      <c r="C105" s="136" t="s">
        <v>45</v>
      </c>
      <c r="D105" s="31">
        <f t="shared" si="6"/>
        <v>4</v>
      </c>
      <c r="E105" s="137" t="s">
        <v>46</v>
      </c>
      <c r="F105" s="31">
        <f t="shared" si="7"/>
        <v>6</v>
      </c>
      <c r="G105" s="137" t="s">
        <v>353</v>
      </c>
      <c r="H105" s="138">
        <v>189</v>
      </c>
      <c r="I105" s="158">
        <f t="shared" si="8"/>
        <v>0.57688665240908499</v>
      </c>
      <c r="J105" s="95">
        <v>0.55565248685721302</v>
      </c>
      <c r="K105" s="137">
        <v>0.59812081796095695</v>
      </c>
      <c r="L105" s="137">
        <v>0.56348610067618299</v>
      </c>
      <c r="M105" s="137">
        <v>0.65007289388811795</v>
      </c>
      <c r="N105" s="136">
        <v>1</v>
      </c>
      <c r="O105" s="32">
        <v>43166</v>
      </c>
      <c r="P105" s="98">
        <f t="shared" si="9"/>
        <v>0</v>
      </c>
      <c r="Q105">
        <v>7.65</v>
      </c>
      <c r="R105">
        <v>4.95</v>
      </c>
      <c r="S105">
        <v>3.74</v>
      </c>
      <c r="T105" s="112" t="s">
        <v>48</v>
      </c>
      <c r="U105" s="137" t="s">
        <v>354</v>
      </c>
      <c r="V105" s="137" t="s">
        <v>355</v>
      </c>
      <c r="W105" s="69">
        <v>141</v>
      </c>
      <c r="X105" s="136">
        <v>2</v>
      </c>
      <c r="Y105" s="136">
        <v>6</v>
      </c>
      <c r="Z105" s="314"/>
      <c r="AA105" s="319">
        <v>3.3133293998813401E-2</v>
      </c>
      <c r="AB105" s="315" t="s">
        <v>5166</v>
      </c>
      <c r="AC105" s="319">
        <v>2</v>
      </c>
      <c r="AD105" s="320">
        <v>2.7397260273972601E-2</v>
      </c>
      <c r="AE105" s="319">
        <v>1</v>
      </c>
      <c r="AF105" s="320">
        <v>1.3698630136986301E-2</v>
      </c>
      <c r="AG105" s="319">
        <v>1</v>
      </c>
      <c r="AH105" s="320">
        <v>1.3698630136986301E-2</v>
      </c>
      <c r="AI105" s="319">
        <v>2</v>
      </c>
      <c r="AJ105" s="320">
        <v>2.7397260273972601E-2</v>
      </c>
      <c r="AK105" s="320">
        <v>1.3698630136986301E-2</v>
      </c>
      <c r="AL105" s="319">
        <v>10</v>
      </c>
      <c r="AM105" s="319">
        <v>6.2</v>
      </c>
      <c r="AN105" s="319">
        <v>4.6666666666666599</v>
      </c>
      <c r="AO105" s="319">
        <v>0.69555555555555504</v>
      </c>
      <c r="AP105">
        <v>6</v>
      </c>
      <c r="AR105" s="136"/>
      <c r="AS105">
        <v>6</v>
      </c>
      <c r="AT105" s="69">
        <v>9.8287999999999993</v>
      </c>
      <c r="AU105" s="69">
        <v>5</v>
      </c>
      <c r="AV105" s="69">
        <v>8.1305999999999994</v>
      </c>
      <c r="AW105" s="69">
        <v>0.76529999999999998</v>
      </c>
      <c r="BB105" s="69"/>
    </row>
    <row r="106" spans="1:54" customFormat="1" ht="40" customHeight="1">
      <c r="A106" s="313">
        <v>105</v>
      </c>
      <c r="B106" s="136" t="s">
        <v>217</v>
      </c>
      <c r="C106" s="136" t="s">
        <v>45</v>
      </c>
      <c r="D106" s="31">
        <f t="shared" si="6"/>
        <v>4</v>
      </c>
      <c r="E106" s="137" t="s">
        <v>80</v>
      </c>
      <c r="F106" s="31">
        <f t="shared" si="7"/>
        <v>4</v>
      </c>
      <c r="G106" s="137" t="s">
        <v>180</v>
      </c>
      <c r="H106" s="138">
        <v>53</v>
      </c>
      <c r="I106" s="158">
        <f t="shared" si="8"/>
        <v>0.41205344693500556</v>
      </c>
      <c r="J106" s="95">
        <v>5.6882206869999098E-2</v>
      </c>
      <c r="K106" s="137">
        <v>0.76722468700001201</v>
      </c>
      <c r="L106" s="137">
        <v>0.82499999999999996</v>
      </c>
      <c r="M106" s="137">
        <v>0.68056171750003003</v>
      </c>
      <c r="N106" s="136">
        <v>0</v>
      </c>
      <c r="O106" s="32">
        <v>43125</v>
      </c>
      <c r="P106" s="98">
        <f t="shared" si="9"/>
        <v>0</v>
      </c>
      <c r="Q106">
        <v>5.0999999999999996</v>
      </c>
      <c r="R106">
        <v>0</v>
      </c>
      <c r="S106">
        <v>0</v>
      </c>
      <c r="T106" s="112" t="s">
        <v>48</v>
      </c>
      <c r="U106" s="137" t="s">
        <v>356</v>
      </c>
      <c r="V106" s="137" t="s">
        <v>357</v>
      </c>
      <c r="W106" s="69">
        <v>54</v>
      </c>
      <c r="X106" s="136">
        <v>1</v>
      </c>
      <c r="Y106" s="136">
        <v>5</v>
      </c>
      <c r="Z106" s="314"/>
      <c r="AA106" s="319">
        <v>0.55000000000000004</v>
      </c>
      <c r="AB106" s="315" t="s">
        <v>5167</v>
      </c>
      <c r="AC106" s="319">
        <v>0</v>
      </c>
      <c r="AD106" s="320">
        <v>0</v>
      </c>
      <c r="AE106" s="319">
        <v>0</v>
      </c>
      <c r="AF106" s="320">
        <v>0</v>
      </c>
      <c r="AG106" s="319">
        <v>0</v>
      </c>
      <c r="AH106" s="320">
        <v>0</v>
      </c>
      <c r="AI106" s="319">
        <v>1</v>
      </c>
      <c r="AJ106" s="320">
        <v>3.3333333333333298E-2</v>
      </c>
      <c r="AK106" s="320">
        <v>0</v>
      </c>
      <c r="AL106" s="319">
        <v>5</v>
      </c>
      <c r="AM106" s="319">
        <v>5</v>
      </c>
      <c r="AN106" s="319">
        <v>2</v>
      </c>
      <c r="AO106" s="319">
        <v>0.4</v>
      </c>
      <c r="AP106">
        <v>5</v>
      </c>
      <c r="AR106" s="136"/>
      <c r="AS106">
        <v>5</v>
      </c>
      <c r="AT106" s="69">
        <v>2.3148</v>
      </c>
      <c r="AU106" s="69">
        <v>2.3148</v>
      </c>
      <c r="AV106" s="69">
        <v>2.3148</v>
      </c>
      <c r="AW106" s="69">
        <v>0.23150000000000001</v>
      </c>
      <c r="BB106" s="69"/>
    </row>
    <row r="107" spans="1:54" customFormat="1" ht="40" customHeight="1">
      <c r="A107" s="313">
        <v>106</v>
      </c>
      <c r="B107" s="136" t="s">
        <v>217</v>
      </c>
      <c r="C107" s="136" t="s">
        <v>45</v>
      </c>
      <c r="D107" s="31">
        <f t="shared" si="6"/>
        <v>4</v>
      </c>
      <c r="E107" s="137" t="s">
        <v>80</v>
      </c>
      <c r="F107" s="31">
        <f t="shared" si="7"/>
        <v>4</v>
      </c>
      <c r="G107" s="137" t="s">
        <v>359</v>
      </c>
      <c r="H107" s="138">
        <v>91</v>
      </c>
      <c r="I107" s="158">
        <f t="shared" si="8"/>
        <v>0.3652026328225097</v>
      </c>
      <c r="J107" s="95">
        <v>8.1805786450074303E-3</v>
      </c>
      <c r="K107" s="137">
        <v>0.72222468700001197</v>
      </c>
      <c r="L107" s="137">
        <v>0.75</v>
      </c>
      <c r="M107" s="137">
        <v>0.68056171750003003</v>
      </c>
      <c r="N107" s="136">
        <v>0</v>
      </c>
      <c r="O107" s="32">
        <v>43119</v>
      </c>
      <c r="P107" s="98">
        <f t="shared" si="9"/>
        <v>0</v>
      </c>
      <c r="Q107">
        <v>0</v>
      </c>
      <c r="R107">
        <v>0</v>
      </c>
      <c r="S107">
        <v>0</v>
      </c>
      <c r="T107" s="112" t="s">
        <v>48</v>
      </c>
      <c r="U107" s="137" t="s">
        <v>360</v>
      </c>
      <c r="V107" s="137" t="s">
        <v>361</v>
      </c>
      <c r="W107" s="69">
        <v>134</v>
      </c>
      <c r="X107" s="136">
        <v>1</v>
      </c>
      <c r="Y107" s="136">
        <v>5</v>
      </c>
      <c r="Z107" s="314"/>
      <c r="AA107" s="319">
        <v>0.5</v>
      </c>
      <c r="AB107" s="315" t="s">
        <v>5193</v>
      </c>
      <c r="AC107" s="319">
        <v>2</v>
      </c>
      <c r="AD107" s="320">
        <v>2.6666666666666599E-2</v>
      </c>
      <c r="AE107" s="319">
        <v>2</v>
      </c>
      <c r="AF107" s="320">
        <v>2.6666666666666599E-2</v>
      </c>
      <c r="AG107" s="319">
        <v>1</v>
      </c>
      <c r="AH107" s="320">
        <v>1.3333333333333299E-2</v>
      </c>
      <c r="AI107" s="319">
        <v>2</v>
      </c>
      <c r="AJ107" s="320">
        <v>2.6666666666666599E-2</v>
      </c>
      <c r="AK107" s="320">
        <v>1.3333333333333331E-2</v>
      </c>
      <c r="AL107" s="319">
        <v>5</v>
      </c>
      <c r="AM107" s="319">
        <v>5</v>
      </c>
      <c r="AN107" s="319">
        <v>4.6666666666666599</v>
      </c>
      <c r="AO107" s="319">
        <v>0.48888888888888798</v>
      </c>
      <c r="AP107">
        <v>5</v>
      </c>
      <c r="AR107" s="136">
        <v>5</v>
      </c>
      <c r="AT107" s="69">
        <v>2.3148</v>
      </c>
      <c r="AU107" s="69">
        <v>2.3148</v>
      </c>
      <c r="AV107" s="69">
        <v>8.1305999999999994</v>
      </c>
      <c r="AW107" s="69">
        <v>0.42530000000000001</v>
      </c>
      <c r="BB107" s="69"/>
    </row>
    <row r="108" spans="1:54" customFormat="1" ht="40" customHeight="1">
      <c r="A108" s="313">
        <v>107</v>
      </c>
      <c r="B108" s="136" t="s">
        <v>217</v>
      </c>
      <c r="C108" s="136" t="s">
        <v>45</v>
      </c>
      <c r="D108" s="31">
        <f t="shared" si="6"/>
        <v>4</v>
      </c>
      <c r="E108" s="137" t="s">
        <v>80</v>
      </c>
      <c r="F108" s="31">
        <f t="shared" si="7"/>
        <v>4</v>
      </c>
      <c r="G108" s="137" t="s">
        <v>359</v>
      </c>
      <c r="H108" s="138">
        <v>67</v>
      </c>
      <c r="I108" s="158">
        <f t="shared" si="8"/>
        <v>0.40712657275052999</v>
      </c>
      <c r="J108" s="95">
        <v>6.5349065237030297E-5</v>
      </c>
      <c r="K108" s="137">
        <v>0.81418779643582295</v>
      </c>
      <c r="L108" s="137">
        <v>0.82499999999999996</v>
      </c>
      <c r="M108" s="137">
        <v>0.79796949108955795</v>
      </c>
      <c r="N108" s="136">
        <v>1</v>
      </c>
      <c r="O108" s="32">
        <v>43096</v>
      </c>
      <c r="P108" s="98">
        <f t="shared" si="9"/>
        <v>0</v>
      </c>
      <c r="Q108">
        <v>2.5499999999999998</v>
      </c>
      <c r="R108">
        <v>1.65</v>
      </c>
      <c r="S108">
        <v>0</v>
      </c>
      <c r="T108" s="112" t="s">
        <v>48</v>
      </c>
      <c r="U108" s="137" t="s">
        <v>362</v>
      </c>
      <c r="V108" s="137" t="s">
        <v>363</v>
      </c>
      <c r="W108" s="69">
        <v>160</v>
      </c>
      <c r="X108" s="136">
        <v>1</v>
      </c>
      <c r="Y108" s="136">
        <v>2</v>
      </c>
      <c r="Z108" s="314"/>
      <c r="AA108" s="319">
        <v>0.55000000000000004</v>
      </c>
      <c r="AB108" s="315" t="s">
        <v>5176</v>
      </c>
      <c r="AC108" s="319">
        <v>2</v>
      </c>
      <c r="AD108" s="320">
        <v>2.27272727272727E-2</v>
      </c>
      <c r="AE108" s="319">
        <v>3</v>
      </c>
      <c r="AF108" s="320">
        <v>3.4090909090908998E-2</v>
      </c>
      <c r="AG108" s="319">
        <v>1</v>
      </c>
      <c r="AH108" s="320">
        <v>1.13636363636363E-2</v>
      </c>
      <c r="AI108" s="319">
        <v>2</v>
      </c>
      <c r="AJ108" s="320">
        <v>2.27272727272727E-2</v>
      </c>
      <c r="AK108" s="320">
        <v>1.136363636363636E-2</v>
      </c>
      <c r="AL108" s="319">
        <v>6.75</v>
      </c>
      <c r="AM108" s="319">
        <v>5</v>
      </c>
      <c r="AN108" s="319">
        <v>4.6666666666666599</v>
      </c>
      <c r="AO108" s="319">
        <v>0.54722222222222205</v>
      </c>
      <c r="AP108">
        <v>2</v>
      </c>
      <c r="AR108" s="136">
        <v>2</v>
      </c>
      <c r="AT108" s="69">
        <v>6.3414000000000001</v>
      </c>
      <c r="AU108" s="69">
        <v>2.3148</v>
      </c>
      <c r="AV108" s="69">
        <v>8.1305999999999994</v>
      </c>
      <c r="AW108" s="69">
        <v>0.55959999999999999</v>
      </c>
      <c r="BB108" s="69"/>
    </row>
    <row r="109" spans="1:54" customFormat="1" ht="40" customHeight="1">
      <c r="A109" s="313">
        <v>108</v>
      </c>
      <c r="B109" s="136" t="s">
        <v>217</v>
      </c>
      <c r="C109" s="136" t="s">
        <v>45</v>
      </c>
      <c r="D109" s="31">
        <f t="shared" si="6"/>
        <v>4</v>
      </c>
      <c r="E109" s="137" t="s">
        <v>80</v>
      </c>
      <c r="F109" s="31">
        <f t="shared" si="7"/>
        <v>4</v>
      </c>
      <c r="G109" s="137" t="s">
        <v>364</v>
      </c>
      <c r="H109" s="138">
        <v>48</v>
      </c>
      <c r="I109" s="158">
        <f t="shared" si="8"/>
        <v>0.54260028268229954</v>
      </c>
      <c r="J109" s="95">
        <v>0.31797587836458702</v>
      </c>
      <c r="K109" s="137">
        <v>0.76722468700001201</v>
      </c>
      <c r="L109" s="137">
        <v>0.82499999999999996</v>
      </c>
      <c r="M109" s="137">
        <v>0.68056171750003003</v>
      </c>
      <c r="N109" s="136">
        <v>1</v>
      </c>
      <c r="O109" s="32">
        <v>43089</v>
      </c>
      <c r="P109" s="98">
        <f t="shared" si="9"/>
        <v>0</v>
      </c>
      <c r="Q109">
        <v>7.65</v>
      </c>
      <c r="R109">
        <v>0</v>
      </c>
      <c r="S109">
        <v>0</v>
      </c>
      <c r="T109" s="112" t="s">
        <v>48</v>
      </c>
      <c r="U109" s="137" t="s">
        <v>365</v>
      </c>
      <c r="V109" s="137" t="s">
        <v>366</v>
      </c>
      <c r="W109" s="69">
        <v>102</v>
      </c>
      <c r="X109" s="136">
        <v>1</v>
      </c>
      <c r="Y109" s="136">
        <v>5</v>
      </c>
      <c r="Z109" s="314"/>
      <c r="AA109" s="319">
        <v>0.54500000000000004</v>
      </c>
      <c r="AB109" s="315" t="s">
        <v>5165</v>
      </c>
      <c r="AC109" s="319">
        <v>3</v>
      </c>
      <c r="AD109" s="320">
        <v>5.2631578947368397E-2</v>
      </c>
      <c r="AE109" s="319">
        <v>2</v>
      </c>
      <c r="AF109" s="320">
        <v>3.5087719298245598E-2</v>
      </c>
      <c r="AG109" s="319">
        <v>1</v>
      </c>
      <c r="AH109" s="320">
        <v>1.7543859649122799E-2</v>
      </c>
      <c r="AI109" s="319">
        <v>1</v>
      </c>
      <c r="AJ109" s="320">
        <v>1.7543859649122799E-2</v>
      </c>
      <c r="AK109" s="320">
        <v>1.754385964912281E-2</v>
      </c>
      <c r="AL109" s="319">
        <v>6.75</v>
      </c>
      <c r="AM109" s="319">
        <v>5</v>
      </c>
      <c r="AN109" s="319">
        <v>4.6666666666666599</v>
      </c>
      <c r="AO109" s="319">
        <v>0.54722222222222205</v>
      </c>
      <c r="AP109">
        <v>5</v>
      </c>
      <c r="AR109" s="136"/>
      <c r="AS109">
        <v>5</v>
      </c>
      <c r="AT109" s="69">
        <v>6.3414000000000001</v>
      </c>
      <c r="AU109" s="69">
        <v>2.3148</v>
      </c>
      <c r="AV109" s="69">
        <v>8.1305999999999994</v>
      </c>
      <c r="AW109" s="69">
        <v>0.55959999999999999</v>
      </c>
      <c r="BB109" s="69"/>
    </row>
    <row r="110" spans="1:54" customFormat="1" ht="40" customHeight="1">
      <c r="A110" s="313">
        <v>109</v>
      </c>
      <c r="B110" s="136" t="s">
        <v>217</v>
      </c>
      <c r="C110" s="136" t="s">
        <v>45</v>
      </c>
      <c r="D110" s="31">
        <f t="shared" si="6"/>
        <v>4</v>
      </c>
      <c r="E110" s="137" t="s">
        <v>80</v>
      </c>
      <c r="F110" s="31">
        <f t="shared" si="7"/>
        <v>4</v>
      </c>
      <c r="G110" s="137" t="s">
        <v>293</v>
      </c>
      <c r="H110" s="138">
        <v>113</v>
      </c>
      <c r="I110" s="158">
        <f t="shared" si="8"/>
        <v>0.40709508724634891</v>
      </c>
      <c r="J110" s="95">
        <v>2.3780568748632602E-6</v>
      </c>
      <c r="K110" s="137">
        <v>0.81418779643582295</v>
      </c>
      <c r="L110" s="137">
        <v>0.82499999999999996</v>
      </c>
      <c r="M110" s="137">
        <v>0.79796949108955795</v>
      </c>
      <c r="N110" s="136">
        <v>1</v>
      </c>
      <c r="O110" s="32">
        <v>43089</v>
      </c>
      <c r="P110" s="98">
        <f t="shared" si="9"/>
        <v>0</v>
      </c>
      <c r="Q110">
        <v>10.199999999999999</v>
      </c>
      <c r="R110">
        <v>1.65</v>
      </c>
      <c r="S110">
        <v>0</v>
      </c>
      <c r="T110" s="112" t="s">
        <v>48</v>
      </c>
      <c r="U110" s="137" t="s">
        <v>367</v>
      </c>
      <c r="V110" s="137" t="s">
        <v>368</v>
      </c>
      <c r="W110" s="69">
        <v>184</v>
      </c>
      <c r="X110" s="136">
        <v>1</v>
      </c>
      <c r="Y110" s="136">
        <v>2</v>
      </c>
      <c r="Z110" s="314"/>
      <c r="AA110" s="319">
        <v>0.54500000000000004</v>
      </c>
      <c r="AB110" s="315" t="s">
        <v>5193</v>
      </c>
      <c r="AC110" s="319">
        <v>2</v>
      </c>
      <c r="AD110" s="320">
        <v>2.0833333333333301E-2</v>
      </c>
      <c r="AE110" s="319">
        <v>2</v>
      </c>
      <c r="AF110" s="320">
        <v>2.0833333333333301E-2</v>
      </c>
      <c r="AG110" s="319">
        <v>1</v>
      </c>
      <c r="AH110" s="320">
        <v>1.04166666666666E-2</v>
      </c>
      <c r="AI110" s="319">
        <v>2</v>
      </c>
      <c r="AJ110" s="320">
        <v>2.0833333333333301E-2</v>
      </c>
      <c r="AK110" s="320">
        <v>1.041666666666667E-2</v>
      </c>
      <c r="AL110" s="319">
        <v>6.75</v>
      </c>
      <c r="AM110" s="319">
        <v>5</v>
      </c>
      <c r="AN110" s="319">
        <v>7.3333333333333304</v>
      </c>
      <c r="AO110" s="319">
        <v>0.63611111111111096</v>
      </c>
      <c r="AP110">
        <v>2</v>
      </c>
      <c r="AR110" s="136">
        <v>2</v>
      </c>
      <c r="AT110" s="69">
        <v>6.3414000000000001</v>
      </c>
      <c r="AU110" s="69">
        <v>2.3148</v>
      </c>
      <c r="AV110" s="69">
        <v>9.8416999999999994</v>
      </c>
      <c r="AW110" s="69">
        <v>0.61660000000000004</v>
      </c>
      <c r="BB110" s="69"/>
    </row>
    <row r="111" spans="1:54" customFormat="1" ht="40" customHeight="1">
      <c r="A111" s="313">
        <v>110</v>
      </c>
      <c r="B111" s="136" t="s">
        <v>217</v>
      </c>
      <c r="C111" s="136" t="s">
        <v>45</v>
      </c>
      <c r="D111" s="31">
        <f t="shared" si="6"/>
        <v>4</v>
      </c>
      <c r="E111" s="137" t="s">
        <v>46</v>
      </c>
      <c r="F111" s="31">
        <f t="shared" si="7"/>
        <v>6</v>
      </c>
      <c r="G111" s="137" t="s">
        <v>369</v>
      </c>
      <c r="H111" s="138">
        <v>89</v>
      </c>
      <c r="I111" s="158">
        <f t="shared" si="8"/>
        <v>0.43985976916627567</v>
      </c>
      <c r="J111" s="95">
        <v>1.6031741896728301E-2</v>
      </c>
      <c r="K111" s="137">
        <v>0.86368779643582305</v>
      </c>
      <c r="L111" s="137">
        <v>0.90749999999999997</v>
      </c>
      <c r="M111" s="137">
        <v>0.79796949108955795</v>
      </c>
      <c r="N111" s="136">
        <v>1</v>
      </c>
      <c r="O111" s="32">
        <v>43087</v>
      </c>
      <c r="P111" s="98">
        <f t="shared" si="9"/>
        <v>0</v>
      </c>
      <c r="Q111">
        <v>2.5499999999999998</v>
      </c>
      <c r="R111">
        <v>1.65</v>
      </c>
      <c r="S111">
        <v>0</v>
      </c>
      <c r="T111" s="112" t="s">
        <v>48</v>
      </c>
      <c r="U111" s="137" t="s">
        <v>370</v>
      </c>
      <c r="V111" s="137" t="s">
        <v>371</v>
      </c>
      <c r="W111" s="69">
        <v>142</v>
      </c>
      <c r="X111" s="136">
        <v>1</v>
      </c>
      <c r="Y111" s="136">
        <v>2</v>
      </c>
      <c r="Z111" s="314"/>
      <c r="AA111" s="319">
        <v>0.59450000000000003</v>
      </c>
      <c r="AB111" s="315" t="s">
        <v>5166</v>
      </c>
      <c r="AC111" s="319">
        <v>2</v>
      </c>
      <c r="AD111" s="320">
        <v>2.7397260273972601E-2</v>
      </c>
      <c r="AE111" s="319">
        <v>1</v>
      </c>
      <c r="AF111" s="320">
        <v>1.3698630136986301E-2</v>
      </c>
      <c r="AG111" s="319">
        <v>1</v>
      </c>
      <c r="AH111" s="320">
        <v>1.3698630136986301E-2</v>
      </c>
      <c r="AI111" s="319">
        <v>2</v>
      </c>
      <c r="AJ111" s="320">
        <v>2.7397260273972601E-2</v>
      </c>
      <c r="AK111" s="320">
        <v>1.3698630136986301E-2</v>
      </c>
      <c r="AL111" s="319">
        <v>5</v>
      </c>
      <c r="AM111" s="319">
        <v>5</v>
      </c>
      <c r="AN111" s="319">
        <v>7.3333333333333304</v>
      </c>
      <c r="AO111" s="319">
        <v>0.57777777777777695</v>
      </c>
      <c r="AP111">
        <v>2</v>
      </c>
      <c r="AR111" s="136">
        <v>2</v>
      </c>
      <c r="AT111" s="69">
        <v>2.3148</v>
      </c>
      <c r="AU111" s="69">
        <v>2.3148</v>
      </c>
      <c r="AV111" s="69">
        <v>9.8416999999999994</v>
      </c>
      <c r="AW111" s="69">
        <v>0.4824</v>
      </c>
      <c r="BB111" s="69"/>
    </row>
    <row r="112" spans="1:54" customFormat="1" ht="40" customHeight="1">
      <c r="A112" s="313">
        <v>111</v>
      </c>
      <c r="B112" s="136" t="s">
        <v>217</v>
      </c>
      <c r="C112" s="136" t="s">
        <v>45</v>
      </c>
      <c r="D112" s="31">
        <f t="shared" si="6"/>
        <v>4</v>
      </c>
      <c r="E112" s="137" t="s">
        <v>80</v>
      </c>
      <c r="F112" s="31">
        <f t="shared" si="7"/>
        <v>4</v>
      </c>
      <c r="G112" s="137" t="s">
        <v>159</v>
      </c>
      <c r="H112" s="138">
        <v>39</v>
      </c>
      <c r="I112" s="158">
        <f t="shared" si="8"/>
        <v>0.37636325127440889</v>
      </c>
      <c r="J112" s="95">
        <v>1.7012216834531801E-2</v>
      </c>
      <c r="K112" s="137">
        <v>0.73571428571428599</v>
      </c>
      <c r="L112" s="137">
        <v>0.75</v>
      </c>
      <c r="M112" s="137">
        <v>0.71428571428571397</v>
      </c>
      <c r="N112" s="136">
        <v>1</v>
      </c>
      <c r="O112" s="32">
        <v>43085</v>
      </c>
      <c r="P112" s="98">
        <f t="shared" si="9"/>
        <v>0</v>
      </c>
      <c r="Q112">
        <v>5.0999999999999996</v>
      </c>
      <c r="R112">
        <v>1.65</v>
      </c>
      <c r="S112">
        <v>0</v>
      </c>
      <c r="T112" s="112" t="s">
        <v>48</v>
      </c>
      <c r="U112" s="137" t="s">
        <v>372</v>
      </c>
      <c r="V112" s="137" t="s">
        <v>371</v>
      </c>
      <c r="W112" s="69">
        <v>142</v>
      </c>
      <c r="X112" s="136">
        <v>1</v>
      </c>
      <c r="Y112" s="136">
        <v>4</v>
      </c>
      <c r="Z112" s="314"/>
      <c r="AA112" s="319">
        <v>0.66549999999999998</v>
      </c>
      <c r="AB112" s="315" t="s">
        <v>5166</v>
      </c>
      <c r="AC112" s="319">
        <v>2</v>
      </c>
      <c r="AD112" s="320">
        <v>2.7397260273972601E-2</v>
      </c>
      <c r="AE112" s="319">
        <v>1</v>
      </c>
      <c r="AF112" s="320">
        <v>1.3698630136986301E-2</v>
      </c>
      <c r="AG112" s="319">
        <v>1</v>
      </c>
      <c r="AH112" s="320">
        <v>1.3698630136986301E-2</v>
      </c>
      <c r="AI112" s="319">
        <v>2</v>
      </c>
      <c r="AJ112" s="320">
        <v>2.7397260273972601E-2</v>
      </c>
      <c r="AK112" s="320">
        <v>1.3698630136986301E-2</v>
      </c>
      <c r="AL112" s="319">
        <v>6.75</v>
      </c>
      <c r="AM112" s="319">
        <v>7.4</v>
      </c>
      <c r="AN112" s="319">
        <v>2</v>
      </c>
      <c r="AO112" s="319">
        <v>0.538333333333333</v>
      </c>
      <c r="AP112">
        <v>4</v>
      </c>
      <c r="AR112" s="136">
        <v>4</v>
      </c>
      <c r="AT112" s="69">
        <v>6.3414000000000001</v>
      </c>
      <c r="AU112" s="69">
        <v>7.6852</v>
      </c>
      <c r="AV112" s="69">
        <v>2.3148</v>
      </c>
      <c r="AW112" s="69">
        <v>0.54469999999999996</v>
      </c>
      <c r="BB112" s="69"/>
    </row>
    <row r="113" spans="1:54" customFormat="1" ht="40" customHeight="1">
      <c r="A113" s="313">
        <v>112</v>
      </c>
      <c r="B113" s="136" t="s">
        <v>217</v>
      </c>
      <c r="C113" s="136" t="s">
        <v>45</v>
      </c>
      <c r="D113" s="31">
        <f t="shared" si="6"/>
        <v>4</v>
      </c>
      <c r="E113" s="137" t="s">
        <v>80</v>
      </c>
      <c r="F113" s="31">
        <f t="shared" si="7"/>
        <v>4</v>
      </c>
      <c r="G113" s="137" t="s">
        <v>293</v>
      </c>
      <c r="H113" s="138">
        <v>67</v>
      </c>
      <c r="I113" s="158">
        <f t="shared" si="8"/>
        <v>0.39154039498917853</v>
      </c>
      <c r="J113" s="95">
        <v>1.58561029783451E-2</v>
      </c>
      <c r="K113" s="137">
        <v>0.76722468700001201</v>
      </c>
      <c r="L113" s="137">
        <v>0.82499999999999996</v>
      </c>
      <c r="M113" s="137">
        <v>0.68056171750003003</v>
      </c>
      <c r="N113" s="136">
        <v>1</v>
      </c>
      <c r="O113" s="32">
        <v>43083</v>
      </c>
      <c r="P113" s="98">
        <f t="shared" si="9"/>
        <v>0</v>
      </c>
      <c r="Q113">
        <v>10.199999999999999</v>
      </c>
      <c r="R113">
        <v>1.65</v>
      </c>
      <c r="S113">
        <v>0</v>
      </c>
      <c r="T113" s="112" t="s">
        <v>48</v>
      </c>
      <c r="U113" s="137" t="s">
        <v>373</v>
      </c>
      <c r="V113" s="137" t="s">
        <v>374</v>
      </c>
      <c r="W113" s="69">
        <v>151</v>
      </c>
      <c r="X113" s="136">
        <v>1</v>
      </c>
      <c r="Y113" s="136">
        <v>5</v>
      </c>
      <c r="Z113" s="314"/>
      <c r="AA113" s="319">
        <v>0.54500000000000004</v>
      </c>
      <c r="AB113" s="315" t="s">
        <v>5166</v>
      </c>
      <c r="AC113" s="319">
        <v>2</v>
      </c>
      <c r="AD113" s="320">
        <v>2.5641025641025599E-2</v>
      </c>
      <c r="AE113" s="319">
        <v>1</v>
      </c>
      <c r="AF113" s="320">
        <v>1.2820512820512799E-2</v>
      </c>
      <c r="AG113" s="319">
        <v>1</v>
      </c>
      <c r="AH113" s="320">
        <v>1.2820512820512799E-2</v>
      </c>
      <c r="AI113" s="319">
        <v>2</v>
      </c>
      <c r="AJ113" s="320">
        <v>2.5641025641025599E-2</v>
      </c>
      <c r="AK113" s="320">
        <v>1.282051282051282E-2</v>
      </c>
      <c r="AL113" s="319">
        <v>6.75</v>
      </c>
      <c r="AM113" s="319">
        <v>5</v>
      </c>
      <c r="AN113" s="319">
        <v>7.3333333333333304</v>
      </c>
      <c r="AO113" s="319">
        <v>0.63611111111111096</v>
      </c>
      <c r="AP113">
        <v>5</v>
      </c>
      <c r="AR113" s="136">
        <v>5</v>
      </c>
      <c r="AT113" s="69">
        <v>6.3414000000000001</v>
      </c>
      <c r="AU113" s="69">
        <v>2.3148</v>
      </c>
      <c r="AV113" s="69">
        <v>9.8416999999999994</v>
      </c>
      <c r="AW113" s="69">
        <v>0.61660000000000004</v>
      </c>
      <c r="BB113" s="69"/>
    </row>
    <row r="114" spans="1:54" customFormat="1" ht="40" customHeight="1">
      <c r="A114" s="313">
        <v>113</v>
      </c>
      <c r="B114" s="136" t="s">
        <v>217</v>
      </c>
      <c r="C114" s="136" t="s">
        <v>45</v>
      </c>
      <c r="D114" s="31">
        <f t="shared" si="6"/>
        <v>4</v>
      </c>
      <c r="E114" s="137" t="s">
        <v>80</v>
      </c>
      <c r="F114" s="31">
        <f t="shared" si="7"/>
        <v>4</v>
      </c>
      <c r="G114" s="137" t="s">
        <v>159</v>
      </c>
      <c r="H114" s="138">
        <v>45</v>
      </c>
      <c r="I114" s="158">
        <f t="shared" si="8"/>
        <v>0.40552034588038716</v>
      </c>
      <c r="J114" s="95">
        <v>4.3816004760762299E-2</v>
      </c>
      <c r="K114" s="137">
        <v>0.76722468700001201</v>
      </c>
      <c r="L114" s="137">
        <v>0.82499999999999996</v>
      </c>
      <c r="M114" s="137">
        <v>0.68056171750003003</v>
      </c>
      <c r="N114" s="136">
        <v>1</v>
      </c>
      <c r="O114" s="32">
        <v>43076</v>
      </c>
      <c r="P114" s="98">
        <f t="shared" si="9"/>
        <v>0</v>
      </c>
      <c r="Q114">
        <v>7.65</v>
      </c>
      <c r="R114">
        <v>0</v>
      </c>
      <c r="S114">
        <v>0</v>
      </c>
      <c r="T114" s="112" t="s">
        <v>48</v>
      </c>
      <c r="U114" s="137" t="s">
        <v>375</v>
      </c>
      <c r="V114" s="137" t="s">
        <v>376</v>
      </c>
      <c r="W114" s="69">
        <v>157</v>
      </c>
      <c r="X114" s="136">
        <v>1</v>
      </c>
      <c r="Y114" s="136">
        <v>5</v>
      </c>
      <c r="Z114" s="314"/>
      <c r="AA114" s="319">
        <v>0.55000000000000004</v>
      </c>
      <c r="AB114" s="315" t="s">
        <v>5176</v>
      </c>
      <c r="AC114" s="319">
        <v>2</v>
      </c>
      <c r="AD114" s="320">
        <v>2.27272727272727E-2</v>
      </c>
      <c r="AE114" s="319">
        <v>3</v>
      </c>
      <c r="AF114" s="320">
        <v>3.4090909090908998E-2</v>
      </c>
      <c r="AG114" s="319">
        <v>1</v>
      </c>
      <c r="AH114" s="320">
        <v>1.13636363636363E-2</v>
      </c>
      <c r="AI114" s="319">
        <v>2</v>
      </c>
      <c r="AJ114" s="320">
        <v>2.27272727272727E-2</v>
      </c>
      <c r="AK114" s="320">
        <v>1.136363636363636E-2</v>
      </c>
      <c r="AL114" s="319">
        <v>5</v>
      </c>
      <c r="AM114" s="319">
        <v>5</v>
      </c>
      <c r="AN114" s="319">
        <v>2</v>
      </c>
      <c r="AO114" s="319">
        <v>0.4</v>
      </c>
      <c r="AP114">
        <v>5</v>
      </c>
      <c r="AR114" s="136">
        <v>5</v>
      </c>
      <c r="AT114" s="69">
        <v>2.3148</v>
      </c>
      <c r="AU114" s="69">
        <v>2.3148</v>
      </c>
      <c r="AV114" s="69">
        <v>2.3148</v>
      </c>
      <c r="AW114" s="69">
        <v>0.23150000000000001</v>
      </c>
      <c r="BB114" s="69"/>
    </row>
    <row r="115" spans="1:54" customFormat="1" ht="40" customHeight="1">
      <c r="A115" s="313">
        <v>114</v>
      </c>
      <c r="B115" s="136" t="s">
        <v>217</v>
      </c>
      <c r="C115" s="136" t="s">
        <v>45</v>
      </c>
      <c r="D115" s="31">
        <f t="shared" si="6"/>
        <v>4</v>
      </c>
      <c r="E115" s="137" t="s">
        <v>46</v>
      </c>
      <c r="F115" s="31">
        <f t="shared" si="7"/>
        <v>6</v>
      </c>
      <c r="G115" s="137" t="s">
        <v>377</v>
      </c>
      <c r="H115" s="138">
        <v>93</v>
      </c>
      <c r="I115" s="158">
        <f t="shared" si="8"/>
        <v>0.45122982221531299</v>
      </c>
      <c r="J115" s="95">
        <v>0.16674535871634</v>
      </c>
      <c r="K115" s="137">
        <v>0.73571428571428599</v>
      </c>
      <c r="L115" s="137">
        <v>0.75</v>
      </c>
      <c r="M115" s="137">
        <v>0.71428571428571397</v>
      </c>
      <c r="N115" s="136">
        <v>1</v>
      </c>
      <c r="O115" s="32">
        <v>43076</v>
      </c>
      <c r="P115" s="98">
        <f t="shared" si="9"/>
        <v>1</v>
      </c>
      <c r="Q115">
        <v>2.5499999999999998</v>
      </c>
      <c r="R115">
        <v>3.3</v>
      </c>
      <c r="S115">
        <v>0</v>
      </c>
      <c r="T115" s="112" t="s">
        <v>73</v>
      </c>
      <c r="U115" s="137" t="s">
        <v>378</v>
      </c>
      <c r="V115" s="137" t="s">
        <v>379</v>
      </c>
      <c r="W115" s="69">
        <v>53</v>
      </c>
      <c r="X115" s="136">
        <v>1</v>
      </c>
      <c r="Y115" s="136">
        <v>4</v>
      </c>
      <c r="Z115" s="314"/>
      <c r="AA115" s="319">
        <v>0.5</v>
      </c>
      <c r="AB115" s="315" t="s">
        <v>5176</v>
      </c>
      <c r="AC115" s="319">
        <v>0</v>
      </c>
      <c r="AD115" s="320">
        <v>0</v>
      </c>
      <c r="AE115" s="319">
        <v>1</v>
      </c>
      <c r="AF115" s="320">
        <v>3.2258064516128997E-2</v>
      </c>
      <c r="AG115" s="319">
        <v>0</v>
      </c>
      <c r="AH115" s="320">
        <v>0</v>
      </c>
      <c r="AI115" s="319">
        <v>0</v>
      </c>
      <c r="AJ115" s="320">
        <v>0</v>
      </c>
      <c r="AK115" s="320">
        <v>0</v>
      </c>
      <c r="AL115" s="319">
        <v>8.5</v>
      </c>
      <c r="AM115" s="319">
        <v>5</v>
      </c>
      <c r="AN115" s="319">
        <v>4.6666666666666599</v>
      </c>
      <c r="AO115" s="319">
        <v>0.60555555555555496</v>
      </c>
      <c r="AP115">
        <v>4</v>
      </c>
      <c r="AR115" s="136"/>
      <c r="AT115" s="69">
        <v>9.0888000000000009</v>
      </c>
      <c r="AU115" s="69">
        <v>2.3148</v>
      </c>
      <c r="AV115" s="69">
        <v>8.1305999999999994</v>
      </c>
      <c r="AW115" s="69">
        <v>0.65110000000000001</v>
      </c>
      <c r="BB115" s="69"/>
    </row>
    <row r="116" spans="1:54" customFormat="1" ht="40" customHeight="1">
      <c r="A116" s="313">
        <v>115</v>
      </c>
      <c r="B116" s="136" t="s">
        <v>217</v>
      </c>
      <c r="C116" s="136" t="s">
        <v>45</v>
      </c>
      <c r="D116" s="31">
        <f t="shared" si="6"/>
        <v>4</v>
      </c>
      <c r="E116" s="137" t="s">
        <v>80</v>
      </c>
      <c r="F116" s="31">
        <f t="shared" si="7"/>
        <v>4</v>
      </c>
      <c r="G116" s="137" t="s">
        <v>359</v>
      </c>
      <c r="H116" s="138">
        <v>41</v>
      </c>
      <c r="I116" s="158">
        <f t="shared" si="8"/>
        <v>0.40953831024502824</v>
      </c>
      <c r="J116" s="95">
        <v>2.3050952351135499E-2</v>
      </c>
      <c r="K116" s="137">
        <v>0.79602566813892095</v>
      </c>
      <c r="L116" s="137">
        <v>0.82499999999999996</v>
      </c>
      <c r="M116" s="137">
        <v>0.75256417034730305</v>
      </c>
      <c r="N116" s="136">
        <v>1</v>
      </c>
      <c r="O116" s="32">
        <v>43066</v>
      </c>
      <c r="P116" s="98">
        <f t="shared" si="9"/>
        <v>0</v>
      </c>
      <c r="Q116">
        <v>5.0999999999999996</v>
      </c>
      <c r="R116">
        <v>1.65</v>
      </c>
      <c r="S116">
        <v>0</v>
      </c>
      <c r="T116" s="112" t="s">
        <v>48</v>
      </c>
      <c r="U116" s="137" t="s">
        <v>380</v>
      </c>
      <c r="V116" s="137" t="s">
        <v>381</v>
      </c>
      <c r="W116" s="69">
        <v>161</v>
      </c>
      <c r="X116" s="136">
        <v>1</v>
      </c>
      <c r="Y116" s="136">
        <v>3</v>
      </c>
      <c r="Z116" s="314"/>
      <c r="AA116" s="319">
        <v>0.60499999999999998</v>
      </c>
      <c r="AB116" s="315" t="s">
        <v>5176</v>
      </c>
      <c r="AC116" s="319">
        <v>2</v>
      </c>
      <c r="AD116" s="320">
        <v>2.2222222222222199E-2</v>
      </c>
      <c r="AE116" s="319">
        <v>3</v>
      </c>
      <c r="AF116" s="320">
        <v>3.3333333333333298E-2</v>
      </c>
      <c r="AG116" s="319">
        <v>1</v>
      </c>
      <c r="AH116" s="320">
        <v>1.1111111111111099E-2</v>
      </c>
      <c r="AI116" s="319">
        <v>2</v>
      </c>
      <c r="AJ116" s="320">
        <v>2.2222222222222199E-2</v>
      </c>
      <c r="AK116" s="320">
        <v>1.111111111111111E-2</v>
      </c>
      <c r="AL116" s="319">
        <v>6.75</v>
      </c>
      <c r="AM116" s="319">
        <v>6.2</v>
      </c>
      <c r="AN116" s="319">
        <v>2</v>
      </c>
      <c r="AO116" s="319">
        <v>0.49833333333333302</v>
      </c>
      <c r="AP116">
        <v>3</v>
      </c>
      <c r="AR116" s="136">
        <v>3</v>
      </c>
      <c r="AT116" s="69">
        <v>6.3414000000000001</v>
      </c>
      <c r="AU116" s="69">
        <v>5</v>
      </c>
      <c r="AV116" s="69">
        <v>2.3148</v>
      </c>
      <c r="AW116" s="69">
        <v>0.45519999999999999</v>
      </c>
      <c r="BB116" s="69"/>
    </row>
    <row r="117" spans="1:54" customFormat="1" ht="40" customHeight="1">
      <c r="A117" s="313">
        <v>116</v>
      </c>
      <c r="B117" s="136" t="s">
        <v>217</v>
      </c>
      <c r="C117" s="136" t="s">
        <v>45</v>
      </c>
      <c r="D117" s="31">
        <f t="shared" si="6"/>
        <v>4</v>
      </c>
      <c r="E117" s="137" t="s">
        <v>46</v>
      </c>
      <c r="F117" s="31">
        <f t="shared" si="7"/>
        <v>6</v>
      </c>
      <c r="G117" s="137" t="s">
        <v>382</v>
      </c>
      <c r="H117" s="138">
        <v>151</v>
      </c>
      <c r="I117" s="158">
        <f t="shared" si="8"/>
        <v>0.43199817994243989</v>
      </c>
      <c r="J117" s="95">
        <v>3.0856344905672001E-4</v>
      </c>
      <c r="K117" s="137">
        <v>0.86368779643582305</v>
      </c>
      <c r="L117" s="137">
        <v>0.90749999999999997</v>
      </c>
      <c r="M117" s="137">
        <v>0.79796949108955795</v>
      </c>
      <c r="N117" s="136">
        <v>0</v>
      </c>
      <c r="O117" s="32">
        <v>43053</v>
      </c>
      <c r="P117" s="98">
        <f t="shared" si="9"/>
        <v>0</v>
      </c>
      <c r="Q117">
        <v>5.0999999999999996</v>
      </c>
      <c r="R117">
        <v>1.65</v>
      </c>
      <c r="S117">
        <v>0</v>
      </c>
      <c r="T117" s="112" t="s">
        <v>48</v>
      </c>
      <c r="U117" s="137" t="s">
        <v>383</v>
      </c>
      <c r="V117" s="137" t="s">
        <v>384</v>
      </c>
      <c r="W117" s="69">
        <v>136</v>
      </c>
      <c r="X117" s="136">
        <v>1</v>
      </c>
      <c r="Y117" s="136">
        <v>2</v>
      </c>
      <c r="Z117" s="314"/>
      <c r="AA117" s="319">
        <v>0.5</v>
      </c>
      <c r="AB117" s="315" t="s">
        <v>5193</v>
      </c>
      <c r="AC117" s="319">
        <v>2</v>
      </c>
      <c r="AD117" s="320">
        <v>2.5974025974025899E-2</v>
      </c>
      <c r="AE117" s="319">
        <v>2</v>
      </c>
      <c r="AF117" s="320">
        <v>2.5974025974025899E-2</v>
      </c>
      <c r="AG117" s="319">
        <v>1</v>
      </c>
      <c r="AH117" s="320">
        <v>1.2987012987012899E-2</v>
      </c>
      <c r="AI117" s="319">
        <v>2</v>
      </c>
      <c r="AJ117" s="320">
        <v>2.5974025974025899E-2</v>
      </c>
      <c r="AK117" s="320">
        <v>1.298701298701299E-2</v>
      </c>
      <c r="AL117" s="319">
        <v>6.75</v>
      </c>
      <c r="AM117" s="319">
        <v>5</v>
      </c>
      <c r="AN117" s="319">
        <v>10</v>
      </c>
      <c r="AO117" s="319">
        <v>0.72499999999999998</v>
      </c>
      <c r="AP117">
        <v>2</v>
      </c>
      <c r="AR117" s="136">
        <v>2</v>
      </c>
      <c r="AT117" s="69">
        <v>6.3414000000000001</v>
      </c>
      <c r="AU117" s="69">
        <v>2.3148</v>
      </c>
      <c r="AV117" s="69">
        <v>9.9975000000000005</v>
      </c>
      <c r="AW117" s="69">
        <v>0.62180000000000002</v>
      </c>
      <c r="BB117" s="69"/>
    </row>
    <row r="118" spans="1:54" customFormat="1" ht="40" customHeight="1">
      <c r="A118" s="313">
        <v>117</v>
      </c>
      <c r="B118" s="136" t="s">
        <v>217</v>
      </c>
      <c r="C118" s="136" t="s">
        <v>45</v>
      </c>
      <c r="D118" s="31">
        <f t="shared" si="6"/>
        <v>4</v>
      </c>
      <c r="E118" s="137" t="s">
        <v>80</v>
      </c>
      <c r="F118" s="31">
        <f t="shared" si="7"/>
        <v>4</v>
      </c>
      <c r="G118" s="137" t="s">
        <v>159</v>
      </c>
      <c r="H118" s="138">
        <v>42</v>
      </c>
      <c r="I118" s="158">
        <f t="shared" si="8"/>
        <v>0.43876801816243188</v>
      </c>
      <c r="J118" s="95">
        <v>6.33482398890408E-2</v>
      </c>
      <c r="K118" s="137">
        <v>0.81418779643582295</v>
      </c>
      <c r="L118" s="137">
        <v>0.82499999999999996</v>
      </c>
      <c r="M118" s="137">
        <v>0.79796949108955795</v>
      </c>
      <c r="N118" s="136">
        <v>1</v>
      </c>
      <c r="O118" s="32">
        <v>43051</v>
      </c>
      <c r="P118" s="98">
        <f t="shared" si="9"/>
        <v>0</v>
      </c>
      <c r="Q118">
        <v>5.0999999999999996</v>
      </c>
      <c r="R118">
        <v>1.65</v>
      </c>
      <c r="S118">
        <v>0</v>
      </c>
      <c r="T118" s="112" t="s">
        <v>48</v>
      </c>
      <c r="U118" s="137" t="s">
        <v>385</v>
      </c>
      <c r="V118" s="137" t="s">
        <v>386</v>
      </c>
      <c r="W118" s="69">
        <v>73</v>
      </c>
      <c r="X118" s="136">
        <v>2</v>
      </c>
      <c r="Y118" s="136">
        <v>2</v>
      </c>
      <c r="Z118" s="314"/>
      <c r="AA118" s="319">
        <v>0.60499999999999998</v>
      </c>
      <c r="AB118" s="315" t="s">
        <v>5176</v>
      </c>
      <c r="AC118" s="319">
        <v>0</v>
      </c>
      <c r="AD118" s="320">
        <v>0</v>
      </c>
      <c r="AE118" s="319">
        <v>3</v>
      </c>
      <c r="AF118" s="320">
        <v>8.3333333333333301E-2</v>
      </c>
      <c r="AG118" s="319">
        <v>0</v>
      </c>
      <c r="AH118" s="320">
        <v>0</v>
      </c>
      <c r="AI118" s="319">
        <v>0</v>
      </c>
      <c r="AJ118" s="320">
        <v>0</v>
      </c>
      <c r="AK118" s="320">
        <v>5.5555555555555552E-2</v>
      </c>
      <c r="AL118" s="319">
        <v>6.75</v>
      </c>
      <c r="AM118" s="319">
        <v>6.2</v>
      </c>
      <c r="AN118" s="319">
        <v>2</v>
      </c>
      <c r="AO118" s="319">
        <v>0.49833333333333302</v>
      </c>
      <c r="AP118">
        <v>2</v>
      </c>
      <c r="AQ118">
        <v>2</v>
      </c>
      <c r="AR118" s="136"/>
      <c r="AT118" s="69">
        <v>6.3414000000000001</v>
      </c>
      <c r="AU118" s="69">
        <v>5</v>
      </c>
      <c r="AV118" s="69">
        <v>2.3148</v>
      </c>
      <c r="AW118" s="69">
        <v>0.45519999999999999</v>
      </c>
      <c r="BB118" s="69"/>
    </row>
    <row r="119" spans="1:54" customFormat="1" ht="40" customHeight="1">
      <c r="A119" s="313">
        <v>118</v>
      </c>
      <c r="B119" s="136" t="s">
        <v>217</v>
      </c>
      <c r="C119" s="136" t="s">
        <v>45</v>
      </c>
      <c r="D119" s="31">
        <f t="shared" si="6"/>
        <v>4</v>
      </c>
      <c r="E119" s="137" t="s">
        <v>46</v>
      </c>
      <c r="F119" s="31">
        <f t="shared" si="7"/>
        <v>6</v>
      </c>
      <c r="G119" s="137" t="s">
        <v>387</v>
      </c>
      <c r="H119" s="138">
        <v>42</v>
      </c>
      <c r="I119" s="158">
        <f t="shared" si="8"/>
        <v>0.65684597806922307</v>
      </c>
      <c r="J119" s="95">
        <v>0.60357537890861601</v>
      </c>
      <c r="K119" s="137">
        <v>0.71011657722983001</v>
      </c>
      <c r="L119" s="137">
        <v>0.68181818181818199</v>
      </c>
      <c r="M119" s="137">
        <v>0.75256417034730305</v>
      </c>
      <c r="N119" s="136">
        <v>1</v>
      </c>
      <c r="O119" s="32">
        <v>43030</v>
      </c>
      <c r="P119" s="98">
        <f t="shared" si="9"/>
        <v>0</v>
      </c>
      <c r="Q119">
        <v>5.0999999999999996</v>
      </c>
      <c r="R119">
        <v>1.65</v>
      </c>
      <c r="S119">
        <v>0</v>
      </c>
      <c r="T119" s="112" t="s">
        <v>48</v>
      </c>
      <c r="U119" s="137" t="s">
        <v>388</v>
      </c>
      <c r="V119" s="137" t="s">
        <v>389</v>
      </c>
      <c r="W119" s="69">
        <v>163</v>
      </c>
      <c r="X119" s="136">
        <v>2</v>
      </c>
      <c r="Y119" s="136">
        <v>3</v>
      </c>
      <c r="Z119" s="314"/>
      <c r="AA119" s="319">
        <v>0.5</v>
      </c>
      <c r="AB119" s="315" t="s">
        <v>5178</v>
      </c>
      <c r="AC119" s="319">
        <v>2</v>
      </c>
      <c r="AD119" s="320">
        <v>2.3255813953488299E-2</v>
      </c>
      <c r="AE119" s="319">
        <v>2</v>
      </c>
      <c r="AF119" s="320">
        <v>2.3255813953488299E-2</v>
      </c>
      <c r="AG119" s="319">
        <v>1</v>
      </c>
      <c r="AH119" s="320">
        <v>1.1627906976744099E-2</v>
      </c>
      <c r="AI119" s="319">
        <v>1</v>
      </c>
      <c r="AJ119" s="320">
        <v>1.1627906976744099E-2</v>
      </c>
      <c r="AK119" s="320">
        <v>1.1627906976744189E-2</v>
      </c>
      <c r="AL119" s="319">
        <v>6.75</v>
      </c>
      <c r="AM119" s="319">
        <v>5</v>
      </c>
      <c r="AN119" s="319">
        <v>2</v>
      </c>
      <c r="AO119" s="319">
        <v>0.45833333333333298</v>
      </c>
      <c r="AP119">
        <v>3</v>
      </c>
      <c r="AR119" s="136"/>
      <c r="AS119">
        <v>3</v>
      </c>
      <c r="AT119" s="69">
        <v>6.3414000000000001</v>
      </c>
      <c r="AU119" s="69">
        <v>2.3148</v>
      </c>
      <c r="AV119" s="69">
        <v>2.3148</v>
      </c>
      <c r="AW119" s="69">
        <v>0.36570000000000003</v>
      </c>
      <c r="BB119" s="69"/>
    </row>
    <row r="120" spans="1:54" customFormat="1" ht="40" customHeight="1">
      <c r="A120" s="313">
        <v>119</v>
      </c>
      <c r="B120" s="136" t="s">
        <v>217</v>
      </c>
      <c r="C120" s="136" t="s">
        <v>45</v>
      </c>
      <c r="D120" s="31">
        <f t="shared" si="6"/>
        <v>4</v>
      </c>
      <c r="E120" s="137" t="s">
        <v>80</v>
      </c>
      <c r="F120" s="31">
        <f t="shared" si="7"/>
        <v>4</v>
      </c>
      <c r="G120" s="137" t="s">
        <v>359</v>
      </c>
      <c r="H120" s="138">
        <v>76</v>
      </c>
      <c r="I120" s="158">
        <f t="shared" si="8"/>
        <v>0.39643850804793523</v>
      </c>
      <c r="J120" s="95">
        <v>1.9873238727430301E-5</v>
      </c>
      <c r="K120" s="137">
        <v>0.79285714285714304</v>
      </c>
      <c r="L120" s="137">
        <v>0.75</v>
      </c>
      <c r="M120" s="137">
        <v>0.85714285714285698</v>
      </c>
      <c r="N120" s="136">
        <v>1</v>
      </c>
      <c r="O120" s="32">
        <v>43026</v>
      </c>
      <c r="P120" s="98">
        <f t="shared" si="9"/>
        <v>0</v>
      </c>
      <c r="Q120">
        <v>7.65</v>
      </c>
      <c r="R120">
        <v>1.65</v>
      </c>
      <c r="S120">
        <v>0</v>
      </c>
      <c r="T120" s="112" t="s">
        <v>48</v>
      </c>
      <c r="U120" s="137" t="s">
        <v>390</v>
      </c>
      <c r="V120" s="137" t="s">
        <v>391</v>
      </c>
      <c r="W120" s="69">
        <v>49</v>
      </c>
      <c r="X120" s="136">
        <v>1</v>
      </c>
      <c r="Y120" s="136">
        <v>1</v>
      </c>
      <c r="Z120" s="314"/>
      <c r="AA120" s="319">
        <v>0.5</v>
      </c>
      <c r="AB120" s="315" t="s">
        <v>5177</v>
      </c>
      <c r="AC120" s="319">
        <v>0</v>
      </c>
      <c r="AD120" s="320">
        <v>0</v>
      </c>
      <c r="AE120" s="319">
        <v>1</v>
      </c>
      <c r="AF120" s="320">
        <v>3.7037037037037E-2</v>
      </c>
      <c r="AG120" s="319">
        <v>1</v>
      </c>
      <c r="AH120" s="320">
        <v>3.7037037037037E-2</v>
      </c>
      <c r="AI120" s="319">
        <v>0</v>
      </c>
      <c r="AJ120" s="320">
        <v>0</v>
      </c>
      <c r="AK120" s="320">
        <v>0</v>
      </c>
      <c r="AL120" s="319">
        <v>6.75</v>
      </c>
      <c r="AM120" s="319">
        <v>5</v>
      </c>
      <c r="AN120" s="319">
        <v>7.3333333333333304</v>
      </c>
      <c r="AO120" s="319">
        <v>0.63611111111111096</v>
      </c>
      <c r="AP120">
        <v>1</v>
      </c>
      <c r="AR120" s="136"/>
      <c r="AT120" s="69">
        <v>6.3414000000000001</v>
      </c>
      <c r="AU120" s="69">
        <v>2.3148</v>
      </c>
      <c r="AV120" s="69">
        <v>9.8416999999999994</v>
      </c>
      <c r="AW120" s="69">
        <v>0.61660000000000004</v>
      </c>
      <c r="BB120" s="69"/>
    </row>
    <row r="121" spans="1:54" customFormat="1" ht="40" customHeight="1">
      <c r="A121" s="313">
        <v>120</v>
      </c>
      <c r="B121" s="136" t="s">
        <v>217</v>
      </c>
      <c r="C121" s="136" t="s">
        <v>45</v>
      </c>
      <c r="D121" s="31">
        <f t="shared" si="6"/>
        <v>4</v>
      </c>
      <c r="E121" s="137" t="s">
        <v>46</v>
      </c>
      <c r="F121" s="31">
        <f t="shared" si="7"/>
        <v>6</v>
      </c>
      <c r="G121" s="137" t="s">
        <v>180</v>
      </c>
      <c r="H121" s="138">
        <v>39</v>
      </c>
      <c r="I121" s="158">
        <f t="shared" si="8"/>
        <v>0.40684763617999847</v>
      </c>
      <c r="J121" s="95">
        <v>9.0123843788567998E-2</v>
      </c>
      <c r="K121" s="137">
        <v>0.72357142857142898</v>
      </c>
      <c r="L121" s="137">
        <v>0.82499999999999996</v>
      </c>
      <c r="M121" s="137">
        <v>0.57142857142857095</v>
      </c>
      <c r="N121" s="136">
        <v>1</v>
      </c>
      <c r="O121" s="32">
        <v>43025</v>
      </c>
      <c r="P121" s="98">
        <f t="shared" si="9"/>
        <v>0</v>
      </c>
      <c r="Q121">
        <v>2.5499999999999998</v>
      </c>
      <c r="R121">
        <v>1.65</v>
      </c>
      <c r="S121">
        <v>0</v>
      </c>
      <c r="T121" s="112" t="s">
        <v>48</v>
      </c>
      <c r="U121" s="137" t="s">
        <v>392</v>
      </c>
      <c r="V121" s="137" t="s">
        <v>393</v>
      </c>
      <c r="W121" s="69">
        <v>57</v>
      </c>
      <c r="X121" s="136">
        <v>1</v>
      </c>
      <c r="Y121" s="136">
        <v>9</v>
      </c>
      <c r="Z121" s="314"/>
      <c r="AA121" s="319">
        <v>0.55000000000000004</v>
      </c>
      <c r="AB121" s="315" t="s">
        <v>5176</v>
      </c>
      <c r="AC121" s="319">
        <v>0</v>
      </c>
      <c r="AD121" s="320">
        <v>0</v>
      </c>
      <c r="AE121" s="319">
        <v>2</v>
      </c>
      <c r="AF121" s="320">
        <v>6.25E-2</v>
      </c>
      <c r="AG121" s="319">
        <v>1</v>
      </c>
      <c r="AH121" s="320">
        <v>3.125E-2</v>
      </c>
      <c r="AI121" s="319">
        <v>0</v>
      </c>
      <c r="AJ121" s="320">
        <v>0</v>
      </c>
      <c r="AK121" s="320">
        <v>0</v>
      </c>
      <c r="AL121" s="319">
        <v>5</v>
      </c>
      <c r="AM121" s="319">
        <v>5</v>
      </c>
      <c r="AN121" s="319">
        <v>2</v>
      </c>
      <c r="AO121" s="319">
        <v>0.4</v>
      </c>
      <c r="AP121">
        <v>9</v>
      </c>
      <c r="AR121" s="136"/>
      <c r="AT121" s="69">
        <v>2.3148</v>
      </c>
      <c r="AU121" s="69">
        <v>2.3148</v>
      </c>
      <c r="AV121" s="69">
        <v>2.3148</v>
      </c>
      <c r="AW121" s="69">
        <v>0.23150000000000001</v>
      </c>
      <c r="BB121" s="69"/>
    </row>
    <row r="122" spans="1:54" customFormat="1" ht="40" customHeight="1">
      <c r="A122" s="313">
        <v>121</v>
      </c>
      <c r="B122" s="136" t="s">
        <v>217</v>
      </c>
      <c r="C122" s="136" t="s">
        <v>45</v>
      </c>
      <c r="D122" s="31">
        <f t="shared" si="6"/>
        <v>4</v>
      </c>
      <c r="E122" s="137" t="s">
        <v>46</v>
      </c>
      <c r="F122" s="31">
        <f t="shared" si="7"/>
        <v>6</v>
      </c>
      <c r="G122" s="137" t="s">
        <v>394</v>
      </c>
      <c r="H122" s="138">
        <v>187</v>
      </c>
      <c r="I122" s="158">
        <f t="shared" si="8"/>
        <v>0.39801996266299594</v>
      </c>
      <c r="J122" s="95">
        <v>1.42571870709318E-5</v>
      </c>
      <c r="K122" s="137">
        <v>0.79602566813892095</v>
      </c>
      <c r="L122" s="137">
        <v>0.82499999999999996</v>
      </c>
      <c r="M122" s="137">
        <v>0.75256417034730305</v>
      </c>
      <c r="N122" s="136">
        <v>0</v>
      </c>
      <c r="O122" s="32">
        <v>43021</v>
      </c>
      <c r="P122" s="98">
        <f t="shared" si="9"/>
        <v>0</v>
      </c>
      <c r="Q122">
        <v>12.75</v>
      </c>
      <c r="R122">
        <v>1.65</v>
      </c>
      <c r="S122">
        <v>0</v>
      </c>
      <c r="T122" s="112" t="s">
        <v>48</v>
      </c>
      <c r="U122" s="137" t="s">
        <v>395</v>
      </c>
      <c r="V122" s="137" t="s">
        <v>396</v>
      </c>
      <c r="W122" s="69">
        <v>160</v>
      </c>
      <c r="X122" s="136">
        <v>2</v>
      </c>
      <c r="Y122" s="136">
        <v>3</v>
      </c>
      <c r="Z122" s="314"/>
      <c r="AA122" s="319">
        <v>0.55000000000000004</v>
      </c>
      <c r="AB122" s="315" t="s">
        <v>5178</v>
      </c>
      <c r="AC122" s="319">
        <v>2</v>
      </c>
      <c r="AD122" s="320">
        <v>2.40963855421686E-2</v>
      </c>
      <c r="AE122" s="319">
        <v>2</v>
      </c>
      <c r="AF122" s="320">
        <v>2.40963855421686E-2</v>
      </c>
      <c r="AG122" s="319">
        <v>1</v>
      </c>
      <c r="AH122" s="320">
        <v>1.20481927710843E-2</v>
      </c>
      <c r="AI122" s="319">
        <v>1</v>
      </c>
      <c r="AJ122" s="320">
        <v>1.20481927710843E-2</v>
      </c>
      <c r="AK122" s="320">
        <v>1.204819277108434E-2</v>
      </c>
      <c r="AL122" s="319">
        <v>6.75</v>
      </c>
      <c r="AM122" s="319">
        <v>5</v>
      </c>
      <c r="AN122" s="319">
        <v>4.6666666666666599</v>
      </c>
      <c r="AO122" s="319">
        <v>0.54722222222222205</v>
      </c>
      <c r="AP122">
        <v>3</v>
      </c>
      <c r="AR122" s="136"/>
      <c r="AS122">
        <v>3</v>
      </c>
      <c r="AT122" s="69">
        <v>6.3414000000000001</v>
      </c>
      <c r="AU122" s="69">
        <v>2.3148</v>
      </c>
      <c r="AV122" s="69">
        <v>8.1305999999999994</v>
      </c>
      <c r="AW122" s="69">
        <v>0.55959999999999999</v>
      </c>
      <c r="BB122" s="69"/>
    </row>
    <row r="123" spans="1:54" customFormat="1" ht="40" customHeight="1">
      <c r="A123" s="313">
        <v>122</v>
      </c>
      <c r="B123" s="136" t="s">
        <v>217</v>
      </c>
      <c r="C123" s="136" t="s">
        <v>45</v>
      </c>
      <c r="D123" s="31">
        <f t="shared" si="6"/>
        <v>4</v>
      </c>
      <c r="E123" s="137" t="s">
        <v>80</v>
      </c>
      <c r="F123" s="31">
        <f t="shared" si="7"/>
        <v>4</v>
      </c>
      <c r="G123" s="137" t="s">
        <v>359</v>
      </c>
      <c r="H123" s="138">
        <v>39</v>
      </c>
      <c r="I123" s="158">
        <f t="shared" si="8"/>
        <v>0.35508327790954158</v>
      </c>
      <c r="J123" s="95">
        <v>1.37398263836186E-4</v>
      </c>
      <c r="K123" s="137">
        <v>0.71002915755524698</v>
      </c>
      <c r="L123" s="137">
        <v>0.75</v>
      </c>
      <c r="M123" s="137">
        <v>0.65007289388811795</v>
      </c>
      <c r="N123" s="136">
        <v>1</v>
      </c>
      <c r="O123" s="32">
        <v>43021</v>
      </c>
      <c r="P123" s="98">
        <f t="shared" si="9"/>
        <v>0</v>
      </c>
      <c r="Q123">
        <v>7.65</v>
      </c>
      <c r="R123">
        <v>0</v>
      </c>
      <c r="S123">
        <v>0</v>
      </c>
      <c r="T123" s="112" t="s">
        <v>48</v>
      </c>
      <c r="U123" s="137" t="s">
        <v>397</v>
      </c>
      <c r="V123" s="137" t="s">
        <v>398</v>
      </c>
      <c r="W123" s="69">
        <v>115</v>
      </c>
      <c r="X123" s="136">
        <v>1</v>
      </c>
      <c r="Y123" s="136">
        <v>6</v>
      </c>
      <c r="Z123" s="314"/>
      <c r="AA123" s="319">
        <v>0.54500000000000004</v>
      </c>
      <c r="AB123" s="315" t="s">
        <v>5178</v>
      </c>
      <c r="AC123" s="319">
        <v>2</v>
      </c>
      <c r="AD123" s="320">
        <v>3.0769230769230702E-2</v>
      </c>
      <c r="AE123" s="319">
        <v>2</v>
      </c>
      <c r="AF123" s="320">
        <v>3.0769230769230702E-2</v>
      </c>
      <c r="AG123" s="319">
        <v>1</v>
      </c>
      <c r="AH123" s="320">
        <v>1.53846153846153E-2</v>
      </c>
      <c r="AI123" s="319">
        <v>1</v>
      </c>
      <c r="AJ123" s="320">
        <v>1.53846153846153E-2</v>
      </c>
      <c r="AK123" s="320">
        <v>1.5384615384615391E-2</v>
      </c>
      <c r="AL123" s="319">
        <v>6.75</v>
      </c>
      <c r="AM123" s="319">
        <v>5</v>
      </c>
      <c r="AN123" s="319">
        <v>7.3333333333333304</v>
      </c>
      <c r="AO123" s="319">
        <v>0.63611111111111096</v>
      </c>
      <c r="AP123">
        <v>6</v>
      </c>
      <c r="AR123" s="136"/>
      <c r="AS123">
        <v>6</v>
      </c>
      <c r="AT123" s="69">
        <v>6.3414000000000001</v>
      </c>
      <c r="AU123" s="69">
        <v>2.3148</v>
      </c>
      <c r="AV123" s="69">
        <v>9.8416999999999994</v>
      </c>
      <c r="AW123" s="69">
        <v>0.61660000000000004</v>
      </c>
      <c r="BB123" s="69"/>
    </row>
    <row r="124" spans="1:54" customFormat="1" ht="40" customHeight="1">
      <c r="A124" s="313">
        <v>123</v>
      </c>
      <c r="B124" s="136" t="s">
        <v>217</v>
      </c>
      <c r="C124" s="136" t="s">
        <v>45</v>
      </c>
      <c r="D124" s="31">
        <f t="shared" si="6"/>
        <v>4</v>
      </c>
      <c r="E124" s="137" t="s">
        <v>46</v>
      </c>
      <c r="F124" s="31">
        <f t="shared" si="7"/>
        <v>6</v>
      </c>
      <c r="G124" s="137" t="s">
        <v>399</v>
      </c>
      <c r="H124" s="138">
        <v>151</v>
      </c>
      <c r="I124" s="158">
        <f t="shared" si="8"/>
        <v>0.32602665616791615</v>
      </c>
      <c r="J124" s="95">
        <v>1.9760579893501901E-6</v>
      </c>
      <c r="K124" s="137">
        <v>0.65205133627784295</v>
      </c>
      <c r="L124" s="137">
        <v>0.75</v>
      </c>
      <c r="M124" s="137">
        <v>0.50512834069460699</v>
      </c>
      <c r="N124" s="136">
        <v>1</v>
      </c>
      <c r="O124" s="32">
        <v>43020</v>
      </c>
      <c r="P124" s="98">
        <f t="shared" si="9"/>
        <v>0</v>
      </c>
      <c r="Q124">
        <v>5.0999999999999996</v>
      </c>
      <c r="R124">
        <v>1.65</v>
      </c>
      <c r="S124">
        <v>0</v>
      </c>
      <c r="T124" s="112" t="s">
        <v>48</v>
      </c>
      <c r="U124" s="137" t="s">
        <v>400</v>
      </c>
      <c r="V124" s="137" t="s">
        <v>401</v>
      </c>
      <c r="W124" s="69">
        <v>54</v>
      </c>
      <c r="X124" s="136">
        <v>1</v>
      </c>
      <c r="Y124" s="136">
        <v>12</v>
      </c>
      <c r="Z124" s="314"/>
      <c r="AA124" s="319">
        <v>0.55000000000000004</v>
      </c>
      <c r="AB124" s="315" t="s">
        <v>5168</v>
      </c>
      <c r="AC124" s="319">
        <v>0</v>
      </c>
      <c r="AD124" s="320">
        <v>0</v>
      </c>
      <c r="AE124" s="319">
        <v>0</v>
      </c>
      <c r="AF124" s="320">
        <v>0</v>
      </c>
      <c r="AG124" s="319">
        <v>1</v>
      </c>
      <c r="AH124" s="320">
        <v>3.4482758620689599E-2</v>
      </c>
      <c r="AI124" s="319">
        <v>0</v>
      </c>
      <c r="AJ124" s="320">
        <v>0</v>
      </c>
      <c r="AK124" s="320">
        <v>0</v>
      </c>
      <c r="AL124" s="319">
        <v>6.75</v>
      </c>
      <c r="AM124" s="319">
        <v>6.2</v>
      </c>
      <c r="AN124" s="319">
        <v>2</v>
      </c>
      <c r="AO124" s="319">
        <v>0.49833333333333302</v>
      </c>
      <c r="AP124">
        <v>12</v>
      </c>
      <c r="AQ124">
        <v>12</v>
      </c>
      <c r="AR124" s="136"/>
      <c r="AT124" s="69">
        <v>6.3414000000000001</v>
      </c>
      <c r="AU124" s="69">
        <v>5</v>
      </c>
      <c r="AV124" s="69">
        <v>2.3148</v>
      </c>
      <c r="AW124" s="69">
        <v>0.45519999999999999</v>
      </c>
      <c r="BB124" s="69"/>
    </row>
    <row r="125" spans="1:54" customFormat="1" ht="40" customHeight="1">
      <c r="A125" s="313">
        <v>124</v>
      </c>
      <c r="B125" s="136" t="s">
        <v>217</v>
      </c>
      <c r="C125" s="136" t="s">
        <v>45</v>
      </c>
      <c r="D125" s="31">
        <f t="shared" si="6"/>
        <v>4</v>
      </c>
      <c r="E125" s="137" t="s">
        <v>46</v>
      </c>
      <c r="F125" s="31">
        <f t="shared" si="7"/>
        <v>6</v>
      </c>
      <c r="G125" s="137" t="s">
        <v>402</v>
      </c>
      <c r="H125" s="138">
        <v>95</v>
      </c>
      <c r="I125" s="158">
        <f t="shared" si="8"/>
        <v>0.32390953079862417</v>
      </c>
      <c r="J125" s="95">
        <v>3.6935481509553498E-3</v>
      </c>
      <c r="K125" s="137">
        <v>0.64412551344629299</v>
      </c>
      <c r="L125" s="137">
        <v>0.61983471074380203</v>
      </c>
      <c r="M125" s="137">
        <v>0.68056171750003003</v>
      </c>
      <c r="N125" s="136">
        <v>1</v>
      </c>
      <c r="O125" s="32">
        <v>43019</v>
      </c>
      <c r="P125" s="98">
        <f t="shared" si="9"/>
        <v>2</v>
      </c>
      <c r="Q125">
        <v>0</v>
      </c>
      <c r="R125">
        <v>0</v>
      </c>
      <c r="S125">
        <v>1.87</v>
      </c>
      <c r="T125" s="112" t="s">
        <v>64</v>
      </c>
      <c r="U125" s="137" t="s">
        <v>403</v>
      </c>
      <c r="V125" s="137" t="s">
        <v>404</v>
      </c>
      <c r="W125" s="69">
        <v>160</v>
      </c>
      <c r="X125" s="136">
        <v>1</v>
      </c>
      <c r="Y125" s="136">
        <v>5</v>
      </c>
      <c r="Z125" s="314"/>
      <c r="AA125" s="319">
        <v>0.5</v>
      </c>
      <c r="AB125" s="315" t="s">
        <v>5178</v>
      </c>
      <c r="AC125" s="319">
        <v>2</v>
      </c>
      <c r="AD125" s="320">
        <v>2.3809523809523801E-2</v>
      </c>
      <c r="AE125" s="319">
        <v>2</v>
      </c>
      <c r="AF125" s="320">
        <v>2.3809523809523801E-2</v>
      </c>
      <c r="AG125" s="319">
        <v>1</v>
      </c>
      <c r="AH125" s="320">
        <v>1.1904761904761901E-2</v>
      </c>
      <c r="AI125" s="319">
        <v>1</v>
      </c>
      <c r="AJ125" s="320">
        <v>1.1904761904761901E-2</v>
      </c>
      <c r="AK125" s="320">
        <v>1.1904761904761901E-2</v>
      </c>
      <c r="AL125" s="319">
        <v>5</v>
      </c>
      <c r="AM125" s="319">
        <v>5</v>
      </c>
      <c r="AN125" s="319">
        <v>2</v>
      </c>
      <c r="AO125" s="319">
        <v>0.4</v>
      </c>
      <c r="AP125">
        <v>5</v>
      </c>
      <c r="AR125" s="136"/>
      <c r="AS125">
        <v>5</v>
      </c>
      <c r="AT125" s="69">
        <v>2.3148</v>
      </c>
      <c r="AU125" s="69">
        <v>2.3148</v>
      </c>
      <c r="AV125" s="69">
        <v>2.3148</v>
      </c>
      <c r="AW125" s="69">
        <v>0.23150000000000001</v>
      </c>
      <c r="BB125" s="69"/>
    </row>
    <row r="126" spans="1:54" customFormat="1" ht="40" customHeight="1">
      <c r="A126" s="313">
        <v>125</v>
      </c>
      <c r="B126" s="136" t="s">
        <v>217</v>
      </c>
      <c r="C126" s="136" t="s">
        <v>45</v>
      </c>
      <c r="D126" s="31">
        <f t="shared" si="6"/>
        <v>4</v>
      </c>
      <c r="E126" s="137" t="s">
        <v>80</v>
      </c>
      <c r="F126" s="31">
        <f t="shared" si="7"/>
        <v>4</v>
      </c>
      <c r="G126" s="137" t="s">
        <v>180</v>
      </c>
      <c r="H126" s="138">
        <v>55</v>
      </c>
      <c r="I126" s="158">
        <f t="shared" si="8"/>
        <v>0.41895146307842995</v>
      </c>
      <c r="J126" s="95">
        <v>4.5783299716939403E-5</v>
      </c>
      <c r="K126" s="137">
        <v>0.83785714285714297</v>
      </c>
      <c r="L126" s="137">
        <v>0.82499999999999996</v>
      </c>
      <c r="M126" s="137">
        <v>0.85714285714285698</v>
      </c>
      <c r="N126" s="136">
        <v>1</v>
      </c>
      <c r="O126" s="32">
        <v>43018</v>
      </c>
      <c r="P126" s="98">
        <f t="shared" si="9"/>
        <v>0</v>
      </c>
      <c r="Q126">
        <v>2.5499999999999998</v>
      </c>
      <c r="R126">
        <v>0</v>
      </c>
      <c r="S126">
        <v>0</v>
      </c>
      <c r="T126" s="112" t="s">
        <v>48</v>
      </c>
      <c r="U126" s="137" t="s">
        <v>405</v>
      </c>
      <c r="V126" s="137" t="s">
        <v>406</v>
      </c>
      <c r="W126" s="69">
        <v>51</v>
      </c>
      <c r="X126" s="136">
        <v>1</v>
      </c>
      <c r="Y126" s="136">
        <v>1</v>
      </c>
      <c r="Z126" s="314"/>
      <c r="AA126" s="319">
        <v>0.5</v>
      </c>
      <c r="AB126" s="315" t="s">
        <v>5176</v>
      </c>
      <c r="AC126" s="319">
        <v>0</v>
      </c>
      <c r="AD126" s="320">
        <v>0</v>
      </c>
      <c r="AE126" s="319">
        <v>2</v>
      </c>
      <c r="AF126" s="320">
        <v>7.1428571428571397E-2</v>
      </c>
      <c r="AG126" s="319">
        <v>1</v>
      </c>
      <c r="AH126" s="320">
        <v>3.5714285714285698E-2</v>
      </c>
      <c r="AI126" s="319">
        <v>0</v>
      </c>
      <c r="AJ126" s="320">
        <v>0</v>
      </c>
      <c r="AK126" s="320">
        <v>0</v>
      </c>
      <c r="AL126" s="319">
        <v>6.75</v>
      </c>
      <c r="AM126" s="319">
        <v>5</v>
      </c>
      <c r="AN126" s="319">
        <v>7.3333333333333304</v>
      </c>
      <c r="AO126" s="319">
        <v>0.63611111111111096</v>
      </c>
      <c r="AP126">
        <v>1</v>
      </c>
      <c r="AQ126">
        <v>1</v>
      </c>
      <c r="AR126" s="136"/>
      <c r="AT126" s="69">
        <v>6.3414000000000001</v>
      </c>
      <c r="AU126" s="69">
        <v>2.3148</v>
      </c>
      <c r="AV126" s="69">
        <v>9.8416999999999994</v>
      </c>
      <c r="AW126" s="69">
        <v>0.61660000000000004</v>
      </c>
      <c r="BB126" s="69"/>
    </row>
    <row r="127" spans="1:54" customFormat="1" ht="40" customHeight="1">
      <c r="A127" s="313">
        <v>126</v>
      </c>
      <c r="B127" s="136" t="s">
        <v>217</v>
      </c>
      <c r="C127" s="136" t="s">
        <v>45</v>
      </c>
      <c r="D127" s="31">
        <f t="shared" si="6"/>
        <v>4</v>
      </c>
      <c r="E127" s="137" t="s">
        <v>46</v>
      </c>
      <c r="F127" s="31">
        <f t="shared" si="7"/>
        <v>6</v>
      </c>
      <c r="G127" s="137" t="s">
        <v>407</v>
      </c>
      <c r="H127" s="138">
        <v>174</v>
      </c>
      <c r="I127" s="158">
        <f t="shared" si="8"/>
        <v>0.37597409064791509</v>
      </c>
      <c r="J127" s="95">
        <v>1.2934777815498701E-7</v>
      </c>
      <c r="K127" s="137">
        <v>0.75194805194805203</v>
      </c>
      <c r="L127" s="137">
        <v>0.68181818181818199</v>
      </c>
      <c r="M127" s="137">
        <v>0.85714285714285698</v>
      </c>
      <c r="N127" s="136">
        <v>1</v>
      </c>
      <c r="O127" s="32">
        <v>43017</v>
      </c>
      <c r="P127" s="98">
        <f t="shared" si="9"/>
        <v>0</v>
      </c>
      <c r="Q127">
        <v>7.65</v>
      </c>
      <c r="R127">
        <v>4.95</v>
      </c>
      <c r="S127">
        <v>0</v>
      </c>
      <c r="T127" s="112" t="s">
        <v>48</v>
      </c>
      <c r="U127" s="137" t="s">
        <v>408</v>
      </c>
      <c r="V127" s="137" t="s">
        <v>409</v>
      </c>
      <c r="W127" s="69">
        <v>66</v>
      </c>
      <c r="X127" s="136">
        <v>1</v>
      </c>
      <c r="Y127" s="136">
        <v>1</v>
      </c>
      <c r="Z127" s="314"/>
      <c r="AA127" s="319">
        <v>0.57350000000000001</v>
      </c>
      <c r="AB127" s="315" t="s">
        <v>5176</v>
      </c>
      <c r="AC127" s="319">
        <v>0</v>
      </c>
      <c r="AD127" s="320">
        <v>0</v>
      </c>
      <c r="AE127" s="319">
        <v>3</v>
      </c>
      <c r="AF127" s="320">
        <v>8.3333333333333301E-2</v>
      </c>
      <c r="AG127" s="319">
        <v>1</v>
      </c>
      <c r="AH127" s="320">
        <v>2.77777777777777E-2</v>
      </c>
      <c r="AI127" s="319">
        <v>0</v>
      </c>
      <c r="AJ127" s="320">
        <v>0</v>
      </c>
      <c r="AK127" s="320">
        <v>2.777777777777778E-2</v>
      </c>
      <c r="AL127" s="319">
        <v>6.75</v>
      </c>
      <c r="AM127" s="319">
        <v>9.5333333333333297</v>
      </c>
      <c r="AN127" s="319">
        <v>8.8333333333333304</v>
      </c>
      <c r="AO127" s="319">
        <v>0.83722222222222198</v>
      </c>
      <c r="AP127">
        <v>1</v>
      </c>
      <c r="AQ127">
        <v>1</v>
      </c>
      <c r="AR127" s="136"/>
      <c r="AT127" s="69">
        <v>6.3414000000000001</v>
      </c>
      <c r="AU127" s="69">
        <v>9.6544000000000008</v>
      </c>
      <c r="AV127" s="69">
        <v>9.9641999999999999</v>
      </c>
      <c r="AW127" s="69">
        <v>0.86529999999999996</v>
      </c>
      <c r="BB127" s="69"/>
    </row>
    <row r="128" spans="1:54" customFormat="1" ht="40" customHeight="1">
      <c r="A128" s="313">
        <v>127</v>
      </c>
      <c r="B128" s="136" t="s">
        <v>217</v>
      </c>
      <c r="C128" s="136" t="s">
        <v>45</v>
      </c>
      <c r="D128" s="31">
        <f t="shared" si="6"/>
        <v>4</v>
      </c>
      <c r="E128" s="137" t="s">
        <v>80</v>
      </c>
      <c r="F128" s="31">
        <f t="shared" si="7"/>
        <v>4</v>
      </c>
      <c r="G128" s="137" t="s">
        <v>410</v>
      </c>
      <c r="H128" s="138">
        <v>75</v>
      </c>
      <c r="I128" s="158">
        <f t="shared" si="8"/>
        <v>0.39843287059396892</v>
      </c>
      <c r="J128" s="95">
        <v>8.4007304901689795E-4</v>
      </c>
      <c r="K128" s="137">
        <v>0.79602566813892095</v>
      </c>
      <c r="L128" s="137">
        <v>0.82499999999999996</v>
      </c>
      <c r="M128" s="137">
        <v>0.75256417034730305</v>
      </c>
      <c r="N128" s="136">
        <v>1</v>
      </c>
      <c r="O128" s="32">
        <v>43016</v>
      </c>
      <c r="P128" s="98">
        <f t="shared" si="9"/>
        <v>1</v>
      </c>
      <c r="Q128">
        <v>0</v>
      </c>
      <c r="R128">
        <v>1.65</v>
      </c>
      <c r="S128">
        <v>0</v>
      </c>
      <c r="T128" s="112" t="s">
        <v>73</v>
      </c>
      <c r="U128" s="137" t="s">
        <v>411</v>
      </c>
      <c r="V128" s="137" t="s">
        <v>412</v>
      </c>
      <c r="W128" s="69">
        <v>90</v>
      </c>
      <c r="X128" s="136">
        <v>1</v>
      </c>
      <c r="Y128" s="136">
        <v>3</v>
      </c>
      <c r="Z128" s="314"/>
      <c r="AA128" s="319">
        <v>0.60499999999999998</v>
      </c>
      <c r="AB128" s="315" t="s">
        <v>5176</v>
      </c>
      <c r="AC128" s="319">
        <v>1</v>
      </c>
      <c r="AD128" s="320">
        <v>0.02</v>
      </c>
      <c r="AE128" s="319">
        <v>2</v>
      </c>
      <c r="AF128" s="320">
        <v>0.04</v>
      </c>
      <c r="AG128" s="319">
        <v>1</v>
      </c>
      <c r="AH128" s="320">
        <v>0.02</v>
      </c>
      <c r="AI128" s="319">
        <v>0</v>
      </c>
      <c r="AJ128" s="320">
        <v>0</v>
      </c>
      <c r="AK128" s="320">
        <v>0.04</v>
      </c>
      <c r="AL128" s="319">
        <v>5</v>
      </c>
      <c r="AM128" s="319">
        <v>6.2</v>
      </c>
      <c r="AN128" s="319">
        <v>2</v>
      </c>
      <c r="AO128" s="319">
        <v>0.44</v>
      </c>
      <c r="AP128">
        <v>3</v>
      </c>
      <c r="AR128" s="136">
        <v>3</v>
      </c>
      <c r="AT128" s="69">
        <v>2.3148</v>
      </c>
      <c r="AU128" s="69">
        <v>5</v>
      </c>
      <c r="AV128" s="69">
        <v>2.3148</v>
      </c>
      <c r="AW128" s="69">
        <v>0.32100000000000001</v>
      </c>
      <c r="BB128" s="69"/>
    </row>
    <row r="129" spans="1:54" customFormat="1" ht="40" customHeight="1">
      <c r="A129" s="313">
        <v>128</v>
      </c>
      <c r="B129" s="136" t="s">
        <v>217</v>
      </c>
      <c r="C129" s="136" t="s">
        <v>45</v>
      </c>
      <c r="D129" s="31">
        <f t="shared" si="6"/>
        <v>4</v>
      </c>
      <c r="E129" s="137" t="s">
        <v>80</v>
      </c>
      <c r="F129" s="31">
        <f t="shared" si="7"/>
        <v>4</v>
      </c>
      <c r="G129" s="137" t="s">
        <v>180</v>
      </c>
      <c r="H129" s="138">
        <v>45</v>
      </c>
      <c r="I129" s="158">
        <f t="shared" si="8"/>
        <v>0.40218064187433117</v>
      </c>
      <c r="J129" s="95">
        <v>2.3646998034376299E-2</v>
      </c>
      <c r="K129" s="137">
        <v>0.78071428571428603</v>
      </c>
      <c r="L129" s="137">
        <v>0.82499999999999996</v>
      </c>
      <c r="M129" s="137">
        <v>0.71428571428571397</v>
      </c>
      <c r="N129" s="136">
        <v>1</v>
      </c>
      <c r="O129" s="32">
        <v>43013</v>
      </c>
      <c r="P129" s="98">
        <f t="shared" si="9"/>
        <v>0</v>
      </c>
      <c r="Q129">
        <v>5.0999999999999996</v>
      </c>
      <c r="R129">
        <v>0</v>
      </c>
      <c r="S129">
        <v>0</v>
      </c>
      <c r="T129" s="112" t="s">
        <v>48</v>
      </c>
      <c r="U129" s="137" t="s">
        <v>413</v>
      </c>
      <c r="V129" s="137" t="s">
        <v>414</v>
      </c>
      <c r="W129" s="69">
        <v>39</v>
      </c>
      <c r="X129" s="136">
        <v>1</v>
      </c>
      <c r="Y129" s="136">
        <v>4</v>
      </c>
      <c r="Z129" s="314"/>
      <c r="AA129" s="319">
        <v>0.59450000000000003</v>
      </c>
      <c r="AB129" s="315" t="s">
        <v>5176</v>
      </c>
      <c r="AC129" s="319">
        <v>0</v>
      </c>
      <c r="AD129" s="320">
        <v>0</v>
      </c>
      <c r="AE129" s="319">
        <v>3</v>
      </c>
      <c r="AF129" s="320">
        <v>0.13043478260869501</v>
      </c>
      <c r="AG129" s="319">
        <v>0</v>
      </c>
      <c r="AH129" s="320">
        <v>0</v>
      </c>
      <c r="AI129" s="319">
        <v>0</v>
      </c>
      <c r="AJ129" s="320">
        <v>0</v>
      </c>
      <c r="AK129" s="320">
        <v>4.3478260869565223E-2</v>
      </c>
      <c r="AL129" s="319">
        <v>6.75</v>
      </c>
      <c r="AM129" s="319">
        <v>6.2</v>
      </c>
      <c r="AN129" s="319">
        <v>7.3333333333333304</v>
      </c>
      <c r="AO129" s="319">
        <v>0.676111111111111</v>
      </c>
      <c r="AP129">
        <v>4</v>
      </c>
      <c r="AQ129">
        <v>4</v>
      </c>
      <c r="AR129" s="136"/>
      <c r="AT129" s="69">
        <v>6.3414000000000001</v>
      </c>
      <c r="AU129" s="69">
        <v>5</v>
      </c>
      <c r="AV129" s="69">
        <v>9.8416999999999994</v>
      </c>
      <c r="AW129" s="69">
        <v>0.70609999999999995</v>
      </c>
      <c r="BB129" s="69"/>
    </row>
    <row r="130" spans="1:54" customFormat="1" ht="40" customHeight="1">
      <c r="A130" s="313">
        <v>129</v>
      </c>
      <c r="B130" s="136" t="s">
        <v>217</v>
      </c>
      <c r="C130" s="136" t="s">
        <v>119</v>
      </c>
      <c r="D130" s="31">
        <f t="shared" ref="D130:D193" si="10">IF(C130="投诉",4,IF(C130="建议",1,IF(C130="举报",2,IF(C130="求助",3,5))))</f>
        <v>1</v>
      </c>
      <c r="E130" s="137" t="s">
        <v>46</v>
      </c>
      <c r="F130" s="31">
        <f t="shared" ref="F130:F193" si="11">IF(E130="12345app",1,IF(E130="e福州app",2,IF(E130="qq",3,IF(E130="电话",4,IF(E130="短信",5,IF(E130="网站",6,IF(E130="微博",7,IF(E130="微信",8,9))))))))</f>
        <v>6</v>
      </c>
      <c r="G130" s="137" t="s">
        <v>415</v>
      </c>
      <c r="H130" s="138">
        <v>138</v>
      </c>
      <c r="I130" s="158">
        <f t="shared" ref="I130:I193" si="12">(J130+K130)/2</f>
        <v>0.85499341793329997</v>
      </c>
      <c r="J130" s="95">
        <v>0.99995767831135296</v>
      </c>
      <c r="K130" s="137">
        <v>0.71002915755524698</v>
      </c>
      <c r="L130" s="137">
        <v>0.75</v>
      </c>
      <c r="M130" s="137">
        <v>0.65007289388811795</v>
      </c>
      <c r="N130" s="136">
        <v>0</v>
      </c>
      <c r="O130" s="32">
        <v>43013</v>
      </c>
      <c r="P130" s="98">
        <f t="shared" ref="P130:P193" si="13">IF(T130="利己",0,IF(T130="生态",2,1))</f>
        <v>1</v>
      </c>
      <c r="Q130">
        <v>2.5499999999999998</v>
      </c>
      <c r="R130">
        <v>3.3</v>
      </c>
      <c r="S130">
        <v>0</v>
      </c>
      <c r="T130" s="112" t="s">
        <v>73</v>
      </c>
      <c r="U130" s="137" t="s">
        <v>416</v>
      </c>
      <c r="V130" s="137" t="s">
        <v>417</v>
      </c>
      <c r="W130" s="69">
        <v>131</v>
      </c>
      <c r="X130" s="136">
        <v>1</v>
      </c>
      <c r="Y130" s="136">
        <v>6</v>
      </c>
      <c r="Z130" s="314"/>
      <c r="AA130" s="319">
        <v>0.54500000000000004</v>
      </c>
      <c r="AB130" s="315" t="s">
        <v>5176</v>
      </c>
      <c r="AC130" s="319">
        <v>2</v>
      </c>
      <c r="AD130" s="320">
        <v>2.77777777777777E-2</v>
      </c>
      <c r="AE130" s="319">
        <v>4</v>
      </c>
      <c r="AF130" s="320">
        <v>5.5555555555555497E-2</v>
      </c>
      <c r="AG130" s="319">
        <v>1</v>
      </c>
      <c r="AH130" s="320">
        <v>1.38888888888888E-2</v>
      </c>
      <c r="AI130" s="319">
        <v>0</v>
      </c>
      <c r="AJ130" s="320">
        <v>0</v>
      </c>
      <c r="AK130" s="320">
        <v>2.777777777777778E-2</v>
      </c>
      <c r="AL130" s="319">
        <v>5</v>
      </c>
      <c r="AM130" s="319">
        <v>5</v>
      </c>
      <c r="AN130" s="319">
        <v>2</v>
      </c>
      <c r="AO130" s="319">
        <v>0.4</v>
      </c>
      <c r="AP130">
        <v>6</v>
      </c>
      <c r="AR130" s="136">
        <v>6</v>
      </c>
      <c r="AT130" s="69">
        <v>2.3148</v>
      </c>
      <c r="AU130" s="69">
        <v>2.3148</v>
      </c>
      <c r="AV130" s="69">
        <v>2.3148</v>
      </c>
      <c r="AW130" s="69">
        <v>0.23150000000000001</v>
      </c>
      <c r="BB130" s="69"/>
    </row>
    <row r="131" spans="1:54" customFormat="1" ht="40" customHeight="1">
      <c r="A131" s="313">
        <v>130</v>
      </c>
      <c r="B131" s="136" t="s">
        <v>217</v>
      </c>
      <c r="C131" s="136" t="s">
        <v>45</v>
      </c>
      <c r="D131" s="31">
        <f t="shared" si="10"/>
        <v>4</v>
      </c>
      <c r="E131" s="137" t="s">
        <v>80</v>
      </c>
      <c r="F131" s="31">
        <f t="shared" si="11"/>
        <v>4</v>
      </c>
      <c r="G131" s="137" t="s">
        <v>418</v>
      </c>
      <c r="H131" s="138">
        <v>60</v>
      </c>
      <c r="I131" s="158">
        <f t="shared" si="12"/>
        <v>0.76504560622936701</v>
      </c>
      <c r="J131" s="95">
        <v>0.915697248208315</v>
      </c>
      <c r="K131" s="137">
        <v>0.61439396425041903</v>
      </c>
      <c r="L131" s="137">
        <v>0.75</v>
      </c>
      <c r="M131" s="137">
        <v>0.41098491062604903</v>
      </c>
      <c r="N131" s="136">
        <v>1</v>
      </c>
      <c r="O131" s="32">
        <v>43007</v>
      </c>
      <c r="P131" s="98">
        <f t="shared" si="13"/>
        <v>1</v>
      </c>
      <c r="Q131">
        <v>0</v>
      </c>
      <c r="R131">
        <v>1.65</v>
      </c>
      <c r="S131">
        <v>0</v>
      </c>
      <c r="T131" s="112" t="s">
        <v>73</v>
      </c>
      <c r="U131" s="137" t="s">
        <v>419</v>
      </c>
      <c r="V131" s="137" t="s">
        <v>420</v>
      </c>
      <c r="W131" s="69">
        <v>132</v>
      </c>
      <c r="X131" s="136">
        <v>1</v>
      </c>
      <c r="Y131" s="136">
        <v>17</v>
      </c>
      <c r="Z131" s="314"/>
      <c r="AA131" s="319">
        <v>0.59450000000000003</v>
      </c>
      <c r="AB131" s="315" t="s">
        <v>5176</v>
      </c>
      <c r="AC131" s="319">
        <v>1</v>
      </c>
      <c r="AD131" s="320">
        <v>1.3157894736842099E-2</v>
      </c>
      <c r="AE131" s="319">
        <v>3</v>
      </c>
      <c r="AF131" s="320">
        <v>3.94736842105263E-2</v>
      </c>
      <c r="AG131" s="319">
        <v>2</v>
      </c>
      <c r="AH131" s="320">
        <v>2.6315789473684199E-2</v>
      </c>
      <c r="AI131" s="319">
        <v>0</v>
      </c>
      <c r="AJ131" s="320">
        <v>0</v>
      </c>
      <c r="AK131" s="320">
        <v>1.3157894736842099E-2</v>
      </c>
      <c r="AL131" s="319">
        <v>5</v>
      </c>
      <c r="AM131" s="319">
        <v>6.2</v>
      </c>
      <c r="AN131" s="319">
        <v>4.6666666666666599</v>
      </c>
      <c r="AO131" s="319">
        <v>0.52888888888888796</v>
      </c>
      <c r="AP131">
        <v>17</v>
      </c>
      <c r="AR131" s="136">
        <v>17</v>
      </c>
      <c r="AT131" s="69">
        <v>2.3148</v>
      </c>
      <c r="AU131" s="69">
        <v>5</v>
      </c>
      <c r="AV131" s="69">
        <v>8.1305999999999994</v>
      </c>
      <c r="AW131" s="69">
        <v>0.51480000000000004</v>
      </c>
      <c r="BB131" s="69"/>
    </row>
    <row r="132" spans="1:54" customFormat="1" ht="40" customHeight="1">
      <c r="A132" s="313">
        <v>131</v>
      </c>
      <c r="B132" s="136" t="s">
        <v>217</v>
      </c>
      <c r="C132" s="136" t="s">
        <v>45</v>
      </c>
      <c r="D132" s="31">
        <f t="shared" si="10"/>
        <v>4</v>
      </c>
      <c r="E132" s="137" t="s">
        <v>80</v>
      </c>
      <c r="F132" s="31">
        <f t="shared" si="11"/>
        <v>4</v>
      </c>
      <c r="G132" s="137" t="s">
        <v>359</v>
      </c>
      <c r="H132" s="138">
        <v>42</v>
      </c>
      <c r="I132" s="158">
        <f t="shared" si="12"/>
        <v>0.40339580990453844</v>
      </c>
      <c r="J132" s="95">
        <v>3.7603823373253902E-2</v>
      </c>
      <c r="K132" s="137">
        <v>0.76918779643582302</v>
      </c>
      <c r="L132" s="137">
        <v>0.75</v>
      </c>
      <c r="M132" s="137">
        <v>0.79796949108955795</v>
      </c>
      <c r="N132" s="136">
        <v>1</v>
      </c>
      <c r="O132" s="32">
        <v>43005</v>
      </c>
      <c r="P132" s="98">
        <f t="shared" si="13"/>
        <v>0</v>
      </c>
      <c r="Q132">
        <v>0</v>
      </c>
      <c r="R132">
        <v>0</v>
      </c>
      <c r="S132">
        <v>0</v>
      </c>
      <c r="T132" s="112" t="s">
        <v>48</v>
      </c>
      <c r="U132" s="137" t="s">
        <v>421</v>
      </c>
      <c r="V132" s="137" t="s">
        <v>422</v>
      </c>
      <c r="W132" s="69">
        <v>29</v>
      </c>
      <c r="X132" s="136">
        <v>1</v>
      </c>
      <c r="Y132" s="136">
        <v>2</v>
      </c>
      <c r="Z132" s="314"/>
      <c r="AA132" s="319">
        <v>0.54500000000000004</v>
      </c>
      <c r="AB132" s="315" t="s">
        <v>5176</v>
      </c>
      <c r="AC132" s="319">
        <v>0</v>
      </c>
      <c r="AD132" s="320">
        <v>0</v>
      </c>
      <c r="AE132" s="319">
        <v>2</v>
      </c>
      <c r="AF132" s="320">
        <v>0.133333333333333</v>
      </c>
      <c r="AG132" s="319">
        <v>0</v>
      </c>
      <c r="AH132" s="320">
        <v>0</v>
      </c>
      <c r="AI132" s="319">
        <v>0</v>
      </c>
      <c r="AJ132" s="320">
        <v>0</v>
      </c>
      <c r="AK132" s="320">
        <v>0</v>
      </c>
      <c r="AL132" s="319">
        <v>5</v>
      </c>
      <c r="AM132" s="319">
        <v>6.2</v>
      </c>
      <c r="AN132" s="319">
        <v>4.6666666666666599</v>
      </c>
      <c r="AO132" s="319">
        <v>0.52888888888888796</v>
      </c>
      <c r="AP132">
        <v>2</v>
      </c>
      <c r="AQ132">
        <v>2</v>
      </c>
      <c r="AR132" s="136"/>
      <c r="AT132" s="69">
        <v>2.3148</v>
      </c>
      <c r="AU132" s="69">
        <v>5</v>
      </c>
      <c r="AV132" s="69">
        <v>8.1305999999999994</v>
      </c>
      <c r="AW132" s="69">
        <v>0.51480000000000004</v>
      </c>
      <c r="BB132" s="69"/>
    </row>
    <row r="133" spans="1:54" customFormat="1" ht="40" customHeight="1">
      <c r="A133" s="313">
        <v>132</v>
      </c>
      <c r="B133" s="136" t="s">
        <v>217</v>
      </c>
      <c r="C133" s="136" t="s">
        <v>45</v>
      </c>
      <c r="D133" s="31">
        <f t="shared" si="10"/>
        <v>4</v>
      </c>
      <c r="E133" s="137" t="s">
        <v>46</v>
      </c>
      <c r="F133" s="31">
        <f t="shared" si="11"/>
        <v>6</v>
      </c>
      <c r="G133" s="137" t="s">
        <v>423</v>
      </c>
      <c r="H133" s="138">
        <v>235</v>
      </c>
      <c r="I133" s="158">
        <f t="shared" si="12"/>
        <v>0.32296003018455921</v>
      </c>
      <c r="J133" s="95">
        <v>1.4432899320127E-14</v>
      </c>
      <c r="K133" s="137">
        <v>0.64592006036910399</v>
      </c>
      <c r="L133" s="137">
        <v>0.82499999999999996</v>
      </c>
      <c r="M133" s="137">
        <v>0.37730015092276098</v>
      </c>
      <c r="N133" s="136">
        <v>1</v>
      </c>
      <c r="O133" s="32">
        <v>43005</v>
      </c>
      <c r="P133" s="98">
        <f t="shared" si="13"/>
        <v>0</v>
      </c>
      <c r="Q133">
        <v>2.5499999999999998</v>
      </c>
      <c r="R133">
        <v>1.65</v>
      </c>
      <c r="S133">
        <v>1.87</v>
      </c>
      <c r="T133" s="112" t="s">
        <v>48</v>
      </c>
      <c r="U133" s="137" t="s">
        <v>424</v>
      </c>
      <c r="V133" s="137" t="s">
        <v>425</v>
      </c>
      <c r="W133" s="69">
        <v>145</v>
      </c>
      <c r="X133" s="136">
        <v>1</v>
      </c>
      <c r="Y133" s="136">
        <v>19</v>
      </c>
      <c r="Z133" s="314"/>
      <c r="AA133" s="319">
        <v>0.53</v>
      </c>
      <c r="AB133" s="315" t="s">
        <v>5176</v>
      </c>
      <c r="AC133" s="319">
        <v>1</v>
      </c>
      <c r="AD133" s="320">
        <v>1.1764705882352899E-2</v>
      </c>
      <c r="AE133" s="319">
        <v>3</v>
      </c>
      <c r="AF133" s="320">
        <v>3.5294117647058802E-2</v>
      </c>
      <c r="AG133" s="319">
        <v>2</v>
      </c>
      <c r="AH133" s="320">
        <v>2.3529411764705799E-2</v>
      </c>
      <c r="AI133" s="319">
        <v>0</v>
      </c>
      <c r="AJ133" s="320">
        <v>0</v>
      </c>
      <c r="AK133" s="320">
        <v>2.3529411764705879E-2</v>
      </c>
      <c r="AL133" s="319">
        <v>6.75</v>
      </c>
      <c r="AM133" s="319">
        <v>5</v>
      </c>
      <c r="AN133" s="319">
        <v>6.1666666666666599</v>
      </c>
      <c r="AO133" s="319">
        <v>0.59722222222222199</v>
      </c>
      <c r="AP133">
        <v>19</v>
      </c>
      <c r="AR133" s="136">
        <v>19</v>
      </c>
      <c r="AT133" s="69">
        <v>6.3414000000000001</v>
      </c>
      <c r="AU133" s="69">
        <v>2.3148</v>
      </c>
      <c r="AV133" s="69">
        <v>9.5120000000000005</v>
      </c>
      <c r="AW133" s="69">
        <v>0.60560000000000003</v>
      </c>
      <c r="BB133" s="69"/>
    </row>
    <row r="134" spans="1:54" customFormat="1" ht="40" customHeight="1">
      <c r="A134" s="313">
        <v>133</v>
      </c>
      <c r="B134" s="136" t="s">
        <v>217</v>
      </c>
      <c r="C134" s="136" t="s">
        <v>45</v>
      </c>
      <c r="D134" s="31">
        <f t="shared" si="10"/>
        <v>4</v>
      </c>
      <c r="E134" s="137" t="s">
        <v>80</v>
      </c>
      <c r="F134" s="31">
        <f t="shared" si="11"/>
        <v>4</v>
      </c>
      <c r="G134" s="137" t="s">
        <v>180</v>
      </c>
      <c r="H134" s="138">
        <v>34</v>
      </c>
      <c r="I134" s="158">
        <f t="shared" si="12"/>
        <v>0.38298540696922534</v>
      </c>
      <c r="J134" s="95">
        <v>2.2156603142141601E-2</v>
      </c>
      <c r="K134" s="137">
        <v>0.74381421079630905</v>
      </c>
      <c r="L134" s="137">
        <v>0.82499999999999996</v>
      </c>
      <c r="M134" s="137">
        <v>0.62203552699077302</v>
      </c>
      <c r="N134" s="136">
        <v>1</v>
      </c>
      <c r="O134" s="32">
        <v>42993</v>
      </c>
      <c r="P134" s="98">
        <f t="shared" si="13"/>
        <v>0</v>
      </c>
      <c r="Q134">
        <v>2.5499999999999998</v>
      </c>
      <c r="R134">
        <v>0</v>
      </c>
      <c r="S134">
        <v>0</v>
      </c>
      <c r="T134" s="112" t="s">
        <v>48</v>
      </c>
      <c r="U134" s="137" t="s">
        <v>426</v>
      </c>
      <c r="V134" s="137" t="s">
        <v>427</v>
      </c>
      <c r="W134" s="69">
        <v>38</v>
      </c>
      <c r="X134" s="136">
        <v>1</v>
      </c>
      <c r="Y134" s="136">
        <v>7</v>
      </c>
      <c r="Z134" s="314"/>
      <c r="AA134" s="319">
        <v>0.54500000000000004</v>
      </c>
      <c r="AB134" s="315" t="s">
        <v>5176</v>
      </c>
      <c r="AC134" s="319">
        <v>0</v>
      </c>
      <c r="AD134" s="320">
        <v>0</v>
      </c>
      <c r="AE134" s="319">
        <v>3</v>
      </c>
      <c r="AF134" s="320">
        <v>0.14285714285714199</v>
      </c>
      <c r="AG134" s="319">
        <v>0</v>
      </c>
      <c r="AH134" s="320">
        <v>0</v>
      </c>
      <c r="AI134" s="319">
        <v>0</v>
      </c>
      <c r="AJ134" s="320">
        <v>0</v>
      </c>
      <c r="AK134" s="320">
        <v>4.7619047619047623E-2</v>
      </c>
      <c r="AL134" s="319">
        <v>6.75</v>
      </c>
      <c r="AM134" s="319">
        <v>5</v>
      </c>
      <c r="AN134" s="319">
        <v>7.3333333333333304</v>
      </c>
      <c r="AO134" s="319">
        <v>0.63611111111111096</v>
      </c>
      <c r="AP134">
        <v>7</v>
      </c>
      <c r="AQ134">
        <v>7</v>
      </c>
      <c r="AR134" s="136"/>
      <c r="AT134" s="69">
        <v>6.3414000000000001</v>
      </c>
      <c r="AU134" s="69">
        <v>2.3148</v>
      </c>
      <c r="AV134" s="69">
        <v>9.8416999999999994</v>
      </c>
      <c r="AW134" s="69">
        <v>0.61660000000000004</v>
      </c>
      <c r="BB134" s="69"/>
    </row>
    <row r="135" spans="1:54" customFormat="1" ht="40" customHeight="1">
      <c r="A135" s="313">
        <v>134</v>
      </c>
      <c r="B135" s="136" t="s">
        <v>217</v>
      </c>
      <c r="C135" s="136" t="s">
        <v>45</v>
      </c>
      <c r="D135" s="31">
        <f t="shared" si="10"/>
        <v>4</v>
      </c>
      <c r="E135" s="137" t="s">
        <v>80</v>
      </c>
      <c r="F135" s="31">
        <f t="shared" si="11"/>
        <v>4</v>
      </c>
      <c r="G135" s="137" t="s">
        <v>180</v>
      </c>
      <c r="H135" s="138">
        <v>65</v>
      </c>
      <c r="I135" s="158">
        <f t="shared" si="12"/>
        <v>0.49353491264941896</v>
      </c>
      <c r="J135" s="95">
        <v>0.149212682441695</v>
      </c>
      <c r="K135" s="137">
        <v>0.83785714285714297</v>
      </c>
      <c r="L135" s="137">
        <v>0.82499999999999996</v>
      </c>
      <c r="M135" s="137">
        <v>0.85714285714285698</v>
      </c>
      <c r="N135" s="136">
        <v>1</v>
      </c>
      <c r="O135" s="32">
        <v>42991</v>
      </c>
      <c r="P135" s="98">
        <f t="shared" si="13"/>
        <v>0</v>
      </c>
      <c r="Q135">
        <v>7.65</v>
      </c>
      <c r="R135">
        <v>1.65</v>
      </c>
      <c r="S135">
        <v>0</v>
      </c>
      <c r="T135" s="112" t="s">
        <v>48</v>
      </c>
      <c r="U135" s="137" t="s">
        <v>428</v>
      </c>
      <c r="V135" s="137" t="s">
        <v>429</v>
      </c>
      <c r="W135" s="69">
        <v>43</v>
      </c>
      <c r="X135" s="136">
        <v>1</v>
      </c>
      <c r="Y135" s="136">
        <v>1</v>
      </c>
      <c r="Z135" s="314"/>
      <c r="AA135" s="319">
        <v>0.60499999999999998</v>
      </c>
      <c r="AB135" s="315" t="s">
        <v>5178</v>
      </c>
      <c r="AC135" s="319">
        <v>1</v>
      </c>
      <c r="AD135" s="320">
        <v>4.3478260869565202E-2</v>
      </c>
      <c r="AE135" s="319">
        <v>1</v>
      </c>
      <c r="AF135" s="320">
        <v>4.3478260869565202E-2</v>
      </c>
      <c r="AG135" s="319">
        <v>0</v>
      </c>
      <c r="AH135" s="320">
        <v>0</v>
      </c>
      <c r="AI135" s="319">
        <v>0</v>
      </c>
      <c r="AJ135" s="320">
        <v>0</v>
      </c>
      <c r="AK135" s="320">
        <v>0</v>
      </c>
      <c r="AL135" s="319">
        <v>6.75</v>
      </c>
      <c r="AM135" s="319">
        <v>6.2</v>
      </c>
      <c r="AN135" s="319">
        <v>2</v>
      </c>
      <c r="AO135" s="319">
        <v>0.49833333333333302</v>
      </c>
      <c r="AP135">
        <v>1</v>
      </c>
      <c r="AQ135">
        <v>1</v>
      </c>
      <c r="AR135" s="136"/>
      <c r="AT135" s="69">
        <v>6.3414000000000001</v>
      </c>
      <c r="AU135" s="69">
        <v>5</v>
      </c>
      <c r="AV135" s="69">
        <v>2.3148</v>
      </c>
      <c r="AW135" s="69">
        <v>0.45519999999999999</v>
      </c>
      <c r="BB135" s="69"/>
    </row>
    <row r="136" spans="1:54" customFormat="1" ht="40" customHeight="1">
      <c r="A136" s="313">
        <v>135</v>
      </c>
      <c r="B136" s="136" t="s">
        <v>217</v>
      </c>
      <c r="C136" s="136" t="s">
        <v>59</v>
      </c>
      <c r="D136" s="31">
        <f t="shared" si="10"/>
        <v>5</v>
      </c>
      <c r="E136" s="137" t="s">
        <v>46</v>
      </c>
      <c r="F136" s="31">
        <f t="shared" si="11"/>
        <v>6</v>
      </c>
      <c r="G136" s="137" t="s">
        <v>430</v>
      </c>
      <c r="H136" s="138">
        <v>218</v>
      </c>
      <c r="I136" s="158">
        <f t="shared" si="12"/>
        <v>0.79342413764622655</v>
      </c>
      <c r="J136" s="95">
        <v>0.999942404090434</v>
      </c>
      <c r="K136" s="137">
        <v>0.58690587120201898</v>
      </c>
      <c r="L136" s="137">
        <v>0.56348610067618299</v>
      </c>
      <c r="M136" s="137">
        <v>0.62203552699077302</v>
      </c>
      <c r="N136" s="136">
        <v>1</v>
      </c>
      <c r="O136" s="32">
        <v>42989</v>
      </c>
      <c r="P136" s="98">
        <f t="shared" si="13"/>
        <v>0</v>
      </c>
      <c r="Q136">
        <v>5.0999999999999996</v>
      </c>
      <c r="R136">
        <v>6.6</v>
      </c>
      <c r="S136">
        <v>0</v>
      </c>
      <c r="T136" s="112" t="s">
        <v>48</v>
      </c>
      <c r="U136" s="137" t="s">
        <v>431</v>
      </c>
      <c r="V136" s="137" t="s">
        <v>432</v>
      </c>
      <c r="W136" s="69">
        <v>490</v>
      </c>
      <c r="X136" s="136">
        <v>3</v>
      </c>
      <c r="Y136" s="136">
        <v>7</v>
      </c>
      <c r="Z136" s="314"/>
      <c r="AA136" s="319">
        <v>3.0121176362557602E-2</v>
      </c>
      <c r="AB136" s="315" t="s">
        <v>5176</v>
      </c>
      <c r="AC136" s="319">
        <v>3</v>
      </c>
      <c r="AD136" s="320">
        <v>1.0563380281690101E-2</v>
      </c>
      <c r="AE136" s="319">
        <v>5</v>
      </c>
      <c r="AF136" s="320">
        <v>1.7605633802816899E-2</v>
      </c>
      <c r="AG136" s="319">
        <v>4</v>
      </c>
      <c r="AH136" s="320">
        <v>1.4084507042253501E-2</v>
      </c>
      <c r="AI136" s="319">
        <v>4</v>
      </c>
      <c r="AJ136" s="320">
        <v>1.4084507042253501E-2</v>
      </c>
      <c r="AK136" s="320">
        <v>2.8571428571428571E-2</v>
      </c>
      <c r="AL136" s="319">
        <v>5</v>
      </c>
      <c r="AM136" s="319">
        <v>6.2</v>
      </c>
      <c r="AN136" s="319">
        <v>3.5</v>
      </c>
      <c r="AO136" s="319">
        <v>0.49</v>
      </c>
      <c r="AP136">
        <v>7</v>
      </c>
      <c r="AR136" s="136">
        <v>7</v>
      </c>
      <c r="AT136" s="69">
        <v>2.3148</v>
      </c>
      <c r="AU136" s="69">
        <v>5</v>
      </c>
      <c r="AV136" s="69">
        <v>5.7443999999999997</v>
      </c>
      <c r="AW136" s="69">
        <v>0.43530000000000002</v>
      </c>
      <c r="BB136" s="69"/>
    </row>
    <row r="137" spans="1:54" customFormat="1" ht="40" customHeight="1">
      <c r="A137" s="313">
        <v>136</v>
      </c>
      <c r="B137" s="136" t="s">
        <v>217</v>
      </c>
      <c r="C137" s="136" t="s">
        <v>59</v>
      </c>
      <c r="D137" s="31">
        <f t="shared" si="10"/>
        <v>5</v>
      </c>
      <c r="E137" s="137" t="s">
        <v>46</v>
      </c>
      <c r="F137" s="31">
        <f t="shared" si="11"/>
        <v>6</v>
      </c>
      <c r="G137" s="137" t="s">
        <v>433</v>
      </c>
      <c r="H137" s="138">
        <v>187</v>
      </c>
      <c r="I137" s="158">
        <f t="shared" si="12"/>
        <v>0.33062754521594118</v>
      </c>
      <c r="J137" s="95">
        <v>3.9756335903493598E-3</v>
      </c>
      <c r="K137" s="137">
        <v>0.65727945684153299</v>
      </c>
      <c r="L137" s="137">
        <v>0.56348610067618299</v>
      </c>
      <c r="M137" s="137">
        <v>0.79796949108955795</v>
      </c>
      <c r="N137" s="136">
        <v>1</v>
      </c>
      <c r="O137" s="32">
        <v>42987</v>
      </c>
      <c r="P137" s="98">
        <f t="shared" si="13"/>
        <v>0</v>
      </c>
      <c r="Q137">
        <v>7.65</v>
      </c>
      <c r="R137">
        <v>3.3</v>
      </c>
      <c r="S137">
        <v>0</v>
      </c>
      <c r="T137" s="112" t="s">
        <v>48</v>
      </c>
      <c r="U137" s="137" t="s">
        <v>434</v>
      </c>
      <c r="V137" s="137" t="s">
        <v>435</v>
      </c>
      <c r="W137" s="69">
        <v>153</v>
      </c>
      <c r="X137" s="136">
        <v>1</v>
      </c>
      <c r="Y137" s="136">
        <v>2</v>
      </c>
      <c r="Z137" s="314"/>
      <c r="AA137" s="319">
        <v>2.4893534183931899E-2</v>
      </c>
      <c r="AB137" s="315" t="s">
        <v>5179</v>
      </c>
      <c r="AC137" s="319">
        <v>2</v>
      </c>
      <c r="AD137" s="320">
        <v>2.2222222222222199E-2</v>
      </c>
      <c r="AE137" s="319">
        <v>2</v>
      </c>
      <c r="AF137" s="320">
        <v>2.2222222222222199E-2</v>
      </c>
      <c r="AG137" s="319">
        <v>2</v>
      </c>
      <c r="AH137" s="320">
        <v>2.2222222222222199E-2</v>
      </c>
      <c r="AI137" s="319">
        <v>0</v>
      </c>
      <c r="AJ137" s="320">
        <v>0</v>
      </c>
      <c r="AK137" s="320">
        <v>2.222222222222222E-2</v>
      </c>
      <c r="AL137" s="319">
        <v>5</v>
      </c>
      <c r="AM137" s="319">
        <v>5</v>
      </c>
      <c r="AN137" s="319">
        <v>6.1666666666666599</v>
      </c>
      <c r="AO137" s="319">
        <v>0.53888888888888797</v>
      </c>
      <c r="AP137">
        <v>2</v>
      </c>
      <c r="AR137" s="136">
        <v>2</v>
      </c>
      <c r="AT137" s="69">
        <v>2.3148</v>
      </c>
      <c r="AU137" s="69">
        <v>2.3148</v>
      </c>
      <c r="AV137" s="69">
        <v>9.5120000000000005</v>
      </c>
      <c r="AW137" s="69">
        <v>0.47139999999999999</v>
      </c>
      <c r="BB137" s="69"/>
    </row>
    <row r="138" spans="1:54" customFormat="1" ht="40" customHeight="1">
      <c r="A138" s="313">
        <v>137</v>
      </c>
      <c r="B138" s="136" t="s">
        <v>217</v>
      </c>
      <c r="C138" s="136" t="s">
        <v>45</v>
      </c>
      <c r="D138" s="31">
        <f t="shared" si="10"/>
        <v>4</v>
      </c>
      <c r="E138" s="137" t="s">
        <v>46</v>
      </c>
      <c r="F138" s="31">
        <f t="shared" si="11"/>
        <v>6</v>
      </c>
      <c r="G138" s="137" t="s">
        <v>436</v>
      </c>
      <c r="H138" s="138">
        <v>203</v>
      </c>
      <c r="I138" s="158">
        <f t="shared" si="12"/>
        <v>0.71516629894323647</v>
      </c>
      <c r="J138" s="95">
        <v>0.999997942140749</v>
      </c>
      <c r="K138" s="137">
        <v>0.43033465574572399</v>
      </c>
      <c r="L138" s="137">
        <v>0.465690992294366</v>
      </c>
      <c r="M138" s="137">
        <v>0.37730015092276098</v>
      </c>
      <c r="N138" s="136">
        <v>1</v>
      </c>
      <c r="O138" s="32">
        <v>42952</v>
      </c>
      <c r="P138" s="98">
        <f t="shared" si="13"/>
        <v>0</v>
      </c>
      <c r="Q138">
        <v>2.5499999999999998</v>
      </c>
      <c r="R138">
        <v>1.65</v>
      </c>
      <c r="S138">
        <v>0</v>
      </c>
      <c r="T138" s="112" t="s">
        <v>48</v>
      </c>
      <c r="U138" s="137" t="s">
        <v>437</v>
      </c>
      <c r="V138" s="137" t="s">
        <v>438</v>
      </c>
      <c r="W138" s="69">
        <v>157</v>
      </c>
      <c r="X138" s="136">
        <v>2</v>
      </c>
      <c r="Y138" s="136">
        <v>19</v>
      </c>
      <c r="Z138" s="314"/>
      <c r="AA138" s="319">
        <v>9.1578194443670893E-3</v>
      </c>
      <c r="AB138" s="315" t="s">
        <v>5179</v>
      </c>
      <c r="AC138" s="319">
        <v>1</v>
      </c>
      <c r="AD138" s="320">
        <v>1.12359550561797E-2</v>
      </c>
      <c r="AE138" s="319">
        <v>1</v>
      </c>
      <c r="AF138" s="320">
        <v>1.12359550561797E-2</v>
      </c>
      <c r="AG138" s="319">
        <v>1</v>
      </c>
      <c r="AH138" s="320">
        <v>1.12359550561797E-2</v>
      </c>
      <c r="AI138" s="319">
        <v>0</v>
      </c>
      <c r="AJ138" s="320">
        <v>0</v>
      </c>
      <c r="AK138" s="320">
        <v>1.123595505617977E-2</v>
      </c>
      <c r="AL138" s="319">
        <v>5</v>
      </c>
      <c r="AM138" s="319">
        <v>6.2</v>
      </c>
      <c r="AN138" s="319">
        <v>3.5</v>
      </c>
      <c r="AO138" s="319">
        <v>0.49</v>
      </c>
      <c r="AP138">
        <v>19</v>
      </c>
      <c r="AR138" s="136">
        <v>19</v>
      </c>
      <c r="AT138" s="69">
        <v>2.3148</v>
      </c>
      <c r="AU138" s="69">
        <v>5</v>
      </c>
      <c r="AV138" s="69">
        <v>5.7443999999999997</v>
      </c>
      <c r="AW138" s="69">
        <v>0.43530000000000002</v>
      </c>
      <c r="BB138" s="69"/>
    </row>
    <row r="139" spans="1:54" customFormat="1" ht="40" customHeight="1">
      <c r="A139" s="313">
        <v>138</v>
      </c>
      <c r="B139" s="136" t="s">
        <v>217</v>
      </c>
      <c r="C139" s="136" t="s">
        <v>45</v>
      </c>
      <c r="D139" s="31">
        <f t="shared" si="10"/>
        <v>4</v>
      </c>
      <c r="E139" s="137" t="s">
        <v>46</v>
      </c>
      <c r="F139" s="31">
        <f t="shared" si="11"/>
        <v>6</v>
      </c>
      <c r="G139" s="137" t="s">
        <v>439</v>
      </c>
      <c r="H139" s="138">
        <v>182</v>
      </c>
      <c r="I139" s="158">
        <f t="shared" si="12"/>
        <v>0.33824059635373327</v>
      </c>
      <c r="J139" s="95">
        <v>4.9504116624854399E-6</v>
      </c>
      <c r="K139" s="137">
        <v>0.67647624229580405</v>
      </c>
      <c r="L139" s="137">
        <v>0.90749999999999997</v>
      </c>
      <c r="M139" s="137">
        <v>0.32994060573951001</v>
      </c>
      <c r="N139" s="136">
        <v>1</v>
      </c>
      <c r="O139" s="32">
        <v>42939</v>
      </c>
      <c r="P139" s="98">
        <f t="shared" si="13"/>
        <v>0</v>
      </c>
      <c r="Q139">
        <v>5.0999999999999996</v>
      </c>
      <c r="R139">
        <v>1.65</v>
      </c>
      <c r="S139">
        <v>0</v>
      </c>
      <c r="T139" s="112" t="s">
        <v>48</v>
      </c>
      <c r="U139" s="137" t="s">
        <v>440</v>
      </c>
      <c r="V139" s="137" t="s">
        <v>441</v>
      </c>
      <c r="W139" s="69">
        <v>118</v>
      </c>
      <c r="X139" s="136">
        <v>2</v>
      </c>
      <c r="Y139" s="136">
        <v>22</v>
      </c>
      <c r="Z139" s="314"/>
      <c r="AA139" s="319">
        <v>0.54</v>
      </c>
      <c r="AB139" s="315" t="s">
        <v>5176</v>
      </c>
      <c r="AC139" s="319">
        <v>0</v>
      </c>
      <c r="AD139" s="320">
        <v>0</v>
      </c>
      <c r="AE139" s="319">
        <v>4</v>
      </c>
      <c r="AF139" s="320">
        <v>6.25E-2</v>
      </c>
      <c r="AG139" s="319">
        <v>1</v>
      </c>
      <c r="AH139" s="320">
        <v>1.5625E-2</v>
      </c>
      <c r="AI139" s="319">
        <v>1</v>
      </c>
      <c r="AJ139" s="320">
        <v>1.5625E-2</v>
      </c>
      <c r="AK139" s="320">
        <v>0</v>
      </c>
      <c r="AL139" s="319">
        <v>5</v>
      </c>
      <c r="AM139" s="319">
        <v>6.2</v>
      </c>
      <c r="AN139" s="319">
        <v>5</v>
      </c>
      <c r="AO139" s="319">
        <v>0.53999999999999904</v>
      </c>
      <c r="AP139">
        <v>22</v>
      </c>
      <c r="AQ139">
        <v>22</v>
      </c>
      <c r="AR139" s="136"/>
      <c r="AT139" s="69">
        <v>2.3148</v>
      </c>
      <c r="AU139" s="69">
        <v>5</v>
      </c>
      <c r="AV139" s="69">
        <v>8.5815000000000001</v>
      </c>
      <c r="AW139" s="69">
        <v>0.52990000000000004</v>
      </c>
      <c r="BB139" s="69"/>
    </row>
    <row r="140" spans="1:54" customFormat="1" ht="40" customHeight="1">
      <c r="A140" s="313">
        <v>139</v>
      </c>
      <c r="B140" s="136" t="s">
        <v>217</v>
      </c>
      <c r="C140" s="136" t="s">
        <v>119</v>
      </c>
      <c r="D140" s="31">
        <f t="shared" si="10"/>
        <v>1</v>
      </c>
      <c r="E140" s="137" t="s">
        <v>46</v>
      </c>
      <c r="F140" s="31">
        <f t="shared" si="11"/>
        <v>6</v>
      </c>
      <c r="G140" s="137" t="s">
        <v>415</v>
      </c>
      <c r="H140" s="138">
        <v>101</v>
      </c>
      <c r="I140" s="158">
        <f t="shared" si="12"/>
        <v>0.39663279715473121</v>
      </c>
      <c r="J140" s="95">
        <v>4.08451452319381E-4</v>
      </c>
      <c r="K140" s="137">
        <v>0.79285714285714304</v>
      </c>
      <c r="L140" s="137">
        <v>0.75</v>
      </c>
      <c r="M140" s="137">
        <v>0.85714285714285698</v>
      </c>
      <c r="N140" s="136">
        <v>0</v>
      </c>
      <c r="O140" s="32">
        <v>42933</v>
      </c>
      <c r="P140" s="98">
        <f t="shared" si="13"/>
        <v>0</v>
      </c>
      <c r="Q140">
        <v>5.0999999999999996</v>
      </c>
      <c r="R140">
        <v>0</v>
      </c>
      <c r="S140">
        <v>0</v>
      </c>
      <c r="T140" s="112" t="s">
        <v>48</v>
      </c>
      <c r="U140" s="137" t="s">
        <v>442</v>
      </c>
      <c r="V140" s="137" t="s">
        <v>443</v>
      </c>
      <c r="W140" s="69">
        <v>116</v>
      </c>
      <c r="X140" s="136">
        <v>2</v>
      </c>
      <c r="Y140" s="136">
        <v>1</v>
      </c>
      <c r="Z140" s="314"/>
      <c r="AA140" s="319">
        <v>0.54500000000000004</v>
      </c>
      <c r="AB140" s="315" t="s">
        <v>5165</v>
      </c>
      <c r="AC140" s="319">
        <v>2</v>
      </c>
      <c r="AD140" s="320">
        <v>3.1746031746031703E-2</v>
      </c>
      <c r="AE140" s="319">
        <v>1</v>
      </c>
      <c r="AF140" s="320">
        <v>1.5873015873015799E-2</v>
      </c>
      <c r="AG140" s="319">
        <v>1</v>
      </c>
      <c r="AH140" s="320">
        <v>1.5873015873015799E-2</v>
      </c>
      <c r="AI140" s="319">
        <v>0</v>
      </c>
      <c r="AJ140" s="320">
        <v>0</v>
      </c>
      <c r="AK140" s="320">
        <v>0</v>
      </c>
      <c r="AL140" s="319">
        <v>5</v>
      </c>
      <c r="AM140" s="319">
        <v>8.3333333333333304</v>
      </c>
      <c r="AN140" s="319">
        <v>2</v>
      </c>
      <c r="AO140" s="319">
        <v>0.51111111111111096</v>
      </c>
      <c r="AP140">
        <v>1</v>
      </c>
      <c r="AQ140">
        <v>1</v>
      </c>
      <c r="AR140" s="136"/>
      <c r="AT140" s="69">
        <v>2.3148</v>
      </c>
      <c r="AU140" s="69">
        <v>8.9379000000000008</v>
      </c>
      <c r="AV140" s="69">
        <v>2.3148</v>
      </c>
      <c r="AW140" s="69">
        <v>0.45219999999999999</v>
      </c>
      <c r="BB140" s="69"/>
    </row>
    <row r="141" spans="1:54" customFormat="1" ht="40" customHeight="1">
      <c r="A141" s="313">
        <v>140</v>
      </c>
      <c r="B141" s="136" t="s">
        <v>217</v>
      </c>
      <c r="C141" s="136" t="s">
        <v>45</v>
      </c>
      <c r="D141" s="31">
        <f t="shared" si="10"/>
        <v>4</v>
      </c>
      <c r="E141" s="137" t="s">
        <v>46</v>
      </c>
      <c r="F141" s="31">
        <f t="shared" si="11"/>
        <v>6</v>
      </c>
      <c r="G141" s="137" t="s">
        <v>444</v>
      </c>
      <c r="H141" s="138">
        <v>174</v>
      </c>
      <c r="I141" s="158">
        <f t="shared" si="12"/>
        <v>0.69631382831682997</v>
      </c>
      <c r="J141" s="95">
        <v>0.73472253674644195</v>
      </c>
      <c r="K141" s="137">
        <v>0.657905119887218</v>
      </c>
      <c r="L141" s="137">
        <v>0.68181818181818199</v>
      </c>
      <c r="M141" s="137">
        <v>0.62203552699077302</v>
      </c>
      <c r="N141" s="136">
        <v>1</v>
      </c>
      <c r="O141" s="32">
        <v>42927</v>
      </c>
      <c r="P141" s="98">
        <f t="shared" si="13"/>
        <v>1</v>
      </c>
      <c r="Q141">
        <v>0</v>
      </c>
      <c r="R141">
        <v>1.65</v>
      </c>
      <c r="S141">
        <v>0</v>
      </c>
      <c r="T141" s="112" t="s">
        <v>73</v>
      </c>
      <c r="U141" s="137" t="s">
        <v>445</v>
      </c>
      <c r="V141" s="137" t="s">
        <v>446</v>
      </c>
      <c r="W141" s="69">
        <v>197</v>
      </c>
      <c r="X141" s="136">
        <v>1</v>
      </c>
      <c r="Y141" s="136">
        <v>7</v>
      </c>
      <c r="Z141" s="314"/>
      <c r="AA141" s="319">
        <v>0.5</v>
      </c>
      <c r="AB141" s="315" t="s">
        <v>5165</v>
      </c>
      <c r="AC141" s="319">
        <v>3</v>
      </c>
      <c r="AD141" s="320">
        <v>2.7272727272727199E-2</v>
      </c>
      <c r="AE141" s="319">
        <v>1</v>
      </c>
      <c r="AF141" s="320">
        <v>9.0909090909090905E-3</v>
      </c>
      <c r="AG141" s="319">
        <v>1</v>
      </c>
      <c r="AH141" s="320">
        <v>9.0909090909090905E-3</v>
      </c>
      <c r="AI141" s="319">
        <v>0</v>
      </c>
      <c r="AJ141" s="320">
        <v>0</v>
      </c>
      <c r="AK141" s="320">
        <v>0</v>
      </c>
      <c r="AL141" s="319">
        <v>5</v>
      </c>
      <c r="AM141" s="319">
        <v>5</v>
      </c>
      <c r="AN141" s="319">
        <v>4.6666666666666599</v>
      </c>
      <c r="AO141" s="319">
        <v>0.48888888888888798</v>
      </c>
      <c r="AP141">
        <v>7</v>
      </c>
      <c r="AQ141">
        <v>7</v>
      </c>
      <c r="AR141" s="136"/>
      <c r="AT141" s="69">
        <v>2.3148</v>
      </c>
      <c r="AU141" s="69">
        <v>2.3148</v>
      </c>
      <c r="AV141" s="69">
        <v>8.1305999999999994</v>
      </c>
      <c r="AW141" s="69">
        <v>0.42530000000000001</v>
      </c>
      <c r="BB141" s="69"/>
    </row>
    <row r="142" spans="1:54" customFormat="1" ht="40" customHeight="1">
      <c r="A142" s="313">
        <v>141</v>
      </c>
      <c r="B142" s="136" t="s">
        <v>217</v>
      </c>
      <c r="C142" s="136" t="s">
        <v>119</v>
      </c>
      <c r="D142" s="31">
        <f t="shared" si="10"/>
        <v>1</v>
      </c>
      <c r="E142" s="137" t="s">
        <v>46</v>
      </c>
      <c r="F142" s="31">
        <f t="shared" si="11"/>
        <v>6</v>
      </c>
      <c r="G142" s="137" t="s">
        <v>447</v>
      </c>
      <c r="H142" s="138">
        <v>82</v>
      </c>
      <c r="I142" s="158">
        <f t="shared" si="12"/>
        <v>0.87529543497185847</v>
      </c>
      <c r="J142" s="95">
        <v>0.99864281799566501</v>
      </c>
      <c r="K142" s="137">
        <v>0.75194805194805203</v>
      </c>
      <c r="L142" s="137">
        <v>0.68181818181818199</v>
      </c>
      <c r="M142" s="137">
        <v>0.85714285714285698</v>
      </c>
      <c r="N142" s="136">
        <v>1</v>
      </c>
      <c r="O142" s="32">
        <v>42925</v>
      </c>
      <c r="P142" s="98">
        <f t="shared" si="13"/>
        <v>0</v>
      </c>
      <c r="Q142">
        <v>5.0999999999999996</v>
      </c>
      <c r="R142">
        <v>1.65</v>
      </c>
      <c r="S142">
        <v>0</v>
      </c>
      <c r="T142" s="112" t="s">
        <v>48</v>
      </c>
      <c r="U142" s="137" t="s">
        <v>448</v>
      </c>
      <c r="V142" s="137" t="s">
        <v>449</v>
      </c>
      <c r="W142" s="69">
        <v>165</v>
      </c>
      <c r="X142" s="136">
        <v>1</v>
      </c>
      <c r="Y142" s="136">
        <v>1</v>
      </c>
      <c r="Z142" s="314"/>
      <c r="AA142" s="319">
        <v>0.5</v>
      </c>
      <c r="AB142" s="315" t="s">
        <v>5169</v>
      </c>
      <c r="AC142" s="319">
        <v>2</v>
      </c>
      <c r="AD142" s="320">
        <v>2.1739130434782601E-2</v>
      </c>
      <c r="AE142" s="319">
        <v>1</v>
      </c>
      <c r="AF142" s="320">
        <v>1.0869565217391301E-2</v>
      </c>
      <c r="AG142" s="319">
        <v>2</v>
      </c>
      <c r="AH142" s="320">
        <v>2.1739130434782601E-2</v>
      </c>
      <c r="AI142" s="319">
        <v>0</v>
      </c>
      <c r="AJ142" s="320">
        <v>0</v>
      </c>
      <c r="AK142" s="320">
        <v>0</v>
      </c>
      <c r="AL142" s="319">
        <v>5</v>
      </c>
      <c r="AM142" s="319">
        <v>5</v>
      </c>
      <c r="AN142" s="319">
        <v>2</v>
      </c>
      <c r="AO142" s="319">
        <v>0.4</v>
      </c>
      <c r="AP142">
        <v>1</v>
      </c>
      <c r="AQ142">
        <v>1</v>
      </c>
      <c r="AR142" s="136"/>
      <c r="AT142" s="69">
        <v>2.3148</v>
      </c>
      <c r="AU142" s="69">
        <v>2.3148</v>
      </c>
      <c r="AV142" s="69">
        <v>2.3148</v>
      </c>
      <c r="AW142" s="69">
        <v>0.23150000000000001</v>
      </c>
      <c r="BB142" s="69"/>
    </row>
    <row r="143" spans="1:54" customFormat="1" ht="40" customHeight="1">
      <c r="A143" s="313">
        <v>142</v>
      </c>
      <c r="B143" s="136" t="s">
        <v>217</v>
      </c>
      <c r="C143" s="136" t="s">
        <v>45</v>
      </c>
      <c r="D143" s="31">
        <f t="shared" si="10"/>
        <v>4</v>
      </c>
      <c r="E143" s="137" t="s">
        <v>46</v>
      </c>
      <c r="F143" s="31">
        <f t="shared" si="11"/>
        <v>6</v>
      </c>
      <c r="G143" s="137" t="s">
        <v>450</v>
      </c>
      <c r="H143" s="138">
        <v>256</v>
      </c>
      <c r="I143" s="158">
        <f t="shared" si="12"/>
        <v>0.51862417905504854</v>
      </c>
      <c r="J143" s="95">
        <v>0.47058526913295901</v>
      </c>
      <c r="K143" s="137">
        <v>0.56666308897713802</v>
      </c>
      <c r="L143" s="137">
        <v>0.56348610067618299</v>
      </c>
      <c r="M143" s="137">
        <v>0.57142857142857095</v>
      </c>
      <c r="N143" s="136">
        <v>1</v>
      </c>
      <c r="O143" s="32">
        <v>42924</v>
      </c>
      <c r="P143" s="98">
        <f t="shared" si="13"/>
        <v>1</v>
      </c>
      <c r="Q143">
        <v>2.5499999999999998</v>
      </c>
      <c r="R143">
        <v>8.25</v>
      </c>
      <c r="S143">
        <v>1.87</v>
      </c>
      <c r="T143" s="112" t="s">
        <v>73</v>
      </c>
      <c r="U143" s="137" t="s">
        <v>451</v>
      </c>
      <c r="V143" s="137" t="s">
        <v>452</v>
      </c>
      <c r="W143" s="69">
        <v>256</v>
      </c>
      <c r="X143" s="136">
        <v>1</v>
      </c>
      <c r="Y143" s="136">
        <v>9</v>
      </c>
      <c r="Z143" s="314"/>
      <c r="AA143" s="319">
        <v>3.7934641604851099E-3</v>
      </c>
      <c r="AB143" s="315" t="s">
        <v>5165</v>
      </c>
      <c r="AC143" s="319">
        <v>4</v>
      </c>
      <c r="AD143" s="320">
        <v>2.7397260273972601E-2</v>
      </c>
      <c r="AE143" s="319">
        <v>2</v>
      </c>
      <c r="AF143" s="320">
        <v>1.3698630136986301E-2</v>
      </c>
      <c r="AG143" s="319">
        <v>2</v>
      </c>
      <c r="AH143" s="320">
        <v>1.3698630136986301E-2</v>
      </c>
      <c r="AI143" s="319">
        <v>0</v>
      </c>
      <c r="AJ143" s="320">
        <v>0</v>
      </c>
      <c r="AK143" s="320">
        <v>1.3698630136986301E-2</v>
      </c>
      <c r="AL143" s="319">
        <v>10</v>
      </c>
      <c r="AM143" s="319">
        <v>5</v>
      </c>
      <c r="AN143" s="319">
        <v>10</v>
      </c>
      <c r="AO143" s="319">
        <v>0.83333333333333304</v>
      </c>
      <c r="AP143">
        <v>9</v>
      </c>
      <c r="AR143" s="136">
        <v>9</v>
      </c>
      <c r="AT143" s="69">
        <v>9.8994999999999997</v>
      </c>
      <c r="AU143" s="69">
        <v>2.3148</v>
      </c>
      <c r="AV143" s="69">
        <v>9.9975000000000005</v>
      </c>
      <c r="AW143" s="69">
        <v>0.74039999999999995</v>
      </c>
      <c r="BB143" s="69"/>
    </row>
    <row r="144" spans="1:54" customFormat="1" ht="40" customHeight="1">
      <c r="A144" s="313">
        <v>143</v>
      </c>
      <c r="B144" s="136" t="s">
        <v>217</v>
      </c>
      <c r="C144" s="136" t="s">
        <v>119</v>
      </c>
      <c r="D144" s="31">
        <f t="shared" si="10"/>
        <v>1</v>
      </c>
      <c r="E144" s="137" t="s">
        <v>46</v>
      </c>
      <c r="F144" s="31">
        <f t="shared" si="11"/>
        <v>6</v>
      </c>
      <c r="G144" s="137" t="s">
        <v>453</v>
      </c>
      <c r="H144" s="138">
        <v>161</v>
      </c>
      <c r="I144" s="158">
        <f t="shared" si="12"/>
        <v>0.89665708766740049</v>
      </c>
      <c r="J144" s="95">
        <v>0.99999996453849205</v>
      </c>
      <c r="K144" s="137">
        <v>0.79331421079630904</v>
      </c>
      <c r="L144" s="137">
        <v>0.90749999999999997</v>
      </c>
      <c r="M144" s="137">
        <v>0.62203552699077302</v>
      </c>
      <c r="N144" s="136">
        <v>1</v>
      </c>
      <c r="O144" s="32">
        <v>42923</v>
      </c>
      <c r="P144" s="98">
        <f t="shared" si="13"/>
        <v>1</v>
      </c>
      <c r="Q144">
        <v>2.5499999999999998</v>
      </c>
      <c r="R144">
        <v>6.6</v>
      </c>
      <c r="S144">
        <v>0</v>
      </c>
      <c r="T144" s="112" t="s">
        <v>73</v>
      </c>
      <c r="U144" s="137" t="s">
        <v>454</v>
      </c>
      <c r="V144" s="137" t="s">
        <v>455</v>
      </c>
      <c r="W144" s="69">
        <v>242</v>
      </c>
      <c r="X144" s="136">
        <v>2</v>
      </c>
      <c r="Y144" s="136">
        <v>7</v>
      </c>
      <c r="Z144" s="314"/>
      <c r="AA144" s="319">
        <v>0.46818181818181798</v>
      </c>
      <c r="AB144" s="315" t="s">
        <v>5177</v>
      </c>
      <c r="AC144" s="319">
        <v>3</v>
      </c>
      <c r="AD144" s="320">
        <v>2.18978102189781E-2</v>
      </c>
      <c r="AE144" s="319">
        <v>4</v>
      </c>
      <c r="AF144" s="320">
        <v>2.9197080291970798E-2</v>
      </c>
      <c r="AG144" s="319">
        <v>4</v>
      </c>
      <c r="AH144" s="320">
        <v>2.9197080291970798E-2</v>
      </c>
      <c r="AI144" s="319">
        <v>0</v>
      </c>
      <c r="AJ144" s="320">
        <v>0</v>
      </c>
      <c r="AK144" s="320">
        <v>1.4598540145985399E-2</v>
      </c>
      <c r="AL144" s="319">
        <v>5</v>
      </c>
      <c r="AM144" s="319">
        <v>6.2</v>
      </c>
      <c r="AN144" s="319">
        <v>5</v>
      </c>
      <c r="AO144" s="319">
        <v>0.53999999999999904</v>
      </c>
      <c r="AP144">
        <v>7</v>
      </c>
      <c r="AR144" s="136">
        <v>7</v>
      </c>
      <c r="AT144" s="69">
        <v>2.3148</v>
      </c>
      <c r="AU144" s="69">
        <v>5</v>
      </c>
      <c r="AV144" s="69">
        <v>8.5815000000000001</v>
      </c>
      <c r="AW144" s="69">
        <v>0.52990000000000004</v>
      </c>
      <c r="BB144" s="69"/>
    </row>
    <row r="145" spans="1:54" customFormat="1" ht="40" customHeight="1">
      <c r="A145" s="313">
        <v>144</v>
      </c>
      <c r="B145" s="136" t="s">
        <v>217</v>
      </c>
      <c r="C145" s="136" t="s">
        <v>45</v>
      </c>
      <c r="D145" s="31">
        <f t="shared" si="10"/>
        <v>4</v>
      </c>
      <c r="E145" s="137" t="s">
        <v>46</v>
      </c>
      <c r="F145" s="31">
        <f t="shared" si="11"/>
        <v>6</v>
      </c>
      <c r="G145" s="137" t="s">
        <v>456</v>
      </c>
      <c r="H145" s="138">
        <v>159</v>
      </c>
      <c r="I145" s="158">
        <f t="shared" si="12"/>
        <v>0.84037984366593399</v>
      </c>
      <c r="J145" s="95">
        <v>0.99981088406901497</v>
      </c>
      <c r="K145" s="137">
        <v>0.68094880326285301</v>
      </c>
      <c r="L145" s="137">
        <v>0.56348610067618299</v>
      </c>
      <c r="M145" s="137">
        <v>0.85714285714285698</v>
      </c>
      <c r="N145" s="136">
        <v>1</v>
      </c>
      <c r="O145" s="32">
        <v>42922</v>
      </c>
      <c r="P145" s="98">
        <f t="shared" si="13"/>
        <v>1</v>
      </c>
      <c r="Q145">
        <v>0</v>
      </c>
      <c r="R145">
        <v>6.6</v>
      </c>
      <c r="S145">
        <v>0</v>
      </c>
      <c r="T145" s="112" t="s">
        <v>73</v>
      </c>
      <c r="U145" s="137" t="s">
        <v>457</v>
      </c>
      <c r="V145" s="137" t="s">
        <v>458</v>
      </c>
      <c r="W145" s="69">
        <v>370</v>
      </c>
      <c r="X145" s="136">
        <v>3</v>
      </c>
      <c r="Y145" s="136">
        <v>1</v>
      </c>
      <c r="Z145" s="314"/>
      <c r="AA145" s="319">
        <v>2.2630485621756301E-2</v>
      </c>
      <c r="AB145" s="315" t="s">
        <v>5165</v>
      </c>
      <c r="AC145" s="319">
        <v>3</v>
      </c>
      <c r="AD145" s="320">
        <v>1.45631067961165E-2</v>
      </c>
      <c r="AE145" s="319">
        <v>1</v>
      </c>
      <c r="AF145" s="320">
        <v>4.8543689320388302E-3</v>
      </c>
      <c r="AG145" s="319">
        <v>2</v>
      </c>
      <c r="AH145" s="320">
        <v>9.7087378640776708E-3</v>
      </c>
      <c r="AI145" s="319">
        <v>0</v>
      </c>
      <c r="AJ145" s="320">
        <v>0</v>
      </c>
      <c r="AK145" s="320">
        <v>0</v>
      </c>
      <c r="AL145" s="319">
        <v>8.5</v>
      </c>
      <c r="AM145" s="319">
        <v>5</v>
      </c>
      <c r="AN145" s="319">
        <v>2</v>
      </c>
      <c r="AO145" s="319">
        <v>0.51666666666666605</v>
      </c>
      <c r="AP145">
        <v>1</v>
      </c>
      <c r="AR145" s="136">
        <v>1</v>
      </c>
      <c r="AT145" s="69">
        <v>9.0888000000000009</v>
      </c>
      <c r="AU145" s="69">
        <v>2.3148</v>
      </c>
      <c r="AV145" s="69">
        <v>2.3148</v>
      </c>
      <c r="AW145" s="69">
        <v>0.45729999999999998</v>
      </c>
      <c r="BB145" s="69"/>
    </row>
    <row r="146" spans="1:54" customFormat="1" ht="40" customHeight="1">
      <c r="A146" s="313">
        <v>145</v>
      </c>
      <c r="B146" s="136" t="s">
        <v>217</v>
      </c>
      <c r="C146" s="136" t="s">
        <v>45</v>
      </c>
      <c r="D146" s="31">
        <f t="shared" si="10"/>
        <v>4</v>
      </c>
      <c r="E146" s="137" t="s">
        <v>46</v>
      </c>
      <c r="F146" s="31">
        <f t="shared" si="11"/>
        <v>6</v>
      </c>
      <c r="G146" s="137" t="s">
        <v>459</v>
      </c>
      <c r="H146" s="138">
        <v>231</v>
      </c>
      <c r="I146" s="158">
        <f t="shared" si="12"/>
        <v>0.34567164934757977</v>
      </c>
      <c r="J146" s="95">
        <v>2.96770582351358E-3</v>
      </c>
      <c r="K146" s="137">
        <v>0.68837559287164596</v>
      </c>
      <c r="L146" s="137">
        <v>0.75</v>
      </c>
      <c r="M146" s="137">
        <v>0.59593898217911601</v>
      </c>
      <c r="N146" s="136">
        <v>1</v>
      </c>
      <c r="O146" s="32">
        <v>42922</v>
      </c>
      <c r="P146" s="98">
        <f t="shared" si="13"/>
        <v>1</v>
      </c>
      <c r="Q146">
        <v>2.5499999999999998</v>
      </c>
      <c r="R146">
        <v>4.95</v>
      </c>
      <c r="S146">
        <v>0</v>
      </c>
      <c r="T146" s="112" t="s">
        <v>73</v>
      </c>
      <c r="U146" s="137" t="s">
        <v>460</v>
      </c>
      <c r="V146" s="137" t="s">
        <v>455</v>
      </c>
      <c r="W146" s="69">
        <v>242</v>
      </c>
      <c r="X146" s="136">
        <v>2</v>
      </c>
      <c r="Y146" s="136">
        <v>8</v>
      </c>
      <c r="Z146" s="314"/>
      <c r="AA146" s="319">
        <v>0.57350000000000001</v>
      </c>
      <c r="AB146" s="315" t="s">
        <v>5177</v>
      </c>
      <c r="AC146" s="319">
        <v>3</v>
      </c>
      <c r="AD146" s="320">
        <v>2.18978102189781E-2</v>
      </c>
      <c r="AE146" s="319">
        <v>4</v>
      </c>
      <c r="AF146" s="320">
        <v>2.9197080291970798E-2</v>
      </c>
      <c r="AG146" s="319">
        <v>4</v>
      </c>
      <c r="AH146" s="320">
        <v>2.9197080291970798E-2</v>
      </c>
      <c r="AI146" s="319">
        <v>0</v>
      </c>
      <c r="AJ146" s="320">
        <v>0</v>
      </c>
      <c r="AK146" s="320">
        <v>1.4598540145985399E-2</v>
      </c>
      <c r="AL146" s="319">
        <v>9.0357142857142794</v>
      </c>
      <c r="AM146" s="319">
        <v>5</v>
      </c>
      <c r="AN146" s="319">
        <v>10</v>
      </c>
      <c r="AO146" s="319">
        <v>0.80119047619047601</v>
      </c>
      <c r="AP146">
        <v>8</v>
      </c>
      <c r="AR146" s="136">
        <v>8</v>
      </c>
      <c r="AT146" s="69">
        <v>9.4480000000000004</v>
      </c>
      <c r="AU146" s="69">
        <v>2.3148</v>
      </c>
      <c r="AV146" s="69">
        <v>9.9888999999999992</v>
      </c>
      <c r="AW146" s="69">
        <v>0.72509999999999997</v>
      </c>
      <c r="BB146" s="69"/>
    </row>
    <row r="147" spans="1:54" customFormat="1" ht="40" customHeight="1">
      <c r="A147" s="313">
        <v>146</v>
      </c>
      <c r="B147" s="136" t="s">
        <v>217</v>
      </c>
      <c r="C147" s="136" t="s">
        <v>45</v>
      </c>
      <c r="D147" s="31">
        <f t="shared" si="10"/>
        <v>4</v>
      </c>
      <c r="E147" s="137" t="s">
        <v>46</v>
      </c>
      <c r="F147" s="31">
        <f t="shared" si="11"/>
        <v>6</v>
      </c>
      <c r="G147" s="137" t="s">
        <v>461</v>
      </c>
      <c r="H147" s="138">
        <v>149</v>
      </c>
      <c r="I147" s="158">
        <f t="shared" si="12"/>
        <v>0.88459389332121752</v>
      </c>
      <c r="J147" s="95">
        <v>0.99999999020661201</v>
      </c>
      <c r="K147" s="137">
        <v>0.76918779643582302</v>
      </c>
      <c r="L147" s="137">
        <v>0.75</v>
      </c>
      <c r="M147" s="137">
        <v>0.79796949108955795</v>
      </c>
      <c r="N147" s="136">
        <v>1</v>
      </c>
      <c r="O147" s="32">
        <v>42921</v>
      </c>
      <c r="P147" s="98">
        <f t="shared" si="13"/>
        <v>1</v>
      </c>
      <c r="Q147">
        <v>2.5499999999999998</v>
      </c>
      <c r="R147">
        <v>6.6</v>
      </c>
      <c r="S147">
        <v>0</v>
      </c>
      <c r="T147" s="112" t="s">
        <v>73</v>
      </c>
      <c r="U147" s="137" t="s">
        <v>462</v>
      </c>
      <c r="V147" s="137" t="s">
        <v>458</v>
      </c>
      <c r="W147" s="69">
        <v>370</v>
      </c>
      <c r="X147" s="136">
        <v>2</v>
      </c>
      <c r="Y147" s="136">
        <v>2</v>
      </c>
      <c r="Z147" s="314"/>
      <c r="AA147" s="319">
        <v>0.5</v>
      </c>
      <c r="AB147" s="315" t="s">
        <v>5165</v>
      </c>
      <c r="AC147" s="319">
        <v>3</v>
      </c>
      <c r="AD147" s="320">
        <v>1.45631067961165E-2</v>
      </c>
      <c r="AE147" s="319">
        <v>1</v>
      </c>
      <c r="AF147" s="320">
        <v>4.8543689320388302E-3</v>
      </c>
      <c r="AG147" s="319">
        <v>2</v>
      </c>
      <c r="AH147" s="320">
        <v>9.7087378640776708E-3</v>
      </c>
      <c r="AI147" s="319">
        <v>0</v>
      </c>
      <c r="AJ147" s="320">
        <v>0</v>
      </c>
      <c r="AK147" s="320">
        <v>0</v>
      </c>
      <c r="AL147" s="319">
        <v>5</v>
      </c>
      <c r="AM147" s="319">
        <v>5</v>
      </c>
      <c r="AN147" s="319">
        <v>4.6666666666666599</v>
      </c>
      <c r="AO147" s="319">
        <v>0.48888888888888798</v>
      </c>
      <c r="AP147">
        <v>2</v>
      </c>
      <c r="AR147" s="136">
        <v>2</v>
      </c>
      <c r="AT147" s="69">
        <v>2.3148</v>
      </c>
      <c r="AU147" s="69">
        <v>2.3148</v>
      </c>
      <c r="AV147" s="69">
        <v>8.1305999999999994</v>
      </c>
      <c r="AW147" s="69">
        <v>0.42530000000000001</v>
      </c>
      <c r="BB147" s="69"/>
    </row>
    <row r="148" spans="1:54" customFormat="1" ht="40" customHeight="1">
      <c r="A148" s="313">
        <v>147</v>
      </c>
      <c r="B148" s="136" t="s">
        <v>217</v>
      </c>
      <c r="C148" s="136" t="s">
        <v>119</v>
      </c>
      <c r="D148" s="31">
        <f t="shared" si="10"/>
        <v>1</v>
      </c>
      <c r="E148" s="137" t="s">
        <v>46</v>
      </c>
      <c r="F148" s="31">
        <f t="shared" si="11"/>
        <v>6</v>
      </c>
      <c r="G148" s="137" t="s">
        <v>463</v>
      </c>
      <c r="H148" s="138">
        <v>112</v>
      </c>
      <c r="I148" s="158">
        <f t="shared" si="12"/>
        <v>0.73877134168869052</v>
      </c>
      <c r="J148" s="95">
        <v>0.95088820904414995</v>
      </c>
      <c r="K148" s="137">
        <v>0.52665447433323098</v>
      </c>
      <c r="L148" s="137">
        <v>0.51226009152380303</v>
      </c>
      <c r="M148" s="137">
        <v>0.54824604854737402</v>
      </c>
      <c r="N148" s="136">
        <v>1</v>
      </c>
      <c r="O148" s="32">
        <v>42906</v>
      </c>
      <c r="P148" s="98">
        <f t="shared" si="13"/>
        <v>1</v>
      </c>
      <c r="Q148">
        <v>2.5499999999999998</v>
      </c>
      <c r="R148">
        <v>3.3</v>
      </c>
      <c r="S148">
        <v>1.87</v>
      </c>
      <c r="T148" s="112" t="s">
        <v>73</v>
      </c>
      <c r="U148" s="137" t="s">
        <v>464</v>
      </c>
      <c r="V148" s="137" t="s">
        <v>465</v>
      </c>
      <c r="W148" s="69">
        <v>91</v>
      </c>
      <c r="X148" s="136">
        <v>2</v>
      </c>
      <c r="Y148" s="136">
        <v>10</v>
      </c>
      <c r="Z148" s="314"/>
      <c r="AA148" s="319">
        <v>9.1578194443670893E-3</v>
      </c>
      <c r="AB148" s="315" t="s">
        <v>5168</v>
      </c>
      <c r="AC148" s="319">
        <v>1</v>
      </c>
      <c r="AD148" s="320">
        <v>1.9230769230769201E-2</v>
      </c>
      <c r="AE148" s="319">
        <v>0</v>
      </c>
      <c r="AF148" s="320">
        <v>0</v>
      </c>
      <c r="AG148" s="319">
        <v>2</v>
      </c>
      <c r="AH148" s="320">
        <v>3.8461538461538401E-2</v>
      </c>
      <c r="AI148" s="319">
        <v>0</v>
      </c>
      <c r="AJ148" s="320">
        <v>0</v>
      </c>
      <c r="AK148" s="320">
        <v>0</v>
      </c>
      <c r="AL148" s="319">
        <v>5</v>
      </c>
      <c r="AM148" s="319">
        <v>5</v>
      </c>
      <c r="AN148" s="319">
        <v>2</v>
      </c>
      <c r="AO148" s="319">
        <v>0.4</v>
      </c>
      <c r="AP148">
        <v>10</v>
      </c>
      <c r="AQ148">
        <v>10</v>
      </c>
      <c r="AR148" s="136"/>
      <c r="AT148" s="69">
        <v>2.3148</v>
      </c>
      <c r="AU148" s="69">
        <v>2.3148</v>
      </c>
      <c r="AV148" s="69">
        <v>2.3148</v>
      </c>
      <c r="AW148" s="69">
        <v>0.23150000000000001</v>
      </c>
      <c r="BB148" s="69"/>
    </row>
    <row r="149" spans="1:54" customFormat="1" ht="40" customHeight="1">
      <c r="A149" s="313">
        <v>148</v>
      </c>
      <c r="B149" s="136" t="s">
        <v>217</v>
      </c>
      <c r="C149" s="136" t="s">
        <v>45</v>
      </c>
      <c r="D149" s="31">
        <f t="shared" si="10"/>
        <v>4</v>
      </c>
      <c r="E149" s="137" t="s">
        <v>46</v>
      </c>
      <c r="F149" s="31">
        <f t="shared" si="11"/>
        <v>6</v>
      </c>
      <c r="G149" s="137" t="s">
        <v>466</v>
      </c>
      <c r="H149" s="138">
        <v>85</v>
      </c>
      <c r="I149" s="158">
        <f t="shared" si="12"/>
        <v>0.73652155990829504</v>
      </c>
      <c r="J149" s="95">
        <v>0.98700039897130398</v>
      </c>
      <c r="K149" s="137">
        <v>0.48604272084528599</v>
      </c>
      <c r="L149" s="137">
        <v>0.51226009152380303</v>
      </c>
      <c r="M149" s="137">
        <v>0.44671666482751199</v>
      </c>
      <c r="N149" s="136">
        <v>1</v>
      </c>
      <c r="O149" s="32">
        <v>42893</v>
      </c>
      <c r="P149" s="98">
        <f t="shared" si="13"/>
        <v>0</v>
      </c>
      <c r="Q149">
        <v>2.5499999999999998</v>
      </c>
      <c r="R149">
        <v>1.65</v>
      </c>
      <c r="S149">
        <v>1.87</v>
      </c>
      <c r="T149" s="112" t="s">
        <v>48</v>
      </c>
      <c r="U149" s="137" t="s">
        <v>467</v>
      </c>
      <c r="V149" s="137" t="s">
        <v>468</v>
      </c>
      <c r="W149" s="69">
        <v>58</v>
      </c>
      <c r="X149" s="136">
        <v>2</v>
      </c>
      <c r="Y149" s="136">
        <v>15</v>
      </c>
      <c r="Z149" s="314"/>
      <c r="AA149" s="319">
        <v>1.00736013888038E-2</v>
      </c>
      <c r="AB149" s="331" t="s">
        <v>5172</v>
      </c>
      <c r="AC149" s="319">
        <v>0</v>
      </c>
      <c r="AD149" s="320">
        <v>0</v>
      </c>
      <c r="AE149" s="319">
        <v>0</v>
      </c>
      <c r="AF149" s="320">
        <v>0</v>
      </c>
      <c r="AG149" s="319">
        <v>0</v>
      </c>
      <c r="AH149" s="320">
        <v>0</v>
      </c>
      <c r="AI149" s="319">
        <v>0</v>
      </c>
      <c r="AJ149" s="320">
        <v>0</v>
      </c>
      <c r="AK149" s="320">
        <v>0</v>
      </c>
      <c r="AL149" s="319">
        <v>5</v>
      </c>
      <c r="AM149" s="319">
        <v>6.2</v>
      </c>
      <c r="AN149" s="319">
        <v>2</v>
      </c>
      <c r="AO149" s="319">
        <v>0.44</v>
      </c>
      <c r="AP149">
        <v>15</v>
      </c>
      <c r="AQ149">
        <v>15</v>
      </c>
      <c r="AR149" s="136"/>
      <c r="AT149" s="69">
        <v>2.3148</v>
      </c>
      <c r="AU149" s="69">
        <v>5</v>
      </c>
      <c r="AV149" s="69">
        <v>2.3148</v>
      </c>
      <c r="AW149" s="69">
        <v>0.32100000000000001</v>
      </c>
      <c r="BB149" s="69"/>
    </row>
    <row r="150" spans="1:54" customFormat="1" ht="40" customHeight="1">
      <c r="A150" s="313">
        <v>149</v>
      </c>
      <c r="B150" s="136" t="s">
        <v>217</v>
      </c>
      <c r="C150" s="136" t="s">
        <v>45</v>
      </c>
      <c r="D150" s="31">
        <f t="shared" si="10"/>
        <v>4</v>
      </c>
      <c r="E150" s="137" t="s">
        <v>46</v>
      </c>
      <c r="F150" s="31">
        <f t="shared" si="11"/>
        <v>6</v>
      </c>
      <c r="G150" s="137" t="s">
        <v>469</v>
      </c>
      <c r="H150" s="138">
        <v>55</v>
      </c>
      <c r="I150" s="158">
        <f t="shared" si="12"/>
        <v>0.26898967718960787</v>
      </c>
      <c r="J150" s="95">
        <v>2.0518708935057801E-3</v>
      </c>
      <c r="K150" s="137">
        <v>0.53592748348570995</v>
      </c>
      <c r="L150" s="137">
        <v>0.51226009152380303</v>
      </c>
      <c r="M150" s="137">
        <v>0.57142857142857095</v>
      </c>
      <c r="N150" s="136">
        <v>1</v>
      </c>
      <c r="O150" s="32">
        <v>42876</v>
      </c>
      <c r="P150" s="98">
        <f t="shared" si="13"/>
        <v>0</v>
      </c>
      <c r="Q150">
        <v>2.5499999999999998</v>
      </c>
      <c r="R150">
        <v>0</v>
      </c>
      <c r="S150">
        <v>0</v>
      </c>
      <c r="T150" s="112" t="s">
        <v>48</v>
      </c>
      <c r="U150" s="137" t="s">
        <v>470</v>
      </c>
      <c r="V150" s="137" t="s">
        <v>471</v>
      </c>
      <c r="W150" s="69">
        <v>74</v>
      </c>
      <c r="X150" s="136">
        <v>1</v>
      </c>
      <c r="Y150" s="136">
        <v>9</v>
      </c>
      <c r="Z150" s="314"/>
      <c r="AA150" s="319">
        <v>1.2393760883331699E-3</v>
      </c>
      <c r="AB150" s="315" t="s">
        <v>5168</v>
      </c>
      <c r="AC150" s="319">
        <v>0</v>
      </c>
      <c r="AD150" s="320">
        <v>0</v>
      </c>
      <c r="AE150" s="319">
        <v>0</v>
      </c>
      <c r="AF150" s="320">
        <v>0</v>
      </c>
      <c r="AG150" s="319">
        <v>1</v>
      </c>
      <c r="AH150" s="320">
        <v>2.3255813953488299E-2</v>
      </c>
      <c r="AI150" s="319">
        <v>0</v>
      </c>
      <c r="AJ150" s="320">
        <v>0</v>
      </c>
      <c r="AK150" s="320">
        <v>0</v>
      </c>
      <c r="AL150" s="319">
        <v>5</v>
      </c>
      <c r="AM150" s="319">
        <v>5</v>
      </c>
      <c r="AN150" s="319">
        <v>5</v>
      </c>
      <c r="AO150" s="319">
        <v>0.5</v>
      </c>
      <c r="AP150">
        <v>9</v>
      </c>
      <c r="AQ150">
        <v>9</v>
      </c>
      <c r="AR150" s="136"/>
      <c r="AT150" s="69">
        <v>2.3148</v>
      </c>
      <c r="AU150" s="69">
        <v>2.3148</v>
      </c>
      <c r="AV150" s="69">
        <v>8.5815000000000001</v>
      </c>
      <c r="AW150" s="69">
        <v>0.44040000000000001</v>
      </c>
      <c r="BB150" s="69"/>
    </row>
    <row r="151" spans="1:54" customFormat="1" ht="40" customHeight="1">
      <c r="A151" s="313">
        <v>150</v>
      </c>
      <c r="B151" s="136" t="s">
        <v>217</v>
      </c>
      <c r="C151" s="136" t="s">
        <v>45</v>
      </c>
      <c r="D151" s="31">
        <f t="shared" si="10"/>
        <v>4</v>
      </c>
      <c r="E151" s="137" t="s">
        <v>80</v>
      </c>
      <c r="F151" s="31">
        <f t="shared" si="11"/>
        <v>4</v>
      </c>
      <c r="G151" s="137" t="s">
        <v>472</v>
      </c>
      <c r="H151" s="138">
        <v>45</v>
      </c>
      <c r="I151" s="158">
        <f t="shared" si="12"/>
        <v>0.444178197462202</v>
      </c>
      <c r="J151" s="95">
        <v>0.137330726785483</v>
      </c>
      <c r="K151" s="137">
        <v>0.75102566813892102</v>
      </c>
      <c r="L151" s="137">
        <v>0.75</v>
      </c>
      <c r="M151" s="137">
        <v>0.75256417034730305</v>
      </c>
      <c r="N151" s="136">
        <v>1</v>
      </c>
      <c r="O151" s="32">
        <v>42876</v>
      </c>
      <c r="P151" s="98">
        <f t="shared" si="13"/>
        <v>1</v>
      </c>
      <c r="Q151">
        <v>0</v>
      </c>
      <c r="R151">
        <v>0</v>
      </c>
      <c r="S151">
        <v>0</v>
      </c>
      <c r="T151" s="112" t="s">
        <v>473</v>
      </c>
      <c r="U151" s="137" t="s">
        <v>474</v>
      </c>
      <c r="V151" s="137" t="s">
        <v>475</v>
      </c>
      <c r="W151" s="69">
        <v>43</v>
      </c>
      <c r="X151" s="136">
        <v>1</v>
      </c>
      <c r="Y151" s="136">
        <v>3</v>
      </c>
      <c r="Z151" s="314"/>
      <c r="AA151" s="319">
        <v>0.54500000000000004</v>
      </c>
      <c r="AB151" s="315" t="s">
        <v>5165</v>
      </c>
      <c r="AC151" s="319">
        <v>3</v>
      </c>
      <c r="AD151" s="320">
        <v>0.12</v>
      </c>
      <c r="AE151" s="319">
        <v>0</v>
      </c>
      <c r="AF151" s="320">
        <v>0</v>
      </c>
      <c r="AG151" s="319">
        <v>0</v>
      </c>
      <c r="AH151" s="320">
        <v>0</v>
      </c>
      <c r="AI151" s="319">
        <v>0</v>
      </c>
      <c r="AJ151" s="320">
        <v>0</v>
      </c>
      <c r="AK151" s="320">
        <v>0</v>
      </c>
      <c r="AL151" s="319">
        <v>5</v>
      </c>
      <c r="AM151" s="319">
        <v>6.2</v>
      </c>
      <c r="AN151" s="319">
        <v>4.6666666666666599</v>
      </c>
      <c r="AO151" s="319">
        <v>0.52888888888888796</v>
      </c>
      <c r="AP151">
        <v>3</v>
      </c>
      <c r="AQ151">
        <v>3</v>
      </c>
      <c r="AR151" s="136"/>
      <c r="AT151" s="69">
        <v>2.3148</v>
      </c>
      <c r="AU151" s="69">
        <v>5</v>
      </c>
      <c r="AV151" s="69">
        <v>8.1305999999999994</v>
      </c>
      <c r="AW151" s="69">
        <v>0.51480000000000004</v>
      </c>
      <c r="BB151" s="69"/>
    </row>
    <row r="152" spans="1:54" customFormat="1" ht="40" customHeight="1">
      <c r="A152" s="313">
        <v>151</v>
      </c>
      <c r="B152" s="136" t="s">
        <v>217</v>
      </c>
      <c r="C152" s="136" t="s">
        <v>59</v>
      </c>
      <c r="D152" s="31">
        <f t="shared" si="10"/>
        <v>5</v>
      </c>
      <c r="E152" s="137" t="s">
        <v>46</v>
      </c>
      <c r="F152" s="31">
        <f t="shared" si="11"/>
        <v>6</v>
      </c>
      <c r="G152" s="137" t="s">
        <v>476</v>
      </c>
      <c r="H152" s="138">
        <v>30</v>
      </c>
      <c r="I152" s="158">
        <f t="shared" si="12"/>
        <v>0.32943214301060558</v>
      </c>
      <c r="J152" s="95">
        <v>9.5916613399316098E-4</v>
      </c>
      <c r="K152" s="137">
        <v>0.657905119887218</v>
      </c>
      <c r="L152" s="137">
        <v>0.68181818181818199</v>
      </c>
      <c r="M152" s="137">
        <v>0.62203552699077302</v>
      </c>
      <c r="N152" s="136">
        <v>0</v>
      </c>
      <c r="O152" s="32">
        <v>42734</v>
      </c>
      <c r="P152" s="98">
        <f t="shared" si="13"/>
        <v>1</v>
      </c>
      <c r="Q152">
        <v>0</v>
      </c>
      <c r="R152">
        <v>0</v>
      </c>
      <c r="S152">
        <v>0</v>
      </c>
      <c r="T152" s="112" t="s">
        <v>477</v>
      </c>
      <c r="U152" s="137" t="s">
        <v>478</v>
      </c>
      <c r="V152" s="137" t="s">
        <v>479</v>
      </c>
      <c r="W152" s="69">
        <v>93</v>
      </c>
      <c r="X152" s="136">
        <v>2</v>
      </c>
      <c r="Y152" s="136">
        <v>7</v>
      </c>
      <c r="Z152" s="314"/>
      <c r="AA152" s="319">
        <v>0.55000000000000004</v>
      </c>
      <c r="AB152" s="315" t="s">
        <v>5165</v>
      </c>
      <c r="AC152" s="319">
        <v>2</v>
      </c>
      <c r="AD152" s="320">
        <v>0.04</v>
      </c>
      <c r="AE152" s="319">
        <v>1</v>
      </c>
      <c r="AF152" s="320">
        <v>0.02</v>
      </c>
      <c r="AG152" s="319">
        <v>0</v>
      </c>
      <c r="AH152" s="320">
        <v>0</v>
      </c>
      <c r="AI152" s="319">
        <v>0</v>
      </c>
      <c r="AJ152" s="320">
        <v>0</v>
      </c>
      <c r="AK152" s="320">
        <v>0</v>
      </c>
      <c r="AL152" s="319">
        <v>5</v>
      </c>
      <c r="AM152" s="319">
        <v>5</v>
      </c>
      <c r="AN152" s="319">
        <v>3.5</v>
      </c>
      <c r="AO152" s="319">
        <v>0.45</v>
      </c>
      <c r="AP152">
        <v>7</v>
      </c>
      <c r="AQ152">
        <v>7</v>
      </c>
      <c r="AR152" s="136"/>
      <c r="AT152" s="69">
        <v>2.3148</v>
      </c>
      <c r="AU152" s="69">
        <v>2.3148</v>
      </c>
      <c r="AV152" s="69">
        <v>5.7443999999999997</v>
      </c>
      <c r="AW152" s="69">
        <v>0.3458</v>
      </c>
      <c r="BB152" s="69"/>
    </row>
    <row r="153" spans="1:54" customFormat="1" ht="40" customHeight="1">
      <c r="A153" s="313">
        <v>152</v>
      </c>
      <c r="B153" s="136" t="s">
        <v>217</v>
      </c>
      <c r="C153" s="136" t="s">
        <v>45</v>
      </c>
      <c r="D153" s="31">
        <f t="shared" si="10"/>
        <v>4</v>
      </c>
      <c r="E153" s="137" t="s">
        <v>46</v>
      </c>
      <c r="F153" s="31">
        <f t="shared" si="11"/>
        <v>6</v>
      </c>
      <c r="G153" s="137" t="s">
        <v>480</v>
      </c>
      <c r="H153" s="138">
        <v>288</v>
      </c>
      <c r="I153" s="158">
        <f t="shared" si="12"/>
        <v>0.87545296043832799</v>
      </c>
      <c r="J153" s="95">
        <v>0.99988025273773495</v>
      </c>
      <c r="K153" s="137">
        <v>0.75102566813892102</v>
      </c>
      <c r="L153" s="137">
        <v>0.75</v>
      </c>
      <c r="M153" s="137">
        <v>0.75256417034730305</v>
      </c>
      <c r="N153" s="136">
        <v>1</v>
      </c>
      <c r="O153" s="32">
        <v>42668</v>
      </c>
      <c r="P153" s="98">
        <f t="shared" si="13"/>
        <v>0</v>
      </c>
      <c r="Q153">
        <v>2.5499999999999998</v>
      </c>
      <c r="R153">
        <v>1.65</v>
      </c>
      <c r="S153">
        <v>0</v>
      </c>
      <c r="T153" s="112" t="s">
        <v>48</v>
      </c>
      <c r="U153" s="137" t="s">
        <v>481</v>
      </c>
      <c r="V153" s="137" t="s">
        <v>482</v>
      </c>
      <c r="W153" s="69">
        <v>84</v>
      </c>
      <c r="X153" s="136">
        <v>1</v>
      </c>
      <c r="Y153" s="136">
        <v>3</v>
      </c>
      <c r="Z153" s="314"/>
      <c r="AA153" s="319">
        <v>0.60499999999999998</v>
      </c>
      <c r="AB153" s="315" t="s">
        <v>5165</v>
      </c>
      <c r="AC153" s="319">
        <v>3</v>
      </c>
      <c r="AD153" s="320">
        <v>6.5217391304347797E-2</v>
      </c>
      <c r="AE153" s="319">
        <v>2</v>
      </c>
      <c r="AF153" s="320">
        <v>4.3478260869565202E-2</v>
      </c>
      <c r="AG153" s="319">
        <v>2</v>
      </c>
      <c r="AH153" s="320">
        <v>4.3478260869565202E-2</v>
      </c>
      <c r="AI153" s="319">
        <v>0</v>
      </c>
      <c r="AJ153" s="320">
        <v>0</v>
      </c>
      <c r="AK153" s="320">
        <v>0</v>
      </c>
      <c r="AL153" s="319">
        <v>5</v>
      </c>
      <c r="AM153" s="319">
        <v>7.4</v>
      </c>
      <c r="AN153" s="319">
        <v>2</v>
      </c>
      <c r="AO153" s="319">
        <v>0.48</v>
      </c>
      <c r="AP153">
        <v>3</v>
      </c>
      <c r="AQ153">
        <v>3</v>
      </c>
      <c r="AR153" s="136"/>
      <c r="AT153" s="69">
        <v>2.3148</v>
      </c>
      <c r="AU153" s="69">
        <v>7.6852</v>
      </c>
      <c r="AV153" s="69">
        <v>2.3148</v>
      </c>
      <c r="AW153" s="69">
        <v>0.41049999999999998</v>
      </c>
      <c r="BB153" s="69"/>
    </row>
    <row r="154" spans="1:54" customFormat="1" ht="40" customHeight="1">
      <c r="A154" s="313">
        <v>153</v>
      </c>
      <c r="B154" s="136" t="s">
        <v>217</v>
      </c>
      <c r="C154" s="136" t="s">
        <v>119</v>
      </c>
      <c r="D154" s="31">
        <f t="shared" si="10"/>
        <v>1</v>
      </c>
      <c r="E154" s="137" t="s">
        <v>46</v>
      </c>
      <c r="F154" s="31">
        <f t="shared" si="11"/>
        <v>6</v>
      </c>
      <c r="G154" s="137" t="s">
        <v>483</v>
      </c>
      <c r="H154" s="138">
        <v>17</v>
      </c>
      <c r="I154" s="158">
        <f t="shared" si="12"/>
        <v>0.72627790607784948</v>
      </c>
      <c r="J154" s="95">
        <v>0.75374160135938995</v>
      </c>
      <c r="K154" s="137">
        <v>0.69881421079630901</v>
      </c>
      <c r="L154" s="137">
        <v>0.75</v>
      </c>
      <c r="M154" s="137">
        <v>0.62203552699077302</v>
      </c>
      <c r="N154" s="136">
        <v>1</v>
      </c>
      <c r="O154" s="32">
        <v>42664</v>
      </c>
      <c r="P154" s="98">
        <f t="shared" si="13"/>
        <v>1</v>
      </c>
      <c r="Q154">
        <v>0</v>
      </c>
      <c r="R154">
        <v>0</v>
      </c>
      <c r="S154">
        <v>0</v>
      </c>
      <c r="T154" s="112" t="s">
        <v>484</v>
      </c>
      <c r="U154" s="137" t="s">
        <v>483</v>
      </c>
      <c r="V154" s="137" t="s">
        <v>482</v>
      </c>
      <c r="W154" s="69">
        <v>84</v>
      </c>
      <c r="X154" s="136">
        <v>1</v>
      </c>
      <c r="Y154" s="136">
        <v>7</v>
      </c>
      <c r="Z154" s="314"/>
      <c r="AA154" s="319">
        <v>0.55000000000000004</v>
      </c>
      <c r="AB154" s="315" t="s">
        <v>5165</v>
      </c>
      <c r="AC154" s="319">
        <v>3</v>
      </c>
      <c r="AD154" s="320">
        <v>6.5217391304347797E-2</v>
      </c>
      <c r="AE154" s="319">
        <v>2</v>
      </c>
      <c r="AF154" s="320">
        <v>4.3478260869565202E-2</v>
      </c>
      <c r="AG154" s="319">
        <v>2</v>
      </c>
      <c r="AH154" s="320">
        <v>4.3478260869565202E-2</v>
      </c>
      <c r="AI154" s="319">
        <v>0</v>
      </c>
      <c r="AJ154" s="320">
        <v>0</v>
      </c>
      <c r="AK154" s="320">
        <v>0</v>
      </c>
      <c r="AL154" s="319">
        <v>5</v>
      </c>
      <c r="AM154" s="319">
        <v>6.2</v>
      </c>
      <c r="AN154" s="319">
        <v>2</v>
      </c>
      <c r="AO154" s="319">
        <v>0.44</v>
      </c>
      <c r="AP154">
        <v>7</v>
      </c>
      <c r="AQ154">
        <v>7</v>
      </c>
      <c r="AR154" s="136"/>
      <c r="AT154" s="69">
        <v>2.3148</v>
      </c>
      <c r="AU154" s="69">
        <v>5</v>
      </c>
      <c r="AV154" s="69">
        <v>2.3148</v>
      </c>
      <c r="AW154" s="69">
        <v>0.32100000000000001</v>
      </c>
      <c r="BB154" s="69"/>
    </row>
    <row r="155" spans="1:54" customFormat="1" ht="40" customHeight="1">
      <c r="A155" s="313">
        <v>154</v>
      </c>
      <c r="B155" s="136" t="s">
        <v>217</v>
      </c>
      <c r="C155" s="136" t="s">
        <v>119</v>
      </c>
      <c r="D155" s="31">
        <f t="shared" si="10"/>
        <v>1</v>
      </c>
      <c r="E155" s="137" t="s">
        <v>46</v>
      </c>
      <c r="F155" s="31">
        <f t="shared" si="11"/>
        <v>6</v>
      </c>
      <c r="G155" s="137" t="s">
        <v>485</v>
      </c>
      <c r="H155" s="138">
        <v>71</v>
      </c>
      <c r="I155" s="158">
        <f t="shared" si="12"/>
        <v>0.80566956015476898</v>
      </c>
      <c r="J155" s="95">
        <v>0.97514811383947797</v>
      </c>
      <c r="K155" s="137">
        <v>0.63619100647005999</v>
      </c>
      <c r="L155" s="137">
        <v>0.75</v>
      </c>
      <c r="M155" s="137">
        <v>0.46547751617515098</v>
      </c>
      <c r="N155" s="136">
        <v>1</v>
      </c>
      <c r="O155" s="32">
        <v>42639</v>
      </c>
      <c r="P155" s="98">
        <f t="shared" si="13"/>
        <v>1</v>
      </c>
      <c r="Q155">
        <v>0</v>
      </c>
      <c r="R155">
        <v>0</v>
      </c>
      <c r="S155">
        <v>0</v>
      </c>
      <c r="T155" s="112" t="s">
        <v>477</v>
      </c>
      <c r="U155" s="137" t="s">
        <v>486</v>
      </c>
      <c r="V155" s="137" t="s">
        <v>487</v>
      </c>
      <c r="W155" s="69">
        <v>66</v>
      </c>
      <c r="X155" s="136">
        <v>1</v>
      </c>
      <c r="Y155" s="136">
        <v>14</v>
      </c>
      <c r="Z155" s="314"/>
      <c r="AA155" s="319">
        <v>0.60499999999999998</v>
      </c>
      <c r="AB155" s="315" t="s">
        <v>5179</v>
      </c>
      <c r="AC155" s="319">
        <v>2</v>
      </c>
      <c r="AD155" s="320">
        <v>5.5555555555555497E-2</v>
      </c>
      <c r="AE155" s="319">
        <v>2</v>
      </c>
      <c r="AF155" s="320">
        <v>5.5555555555555497E-2</v>
      </c>
      <c r="AG155" s="319">
        <v>2</v>
      </c>
      <c r="AH155" s="320">
        <v>5.5555555555555497E-2</v>
      </c>
      <c r="AI155" s="319">
        <v>0</v>
      </c>
      <c r="AJ155" s="320">
        <v>0</v>
      </c>
      <c r="AK155" s="320">
        <v>0</v>
      </c>
      <c r="AL155" s="319">
        <v>5</v>
      </c>
      <c r="AM155" s="319">
        <v>7.4</v>
      </c>
      <c r="AN155" s="319">
        <v>2</v>
      </c>
      <c r="AO155" s="319">
        <v>0.48</v>
      </c>
      <c r="AP155">
        <v>14</v>
      </c>
      <c r="AQ155">
        <v>14</v>
      </c>
      <c r="AR155" s="136"/>
      <c r="AT155" s="69">
        <v>2.3148</v>
      </c>
      <c r="AU155" s="69">
        <v>7.6852</v>
      </c>
      <c r="AV155" s="69">
        <v>2.3148</v>
      </c>
      <c r="AW155" s="69">
        <v>0.41049999999999998</v>
      </c>
      <c r="BB155" s="69"/>
    </row>
    <row r="156" spans="1:54" customFormat="1" ht="40" customHeight="1">
      <c r="A156" s="313">
        <v>155</v>
      </c>
      <c r="B156" s="136" t="s">
        <v>217</v>
      </c>
      <c r="C156" s="136" t="s">
        <v>59</v>
      </c>
      <c r="D156" s="31">
        <f t="shared" si="10"/>
        <v>5</v>
      </c>
      <c r="E156" s="137" t="s">
        <v>46</v>
      </c>
      <c r="F156" s="31">
        <f t="shared" si="11"/>
        <v>6</v>
      </c>
      <c r="G156" s="137" t="s">
        <v>488</v>
      </c>
      <c r="H156" s="138">
        <v>90</v>
      </c>
      <c r="I156" s="158">
        <f t="shared" si="12"/>
        <v>0.40426847901660462</v>
      </c>
      <c r="J156" s="95">
        <v>5.6588906085157202E-2</v>
      </c>
      <c r="K156" s="137">
        <v>0.75194805194805203</v>
      </c>
      <c r="L156" s="137">
        <v>0.68181818181818199</v>
      </c>
      <c r="M156" s="137">
        <v>0.85714285714285698</v>
      </c>
      <c r="N156" s="136">
        <v>0</v>
      </c>
      <c r="O156" s="32">
        <v>42635</v>
      </c>
      <c r="P156" s="98">
        <f t="shared" si="13"/>
        <v>0</v>
      </c>
      <c r="Q156">
        <v>2.5499999999999998</v>
      </c>
      <c r="R156">
        <v>0</v>
      </c>
      <c r="S156">
        <v>0</v>
      </c>
      <c r="T156" s="112" t="s">
        <v>48</v>
      </c>
      <c r="U156" s="137" t="s">
        <v>489</v>
      </c>
      <c r="V156" s="137" t="s">
        <v>490</v>
      </c>
      <c r="W156" s="69">
        <v>65</v>
      </c>
      <c r="X156" s="136">
        <v>1</v>
      </c>
      <c r="Y156" s="136">
        <v>1</v>
      </c>
      <c r="Z156" s="314"/>
      <c r="AA156" s="319">
        <v>0.54500000000000004</v>
      </c>
      <c r="AB156" s="315" t="s">
        <v>5179</v>
      </c>
      <c r="AC156" s="319">
        <v>2</v>
      </c>
      <c r="AD156" s="320">
        <v>5.7142857142857099E-2</v>
      </c>
      <c r="AE156" s="319">
        <v>2</v>
      </c>
      <c r="AF156" s="320">
        <v>5.7142857142857099E-2</v>
      </c>
      <c r="AG156" s="319">
        <v>2</v>
      </c>
      <c r="AH156" s="320">
        <v>5.7142857142857099E-2</v>
      </c>
      <c r="AI156" s="319">
        <v>0</v>
      </c>
      <c r="AJ156" s="320">
        <v>0</v>
      </c>
      <c r="AK156" s="320">
        <v>0</v>
      </c>
      <c r="AL156" s="319">
        <v>5</v>
      </c>
      <c r="AM156" s="319">
        <v>5</v>
      </c>
      <c r="AN156" s="319">
        <v>5</v>
      </c>
      <c r="AO156" s="319">
        <v>0.5</v>
      </c>
      <c r="AP156">
        <v>1</v>
      </c>
      <c r="AQ156">
        <v>1</v>
      </c>
      <c r="AR156" s="136"/>
      <c r="AT156" s="69">
        <v>2.3148</v>
      </c>
      <c r="AU156" s="69">
        <v>2.3148</v>
      </c>
      <c r="AV156" s="69">
        <v>8.5815000000000001</v>
      </c>
      <c r="AW156" s="69">
        <v>0.44040000000000001</v>
      </c>
      <c r="BB156" s="69"/>
    </row>
    <row r="157" spans="1:54" customFormat="1" ht="40" customHeight="1">
      <c r="A157" s="313">
        <v>156</v>
      </c>
      <c r="B157" s="136" t="s">
        <v>217</v>
      </c>
      <c r="C157" s="136" t="s">
        <v>119</v>
      </c>
      <c r="D157" s="31">
        <f t="shared" si="10"/>
        <v>1</v>
      </c>
      <c r="E157" s="137" t="s">
        <v>46</v>
      </c>
      <c r="F157" s="31">
        <f t="shared" si="11"/>
        <v>6</v>
      </c>
      <c r="G157" s="137" t="s">
        <v>483</v>
      </c>
      <c r="H157" s="138">
        <v>31</v>
      </c>
      <c r="I157" s="158">
        <f t="shared" si="12"/>
        <v>0.82700037029497198</v>
      </c>
      <c r="J157" s="95">
        <v>0.95518652979363505</v>
      </c>
      <c r="K157" s="137">
        <v>0.69881421079630901</v>
      </c>
      <c r="L157" s="137">
        <v>0.75</v>
      </c>
      <c r="M157" s="137">
        <v>0.62203552699077302</v>
      </c>
      <c r="N157" s="136">
        <v>1</v>
      </c>
      <c r="O157" s="32">
        <v>42608</v>
      </c>
      <c r="P157" s="98">
        <f t="shared" si="13"/>
        <v>1</v>
      </c>
      <c r="Q157">
        <v>0</v>
      </c>
      <c r="R157">
        <v>0</v>
      </c>
      <c r="S157">
        <v>0</v>
      </c>
      <c r="T157" s="112" t="s">
        <v>477</v>
      </c>
      <c r="U157" s="137" t="s">
        <v>491</v>
      </c>
      <c r="V157" s="137" t="s">
        <v>492</v>
      </c>
      <c r="W157" s="69">
        <v>77</v>
      </c>
      <c r="X157" s="136">
        <v>1</v>
      </c>
      <c r="Y157" s="136">
        <v>7</v>
      </c>
      <c r="Z157" s="314"/>
      <c r="AA157" s="319">
        <v>0.60499999999999998</v>
      </c>
      <c r="AB157" s="315" t="s">
        <v>5165</v>
      </c>
      <c r="AC157" s="319">
        <v>5</v>
      </c>
      <c r="AD157" s="320">
        <v>0.11363636363636299</v>
      </c>
      <c r="AE157" s="319">
        <v>0</v>
      </c>
      <c r="AF157" s="320">
        <v>0</v>
      </c>
      <c r="AG157" s="319">
        <v>1</v>
      </c>
      <c r="AH157" s="320">
        <v>2.27272727272727E-2</v>
      </c>
      <c r="AI157" s="319">
        <v>0</v>
      </c>
      <c r="AJ157" s="320">
        <v>0</v>
      </c>
      <c r="AK157" s="320">
        <v>0</v>
      </c>
      <c r="AL157" s="319">
        <v>5</v>
      </c>
      <c r="AM157" s="319">
        <v>7.4</v>
      </c>
      <c r="AN157" s="319">
        <v>2</v>
      </c>
      <c r="AO157" s="319">
        <v>0.48</v>
      </c>
      <c r="AP157">
        <v>7</v>
      </c>
      <c r="AQ157">
        <v>7</v>
      </c>
      <c r="AR157" s="136"/>
      <c r="AT157" s="69">
        <v>2.3148</v>
      </c>
      <c r="AU157" s="69">
        <v>7.6852</v>
      </c>
      <c r="AV157" s="69">
        <v>2.3148</v>
      </c>
      <c r="AW157" s="69">
        <v>0.41049999999999998</v>
      </c>
      <c r="BB157" s="69"/>
    </row>
    <row r="158" spans="1:54" customFormat="1" ht="40" customHeight="1">
      <c r="A158" s="313">
        <v>157</v>
      </c>
      <c r="B158" s="136" t="s">
        <v>217</v>
      </c>
      <c r="C158" s="136" t="s">
        <v>119</v>
      </c>
      <c r="D158" s="31">
        <f t="shared" si="10"/>
        <v>1</v>
      </c>
      <c r="E158" s="137" t="s">
        <v>46</v>
      </c>
      <c r="F158" s="31">
        <f t="shared" si="11"/>
        <v>6</v>
      </c>
      <c r="G158" s="137" t="s">
        <v>493</v>
      </c>
      <c r="H158" s="138">
        <v>22</v>
      </c>
      <c r="I158" s="158">
        <f t="shared" si="12"/>
        <v>0.37331421601092296</v>
      </c>
      <c r="J158" s="95">
        <v>2.81422122553687E-3</v>
      </c>
      <c r="K158" s="137">
        <v>0.74381421079630905</v>
      </c>
      <c r="L158" s="137">
        <v>0.82499999999999996</v>
      </c>
      <c r="M158" s="137">
        <v>0.62203552699077302</v>
      </c>
      <c r="N158" s="136">
        <v>1</v>
      </c>
      <c r="O158" s="32">
        <v>42526</v>
      </c>
      <c r="P158" s="98">
        <f t="shared" si="13"/>
        <v>1</v>
      </c>
      <c r="Q158">
        <v>0</v>
      </c>
      <c r="R158">
        <v>0</v>
      </c>
      <c r="S158">
        <v>0</v>
      </c>
      <c r="T158" s="112" t="s">
        <v>477</v>
      </c>
      <c r="U158" s="137" t="s">
        <v>494</v>
      </c>
      <c r="V158" s="137" t="s">
        <v>495</v>
      </c>
      <c r="W158" s="69">
        <v>82</v>
      </c>
      <c r="X158" s="136">
        <v>1</v>
      </c>
      <c r="Y158" s="136">
        <v>7</v>
      </c>
      <c r="Z158" s="314"/>
      <c r="AA158" s="319">
        <v>0.60499999999999998</v>
      </c>
      <c r="AB158" s="315" t="s">
        <v>5165</v>
      </c>
      <c r="AC158" s="319">
        <v>3</v>
      </c>
      <c r="AD158" s="320">
        <v>6.3829787234042507E-2</v>
      </c>
      <c r="AE158" s="319">
        <v>1</v>
      </c>
      <c r="AF158" s="320">
        <v>2.1276595744680799E-2</v>
      </c>
      <c r="AG158" s="319">
        <v>0</v>
      </c>
      <c r="AH158" s="320">
        <v>0</v>
      </c>
      <c r="AI158" s="319">
        <v>0</v>
      </c>
      <c r="AJ158" s="320">
        <v>0</v>
      </c>
      <c r="AK158" s="320">
        <v>0</v>
      </c>
      <c r="AL158" s="319">
        <v>5</v>
      </c>
      <c r="AM158" s="319">
        <v>6.2</v>
      </c>
      <c r="AN158" s="319">
        <v>2</v>
      </c>
      <c r="AO158" s="319">
        <v>0.44</v>
      </c>
      <c r="AP158">
        <v>7</v>
      </c>
      <c r="AQ158">
        <v>7</v>
      </c>
      <c r="AR158" s="136"/>
      <c r="AT158" s="69">
        <v>2.3148</v>
      </c>
      <c r="AU158" s="69">
        <v>5</v>
      </c>
      <c r="AV158" s="69">
        <v>2.3148</v>
      </c>
      <c r="AW158" s="69">
        <v>0.32100000000000001</v>
      </c>
      <c r="BB158" s="69"/>
    </row>
    <row r="159" spans="1:54" customFormat="1" ht="40" customHeight="1">
      <c r="A159" s="313">
        <v>158</v>
      </c>
      <c r="B159" s="136" t="s">
        <v>217</v>
      </c>
      <c r="C159" s="136" t="s">
        <v>45</v>
      </c>
      <c r="D159" s="31">
        <f t="shared" si="10"/>
        <v>4</v>
      </c>
      <c r="E159" s="137" t="s">
        <v>46</v>
      </c>
      <c r="F159" s="31">
        <f t="shared" si="11"/>
        <v>6</v>
      </c>
      <c r="G159" s="137" t="s">
        <v>496</v>
      </c>
      <c r="H159" s="138">
        <v>159</v>
      </c>
      <c r="I159" s="158">
        <f t="shared" si="12"/>
        <v>0.27428552921058297</v>
      </c>
      <c r="J159" s="95">
        <v>8.1460719292270099E-7</v>
      </c>
      <c r="K159" s="137">
        <v>0.54857024381397301</v>
      </c>
      <c r="L159" s="137">
        <v>0.56348610067618299</v>
      </c>
      <c r="M159" s="137">
        <v>0.526196458520657</v>
      </c>
      <c r="N159" s="136">
        <v>0</v>
      </c>
      <c r="O159" s="32">
        <v>42457</v>
      </c>
      <c r="P159" s="98">
        <f t="shared" si="13"/>
        <v>0</v>
      </c>
      <c r="Q159">
        <v>2.5499999999999998</v>
      </c>
      <c r="R159">
        <v>0</v>
      </c>
      <c r="S159">
        <v>0</v>
      </c>
      <c r="T159" s="112" t="s">
        <v>48</v>
      </c>
      <c r="U159" s="137" t="s">
        <v>497</v>
      </c>
      <c r="V159" s="137" t="s">
        <v>498</v>
      </c>
      <c r="W159" s="69">
        <v>193</v>
      </c>
      <c r="X159" s="136">
        <v>1</v>
      </c>
      <c r="Y159" s="136">
        <v>11</v>
      </c>
      <c r="Z159" s="314"/>
      <c r="AA159" s="319">
        <v>0.55000000000000004</v>
      </c>
      <c r="AB159" s="315" t="s">
        <v>5165</v>
      </c>
      <c r="AC159" s="319">
        <v>5</v>
      </c>
      <c r="AD159" s="320">
        <v>4.3859649122807001E-2</v>
      </c>
      <c r="AE159" s="319">
        <v>2</v>
      </c>
      <c r="AF159" s="320">
        <v>1.7543859649122799E-2</v>
      </c>
      <c r="AG159" s="319">
        <v>1</v>
      </c>
      <c r="AH159" s="320">
        <v>8.7719298245613996E-3</v>
      </c>
      <c r="AI159" s="319">
        <v>0</v>
      </c>
      <c r="AJ159" s="320">
        <v>0</v>
      </c>
      <c r="AK159" s="320">
        <v>0</v>
      </c>
      <c r="AL159" s="319">
        <v>5</v>
      </c>
      <c r="AM159" s="319">
        <v>5</v>
      </c>
      <c r="AN159" s="319">
        <v>3.5</v>
      </c>
      <c r="AO159" s="319">
        <v>0.45</v>
      </c>
      <c r="AP159">
        <v>11</v>
      </c>
      <c r="AR159" s="136">
        <v>11</v>
      </c>
      <c r="AT159" s="69">
        <v>2.3148</v>
      </c>
      <c r="AU159" s="69">
        <v>2.3148</v>
      </c>
      <c r="AV159" s="69">
        <v>5.7443999999999997</v>
      </c>
      <c r="AW159" s="69">
        <v>0.3458</v>
      </c>
      <c r="BB159" s="69"/>
    </row>
    <row r="160" spans="1:54" customFormat="1" ht="40" customHeight="1">
      <c r="A160" s="313">
        <v>159</v>
      </c>
      <c r="B160" s="136" t="s">
        <v>499</v>
      </c>
      <c r="C160" s="136" t="s">
        <v>45</v>
      </c>
      <c r="D160" s="31">
        <f t="shared" si="10"/>
        <v>4</v>
      </c>
      <c r="E160" s="137" t="s">
        <v>221</v>
      </c>
      <c r="F160" s="31">
        <f t="shared" si="11"/>
        <v>2</v>
      </c>
      <c r="G160" s="137" t="s">
        <v>500</v>
      </c>
      <c r="H160" s="138">
        <v>54</v>
      </c>
      <c r="I160" s="158">
        <f t="shared" si="12"/>
        <v>0.87306199609936708</v>
      </c>
      <c r="J160" s="95">
        <v>0.99109483464348702</v>
      </c>
      <c r="K160" s="137">
        <v>0.75502915755524702</v>
      </c>
      <c r="L160" s="137">
        <v>0.82499999999999996</v>
      </c>
      <c r="M160" s="137">
        <v>0.65007289388811795</v>
      </c>
      <c r="N160" s="136">
        <v>1</v>
      </c>
      <c r="O160" s="32">
        <v>44023</v>
      </c>
      <c r="P160" s="98">
        <f t="shared" si="13"/>
        <v>1</v>
      </c>
      <c r="Q160">
        <v>0</v>
      </c>
      <c r="R160">
        <v>4.95</v>
      </c>
      <c r="S160">
        <v>1.87</v>
      </c>
      <c r="T160" s="112" t="s">
        <v>73</v>
      </c>
      <c r="U160" s="137" t="s">
        <v>501</v>
      </c>
      <c r="V160" s="137" t="s">
        <v>502</v>
      </c>
      <c r="W160" s="69">
        <v>132</v>
      </c>
      <c r="X160" s="136">
        <v>2</v>
      </c>
      <c r="Y160" s="136">
        <v>6</v>
      </c>
      <c r="Z160" s="314"/>
      <c r="AA160" s="319">
        <v>0.60499999999999998</v>
      </c>
      <c r="AB160" s="315" t="s">
        <v>5176</v>
      </c>
      <c r="AC160" s="319">
        <v>1</v>
      </c>
      <c r="AD160" s="320">
        <v>1.2987012987012899E-2</v>
      </c>
      <c r="AE160" s="319">
        <v>2</v>
      </c>
      <c r="AF160" s="320">
        <v>2.5974025974025899E-2</v>
      </c>
      <c r="AG160" s="319">
        <v>0</v>
      </c>
      <c r="AH160" s="320">
        <v>0</v>
      </c>
      <c r="AI160" s="319">
        <v>0</v>
      </c>
      <c r="AJ160" s="320">
        <v>0</v>
      </c>
      <c r="AK160" s="320">
        <v>1.298701298701299E-2</v>
      </c>
      <c r="AL160" s="319">
        <v>5</v>
      </c>
      <c r="AM160" s="319">
        <v>6.2</v>
      </c>
      <c r="AN160" s="319">
        <v>2</v>
      </c>
      <c r="AO160" s="319">
        <v>0.44</v>
      </c>
      <c r="AP160">
        <v>6</v>
      </c>
      <c r="AR160" s="136">
        <v>6</v>
      </c>
      <c r="AT160" s="69">
        <v>2.3148</v>
      </c>
      <c r="AU160" s="69">
        <v>5</v>
      </c>
      <c r="AV160" s="69">
        <v>2.3148</v>
      </c>
      <c r="AW160" s="69">
        <v>0.32100000000000001</v>
      </c>
      <c r="BB160" s="69"/>
    </row>
    <row r="161" spans="1:54" customFormat="1" ht="40" customHeight="1">
      <c r="A161" s="313">
        <v>160</v>
      </c>
      <c r="B161" s="136" t="s">
        <v>499</v>
      </c>
      <c r="C161" s="136" t="s">
        <v>45</v>
      </c>
      <c r="D161" s="31">
        <f t="shared" si="10"/>
        <v>4</v>
      </c>
      <c r="E161" s="137" t="s">
        <v>221</v>
      </c>
      <c r="F161" s="31">
        <f t="shared" si="11"/>
        <v>2</v>
      </c>
      <c r="G161" s="137" t="s">
        <v>503</v>
      </c>
      <c r="H161" s="138">
        <f>LEN(U161)</f>
        <v>56</v>
      </c>
      <c r="I161" s="158">
        <f t="shared" si="12"/>
        <v>0.83744428432838103</v>
      </c>
      <c r="J161" s="95">
        <v>0.99631714008533401</v>
      </c>
      <c r="K161" s="137">
        <v>0.67857142857142805</v>
      </c>
      <c r="L161" s="137">
        <v>0.75</v>
      </c>
      <c r="M161" s="137">
        <v>0.57142857142857095</v>
      </c>
      <c r="N161" s="136">
        <v>1</v>
      </c>
      <c r="O161" s="32">
        <v>44010</v>
      </c>
      <c r="P161" s="98">
        <f t="shared" si="13"/>
        <v>0</v>
      </c>
      <c r="Q161">
        <v>0</v>
      </c>
      <c r="R161">
        <v>0</v>
      </c>
      <c r="S161">
        <v>0</v>
      </c>
      <c r="T161" s="112" t="s">
        <v>48</v>
      </c>
      <c r="U161" s="137" t="s">
        <v>504</v>
      </c>
      <c r="V161" s="137" t="s">
        <v>505</v>
      </c>
      <c r="W161" s="69">
        <f>LEN(V161)</f>
        <v>48</v>
      </c>
      <c r="X161" s="136">
        <v>4</v>
      </c>
      <c r="Y161" s="136">
        <v>9</v>
      </c>
      <c r="Z161" s="314"/>
      <c r="AA161" s="319">
        <v>0.5</v>
      </c>
      <c r="AB161" s="315" t="s">
        <v>5176</v>
      </c>
      <c r="AC161" s="319">
        <v>0</v>
      </c>
      <c r="AD161" s="320">
        <v>0</v>
      </c>
      <c r="AE161" s="319">
        <v>3</v>
      </c>
      <c r="AF161" s="320">
        <v>0.11111111111111099</v>
      </c>
      <c r="AG161" s="319">
        <v>0</v>
      </c>
      <c r="AH161" s="320">
        <v>0</v>
      </c>
      <c r="AI161" s="319">
        <v>0</v>
      </c>
      <c r="AJ161" s="320">
        <v>0</v>
      </c>
      <c r="AK161" s="320">
        <v>7.407407407407407E-2</v>
      </c>
      <c r="AL161" s="319">
        <v>5</v>
      </c>
      <c r="AM161" s="319">
        <v>5</v>
      </c>
      <c r="AN161" s="319">
        <v>2</v>
      </c>
      <c r="AO161" s="319">
        <v>0.4</v>
      </c>
      <c r="AP161">
        <v>4</v>
      </c>
      <c r="AQ161">
        <v>4</v>
      </c>
      <c r="AR161" s="136"/>
      <c r="AT161" s="69">
        <v>2.3148</v>
      </c>
      <c r="AU161" s="69">
        <v>2.3148</v>
      </c>
      <c r="AV161" s="69">
        <v>2.3148</v>
      </c>
      <c r="AW161" s="69">
        <v>0.23150000000000001</v>
      </c>
      <c r="BB161" s="69"/>
    </row>
    <row r="162" spans="1:54" customFormat="1" ht="40" customHeight="1">
      <c r="A162" s="313">
        <v>161</v>
      </c>
      <c r="B162" s="136" t="s">
        <v>499</v>
      </c>
      <c r="C162" s="136" t="s">
        <v>45</v>
      </c>
      <c r="D162" s="31">
        <f t="shared" si="10"/>
        <v>4</v>
      </c>
      <c r="E162" s="137" t="s">
        <v>221</v>
      </c>
      <c r="F162" s="31">
        <f t="shared" si="11"/>
        <v>2</v>
      </c>
      <c r="G162" s="137" t="s">
        <v>506</v>
      </c>
      <c r="H162" s="138">
        <v>57</v>
      </c>
      <c r="I162" s="158">
        <f t="shared" si="12"/>
        <v>0.35454298879122548</v>
      </c>
      <c r="J162" s="95">
        <v>3.9965910936295E-2</v>
      </c>
      <c r="K162" s="137">
        <v>0.66912006664615598</v>
      </c>
      <c r="L162" s="137">
        <v>0.68181818181818199</v>
      </c>
      <c r="M162" s="137">
        <v>0.65007289388811795</v>
      </c>
      <c r="N162" s="136">
        <v>1</v>
      </c>
      <c r="O162" s="32">
        <v>44006</v>
      </c>
      <c r="P162" s="98">
        <f t="shared" si="13"/>
        <v>1</v>
      </c>
      <c r="Q162">
        <v>0</v>
      </c>
      <c r="R162">
        <v>0</v>
      </c>
      <c r="S162">
        <v>0</v>
      </c>
      <c r="T162" s="112" t="s">
        <v>507</v>
      </c>
      <c r="U162" s="137" t="s">
        <v>508</v>
      </c>
      <c r="V162" s="137" t="s">
        <v>505</v>
      </c>
      <c r="W162" s="69">
        <v>48</v>
      </c>
      <c r="X162" s="136">
        <v>3</v>
      </c>
      <c r="Y162" s="136">
        <v>6</v>
      </c>
      <c r="Z162" s="314"/>
      <c r="AA162" s="319">
        <v>0.55000000000000004</v>
      </c>
      <c r="AB162" s="315" t="s">
        <v>5176</v>
      </c>
      <c r="AC162" s="319">
        <v>0</v>
      </c>
      <c r="AD162" s="320">
        <v>0</v>
      </c>
      <c r="AE162" s="319">
        <v>3</v>
      </c>
      <c r="AF162" s="320">
        <v>0.11111111111111099</v>
      </c>
      <c r="AG162" s="319">
        <v>0</v>
      </c>
      <c r="AH162" s="320">
        <v>0</v>
      </c>
      <c r="AI162" s="319">
        <v>0</v>
      </c>
      <c r="AJ162" s="320">
        <v>0</v>
      </c>
      <c r="AK162" s="320">
        <v>7.407407407407407E-2</v>
      </c>
      <c r="AL162" s="319">
        <v>5</v>
      </c>
      <c r="AM162" s="319">
        <v>5</v>
      </c>
      <c r="AN162" s="319">
        <v>3.5</v>
      </c>
      <c r="AO162" s="319">
        <v>0.45</v>
      </c>
      <c r="AP162">
        <v>6</v>
      </c>
      <c r="AQ162">
        <v>6</v>
      </c>
      <c r="AR162" s="136"/>
      <c r="AT162" s="69">
        <v>2.3148</v>
      </c>
      <c r="AU162" s="69">
        <v>2.3148</v>
      </c>
      <c r="AV162" s="69">
        <v>5.7443999999999997</v>
      </c>
      <c r="AW162" s="69">
        <v>0.3458</v>
      </c>
      <c r="BB162" s="69"/>
    </row>
    <row r="163" spans="1:54" customFormat="1" ht="40" customHeight="1">
      <c r="A163" s="313">
        <v>162</v>
      </c>
      <c r="B163" s="136" t="s">
        <v>499</v>
      </c>
      <c r="C163" s="136" t="s">
        <v>45</v>
      </c>
      <c r="D163" s="31">
        <f t="shared" si="10"/>
        <v>4</v>
      </c>
      <c r="E163" s="137" t="s">
        <v>221</v>
      </c>
      <c r="F163" s="31">
        <f t="shared" si="11"/>
        <v>2</v>
      </c>
      <c r="G163" s="137" t="s">
        <v>509</v>
      </c>
      <c r="H163" s="138">
        <v>9</v>
      </c>
      <c r="I163" s="158">
        <f t="shared" si="12"/>
        <v>0.67872469712787353</v>
      </c>
      <c r="J163" s="95">
        <v>0.669073801384101</v>
      </c>
      <c r="K163" s="137">
        <v>0.68837559287164596</v>
      </c>
      <c r="L163" s="137">
        <v>0.75</v>
      </c>
      <c r="M163" s="137">
        <v>0.59593898217911601</v>
      </c>
      <c r="N163" s="136">
        <v>0</v>
      </c>
      <c r="O163" s="32">
        <v>43718</v>
      </c>
      <c r="P163" s="98">
        <f t="shared" si="13"/>
        <v>1</v>
      </c>
      <c r="Q163">
        <v>0</v>
      </c>
      <c r="R163">
        <v>0</v>
      </c>
      <c r="S163">
        <v>0</v>
      </c>
      <c r="T163" s="112" t="s">
        <v>73</v>
      </c>
      <c r="U163" s="137" t="s">
        <v>510</v>
      </c>
      <c r="V163" s="137" t="s">
        <v>511</v>
      </c>
      <c r="W163" s="69">
        <v>97</v>
      </c>
      <c r="X163" s="136">
        <v>3</v>
      </c>
      <c r="Y163" s="136">
        <v>8</v>
      </c>
      <c r="Z163" s="314"/>
      <c r="AA163" s="319">
        <v>0.5</v>
      </c>
      <c r="AB163" s="315" t="s">
        <v>5179</v>
      </c>
      <c r="AC163" s="319">
        <v>1</v>
      </c>
      <c r="AD163" s="320">
        <v>1.8867924528301799E-2</v>
      </c>
      <c r="AE163" s="319">
        <v>1</v>
      </c>
      <c r="AF163" s="320">
        <v>1.8867924528301799E-2</v>
      </c>
      <c r="AG163" s="319">
        <v>1</v>
      </c>
      <c r="AH163" s="320">
        <v>1.8867924528301799E-2</v>
      </c>
      <c r="AI163" s="319">
        <v>0</v>
      </c>
      <c r="AJ163" s="320">
        <v>0</v>
      </c>
      <c r="AK163" s="320">
        <v>0</v>
      </c>
      <c r="AL163" s="319">
        <v>5</v>
      </c>
      <c r="AM163" s="319">
        <v>5</v>
      </c>
      <c r="AN163" s="319">
        <v>2</v>
      </c>
      <c r="AO163" s="319">
        <v>0.4</v>
      </c>
      <c r="AP163">
        <v>8</v>
      </c>
      <c r="AR163" s="136"/>
      <c r="AS163">
        <v>8</v>
      </c>
      <c r="AT163" s="69">
        <v>2.3148</v>
      </c>
      <c r="AU163" s="69">
        <v>2.3148</v>
      </c>
      <c r="AV163" s="69">
        <v>2.3148</v>
      </c>
      <c r="AW163" s="69">
        <v>0.23150000000000001</v>
      </c>
      <c r="BB163" s="69"/>
    </row>
    <row r="164" spans="1:54" customFormat="1" ht="40" customHeight="1">
      <c r="A164" s="313">
        <v>163</v>
      </c>
      <c r="B164" s="136" t="s">
        <v>499</v>
      </c>
      <c r="C164" s="136" t="s">
        <v>45</v>
      </c>
      <c r="D164" s="31">
        <f t="shared" si="10"/>
        <v>4</v>
      </c>
      <c r="E164" s="137" t="s">
        <v>46</v>
      </c>
      <c r="F164" s="31">
        <f t="shared" si="11"/>
        <v>6</v>
      </c>
      <c r="G164" s="137" t="s">
        <v>512</v>
      </c>
      <c r="H164" s="138">
        <v>61</v>
      </c>
      <c r="I164" s="158">
        <f t="shared" si="12"/>
        <v>0.37587028591253985</v>
      </c>
      <c r="J164" s="95">
        <v>7.1490368615867396E-4</v>
      </c>
      <c r="K164" s="137">
        <v>0.75102566813892102</v>
      </c>
      <c r="L164" s="137">
        <v>0.75</v>
      </c>
      <c r="M164" s="137">
        <v>0.75256417034730305</v>
      </c>
      <c r="N164" s="136">
        <v>1</v>
      </c>
      <c r="O164" s="32">
        <v>43612</v>
      </c>
      <c r="P164" s="98">
        <f t="shared" si="13"/>
        <v>1</v>
      </c>
      <c r="Q164">
        <v>0</v>
      </c>
      <c r="R164">
        <v>0</v>
      </c>
      <c r="S164">
        <v>0</v>
      </c>
      <c r="T164" s="112" t="s">
        <v>73</v>
      </c>
      <c r="U164" s="137" t="s">
        <v>513</v>
      </c>
      <c r="V164" s="137" t="s">
        <v>514</v>
      </c>
      <c r="W164" s="69">
        <v>71</v>
      </c>
      <c r="X164" s="136">
        <v>3</v>
      </c>
      <c r="Y164" s="136">
        <v>3</v>
      </c>
      <c r="Z164" s="314"/>
      <c r="AA164" s="319">
        <v>0.54500000000000004</v>
      </c>
      <c r="AB164" s="315" t="s">
        <v>5176</v>
      </c>
      <c r="AC164" s="319">
        <v>0</v>
      </c>
      <c r="AD164" s="320">
        <v>0</v>
      </c>
      <c r="AE164" s="319">
        <v>2</v>
      </c>
      <c r="AF164" s="320">
        <v>4.6511627906976702E-2</v>
      </c>
      <c r="AG164" s="319">
        <v>1</v>
      </c>
      <c r="AH164" s="320">
        <v>2.3255813953488299E-2</v>
      </c>
      <c r="AI164" s="319">
        <v>0</v>
      </c>
      <c r="AJ164" s="320">
        <v>0</v>
      </c>
      <c r="AK164" s="320">
        <v>2.3255813953488368E-2</v>
      </c>
      <c r="AL164" s="319">
        <v>5</v>
      </c>
      <c r="AM164" s="319">
        <v>5</v>
      </c>
      <c r="AN164" s="319">
        <v>2</v>
      </c>
      <c r="AO164" s="319">
        <v>0.4</v>
      </c>
      <c r="AP164">
        <v>3</v>
      </c>
      <c r="AQ164">
        <v>3</v>
      </c>
      <c r="AR164" s="136"/>
      <c r="AT164" s="69">
        <v>2.3148</v>
      </c>
      <c r="AU164" s="69">
        <v>2.3148</v>
      </c>
      <c r="AV164" s="69">
        <v>2.3148</v>
      </c>
      <c r="AW164" s="69">
        <v>0.23150000000000001</v>
      </c>
      <c r="BB164" s="69"/>
    </row>
    <row r="165" spans="1:54" customFormat="1" ht="40" customHeight="1">
      <c r="A165" s="313">
        <v>164</v>
      </c>
      <c r="B165" s="136" t="s">
        <v>499</v>
      </c>
      <c r="C165" s="136" t="s">
        <v>45</v>
      </c>
      <c r="D165" s="31">
        <f t="shared" si="10"/>
        <v>4</v>
      </c>
      <c r="E165" s="137" t="s">
        <v>221</v>
      </c>
      <c r="F165" s="31">
        <f t="shared" si="11"/>
        <v>2</v>
      </c>
      <c r="G165" s="137" t="s">
        <v>499</v>
      </c>
      <c r="H165" s="138">
        <v>29</v>
      </c>
      <c r="I165" s="158">
        <f t="shared" si="12"/>
        <v>0.480114013820089</v>
      </c>
      <c r="J165" s="95">
        <v>0.25019887008493102</v>
      </c>
      <c r="K165" s="137">
        <v>0.71002915755524698</v>
      </c>
      <c r="L165" s="137">
        <v>0.75</v>
      </c>
      <c r="M165" s="137">
        <v>0.65007289388811795</v>
      </c>
      <c r="N165" s="136">
        <v>0</v>
      </c>
      <c r="O165" s="32">
        <v>43599</v>
      </c>
      <c r="P165" s="98">
        <f t="shared" si="13"/>
        <v>1</v>
      </c>
      <c r="Q165">
        <v>0</v>
      </c>
      <c r="R165">
        <v>1.65</v>
      </c>
      <c r="S165">
        <v>0</v>
      </c>
      <c r="T165" s="112" t="s">
        <v>73</v>
      </c>
      <c r="U165" s="137" t="s">
        <v>515</v>
      </c>
      <c r="V165" s="137" t="s">
        <v>516</v>
      </c>
      <c r="W165" s="69">
        <v>81</v>
      </c>
      <c r="X165" s="136">
        <v>2</v>
      </c>
      <c r="Y165" s="136">
        <v>6</v>
      </c>
      <c r="Z165" s="314"/>
      <c r="AA165" s="319">
        <v>0.60499999999999998</v>
      </c>
      <c r="AB165" s="315" t="s">
        <v>5168</v>
      </c>
      <c r="AC165" s="319">
        <v>0</v>
      </c>
      <c r="AD165" s="320">
        <v>0</v>
      </c>
      <c r="AE165" s="319">
        <v>1</v>
      </c>
      <c r="AF165" s="320">
        <v>2.1739130434782601E-2</v>
      </c>
      <c r="AG165" s="319">
        <v>2</v>
      </c>
      <c r="AH165" s="320">
        <v>4.3478260869565202E-2</v>
      </c>
      <c r="AI165" s="319">
        <v>0</v>
      </c>
      <c r="AJ165" s="320">
        <v>0</v>
      </c>
      <c r="AK165" s="320">
        <v>0</v>
      </c>
      <c r="AL165" s="319">
        <v>5</v>
      </c>
      <c r="AM165" s="319">
        <v>7.4</v>
      </c>
      <c r="AN165" s="319">
        <v>2</v>
      </c>
      <c r="AO165" s="319">
        <v>0.48</v>
      </c>
      <c r="AP165">
        <v>6</v>
      </c>
      <c r="AQ165">
        <v>6</v>
      </c>
      <c r="AR165" s="136"/>
      <c r="AT165" s="69">
        <v>2.3148</v>
      </c>
      <c r="AU165" s="69">
        <v>7.6852</v>
      </c>
      <c r="AV165" s="69">
        <v>2.3148</v>
      </c>
      <c r="AW165" s="69">
        <v>0.41049999999999998</v>
      </c>
      <c r="BB165" s="69"/>
    </row>
    <row r="166" spans="1:54" customFormat="1" ht="40" customHeight="1">
      <c r="A166" s="313">
        <v>165</v>
      </c>
      <c r="B166" s="136" t="s">
        <v>499</v>
      </c>
      <c r="C166" s="136" t="s">
        <v>45</v>
      </c>
      <c r="D166" s="31">
        <f t="shared" si="10"/>
        <v>4</v>
      </c>
      <c r="E166" s="137" t="s">
        <v>221</v>
      </c>
      <c r="F166" s="31">
        <f t="shared" si="11"/>
        <v>2</v>
      </c>
      <c r="G166" s="137" t="s">
        <v>499</v>
      </c>
      <c r="H166" s="138">
        <v>48</v>
      </c>
      <c r="I166" s="158">
        <f t="shared" si="12"/>
        <v>0.29703370073833035</v>
      </c>
      <c r="J166" s="95">
        <v>2.8681556114297201E-3</v>
      </c>
      <c r="K166" s="137">
        <v>0.59119924586523098</v>
      </c>
      <c r="L166" s="137">
        <v>0.61983471074380203</v>
      </c>
      <c r="M166" s="137">
        <v>0.54824604854737402</v>
      </c>
      <c r="N166" s="136">
        <v>0</v>
      </c>
      <c r="O166" s="32">
        <v>43595</v>
      </c>
      <c r="P166" s="98">
        <f t="shared" si="13"/>
        <v>0</v>
      </c>
      <c r="Q166">
        <v>2.5499999999999998</v>
      </c>
      <c r="R166">
        <v>1.65</v>
      </c>
      <c r="S166">
        <v>0</v>
      </c>
      <c r="T166" s="112" t="s">
        <v>48</v>
      </c>
      <c r="U166" s="137" t="s">
        <v>517</v>
      </c>
      <c r="V166" s="137" t="s">
        <v>518</v>
      </c>
      <c r="W166" s="69">
        <v>94</v>
      </c>
      <c r="X166" s="136">
        <v>2</v>
      </c>
      <c r="Y166" s="136">
        <v>10</v>
      </c>
      <c r="Z166" s="314"/>
      <c r="AA166" s="319">
        <v>0.5</v>
      </c>
      <c r="AB166" s="315" t="s">
        <v>5176</v>
      </c>
      <c r="AC166" s="319">
        <v>0</v>
      </c>
      <c r="AD166" s="320">
        <v>0</v>
      </c>
      <c r="AE166" s="319">
        <v>3</v>
      </c>
      <c r="AF166" s="320">
        <v>5.5555555555555497E-2</v>
      </c>
      <c r="AG166" s="319">
        <v>2</v>
      </c>
      <c r="AH166" s="320">
        <v>3.7037037037037E-2</v>
      </c>
      <c r="AI166" s="319">
        <v>0</v>
      </c>
      <c r="AJ166" s="320">
        <v>0</v>
      </c>
      <c r="AK166" s="320">
        <v>0</v>
      </c>
      <c r="AL166" s="319">
        <v>5</v>
      </c>
      <c r="AM166" s="319">
        <v>5</v>
      </c>
      <c r="AN166" s="319">
        <v>2</v>
      </c>
      <c r="AO166" s="319">
        <v>0.4</v>
      </c>
      <c r="AP166">
        <v>10</v>
      </c>
      <c r="AQ166">
        <v>10</v>
      </c>
      <c r="AR166" s="136"/>
      <c r="AT166" s="69">
        <v>2.3148</v>
      </c>
      <c r="AU166" s="69">
        <v>2.3148</v>
      </c>
      <c r="AV166" s="69">
        <v>2.3148</v>
      </c>
      <c r="AW166" s="69">
        <v>0.23150000000000001</v>
      </c>
      <c r="BB166" s="69"/>
    </row>
    <row r="167" spans="1:54" customFormat="1" ht="40" customHeight="1">
      <c r="A167" s="313">
        <v>166</v>
      </c>
      <c r="B167" s="136" t="s">
        <v>499</v>
      </c>
      <c r="C167" s="136" t="s">
        <v>59</v>
      </c>
      <c r="D167" s="31">
        <f t="shared" si="10"/>
        <v>5</v>
      </c>
      <c r="E167" s="137" t="s">
        <v>519</v>
      </c>
      <c r="F167" s="31">
        <f t="shared" si="11"/>
        <v>5</v>
      </c>
      <c r="G167" s="137" t="s">
        <v>520</v>
      </c>
      <c r="H167" s="138">
        <v>86</v>
      </c>
      <c r="I167" s="158">
        <f t="shared" si="12"/>
        <v>0.35348209514572743</v>
      </c>
      <c r="J167" s="95">
        <v>2.5648594200533899E-2</v>
      </c>
      <c r="K167" s="137">
        <v>0.68131559609092096</v>
      </c>
      <c r="L167" s="137">
        <v>0.68181818181818199</v>
      </c>
      <c r="M167" s="137">
        <v>0.68056171750003003</v>
      </c>
      <c r="N167" s="136">
        <v>1</v>
      </c>
      <c r="O167" s="32">
        <v>43530</v>
      </c>
      <c r="P167" s="98">
        <f t="shared" si="13"/>
        <v>2</v>
      </c>
      <c r="Q167">
        <v>0</v>
      </c>
      <c r="R167">
        <v>0</v>
      </c>
      <c r="S167">
        <v>0</v>
      </c>
      <c r="T167" s="112" t="s">
        <v>64</v>
      </c>
      <c r="U167" s="137" t="s">
        <v>521</v>
      </c>
      <c r="V167" s="137" t="s">
        <v>522</v>
      </c>
      <c r="W167" s="69">
        <v>38</v>
      </c>
      <c r="X167" s="136">
        <v>2</v>
      </c>
      <c r="Y167" s="136">
        <v>5</v>
      </c>
      <c r="Z167" s="314"/>
      <c r="AA167" s="319">
        <v>0.54500000000000004</v>
      </c>
      <c r="AB167" s="331" t="s">
        <v>5162</v>
      </c>
      <c r="AC167" s="319">
        <v>0</v>
      </c>
      <c r="AD167" s="320">
        <v>0</v>
      </c>
      <c r="AE167" s="319">
        <v>0</v>
      </c>
      <c r="AF167" s="320">
        <v>0</v>
      </c>
      <c r="AG167" s="319">
        <v>0</v>
      </c>
      <c r="AH167" s="320">
        <v>0</v>
      </c>
      <c r="AI167" s="319">
        <v>0</v>
      </c>
      <c r="AJ167" s="320">
        <v>0</v>
      </c>
      <c r="AK167" s="320">
        <v>0</v>
      </c>
      <c r="AL167" s="319">
        <v>5</v>
      </c>
      <c r="AM167" s="319">
        <v>5</v>
      </c>
      <c r="AN167" s="319">
        <v>2</v>
      </c>
      <c r="AO167" s="319">
        <v>0.4</v>
      </c>
      <c r="AP167">
        <v>5</v>
      </c>
      <c r="AQ167">
        <v>5</v>
      </c>
      <c r="AR167" s="136"/>
      <c r="AT167" s="69">
        <v>2.3148</v>
      </c>
      <c r="AU167" s="69">
        <v>2.3148</v>
      </c>
      <c r="AV167" s="69">
        <v>2.3148</v>
      </c>
      <c r="AW167" s="69">
        <v>0.23150000000000001</v>
      </c>
      <c r="BB167" s="69"/>
    </row>
    <row r="168" spans="1:54" customFormat="1" ht="40" customHeight="1">
      <c r="A168" s="313">
        <v>167</v>
      </c>
      <c r="B168" s="136" t="s">
        <v>499</v>
      </c>
      <c r="C168" s="136" t="s">
        <v>119</v>
      </c>
      <c r="D168" s="31">
        <f t="shared" si="10"/>
        <v>1</v>
      </c>
      <c r="E168" s="137" t="s">
        <v>519</v>
      </c>
      <c r="F168" s="31">
        <f t="shared" si="11"/>
        <v>5</v>
      </c>
      <c r="G168" s="137" t="s">
        <v>520</v>
      </c>
      <c r="H168" s="138">
        <v>121</v>
      </c>
      <c r="I168" s="158">
        <f t="shared" si="12"/>
        <v>0.82869011723687946</v>
      </c>
      <c r="J168" s="95">
        <v>0.99976512231319203</v>
      </c>
      <c r="K168" s="137">
        <v>0.65761511216056701</v>
      </c>
      <c r="L168" s="137">
        <v>0.61983471074380103</v>
      </c>
      <c r="M168" s="137">
        <v>0.71428571428571397</v>
      </c>
      <c r="N168" s="136">
        <v>1</v>
      </c>
      <c r="O168" s="32">
        <v>43524</v>
      </c>
      <c r="P168" s="98">
        <f t="shared" si="13"/>
        <v>1</v>
      </c>
      <c r="Q168">
        <v>0</v>
      </c>
      <c r="R168">
        <v>0</v>
      </c>
      <c r="S168">
        <v>0</v>
      </c>
      <c r="T168" s="112" t="s">
        <v>73</v>
      </c>
      <c r="U168" s="137" t="s">
        <v>523</v>
      </c>
      <c r="V168" s="137" t="s">
        <v>524</v>
      </c>
      <c r="W168" s="69">
        <v>56</v>
      </c>
      <c r="X168" s="136">
        <v>2</v>
      </c>
      <c r="Y168" s="136">
        <v>4</v>
      </c>
      <c r="Z168" s="314"/>
      <c r="AA168" s="319">
        <v>2.4893534183931899E-2</v>
      </c>
      <c r="AB168" s="315" t="s">
        <v>5178</v>
      </c>
      <c r="AC168" s="319">
        <v>2</v>
      </c>
      <c r="AD168" s="320">
        <v>5.8823529411764698E-2</v>
      </c>
      <c r="AE168" s="319">
        <v>2</v>
      </c>
      <c r="AF168" s="320">
        <v>5.8823529411764698E-2</v>
      </c>
      <c r="AG168" s="319">
        <v>1</v>
      </c>
      <c r="AH168" s="320">
        <v>2.94117647058823E-2</v>
      </c>
      <c r="AI168" s="319">
        <v>0</v>
      </c>
      <c r="AJ168" s="320">
        <v>0</v>
      </c>
      <c r="AK168" s="320">
        <v>5.8823529411764712E-2</v>
      </c>
      <c r="AL168" s="319">
        <v>5</v>
      </c>
      <c r="AM168" s="319">
        <v>5</v>
      </c>
      <c r="AN168" s="319">
        <v>2</v>
      </c>
      <c r="AO168" s="319">
        <v>0.4</v>
      </c>
      <c r="AP168">
        <v>4</v>
      </c>
      <c r="AQ168">
        <v>4</v>
      </c>
      <c r="AR168" s="136"/>
      <c r="AT168" s="69">
        <v>2.3148</v>
      </c>
      <c r="AU168" s="69">
        <v>2.3148</v>
      </c>
      <c r="AV168" s="69">
        <v>2.3148</v>
      </c>
      <c r="AW168" s="69">
        <v>0.23150000000000001</v>
      </c>
      <c r="BB168" s="69"/>
    </row>
    <row r="169" spans="1:54" customFormat="1" ht="40" customHeight="1">
      <c r="A169" s="313">
        <v>168</v>
      </c>
      <c r="B169" s="136" t="s">
        <v>499</v>
      </c>
      <c r="C169" s="136" t="s">
        <v>119</v>
      </c>
      <c r="D169" s="31">
        <f t="shared" si="10"/>
        <v>1</v>
      </c>
      <c r="E169" s="137" t="s">
        <v>46</v>
      </c>
      <c r="F169" s="31">
        <f t="shared" si="11"/>
        <v>6</v>
      </c>
      <c r="G169" s="137" t="s">
        <v>525</v>
      </c>
      <c r="H169" s="138">
        <v>329</v>
      </c>
      <c r="I169" s="158">
        <f t="shared" si="12"/>
        <v>0.82895255994360895</v>
      </c>
      <c r="J169" s="95">
        <v>1</v>
      </c>
      <c r="K169" s="137">
        <v>0.657905119887218</v>
      </c>
      <c r="L169" s="137">
        <v>0.68181818181818199</v>
      </c>
      <c r="M169" s="137">
        <v>0.62203552699077302</v>
      </c>
      <c r="N169" s="136">
        <v>1</v>
      </c>
      <c r="O169" s="32">
        <v>43405</v>
      </c>
      <c r="P169" s="98">
        <f t="shared" si="13"/>
        <v>2</v>
      </c>
      <c r="Q169">
        <v>0</v>
      </c>
      <c r="R169">
        <v>1.65</v>
      </c>
      <c r="S169">
        <v>3.74</v>
      </c>
      <c r="T169" s="112" t="s">
        <v>64</v>
      </c>
      <c r="U169" s="137" t="s">
        <v>526</v>
      </c>
      <c r="V169" s="137" t="s">
        <v>527</v>
      </c>
      <c r="W169" s="69">
        <v>77</v>
      </c>
      <c r="X169" s="136">
        <v>3</v>
      </c>
      <c r="Y169" s="136">
        <v>7</v>
      </c>
      <c r="Z169" s="314"/>
      <c r="AA169" s="319">
        <v>0.5</v>
      </c>
      <c r="AB169" s="315" t="s">
        <v>5176</v>
      </c>
      <c r="AC169" s="319">
        <v>0</v>
      </c>
      <c r="AD169" s="320">
        <v>0</v>
      </c>
      <c r="AE169" s="319">
        <v>2</v>
      </c>
      <c r="AF169" s="320">
        <v>4.1666666666666602E-2</v>
      </c>
      <c r="AG169" s="319">
        <v>0</v>
      </c>
      <c r="AH169" s="320">
        <v>0</v>
      </c>
      <c r="AI169" s="319">
        <v>0</v>
      </c>
      <c r="AJ169" s="320">
        <v>0</v>
      </c>
      <c r="AK169" s="320">
        <v>2.0833333333333329E-2</v>
      </c>
      <c r="AL169" s="319">
        <v>5</v>
      </c>
      <c r="AM169" s="319">
        <v>6.2</v>
      </c>
      <c r="AN169" s="319">
        <v>3.5</v>
      </c>
      <c r="AO169" s="319">
        <v>0.49</v>
      </c>
      <c r="AP169">
        <v>7</v>
      </c>
      <c r="AQ169">
        <v>7</v>
      </c>
      <c r="AR169" s="136"/>
      <c r="AT169" s="69">
        <v>2.3148</v>
      </c>
      <c r="AU169" s="69">
        <v>5</v>
      </c>
      <c r="AV169" s="69">
        <v>5.7443999999999997</v>
      </c>
      <c r="AW169" s="69">
        <v>0.43530000000000002</v>
      </c>
      <c r="BB169" s="69"/>
    </row>
    <row r="170" spans="1:54" customFormat="1" ht="40" customHeight="1">
      <c r="A170" s="313">
        <v>169</v>
      </c>
      <c r="B170" s="136" t="s">
        <v>499</v>
      </c>
      <c r="C170" s="136" t="s">
        <v>119</v>
      </c>
      <c r="D170" s="31">
        <f t="shared" si="10"/>
        <v>1</v>
      </c>
      <c r="E170" s="137" t="s">
        <v>46</v>
      </c>
      <c r="F170" s="31">
        <f t="shared" si="11"/>
        <v>6</v>
      </c>
      <c r="G170" s="137" t="s">
        <v>528</v>
      </c>
      <c r="H170" s="138">
        <v>53</v>
      </c>
      <c r="I170" s="158">
        <f t="shared" si="12"/>
        <v>0.43249899541880404</v>
      </c>
      <c r="J170" s="95">
        <v>9.5810194401785106E-2</v>
      </c>
      <c r="K170" s="137">
        <v>0.76918779643582302</v>
      </c>
      <c r="L170" s="137">
        <v>0.75</v>
      </c>
      <c r="M170" s="137">
        <v>0.79796949108955795</v>
      </c>
      <c r="N170" s="136">
        <v>1</v>
      </c>
      <c r="O170" s="32">
        <v>43382</v>
      </c>
      <c r="P170" s="98">
        <f t="shared" si="13"/>
        <v>2</v>
      </c>
      <c r="Q170">
        <v>0</v>
      </c>
      <c r="R170">
        <v>1.65</v>
      </c>
      <c r="S170">
        <v>1.87</v>
      </c>
      <c r="T170" s="112" t="s">
        <v>64</v>
      </c>
      <c r="U170" s="137" t="s">
        <v>529</v>
      </c>
      <c r="V170" s="137" t="s">
        <v>530</v>
      </c>
      <c r="W170" s="69">
        <v>61</v>
      </c>
      <c r="X170" s="136">
        <v>2</v>
      </c>
      <c r="Y170" s="136">
        <v>2</v>
      </c>
      <c r="Z170" s="314"/>
      <c r="AA170" s="319">
        <v>0.54</v>
      </c>
      <c r="AB170" s="315" t="s">
        <v>5176</v>
      </c>
      <c r="AC170" s="319">
        <v>1</v>
      </c>
      <c r="AD170" s="320">
        <v>2.77777777777777E-2</v>
      </c>
      <c r="AE170" s="319">
        <v>2</v>
      </c>
      <c r="AF170" s="320">
        <v>5.5555555555555497E-2</v>
      </c>
      <c r="AG170" s="319">
        <v>1</v>
      </c>
      <c r="AH170" s="320">
        <v>2.77777777777777E-2</v>
      </c>
      <c r="AI170" s="319">
        <v>0</v>
      </c>
      <c r="AJ170" s="320">
        <v>0</v>
      </c>
      <c r="AK170" s="320">
        <v>2.777777777777778E-2</v>
      </c>
      <c r="AL170" s="319">
        <v>5</v>
      </c>
      <c r="AM170" s="319">
        <v>7.4</v>
      </c>
      <c r="AN170" s="319">
        <v>3.5</v>
      </c>
      <c r="AO170" s="319">
        <v>0.53</v>
      </c>
      <c r="AP170">
        <v>2</v>
      </c>
      <c r="AQ170">
        <v>2</v>
      </c>
      <c r="AR170" s="136"/>
      <c r="AT170" s="69">
        <v>2.3148</v>
      </c>
      <c r="AU170" s="69">
        <v>7.6852</v>
      </c>
      <c r="AV170" s="69">
        <v>5.7443999999999997</v>
      </c>
      <c r="AW170" s="69">
        <v>0.52480000000000004</v>
      </c>
      <c r="BB170" s="69"/>
    </row>
    <row r="171" spans="1:54" customFormat="1" ht="40" customHeight="1">
      <c r="A171" s="313">
        <v>170</v>
      </c>
      <c r="B171" s="136" t="s">
        <v>499</v>
      </c>
      <c r="C171" s="136" t="s">
        <v>45</v>
      </c>
      <c r="D171" s="31">
        <f t="shared" si="10"/>
        <v>4</v>
      </c>
      <c r="E171" s="137" t="s">
        <v>46</v>
      </c>
      <c r="F171" s="31">
        <f t="shared" si="11"/>
        <v>6</v>
      </c>
      <c r="G171" s="137" t="s">
        <v>531</v>
      </c>
      <c r="H171" s="138">
        <v>42</v>
      </c>
      <c r="I171" s="158">
        <f t="shared" si="12"/>
        <v>0.60280980482351654</v>
      </c>
      <c r="J171" s="95">
        <v>0.45367155769898099</v>
      </c>
      <c r="K171" s="137">
        <v>0.75194805194805203</v>
      </c>
      <c r="L171" s="137">
        <v>0.68181818181818199</v>
      </c>
      <c r="M171" s="137">
        <v>0.85714285714285698</v>
      </c>
      <c r="N171" s="136">
        <v>1</v>
      </c>
      <c r="O171" s="32">
        <v>43382</v>
      </c>
      <c r="P171" s="98">
        <f t="shared" si="13"/>
        <v>1</v>
      </c>
      <c r="Q171">
        <v>0</v>
      </c>
      <c r="R171">
        <v>3.3</v>
      </c>
      <c r="S171">
        <v>0</v>
      </c>
      <c r="T171" s="112" t="s">
        <v>73</v>
      </c>
      <c r="U171" s="137" t="s">
        <v>532</v>
      </c>
      <c r="V171" s="137" t="s">
        <v>530</v>
      </c>
      <c r="W171" s="69">
        <v>61</v>
      </c>
      <c r="X171" s="136">
        <v>2</v>
      </c>
      <c r="Y171" s="136">
        <v>1</v>
      </c>
      <c r="Z171" s="314"/>
      <c r="AA171" s="319">
        <v>0.5</v>
      </c>
      <c r="AB171" s="315" t="s">
        <v>5176</v>
      </c>
      <c r="AC171" s="319">
        <v>1</v>
      </c>
      <c r="AD171" s="320">
        <v>2.77777777777777E-2</v>
      </c>
      <c r="AE171" s="319">
        <v>2</v>
      </c>
      <c r="AF171" s="320">
        <v>5.5555555555555497E-2</v>
      </c>
      <c r="AG171" s="319">
        <v>1</v>
      </c>
      <c r="AH171" s="320">
        <v>2.77777777777777E-2</v>
      </c>
      <c r="AI171" s="319">
        <v>0</v>
      </c>
      <c r="AJ171" s="320">
        <v>0</v>
      </c>
      <c r="AK171" s="320">
        <v>2.777777777777778E-2</v>
      </c>
      <c r="AL171" s="319">
        <v>6.75</v>
      </c>
      <c r="AM171" s="319">
        <v>5</v>
      </c>
      <c r="AN171" s="319">
        <v>4.6666666666666599</v>
      </c>
      <c r="AO171" s="319">
        <v>0.54722222222222205</v>
      </c>
      <c r="AP171">
        <v>1</v>
      </c>
      <c r="AQ171">
        <v>1</v>
      </c>
      <c r="AR171" s="136"/>
      <c r="AT171" s="69">
        <v>6.3414000000000001</v>
      </c>
      <c r="AU171" s="69">
        <v>2.3148</v>
      </c>
      <c r="AV171" s="69">
        <v>8.1305999999999994</v>
      </c>
      <c r="AW171" s="69">
        <v>0.55959999999999999</v>
      </c>
      <c r="BB171" s="69"/>
    </row>
    <row r="172" spans="1:54" customFormat="1" ht="40" customHeight="1">
      <c r="A172" s="313">
        <v>171</v>
      </c>
      <c r="B172" s="136" t="s">
        <v>499</v>
      </c>
      <c r="C172" s="136" t="s">
        <v>45</v>
      </c>
      <c r="D172" s="31">
        <f t="shared" si="10"/>
        <v>4</v>
      </c>
      <c r="E172" s="137" t="s">
        <v>46</v>
      </c>
      <c r="F172" s="31">
        <f t="shared" si="11"/>
        <v>6</v>
      </c>
      <c r="G172" s="137" t="s">
        <v>533</v>
      </c>
      <c r="H172" s="138">
        <v>54</v>
      </c>
      <c r="I172" s="158">
        <f t="shared" si="12"/>
        <v>0.52125339762721301</v>
      </c>
      <c r="J172" s="95">
        <v>0.49917739737957401</v>
      </c>
      <c r="K172" s="137">
        <v>0.54332939787485202</v>
      </c>
      <c r="L172" s="137">
        <v>0.61983471074380203</v>
      </c>
      <c r="M172" s="137">
        <v>0.42857142857142899</v>
      </c>
      <c r="N172" s="136">
        <v>1</v>
      </c>
      <c r="O172" s="32">
        <v>43375</v>
      </c>
      <c r="P172" s="98">
        <f t="shared" si="13"/>
        <v>1</v>
      </c>
      <c r="Q172">
        <v>0</v>
      </c>
      <c r="R172">
        <v>0</v>
      </c>
      <c r="S172">
        <v>0</v>
      </c>
      <c r="T172" s="112" t="s">
        <v>73</v>
      </c>
      <c r="U172" s="137" t="s">
        <v>534</v>
      </c>
      <c r="V172" s="137" t="s">
        <v>535</v>
      </c>
      <c r="W172" s="69">
        <v>34</v>
      </c>
      <c r="X172" s="136">
        <v>4</v>
      </c>
      <c r="Y172" s="136">
        <v>16</v>
      </c>
      <c r="Z172" s="314"/>
      <c r="AA172" s="319">
        <v>0.55000000000000004</v>
      </c>
      <c r="AB172" s="315" t="s">
        <v>5176</v>
      </c>
      <c r="AC172" s="319">
        <v>0</v>
      </c>
      <c r="AD172" s="320">
        <v>0</v>
      </c>
      <c r="AE172" s="319">
        <v>3</v>
      </c>
      <c r="AF172" s="320">
        <v>0.14285714285714199</v>
      </c>
      <c r="AG172" s="319">
        <v>0</v>
      </c>
      <c r="AH172" s="320">
        <v>0</v>
      </c>
      <c r="AI172" s="319">
        <v>0</v>
      </c>
      <c r="AJ172" s="320">
        <v>0</v>
      </c>
      <c r="AK172" s="320">
        <v>4.7619047619047623E-2</v>
      </c>
      <c r="AL172" s="319">
        <v>5</v>
      </c>
      <c r="AM172" s="319">
        <v>6.2</v>
      </c>
      <c r="AN172" s="319">
        <v>2</v>
      </c>
      <c r="AO172" s="319">
        <v>0.44</v>
      </c>
      <c r="AP172">
        <v>16</v>
      </c>
      <c r="AQ172">
        <v>16</v>
      </c>
      <c r="AR172" s="136"/>
      <c r="AT172" s="69">
        <v>2.3148</v>
      </c>
      <c r="AU172" s="69">
        <v>5</v>
      </c>
      <c r="AV172" s="69">
        <v>2.3148</v>
      </c>
      <c r="AW172" s="69">
        <v>0.32100000000000001</v>
      </c>
      <c r="BB172" s="69"/>
    </row>
    <row r="173" spans="1:54" customFormat="1" ht="40" customHeight="1">
      <c r="A173" s="313">
        <v>172</v>
      </c>
      <c r="B173" s="136" t="s">
        <v>499</v>
      </c>
      <c r="C173" s="136" t="s">
        <v>45</v>
      </c>
      <c r="D173" s="31">
        <f t="shared" si="10"/>
        <v>4</v>
      </c>
      <c r="E173" s="137" t="s">
        <v>46</v>
      </c>
      <c r="F173" s="31">
        <f t="shared" si="11"/>
        <v>6</v>
      </c>
      <c r="G173" s="137" t="s">
        <v>536</v>
      </c>
      <c r="H173" s="138">
        <v>38</v>
      </c>
      <c r="I173" s="158">
        <f t="shared" si="12"/>
        <v>0.74160498115028006</v>
      </c>
      <c r="J173" s="95">
        <v>0.85127997829903201</v>
      </c>
      <c r="K173" s="137">
        <v>0.631929984001528</v>
      </c>
      <c r="L173" s="137">
        <v>0.61983471074380103</v>
      </c>
      <c r="M173" s="137">
        <v>0.65007289388811795</v>
      </c>
      <c r="N173" s="136">
        <v>1</v>
      </c>
      <c r="O173" s="32">
        <v>43367</v>
      </c>
      <c r="P173" s="98">
        <f t="shared" si="13"/>
        <v>1</v>
      </c>
      <c r="Q173">
        <v>0</v>
      </c>
      <c r="R173">
        <v>0</v>
      </c>
      <c r="S173">
        <v>0</v>
      </c>
      <c r="T173" s="112" t="s">
        <v>73</v>
      </c>
      <c r="U173" s="137" t="s">
        <v>537</v>
      </c>
      <c r="V173" s="137" t="s">
        <v>538</v>
      </c>
      <c r="W173" s="69">
        <v>76</v>
      </c>
      <c r="X173" s="136">
        <v>2</v>
      </c>
      <c r="Y173" s="136">
        <v>6</v>
      </c>
      <c r="Z173" s="314"/>
      <c r="AA173" s="319">
        <v>2.4893534183931899E-2</v>
      </c>
      <c r="AB173" s="315" t="s">
        <v>5176</v>
      </c>
      <c r="AC173" s="319">
        <v>0</v>
      </c>
      <c r="AD173" s="320">
        <v>0</v>
      </c>
      <c r="AE173" s="319">
        <v>3</v>
      </c>
      <c r="AF173" s="320">
        <v>6.5217391304347797E-2</v>
      </c>
      <c r="AG173" s="319">
        <v>0</v>
      </c>
      <c r="AH173" s="320">
        <v>0</v>
      </c>
      <c r="AI173" s="319">
        <v>0</v>
      </c>
      <c r="AJ173" s="320">
        <v>0</v>
      </c>
      <c r="AK173" s="320">
        <v>2.1739130434782612E-2</v>
      </c>
      <c r="AL173" s="319">
        <v>5</v>
      </c>
      <c r="AM173" s="319">
        <v>5</v>
      </c>
      <c r="AN173" s="319">
        <v>2</v>
      </c>
      <c r="AO173" s="319">
        <v>0.4</v>
      </c>
      <c r="AP173">
        <v>6</v>
      </c>
      <c r="AR173" s="136"/>
      <c r="AS173">
        <v>6</v>
      </c>
      <c r="AT173" s="69">
        <v>2.3148</v>
      </c>
      <c r="AU173" s="69">
        <v>2.3148</v>
      </c>
      <c r="AV173" s="69">
        <v>2.3148</v>
      </c>
      <c r="AW173" s="69">
        <v>0.23150000000000001</v>
      </c>
      <c r="BB173" s="69"/>
    </row>
    <row r="174" spans="1:54" customFormat="1" ht="40" customHeight="1">
      <c r="A174" s="313">
        <v>173</v>
      </c>
      <c r="B174" s="136" t="s">
        <v>499</v>
      </c>
      <c r="C174" s="136" t="s">
        <v>45</v>
      </c>
      <c r="D174" s="31">
        <f t="shared" si="10"/>
        <v>4</v>
      </c>
      <c r="E174" s="137" t="s">
        <v>46</v>
      </c>
      <c r="F174" s="31">
        <f t="shared" si="11"/>
        <v>6</v>
      </c>
      <c r="G174" s="137" t="s">
        <v>539</v>
      </c>
      <c r="H174" s="138">
        <v>67</v>
      </c>
      <c r="I174" s="158">
        <f t="shared" si="12"/>
        <v>0.80404283823486855</v>
      </c>
      <c r="J174" s="95">
        <v>0.99970395341653395</v>
      </c>
      <c r="K174" s="137">
        <v>0.60838172305320304</v>
      </c>
      <c r="L174" s="137">
        <v>0.51226009152380303</v>
      </c>
      <c r="M174" s="137">
        <v>0.75256417034730305</v>
      </c>
      <c r="N174" s="136">
        <v>1</v>
      </c>
      <c r="O174" s="32">
        <v>43338</v>
      </c>
      <c r="P174" s="98">
        <f t="shared" si="13"/>
        <v>2</v>
      </c>
      <c r="Q174">
        <v>0</v>
      </c>
      <c r="R174">
        <v>0</v>
      </c>
      <c r="S174">
        <v>0</v>
      </c>
      <c r="T174" s="112" t="s">
        <v>64</v>
      </c>
      <c r="U174" s="137" t="s">
        <v>540</v>
      </c>
      <c r="V174" s="137" t="s">
        <v>541</v>
      </c>
      <c r="W174" s="69">
        <v>33</v>
      </c>
      <c r="X174" s="136">
        <v>1</v>
      </c>
      <c r="Y174" s="136">
        <v>3</v>
      </c>
      <c r="Z174" s="314"/>
      <c r="AA174" s="319">
        <v>9.1578194443670893E-3</v>
      </c>
      <c r="AB174" s="315" t="s">
        <v>5179</v>
      </c>
      <c r="AC174" s="319">
        <v>1</v>
      </c>
      <c r="AD174" s="320">
        <v>0.05</v>
      </c>
      <c r="AE174" s="319">
        <v>1</v>
      </c>
      <c r="AF174" s="320">
        <v>0.05</v>
      </c>
      <c r="AG174" s="319">
        <v>1</v>
      </c>
      <c r="AH174" s="320">
        <v>0.05</v>
      </c>
      <c r="AI174" s="319">
        <v>0</v>
      </c>
      <c r="AJ174" s="320">
        <v>0</v>
      </c>
      <c r="AK174" s="320">
        <v>0</v>
      </c>
      <c r="AL174" s="319">
        <v>5</v>
      </c>
      <c r="AM174" s="319">
        <v>6.2</v>
      </c>
      <c r="AN174" s="319">
        <v>3.5</v>
      </c>
      <c r="AO174" s="319">
        <v>0.49</v>
      </c>
      <c r="AP174">
        <v>3</v>
      </c>
      <c r="AQ174">
        <v>3</v>
      </c>
      <c r="AR174" s="136"/>
      <c r="AT174" s="69">
        <v>2.3148</v>
      </c>
      <c r="AU174" s="69">
        <v>5</v>
      </c>
      <c r="AV174" s="69">
        <v>5.7443999999999997</v>
      </c>
      <c r="AW174" s="69">
        <v>0.43530000000000002</v>
      </c>
      <c r="BB174" s="69"/>
    </row>
    <row r="175" spans="1:54" customFormat="1" ht="40" customHeight="1">
      <c r="A175" s="313">
        <v>174</v>
      </c>
      <c r="B175" s="136" t="s">
        <v>499</v>
      </c>
      <c r="C175" s="136" t="s">
        <v>59</v>
      </c>
      <c r="D175" s="31">
        <f t="shared" si="10"/>
        <v>5</v>
      </c>
      <c r="E175" s="137" t="s">
        <v>46</v>
      </c>
      <c r="F175" s="31">
        <f t="shared" si="11"/>
        <v>6</v>
      </c>
      <c r="G175" s="137" t="s">
        <v>542</v>
      </c>
      <c r="H175" s="138">
        <v>74</v>
      </c>
      <c r="I175" s="158">
        <f t="shared" si="12"/>
        <v>0.38677728188017624</v>
      </c>
      <c r="J175" s="95">
        <v>4.3667673245294499E-3</v>
      </c>
      <c r="K175" s="137">
        <v>0.76918779643582302</v>
      </c>
      <c r="L175" s="137">
        <v>0.75</v>
      </c>
      <c r="M175" s="137">
        <v>0.79796949108955795</v>
      </c>
      <c r="N175" s="136">
        <v>1</v>
      </c>
      <c r="O175" s="32">
        <v>43303</v>
      </c>
      <c r="P175" s="98">
        <f t="shared" si="13"/>
        <v>1</v>
      </c>
      <c r="Q175">
        <v>0</v>
      </c>
      <c r="R175">
        <v>0</v>
      </c>
      <c r="S175">
        <v>0</v>
      </c>
      <c r="T175" s="112" t="s">
        <v>73</v>
      </c>
      <c r="U175" s="137" t="s">
        <v>543</v>
      </c>
      <c r="V175" s="137" t="s">
        <v>544</v>
      </c>
      <c r="W175" s="69">
        <v>36</v>
      </c>
      <c r="X175" s="136">
        <v>2</v>
      </c>
      <c r="Y175" s="136">
        <v>2</v>
      </c>
      <c r="Z175" s="314"/>
      <c r="AA175" s="319">
        <v>0.54500000000000004</v>
      </c>
      <c r="AB175" s="315" t="s">
        <v>5165</v>
      </c>
      <c r="AC175" s="319">
        <v>1</v>
      </c>
      <c r="AD175" s="320">
        <v>4.7619047619047603E-2</v>
      </c>
      <c r="AE175" s="319">
        <v>0</v>
      </c>
      <c r="AF175" s="320">
        <v>0</v>
      </c>
      <c r="AG175" s="319">
        <v>0</v>
      </c>
      <c r="AH175" s="320">
        <v>0</v>
      </c>
      <c r="AI175" s="319">
        <v>0</v>
      </c>
      <c r="AJ175" s="320">
        <v>0</v>
      </c>
      <c r="AK175" s="320">
        <v>0</v>
      </c>
      <c r="AL175" s="319">
        <v>5</v>
      </c>
      <c r="AM175" s="319">
        <v>5</v>
      </c>
      <c r="AN175" s="319">
        <v>6.5</v>
      </c>
      <c r="AO175" s="319">
        <v>0.55000000000000004</v>
      </c>
      <c r="AP175">
        <v>2</v>
      </c>
      <c r="AQ175">
        <v>2</v>
      </c>
      <c r="AR175" s="136"/>
      <c r="AT175" s="69">
        <v>2.3148</v>
      </c>
      <c r="AU175" s="69">
        <v>2.3148</v>
      </c>
      <c r="AV175" s="69">
        <v>9.6442999999999994</v>
      </c>
      <c r="AW175" s="69">
        <v>0.4758</v>
      </c>
      <c r="BB175" s="69"/>
    </row>
    <row r="176" spans="1:54" customFormat="1" ht="40" customHeight="1">
      <c r="A176" s="313">
        <v>175</v>
      </c>
      <c r="B176" s="136" t="s">
        <v>499</v>
      </c>
      <c r="C176" s="136" t="s">
        <v>45</v>
      </c>
      <c r="D176" s="31">
        <f t="shared" si="10"/>
        <v>4</v>
      </c>
      <c r="E176" s="137" t="s">
        <v>46</v>
      </c>
      <c r="F176" s="31">
        <f t="shared" si="11"/>
        <v>6</v>
      </c>
      <c r="G176" s="137" t="s">
        <v>545</v>
      </c>
      <c r="H176" s="138">
        <v>76</v>
      </c>
      <c r="I176" s="158">
        <f t="shared" si="12"/>
        <v>0.34073340721330753</v>
      </c>
      <c r="J176" s="95">
        <v>1.5121833569409199E-4</v>
      </c>
      <c r="K176" s="137">
        <v>0.68131559609092096</v>
      </c>
      <c r="L176" s="137">
        <v>0.68181818181818199</v>
      </c>
      <c r="M176" s="137">
        <v>0.68056171750003003</v>
      </c>
      <c r="N176" s="136">
        <v>1</v>
      </c>
      <c r="O176" s="32">
        <v>43289</v>
      </c>
      <c r="P176" s="98">
        <f t="shared" si="13"/>
        <v>1</v>
      </c>
      <c r="Q176">
        <v>0</v>
      </c>
      <c r="R176">
        <v>1.65</v>
      </c>
      <c r="S176">
        <v>0</v>
      </c>
      <c r="T176" s="112" t="s">
        <v>73</v>
      </c>
      <c r="U176" s="137" t="s">
        <v>546</v>
      </c>
      <c r="V176" s="137" t="s">
        <v>547</v>
      </c>
      <c r="W176" s="69">
        <v>112</v>
      </c>
      <c r="X176" s="136">
        <v>1</v>
      </c>
      <c r="Y176" s="136">
        <v>5</v>
      </c>
      <c r="Z176" s="314"/>
      <c r="AA176" s="319">
        <v>0.5</v>
      </c>
      <c r="AB176" s="315" t="s">
        <v>5176</v>
      </c>
      <c r="AC176" s="319">
        <v>0</v>
      </c>
      <c r="AD176" s="320">
        <v>0</v>
      </c>
      <c r="AE176" s="319">
        <v>3</v>
      </c>
      <c r="AF176" s="320">
        <v>4.6875E-2</v>
      </c>
      <c r="AG176" s="319">
        <v>0</v>
      </c>
      <c r="AH176" s="320">
        <v>0</v>
      </c>
      <c r="AI176" s="319">
        <v>0</v>
      </c>
      <c r="AJ176" s="320">
        <v>0</v>
      </c>
      <c r="AK176" s="320">
        <v>1.5625E-2</v>
      </c>
      <c r="AL176" s="319">
        <v>5</v>
      </c>
      <c r="AM176" s="319">
        <v>5</v>
      </c>
      <c r="AN176" s="319">
        <v>2</v>
      </c>
      <c r="AO176" s="319">
        <v>0.4</v>
      </c>
      <c r="AP176">
        <v>5</v>
      </c>
      <c r="AR176" s="136">
        <v>5</v>
      </c>
      <c r="AT176" s="69">
        <v>2.3148</v>
      </c>
      <c r="AU176" s="69">
        <v>2.3148</v>
      </c>
      <c r="AV176" s="69">
        <v>2.3148</v>
      </c>
      <c r="AW176" s="69">
        <v>0.23150000000000001</v>
      </c>
      <c r="BB176" s="69"/>
    </row>
    <row r="177" spans="1:54" customFormat="1" ht="40" customHeight="1">
      <c r="A177" s="313">
        <v>176</v>
      </c>
      <c r="B177" s="136" t="s">
        <v>499</v>
      </c>
      <c r="C177" s="136" t="s">
        <v>45</v>
      </c>
      <c r="D177" s="31">
        <f t="shared" si="10"/>
        <v>4</v>
      </c>
      <c r="E177" s="137" t="s">
        <v>519</v>
      </c>
      <c r="F177" s="31">
        <f t="shared" si="11"/>
        <v>5</v>
      </c>
      <c r="G177" s="137" t="s">
        <v>520</v>
      </c>
      <c r="H177" s="138">
        <v>96</v>
      </c>
      <c r="I177" s="158">
        <f t="shared" si="12"/>
        <v>0.7251346158268045</v>
      </c>
      <c r="J177" s="95">
        <v>0.94894467819441197</v>
      </c>
      <c r="K177" s="137">
        <v>0.50132455345919702</v>
      </c>
      <c r="L177" s="137">
        <v>0.51226009152380303</v>
      </c>
      <c r="M177" s="137">
        <v>0.48492124636228701</v>
      </c>
      <c r="N177" s="136">
        <v>1</v>
      </c>
      <c r="O177" s="32">
        <v>43238</v>
      </c>
      <c r="P177" s="98">
        <f t="shared" si="13"/>
        <v>1</v>
      </c>
      <c r="Q177">
        <v>0</v>
      </c>
      <c r="R177">
        <v>3.3</v>
      </c>
      <c r="S177">
        <v>0</v>
      </c>
      <c r="T177" s="112" t="s">
        <v>73</v>
      </c>
      <c r="U177" s="137" t="s">
        <v>548</v>
      </c>
      <c r="V177" s="137" t="s">
        <v>549</v>
      </c>
      <c r="W177" s="69">
        <v>67</v>
      </c>
      <c r="X177" s="136">
        <v>2</v>
      </c>
      <c r="Y177" s="136">
        <v>13</v>
      </c>
      <c r="Z177" s="314"/>
      <c r="AA177" s="319">
        <v>9.98202319436013E-3</v>
      </c>
      <c r="AB177" s="315" t="s">
        <v>5176</v>
      </c>
      <c r="AC177" s="319">
        <v>1</v>
      </c>
      <c r="AD177" s="320">
        <v>2.6315789473684199E-2</v>
      </c>
      <c r="AE177" s="319">
        <v>2</v>
      </c>
      <c r="AF177" s="320">
        <v>5.2631578947368397E-2</v>
      </c>
      <c r="AG177" s="319">
        <v>1</v>
      </c>
      <c r="AH177" s="320">
        <v>2.6315789473684199E-2</v>
      </c>
      <c r="AI177" s="319">
        <v>0</v>
      </c>
      <c r="AJ177" s="320">
        <v>0</v>
      </c>
      <c r="AK177" s="320">
        <v>5.2631578947368418E-2</v>
      </c>
      <c r="AL177" s="319">
        <v>5</v>
      </c>
      <c r="AM177" s="319">
        <v>6.2</v>
      </c>
      <c r="AN177" s="319">
        <v>2</v>
      </c>
      <c r="AO177" s="319">
        <v>0.44</v>
      </c>
      <c r="AP177">
        <v>13</v>
      </c>
      <c r="AQ177">
        <v>13</v>
      </c>
      <c r="AR177" s="136"/>
      <c r="AT177" s="69">
        <v>2.3148</v>
      </c>
      <c r="AU177" s="69">
        <v>5</v>
      </c>
      <c r="AV177" s="69">
        <v>2.3148</v>
      </c>
      <c r="AW177" s="69">
        <v>0.32100000000000001</v>
      </c>
      <c r="BB177" s="69"/>
    </row>
    <row r="178" spans="1:54" customFormat="1" ht="40" customHeight="1">
      <c r="A178" s="313">
        <v>177</v>
      </c>
      <c r="B178" s="136" t="s">
        <v>499</v>
      </c>
      <c r="C178" s="136" t="s">
        <v>119</v>
      </c>
      <c r="D178" s="31">
        <f t="shared" si="10"/>
        <v>1</v>
      </c>
      <c r="E178" s="137" t="s">
        <v>519</v>
      </c>
      <c r="F178" s="31">
        <f t="shared" si="11"/>
        <v>5</v>
      </c>
      <c r="G178" s="137" t="s">
        <v>520</v>
      </c>
      <c r="H178" s="138">
        <v>88</v>
      </c>
      <c r="I178" s="158">
        <f t="shared" si="12"/>
        <v>0.392837532593246</v>
      </c>
      <c r="J178" s="95">
        <v>8.0196481778228995E-2</v>
      </c>
      <c r="K178" s="137">
        <v>0.70547858340826297</v>
      </c>
      <c r="L178" s="137">
        <v>0.82499999999999996</v>
      </c>
      <c r="M178" s="137">
        <v>0.526196458520657</v>
      </c>
      <c r="N178" s="136">
        <v>1</v>
      </c>
      <c r="O178" s="32">
        <v>43237</v>
      </c>
      <c r="P178" s="98">
        <f t="shared" si="13"/>
        <v>0</v>
      </c>
      <c r="Q178">
        <v>2.5499999999999998</v>
      </c>
      <c r="R178">
        <v>0</v>
      </c>
      <c r="S178">
        <v>0</v>
      </c>
      <c r="T178" s="112" t="s">
        <v>48</v>
      </c>
      <c r="U178" s="137" t="s">
        <v>550</v>
      </c>
      <c r="V178" s="137" t="s">
        <v>551</v>
      </c>
      <c r="W178" s="69">
        <v>43</v>
      </c>
      <c r="X178" s="136">
        <v>4</v>
      </c>
      <c r="Y178" s="136">
        <v>11</v>
      </c>
      <c r="Z178" s="314"/>
      <c r="AA178" s="319">
        <v>0.5</v>
      </c>
      <c r="AB178" s="315" t="s">
        <v>5193</v>
      </c>
      <c r="AC178" s="319">
        <v>1</v>
      </c>
      <c r="AD178" s="320">
        <v>0.04</v>
      </c>
      <c r="AE178" s="319">
        <v>1</v>
      </c>
      <c r="AF178" s="320">
        <v>0.04</v>
      </c>
      <c r="AG178" s="319">
        <v>0</v>
      </c>
      <c r="AH178" s="320">
        <v>0</v>
      </c>
      <c r="AI178" s="319">
        <v>1</v>
      </c>
      <c r="AJ178" s="320">
        <v>0.04</v>
      </c>
      <c r="AK178" s="320">
        <v>0</v>
      </c>
      <c r="AL178" s="319">
        <v>5</v>
      </c>
      <c r="AM178" s="319">
        <v>6.2</v>
      </c>
      <c r="AN178" s="319">
        <v>7.6666666666666599</v>
      </c>
      <c r="AO178" s="319">
        <v>0.62888888888888805</v>
      </c>
      <c r="AP178">
        <v>11</v>
      </c>
      <c r="AQ178">
        <v>11</v>
      </c>
      <c r="AR178" s="136"/>
      <c r="AT178" s="69">
        <v>2.3148</v>
      </c>
      <c r="AU178" s="69">
        <v>5</v>
      </c>
      <c r="AV178" s="69">
        <v>9.8867999999999991</v>
      </c>
      <c r="AW178" s="69">
        <v>0.57340000000000002</v>
      </c>
      <c r="BB178" s="69"/>
    </row>
    <row r="179" spans="1:54" customFormat="1" ht="40" customHeight="1">
      <c r="A179" s="313">
        <v>178</v>
      </c>
      <c r="B179" s="136" t="s">
        <v>499</v>
      </c>
      <c r="C179" s="136" t="s">
        <v>45</v>
      </c>
      <c r="D179" s="31">
        <f t="shared" si="10"/>
        <v>4</v>
      </c>
      <c r="E179" s="137" t="s">
        <v>519</v>
      </c>
      <c r="F179" s="31">
        <f t="shared" si="11"/>
        <v>5</v>
      </c>
      <c r="G179" s="137" t="s">
        <v>520</v>
      </c>
      <c r="H179" s="138">
        <v>173</v>
      </c>
      <c r="I179" s="158">
        <f t="shared" si="12"/>
        <v>0.269813407245305</v>
      </c>
      <c r="J179" s="95">
        <v>1.1398008317681001E-2</v>
      </c>
      <c r="K179" s="137">
        <v>0.528228806172929</v>
      </c>
      <c r="L179" s="137">
        <v>0.465690992294366</v>
      </c>
      <c r="M179" s="137">
        <v>0.62203552699077302</v>
      </c>
      <c r="N179" s="136">
        <v>1</v>
      </c>
      <c r="O179" s="32">
        <v>43175</v>
      </c>
      <c r="P179" s="98">
        <f t="shared" si="13"/>
        <v>1</v>
      </c>
      <c r="Q179">
        <v>2.5499999999999998</v>
      </c>
      <c r="R179">
        <v>4.95</v>
      </c>
      <c r="S179">
        <v>0</v>
      </c>
      <c r="T179" s="112" t="s">
        <v>73</v>
      </c>
      <c r="U179" s="137" t="s">
        <v>552</v>
      </c>
      <c r="V179" s="137" t="s">
        <v>553</v>
      </c>
      <c r="W179" s="69">
        <v>189</v>
      </c>
      <c r="X179" s="136">
        <v>4</v>
      </c>
      <c r="Y179" s="136">
        <v>7</v>
      </c>
      <c r="Z179" s="314"/>
      <c r="AA179" s="319">
        <v>3.7058708494970001E-3</v>
      </c>
      <c r="AB179" s="315" t="s">
        <v>5176</v>
      </c>
      <c r="AC179" s="319">
        <v>1</v>
      </c>
      <c r="AD179" s="320">
        <v>8.7719298245613996E-3</v>
      </c>
      <c r="AE179" s="319">
        <v>3</v>
      </c>
      <c r="AF179" s="320">
        <v>2.6315789473684199E-2</v>
      </c>
      <c r="AG179" s="319">
        <v>1</v>
      </c>
      <c r="AH179" s="320">
        <v>8.7719298245613996E-3</v>
      </c>
      <c r="AI179" s="319">
        <v>0</v>
      </c>
      <c r="AJ179" s="320">
        <v>0</v>
      </c>
      <c r="AK179" s="320">
        <v>8.771929824561403E-3</v>
      </c>
      <c r="AL179" s="319">
        <v>5</v>
      </c>
      <c r="AM179" s="319">
        <v>7.4</v>
      </c>
      <c r="AN179" s="319">
        <v>2</v>
      </c>
      <c r="AO179" s="319">
        <v>0.48</v>
      </c>
      <c r="AP179">
        <v>7</v>
      </c>
      <c r="AR179" s="136">
        <v>7</v>
      </c>
      <c r="AT179" s="69">
        <v>2.3148</v>
      </c>
      <c r="AU179" s="69">
        <v>7.6852</v>
      </c>
      <c r="AV179" s="69">
        <v>2.3148</v>
      </c>
      <c r="AW179" s="69">
        <v>0.41049999999999998</v>
      </c>
      <c r="BB179" s="69"/>
    </row>
    <row r="180" spans="1:54" customFormat="1" ht="40" customHeight="1">
      <c r="A180" s="313">
        <v>179</v>
      </c>
      <c r="B180" s="136" t="s">
        <v>499</v>
      </c>
      <c r="C180" s="136" t="s">
        <v>45</v>
      </c>
      <c r="D180" s="31">
        <f t="shared" si="10"/>
        <v>4</v>
      </c>
      <c r="E180" s="137" t="s">
        <v>519</v>
      </c>
      <c r="F180" s="31">
        <f t="shared" si="11"/>
        <v>5</v>
      </c>
      <c r="G180" s="137" t="s">
        <v>520</v>
      </c>
      <c r="H180" s="138">
        <v>129</v>
      </c>
      <c r="I180" s="158">
        <f t="shared" si="12"/>
        <v>0.34047538245410602</v>
      </c>
      <c r="J180" s="95">
        <v>1.9616453590387601E-6</v>
      </c>
      <c r="K180" s="137">
        <v>0.68094880326285301</v>
      </c>
      <c r="L180" s="137">
        <v>0.56348610067618299</v>
      </c>
      <c r="M180" s="137">
        <v>0.85714285714285698</v>
      </c>
      <c r="N180" s="136">
        <v>1</v>
      </c>
      <c r="O180" s="32">
        <v>43172</v>
      </c>
      <c r="P180" s="98">
        <f t="shared" si="13"/>
        <v>0</v>
      </c>
      <c r="Q180">
        <v>2.5499999999999998</v>
      </c>
      <c r="R180">
        <v>0</v>
      </c>
      <c r="S180">
        <v>0</v>
      </c>
      <c r="T180" s="112" t="s">
        <v>48</v>
      </c>
      <c r="U180" s="137" t="s">
        <v>554</v>
      </c>
      <c r="V180" s="137" t="s">
        <v>555</v>
      </c>
      <c r="W180" s="69">
        <v>102</v>
      </c>
      <c r="X180" s="136">
        <v>4</v>
      </c>
      <c r="Y180" s="136">
        <v>1</v>
      </c>
      <c r="Z180" s="314"/>
      <c r="AA180" s="319">
        <v>2.3083095334191402E-2</v>
      </c>
      <c r="AB180" s="315" t="s">
        <v>5165</v>
      </c>
      <c r="AC180" s="319">
        <v>4</v>
      </c>
      <c r="AD180" s="320">
        <v>6.3492063492063405E-2</v>
      </c>
      <c r="AE180" s="319">
        <v>2</v>
      </c>
      <c r="AF180" s="320">
        <v>3.1746031746031703E-2</v>
      </c>
      <c r="AG180" s="319">
        <v>0</v>
      </c>
      <c r="AH180" s="320">
        <v>0</v>
      </c>
      <c r="AI180" s="319">
        <v>0</v>
      </c>
      <c r="AJ180" s="320">
        <v>0</v>
      </c>
      <c r="AK180" s="320">
        <v>0</v>
      </c>
      <c r="AL180" s="319">
        <v>5</v>
      </c>
      <c r="AM180" s="319">
        <v>6.2</v>
      </c>
      <c r="AN180" s="319">
        <v>2</v>
      </c>
      <c r="AO180" s="319">
        <v>0.44</v>
      </c>
      <c r="AP180">
        <v>1</v>
      </c>
      <c r="AQ180">
        <v>1</v>
      </c>
      <c r="AR180" s="136"/>
      <c r="AT180" s="69">
        <v>2.3148</v>
      </c>
      <c r="AU180" s="69">
        <v>5</v>
      </c>
      <c r="AV180" s="69">
        <v>2.3148</v>
      </c>
      <c r="AW180" s="69">
        <v>0.32100000000000001</v>
      </c>
      <c r="BB180" s="69"/>
    </row>
    <row r="181" spans="1:54" customFormat="1" ht="40" customHeight="1">
      <c r="A181" s="313">
        <v>180</v>
      </c>
      <c r="B181" s="136" t="s">
        <v>499</v>
      </c>
      <c r="C181" s="136" t="s">
        <v>59</v>
      </c>
      <c r="D181" s="31">
        <f t="shared" si="10"/>
        <v>5</v>
      </c>
      <c r="E181" s="137" t="s">
        <v>46</v>
      </c>
      <c r="F181" s="31">
        <f t="shared" si="11"/>
        <v>6</v>
      </c>
      <c r="G181" s="137" t="s">
        <v>556</v>
      </c>
      <c r="H181" s="138">
        <v>91</v>
      </c>
      <c r="I181" s="158">
        <f t="shared" si="12"/>
        <v>0.83023212052959305</v>
      </c>
      <c r="J181" s="95">
        <v>0.99998565765092295</v>
      </c>
      <c r="K181" s="137">
        <v>0.66047858340826304</v>
      </c>
      <c r="L181" s="137">
        <v>0.75</v>
      </c>
      <c r="M181" s="137">
        <v>0.526196458520657</v>
      </c>
      <c r="N181" s="136">
        <v>1</v>
      </c>
      <c r="O181" s="32">
        <v>43155</v>
      </c>
      <c r="P181" s="98">
        <f t="shared" si="13"/>
        <v>1</v>
      </c>
      <c r="Q181">
        <v>0</v>
      </c>
      <c r="R181">
        <v>0</v>
      </c>
      <c r="S181">
        <v>0</v>
      </c>
      <c r="T181" s="112" t="s">
        <v>73</v>
      </c>
      <c r="U181" s="137" t="s">
        <v>557</v>
      </c>
      <c r="V181" s="137" t="s">
        <v>558</v>
      </c>
      <c r="W181" s="69">
        <v>78</v>
      </c>
      <c r="X181" s="136">
        <v>1</v>
      </c>
      <c r="Y181" s="136">
        <v>11</v>
      </c>
      <c r="Z181" s="314"/>
      <c r="AA181" s="319">
        <v>0.5</v>
      </c>
      <c r="AB181" s="315" t="s">
        <v>5179</v>
      </c>
      <c r="AC181" s="319">
        <v>1</v>
      </c>
      <c r="AD181" s="320">
        <v>2.0833333333333301E-2</v>
      </c>
      <c r="AE181" s="319">
        <v>1</v>
      </c>
      <c r="AF181" s="320">
        <v>2.0833333333333301E-2</v>
      </c>
      <c r="AG181" s="319">
        <v>1</v>
      </c>
      <c r="AH181" s="320">
        <v>2.0833333333333301E-2</v>
      </c>
      <c r="AI181" s="319">
        <v>0</v>
      </c>
      <c r="AJ181" s="320">
        <v>0</v>
      </c>
      <c r="AK181" s="320">
        <v>0</v>
      </c>
      <c r="AL181" s="319">
        <v>5</v>
      </c>
      <c r="AM181" s="319">
        <v>8.3333333333333304</v>
      </c>
      <c r="AN181" s="319">
        <v>2</v>
      </c>
      <c r="AO181" s="319">
        <v>0.51111111111111096</v>
      </c>
      <c r="AP181">
        <v>11</v>
      </c>
      <c r="AQ181">
        <v>11</v>
      </c>
      <c r="AR181" s="136"/>
      <c r="AT181" s="69">
        <v>2.3148</v>
      </c>
      <c r="AU181" s="69">
        <v>8.9379000000000008</v>
      </c>
      <c r="AV181" s="69">
        <v>2.3148</v>
      </c>
      <c r="AW181" s="69">
        <v>0.45219999999999999</v>
      </c>
      <c r="BB181" s="69"/>
    </row>
    <row r="182" spans="1:54" customFormat="1" ht="40" customHeight="1">
      <c r="A182" s="313">
        <v>181</v>
      </c>
      <c r="B182" s="136" t="s">
        <v>499</v>
      </c>
      <c r="C182" s="136" t="s">
        <v>45</v>
      </c>
      <c r="D182" s="31">
        <f t="shared" si="10"/>
        <v>4</v>
      </c>
      <c r="E182" s="137" t="s">
        <v>80</v>
      </c>
      <c r="F182" s="31">
        <f t="shared" si="11"/>
        <v>4</v>
      </c>
      <c r="G182" s="137" t="s">
        <v>559</v>
      </c>
      <c r="H182" s="138">
        <v>151</v>
      </c>
      <c r="I182" s="158">
        <f t="shared" si="12"/>
        <v>0.30752915762590805</v>
      </c>
      <c r="J182" s="95">
        <v>1.4132206516137599E-10</v>
      </c>
      <c r="K182" s="137">
        <v>0.61505831511049402</v>
      </c>
      <c r="L182" s="137">
        <v>0.82499999999999996</v>
      </c>
      <c r="M182" s="137">
        <v>0.30014578777623502</v>
      </c>
      <c r="N182" s="136">
        <v>0</v>
      </c>
      <c r="O182" s="32">
        <v>43039</v>
      </c>
      <c r="P182" s="98">
        <f t="shared" si="13"/>
        <v>0</v>
      </c>
      <c r="Q182">
        <v>5.0999999999999996</v>
      </c>
      <c r="R182">
        <v>0</v>
      </c>
      <c r="S182">
        <v>0</v>
      </c>
      <c r="T182" s="112" t="s">
        <v>48</v>
      </c>
      <c r="U182" s="137" t="s">
        <v>560</v>
      </c>
      <c r="V182" s="137" t="s">
        <v>561</v>
      </c>
      <c r="W182" s="69">
        <v>180</v>
      </c>
      <c r="X182" s="136">
        <v>2</v>
      </c>
      <c r="Y182" s="136">
        <v>24</v>
      </c>
      <c r="Z182" s="314"/>
      <c r="AA182" s="319">
        <v>0.59450000000000003</v>
      </c>
      <c r="AB182" s="315" t="s">
        <v>5165</v>
      </c>
      <c r="AC182" s="319">
        <v>3</v>
      </c>
      <c r="AD182" s="320">
        <v>3.1914893617021198E-2</v>
      </c>
      <c r="AE182" s="319">
        <v>2</v>
      </c>
      <c r="AF182" s="320">
        <v>2.1276595744680799E-2</v>
      </c>
      <c r="AG182" s="319">
        <v>1</v>
      </c>
      <c r="AH182" s="320">
        <v>1.0638297872340399E-2</v>
      </c>
      <c r="AI182" s="319">
        <v>2</v>
      </c>
      <c r="AJ182" s="320">
        <v>2.1276595744680799E-2</v>
      </c>
      <c r="AK182" s="320">
        <v>1.063829787234043E-2</v>
      </c>
      <c r="AL182" s="319">
        <v>5</v>
      </c>
      <c r="AM182" s="319">
        <v>6.2</v>
      </c>
      <c r="AN182" s="319">
        <v>4.6666666666666599</v>
      </c>
      <c r="AO182" s="319">
        <v>0.52888888888888796</v>
      </c>
      <c r="AP182">
        <v>24</v>
      </c>
      <c r="AR182" s="136"/>
      <c r="AS182">
        <v>24</v>
      </c>
      <c r="AT182" s="69">
        <v>2.3148</v>
      </c>
      <c r="AU182" s="69">
        <v>5</v>
      </c>
      <c r="AV182" s="69">
        <v>8.1305999999999994</v>
      </c>
      <c r="AW182" s="69">
        <v>0.51480000000000004</v>
      </c>
      <c r="BB182" s="69"/>
    </row>
    <row r="183" spans="1:54" customFormat="1" ht="40" customHeight="1">
      <c r="A183" s="313">
        <v>182</v>
      </c>
      <c r="B183" s="136" t="s">
        <v>499</v>
      </c>
      <c r="C183" s="136" t="s">
        <v>45</v>
      </c>
      <c r="D183" s="31">
        <f t="shared" si="10"/>
        <v>4</v>
      </c>
      <c r="E183" s="137" t="s">
        <v>80</v>
      </c>
      <c r="F183" s="31">
        <f t="shared" si="11"/>
        <v>4</v>
      </c>
      <c r="G183" s="137" t="s">
        <v>562</v>
      </c>
      <c r="H183" s="138">
        <v>93</v>
      </c>
      <c r="I183" s="158">
        <f t="shared" si="12"/>
        <v>0.46993200316537498</v>
      </c>
      <c r="J183" s="95">
        <v>0.45382128548546402</v>
      </c>
      <c r="K183" s="137">
        <v>0.48604272084528599</v>
      </c>
      <c r="L183" s="137">
        <v>0.51226009152380303</v>
      </c>
      <c r="M183" s="137">
        <v>0.44671666482751199</v>
      </c>
      <c r="N183" s="136">
        <v>1</v>
      </c>
      <c r="O183" s="32">
        <v>43002</v>
      </c>
      <c r="P183" s="98">
        <f t="shared" si="13"/>
        <v>2</v>
      </c>
      <c r="Q183">
        <v>0</v>
      </c>
      <c r="R183">
        <v>0</v>
      </c>
      <c r="S183">
        <v>0</v>
      </c>
      <c r="T183" s="112" t="s">
        <v>64</v>
      </c>
      <c r="U183" s="137" t="s">
        <v>563</v>
      </c>
      <c r="V183" s="137" t="s">
        <v>564</v>
      </c>
      <c r="W183" s="69">
        <v>66</v>
      </c>
      <c r="X183" s="136">
        <v>1</v>
      </c>
      <c r="Y183" s="136">
        <v>15</v>
      </c>
      <c r="Z183" s="314"/>
      <c r="AA183" s="319">
        <v>0.59450000000000003</v>
      </c>
      <c r="AB183" s="315" t="s">
        <v>5176</v>
      </c>
      <c r="AC183" s="319">
        <v>2</v>
      </c>
      <c r="AD183" s="320">
        <v>4.6511627906976702E-2</v>
      </c>
      <c r="AE183" s="319">
        <v>3</v>
      </c>
      <c r="AF183" s="320">
        <v>6.9767441860465101E-2</v>
      </c>
      <c r="AG183" s="319">
        <v>0</v>
      </c>
      <c r="AH183" s="320">
        <v>0</v>
      </c>
      <c r="AI183" s="319">
        <v>0</v>
      </c>
      <c r="AJ183" s="320">
        <v>0</v>
      </c>
      <c r="AK183" s="320">
        <v>2.3255813953488368E-2</v>
      </c>
      <c r="AL183" s="319">
        <v>5</v>
      </c>
      <c r="AM183" s="319">
        <v>6.2</v>
      </c>
      <c r="AN183" s="319">
        <v>4.6666666666666599</v>
      </c>
      <c r="AO183" s="319">
        <v>0.52888888888888796</v>
      </c>
      <c r="AP183">
        <v>15</v>
      </c>
      <c r="AQ183">
        <v>15</v>
      </c>
      <c r="AR183" s="136"/>
      <c r="AT183" s="69">
        <v>2.3148</v>
      </c>
      <c r="AU183" s="69">
        <v>5</v>
      </c>
      <c r="AV183" s="69">
        <v>8.1305999999999994</v>
      </c>
      <c r="AW183" s="69">
        <v>0.51480000000000004</v>
      </c>
      <c r="BB183" s="69"/>
    </row>
    <row r="184" spans="1:54" customFormat="1" ht="40" customHeight="1">
      <c r="A184" s="313">
        <v>183</v>
      </c>
      <c r="B184" s="136" t="s">
        <v>499</v>
      </c>
      <c r="C184" s="136" t="s">
        <v>59</v>
      </c>
      <c r="D184" s="31">
        <f t="shared" si="10"/>
        <v>5</v>
      </c>
      <c r="E184" s="137" t="s">
        <v>46</v>
      </c>
      <c r="F184" s="31">
        <f t="shared" si="11"/>
        <v>6</v>
      </c>
      <c r="G184" s="137" t="s">
        <v>565</v>
      </c>
      <c r="H184" s="138">
        <v>32</v>
      </c>
      <c r="I184" s="158">
        <f t="shared" si="12"/>
        <v>0.88589989776734201</v>
      </c>
      <c r="J184" s="95">
        <v>0.99989896908840303</v>
      </c>
      <c r="K184" s="137">
        <v>0.771900826446281</v>
      </c>
      <c r="L184" s="137">
        <v>0.61983471074380203</v>
      </c>
      <c r="M184" s="137">
        <v>1</v>
      </c>
      <c r="N184" s="136">
        <v>1</v>
      </c>
      <c r="O184" s="32">
        <v>42976</v>
      </c>
      <c r="P184" s="98">
        <f t="shared" si="13"/>
        <v>1</v>
      </c>
      <c r="Q184">
        <v>0</v>
      </c>
      <c r="R184">
        <v>0</v>
      </c>
      <c r="S184">
        <v>0</v>
      </c>
      <c r="T184" s="112" t="s">
        <v>73</v>
      </c>
      <c r="U184" s="137" t="s">
        <v>566</v>
      </c>
      <c r="V184" s="137" t="s">
        <v>567</v>
      </c>
      <c r="W184" s="69">
        <v>15</v>
      </c>
      <c r="X184" s="136">
        <v>3</v>
      </c>
      <c r="Y184" s="136">
        <v>0</v>
      </c>
      <c r="Z184" s="314"/>
      <c r="AA184" s="319">
        <v>0.5</v>
      </c>
      <c r="AB184" s="315" t="s">
        <v>5165</v>
      </c>
      <c r="AC184" s="319">
        <v>1</v>
      </c>
      <c r="AD184" s="320">
        <v>0.1</v>
      </c>
      <c r="AE184" s="319">
        <v>0</v>
      </c>
      <c r="AF184" s="320">
        <v>0</v>
      </c>
      <c r="AG184" s="319">
        <v>0</v>
      </c>
      <c r="AH184" s="320">
        <v>0</v>
      </c>
      <c r="AI184" s="319">
        <v>0</v>
      </c>
      <c r="AJ184" s="320">
        <v>0</v>
      </c>
      <c r="AK184" s="320">
        <v>0</v>
      </c>
      <c r="AL184" s="319">
        <v>5</v>
      </c>
      <c r="AM184" s="319">
        <v>5</v>
      </c>
      <c r="AN184" s="319">
        <v>3.5</v>
      </c>
      <c r="AO184" s="319">
        <v>0.45</v>
      </c>
      <c r="AP184">
        <v>0</v>
      </c>
      <c r="AQ184">
        <v>0</v>
      </c>
      <c r="AR184" s="136"/>
      <c r="AT184" s="69">
        <v>2.3148</v>
      </c>
      <c r="AU184" s="69">
        <v>2.3148</v>
      </c>
      <c r="AV184" s="69">
        <v>5.7443999999999997</v>
      </c>
      <c r="AW184" s="69">
        <v>0.3458</v>
      </c>
      <c r="BB184" s="69"/>
    </row>
    <row r="185" spans="1:54" customFormat="1" ht="40" customHeight="1">
      <c r="A185" s="313">
        <v>184</v>
      </c>
      <c r="B185" s="136" t="s">
        <v>499</v>
      </c>
      <c r="C185" s="136" t="s">
        <v>59</v>
      </c>
      <c r="D185" s="31">
        <f t="shared" si="10"/>
        <v>5</v>
      </c>
      <c r="E185" s="137" t="s">
        <v>46</v>
      </c>
      <c r="F185" s="31">
        <f t="shared" si="11"/>
        <v>6</v>
      </c>
      <c r="G185" s="137" t="s">
        <v>565</v>
      </c>
      <c r="H185" s="138">
        <v>32</v>
      </c>
      <c r="I185" s="158">
        <f t="shared" si="12"/>
        <v>0.88589989776734201</v>
      </c>
      <c r="J185" s="95">
        <v>0.99989896908840303</v>
      </c>
      <c r="K185" s="137">
        <v>0.771900826446281</v>
      </c>
      <c r="L185" s="137">
        <v>0.61983471074380203</v>
      </c>
      <c r="M185" s="137">
        <v>1</v>
      </c>
      <c r="N185" s="136">
        <v>1</v>
      </c>
      <c r="O185" s="32">
        <v>42976</v>
      </c>
      <c r="P185" s="98">
        <f t="shared" si="13"/>
        <v>1</v>
      </c>
      <c r="Q185">
        <v>0</v>
      </c>
      <c r="R185">
        <v>0</v>
      </c>
      <c r="S185">
        <v>0</v>
      </c>
      <c r="T185" s="112" t="s">
        <v>73</v>
      </c>
      <c r="U185" s="137" t="s">
        <v>566</v>
      </c>
      <c r="V185" s="137" t="s">
        <v>568</v>
      </c>
      <c r="W185" s="69">
        <v>32</v>
      </c>
      <c r="X185" s="136">
        <v>3</v>
      </c>
      <c r="Y185" s="136">
        <v>0</v>
      </c>
      <c r="Z185" s="314"/>
      <c r="AA185" s="319">
        <v>0.5</v>
      </c>
      <c r="AB185" s="315" t="s">
        <v>5178</v>
      </c>
      <c r="AC185" s="319">
        <v>1</v>
      </c>
      <c r="AD185" s="320">
        <v>0.05</v>
      </c>
      <c r="AE185" s="319">
        <v>1</v>
      </c>
      <c r="AF185" s="320">
        <v>0.05</v>
      </c>
      <c r="AG185" s="319">
        <v>0</v>
      </c>
      <c r="AH185" s="320">
        <v>0</v>
      </c>
      <c r="AI185" s="319">
        <v>0</v>
      </c>
      <c r="AJ185" s="320">
        <v>0</v>
      </c>
      <c r="AK185" s="320">
        <v>0</v>
      </c>
      <c r="AL185" s="319">
        <v>5</v>
      </c>
      <c r="AM185" s="319">
        <v>5</v>
      </c>
      <c r="AN185" s="319">
        <v>3.5</v>
      </c>
      <c r="AO185" s="319">
        <v>0.45</v>
      </c>
      <c r="AP185">
        <v>0</v>
      </c>
      <c r="AQ185">
        <v>0</v>
      </c>
      <c r="AR185" s="136"/>
      <c r="AT185" s="69">
        <v>2.3148</v>
      </c>
      <c r="AU185" s="69">
        <v>2.3148</v>
      </c>
      <c r="AV185" s="69">
        <v>5.7443999999999997</v>
      </c>
      <c r="AW185" s="69">
        <v>0.3458</v>
      </c>
      <c r="BB185" s="69"/>
    </row>
    <row r="186" spans="1:54" customFormat="1" ht="40" customHeight="1">
      <c r="A186" s="313">
        <v>185</v>
      </c>
      <c r="B186" s="136" t="s">
        <v>499</v>
      </c>
      <c r="C186" s="136" t="s">
        <v>119</v>
      </c>
      <c r="D186" s="31">
        <f t="shared" si="10"/>
        <v>1</v>
      </c>
      <c r="E186" s="137" t="s">
        <v>80</v>
      </c>
      <c r="F186" s="31">
        <f t="shared" si="11"/>
        <v>4</v>
      </c>
      <c r="G186" s="137" t="s">
        <v>569</v>
      </c>
      <c r="H186" s="138">
        <v>182</v>
      </c>
      <c r="I186" s="158">
        <f t="shared" si="12"/>
        <v>0.35606686451484298</v>
      </c>
      <c r="J186" s="95">
        <v>2.1045714744389898E-3</v>
      </c>
      <c r="K186" s="137">
        <v>0.71002915755524698</v>
      </c>
      <c r="L186" s="137">
        <v>0.75</v>
      </c>
      <c r="M186" s="137">
        <v>0.65007289388811795</v>
      </c>
      <c r="N186" s="136">
        <v>1</v>
      </c>
      <c r="O186" s="32">
        <v>42949</v>
      </c>
      <c r="P186" s="98">
        <f t="shared" si="13"/>
        <v>1</v>
      </c>
      <c r="Q186">
        <v>2.5499999999999998</v>
      </c>
      <c r="R186">
        <v>4.95</v>
      </c>
      <c r="S186">
        <v>1.87</v>
      </c>
      <c r="T186" s="112" t="s">
        <v>73</v>
      </c>
      <c r="U186" s="137" t="s">
        <v>570</v>
      </c>
      <c r="V186" s="137" t="s">
        <v>571</v>
      </c>
      <c r="W186" s="69">
        <v>153</v>
      </c>
      <c r="X186" s="136">
        <v>2</v>
      </c>
      <c r="Y186" s="136">
        <v>6</v>
      </c>
      <c r="Z186" s="314"/>
      <c r="AA186" s="319">
        <v>0.42190082644628002</v>
      </c>
      <c r="AB186" s="315" t="s">
        <v>5178</v>
      </c>
      <c r="AC186" s="319">
        <v>1</v>
      </c>
      <c r="AD186" s="320">
        <v>1.21951219512195E-2</v>
      </c>
      <c r="AE186" s="319">
        <v>1</v>
      </c>
      <c r="AF186" s="320">
        <v>1.21951219512195E-2</v>
      </c>
      <c r="AG186" s="319">
        <v>0</v>
      </c>
      <c r="AH186" s="320">
        <v>0</v>
      </c>
      <c r="AI186" s="319">
        <v>0</v>
      </c>
      <c r="AJ186" s="320">
        <v>0</v>
      </c>
      <c r="AK186" s="320">
        <v>0</v>
      </c>
      <c r="AL186" s="319">
        <v>6.75</v>
      </c>
      <c r="AM186" s="319">
        <v>6.2</v>
      </c>
      <c r="AN186" s="319">
        <v>3.5</v>
      </c>
      <c r="AO186" s="319">
        <v>0.54833333333333301</v>
      </c>
      <c r="AP186">
        <v>6</v>
      </c>
      <c r="AQ186">
        <v>6</v>
      </c>
      <c r="AR186" s="136"/>
      <c r="AT186" s="69">
        <v>6.3414000000000001</v>
      </c>
      <c r="AU186" s="69">
        <v>5</v>
      </c>
      <c r="AV186" s="69">
        <v>5.7443999999999997</v>
      </c>
      <c r="AW186" s="69">
        <v>0.56950000000000001</v>
      </c>
      <c r="BB186" s="69"/>
    </row>
    <row r="187" spans="1:54" customFormat="1" ht="40" customHeight="1">
      <c r="A187" s="313">
        <v>186</v>
      </c>
      <c r="B187" s="136" t="s">
        <v>499</v>
      </c>
      <c r="C187" s="136" t="s">
        <v>45</v>
      </c>
      <c r="D187" s="31">
        <f t="shared" si="10"/>
        <v>4</v>
      </c>
      <c r="E187" s="137" t="s">
        <v>80</v>
      </c>
      <c r="F187" s="31">
        <f t="shared" si="11"/>
        <v>4</v>
      </c>
      <c r="G187" s="137" t="s">
        <v>572</v>
      </c>
      <c r="H187" s="138">
        <v>51</v>
      </c>
      <c r="I187" s="158">
        <f t="shared" si="12"/>
        <v>0.32414337001220728</v>
      </c>
      <c r="J187" s="95">
        <v>3.7144494655662601E-2</v>
      </c>
      <c r="K187" s="137">
        <v>0.61114224536875195</v>
      </c>
      <c r="L187" s="137">
        <v>0.68181818181818199</v>
      </c>
      <c r="M187" s="137">
        <v>0.50512834069460699</v>
      </c>
      <c r="N187" s="136">
        <v>1</v>
      </c>
      <c r="O187" s="32">
        <v>42837</v>
      </c>
      <c r="P187" s="98">
        <f t="shared" si="13"/>
        <v>1</v>
      </c>
      <c r="Q187">
        <v>0</v>
      </c>
      <c r="R187">
        <v>1.65</v>
      </c>
      <c r="S187">
        <v>0</v>
      </c>
      <c r="T187" s="112" t="s">
        <v>73</v>
      </c>
      <c r="U187" s="137" t="s">
        <v>573</v>
      </c>
      <c r="V187" s="137" t="s">
        <v>574</v>
      </c>
      <c r="W187" s="69">
        <v>130</v>
      </c>
      <c r="X187" s="136">
        <v>1</v>
      </c>
      <c r="Y187" s="136">
        <v>12</v>
      </c>
      <c r="Z187" s="314"/>
      <c r="AA187" s="319">
        <v>0.60499999999999998</v>
      </c>
      <c r="AB187" s="315" t="s">
        <v>5177</v>
      </c>
      <c r="AC187" s="319">
        <v>0</v>
      </c>
      <c r="AD187" s="320">
        <v>0</v>
      </c>
      <c r="AE187" s="319">
        <v>1</v>
      </c>
      <c r="AF187" s="320">
        <v>1.42857142857142E-2</v>
      </c>
      <c r="AG187" s="319">
        <v>1</v>
      </c>
      <c r="AH187" s="320">
        <v>1.42857142857142E-2</v>
      </c>
      <c r="AI187" s="319">
        <v>0</v>
      </c>
      <c r="AJ187" s="320">
        <v>0</v>
      </c>
      <c r="AK187" s="320">
        <v>0</v>
      </c>
      <c r="AL187" s="319">
        <v>5</v>
      </c>
      <c r="AM187" s="319">
        <v>5</v>
      </c>
      <c r="AN187" s="319">
        <v>3.5</v>
      </c>
      <c r="AO187" s="319">
        <v>0.45</v>
      </c>
      <c r="AP187">
        <v>12</v>
      </c>
      <c r="AR187" s="136">
        <v>12</v>
      </c>
      <c r="AT187" s="69">
        <v>2.3148</v>
      </c>
      <c r="AU187" s="69">
        <v>2.3148</v>
      </c>
      <c r="AV187" s="69">
        <v>5.7443999999999997</v>
      </c>
      <c r="AW187" s="69">
        <v>0.3458</v>
      </c>
      <c r="BB187" s="69"/>
    </row>
    <row r="188" spans="1:54" customFormat="1" ht="40" customHeight="1">
      <c r="A188" s="313">
        <v>187</v>
      </c>
      <c r="B188" s="136" t="s">
        <v>499</v>
      </c>
      <c r="C188" s="136" t="s">
        <v>59</v>
      </c>
      <c r="D188" s="31">
        <f t="shared" si="10"/>
        <v>5</v>
      </c>
      <c r="E188" s="137" t="s">
        <v>46</v>
      </c>
      <c r="F188" s="31">
        <f t="shared" si="11"/>
        <v>6</v>
      </c>
      <c r="G188" s="137" t="s">
        <v>575</v>
      </c>
      <c r="H188" s="138">
        <v>98</v>
      </c>
      <c r="I188" s="158">
        <f t="shared" si="12"/>
        <v>0.29412562894083638</v>
      </c>
      <c r="J188" s="95">
        <v>8.6926704422475701E-2</v>
      </c>
      <c r="K188" s="137">
        <v>0.50132455345919702</v>
      </c>
      <c r="L188" s="137">
        <v>0.51226009152380303</v>
      </c>
      <c r="M188" s="137">
        <v>0.48492124636228701</v>
      </c>
      <c r="N188" s="136">
        <v>1</v>
      </c>
      <c r="O188" s="32">
        <v>42801</v>
      </c>
      <c r="P188" s="98">
        <f t="shared" si="13"/>
        <v>0</v>
      </c>
      <c r="Q188">
        <v>2.5499999999999998</v>
      </c>
      <c r="R188">
        <v>1.65</v>
      </c>
      <c r="S188">
        <v>0</v>
      </c>
      <c r="T188" s="112" t="s">
        <v>48</v>
      </c>
      <c r="U188" s="137" t="s">
        <v>576</v>
      </c>
      <c r="V188" s="137" t="s">
        <v>577</v>
      </c>
      <c r="W188" s="69">
        <v>107</v>
      </c>
      <c r="X188" s="136">
        <v>2</v>
      </c>
      <c r="Y188" s="136">
        <v>13</v>
      </c>
      <c r="Z188" s="314"/>
      <c r="AA188" s="319">
        <v>0.5</v>
      </c>
      <c r="AB188" s="315" t="s">
        <v>5165</v>
      </c>
      <c r="AC188" s="319">
        <v>1</v>
      </c>
      <c r="AD188" s="320">
        <v>1.6949152542372801E-2</v>
      </c>
      <c r="AE188" s="319">
        <v>0</v>
      </c>
      <c r="AF188" s="320">
        <v>0</v>
      </c>
      <c r="AG188" s="319">
        <v>0</v>
      </c>
      <c r="AH188" s="320">
        <v>0</v>
      </c>
      <c r="AI188" s="319">
        <v>0</v>
      </c>
      <c r="AJ188" s="320">
        <v>0</v>
      </c>
      <c r="AK188" s="320">
        <v>0</v>
      </c>
      <c r="AL188" s="319">
        <v>5</v>
      </c>
      <c r="AM188" s="319">
        <v>6.2</v>
      </c>
      <c r="AN188" s="319">
        <v>3.5</v>
      </c>
      <c r="AO188" s="319">
        <v>0.49</v>
      </c>
      <c r="AP188">
        <v>13</v>
      </c>
      <c r="AQ188">
        <v>13</v>
      </c>
      <c r="AR188" s="136"/>
      <c r="AT188" s="69">
        <v>2.3148</v>
      </c>
      <c r="AU188" s="69">
        <v>5</v>
      </c>
      <c r="AV188" s="69">
        <v>5.7443999999999997</v>
      </c>
      <c r="AW188" s="69">
        <v>0.43530000000000002</v>
      </c>
      <c r="BB188" s="69"/>
    </row>
    <row r="189" spans="1:54" customFormat="1" ht="40" customHeight="1">
      <c r="A189" s="313">
        <v>188</v>
      </c>
      <c r="B189" s="136" t="s">
        <v>499</v>
      </c>
      <c r="C189" s="136" t="s">
        <v>45</v>
      </c>
      <c r="D189" s="31">
        <f t="shared" si="10"/>
        <v>4</v>
      </c>
      <c r="E189" s="137" t="s">
        <v>80</v>
      </c>
      <c r="F189" s="31">
        <f t="shared" si="11"/>
        <v>4</v>
      </c>
      <c r="G189" s="137" t="s">
        <v>578</v>
      </c>
      <c r="H189" s="138">
        <v>56</v>
      </c>
      <c r="I189" s="158">
        <f t="shared" si="12"/>
        <v>0.60083009207542049</v>
      </c>
      <c r="J189" s="95">
        <v>0.62114070363135998</v>
      </c>
      <c r="K189" s="137">
        <v>0.58051948051948099</v>
      </c>
      <c r="L189" s="137">
        <v>0.68181818181818199</v>
      </c>
      <c r="M189" s="137">
        <v>0.42857142857142899</v>
      </c>
      <c r="N189" s="136">
        <v>1</v>
      </c>
      <c r="O189" s="32">
        <v>42735</v>
      </c>
      <c r="P189" s="98">
        <f t="shared" si="13"/>
        <v>2</v>
      </c>
      <c r="Q189">
        <v>0</v>
      </c>
      <c r="R189">
        <v>0</v>
      </c>
      <c r="S189">
        <v>0</v>
      </c>
      <c r="T189" s="112" t="s">
        <v>64</v>
      </c>
      <c r="U189" s="137" t="s">
        <v>579</v>
      </c>
      <c r="V189" s="137" t="s">
        <v>580</v>
      </c>
      <c r="W189" s="69">
        <v>24</v>
      </c>
      <c r="X189" s="136">
        <v>2</v>
      </c>
      <c r="Y189" s="136">
        <v>16</v>
      </c>
      <c r="Z189" s="314"/>
      <c r="AA189" s="319">
        <v>0.54500000000000004</v>
      </c>
      <c r="AB189" s="315" t="s">
        <v>5165</v>
      </c>
      <c r="AC189" s="319">
        <v>2</v>
      </c>
      <c r="AD189" s="320">
        <v>0.133333333333333</v>
      </c>
      <c r="AE189" s="319">
        <v>1</v>
      </c>
      <c r="AF189" s="320">
        <v>6.6666666666666596E-2</v>
      </c>
      <c r="AG189" s="319">
        <v>0</v>
      </c>
      <c r="AH189" s="320">
        <v>0</v>
      </c>
      <c r="AI189" s="319">
        <v>0</v>
      </c>
      <c r="AJ189" s="320">
        <v>0</v>
      </c>
      <c r="AK189" s="320">
        <v>0</v>
      </c>
      <c r="AL189" s="319">
        <v>5</v>
      </c>
      <c r="AM189" s="319">
        <v>5</v>
      </c>
      <c r="AN189" s="319">
        <v>5</v>
      </c>
      <c r="AO189" s="319">
        <v>0.5</v>
      </c>
      <c r="AP189">
        <v>16</v>
      </c>
      <c r="AQ189">
        <v>16</v>
      </c>
      <c r="AR189" s="136"/>
      <c r="AT189" s="69">
        <v>2.3148</v>
      </c>
      <c r="AU189" s="69">
        <v>2.3148</v>
      </c>
      <c r="AV189" s="69">
        <v>8.5815000000000001</v>
      </c>
      <c r="AW189" s="69">
        <v>0.44040000000000001</v>
      </c>
      <c r="BB189" s="69"/>
    </row>
    <row r="190" spans="1:54" customFormat="1" ht="40" customHeight="1">
      <c r="A190" s="313">
        <v>189</v>
      </c>
      <c r="B190" s="136" t="s">
        <v>499</v>
      </c>
      <c r="C190" s="136" t="s">
        <v>45</v>
      </c>
      <c r="D190" s="31">
        <f t="shared" si="10"/>
        <v>4</v>
      </c>
      <c r="E190" s="137" t="s">
        <v>46</v>
      </c>
      <c r="F190" s="31">
        <f t="shared" si="11"/>
        <v>6</v>
      </c>
      <c r="G190" s="137" t="s">
        <v>480</v>
      </c>
      <c r="H190" s="138">
        <v>288</v>
      </c>
      <c r="I190" s="158">
        <f t="shared" si="12"/>
        <v>0.87545296043832799</v>
      </c>
      <c r="J190" s="95">
        <v>0.99988025273773495</v>
      </c>
      <c r="K190" s="137">
        <v>0.75102566813892102</v>
      </c>
      <c r="L190" s="137">
        <v>0.75</v>
      </c>
      <c r="M190" s="137">
        <v>0.75256417034730305</v>
      </c>
      <c r="N190" s="136">
        <v>1</v>
      </c>
      <c r="O190" s="32">
        <v>42668</v>
      </c>
      <c r="P190" s="98">
        <f t="shared" si="13"/>
        <v>0</v>
      </c>
      <c r="Q190">
        <v>2.5499999999999998</v>
      </c>
      <c r="R190">
        <v>1.65</v>
      </c>
      <c r="S190">
        <v>0</v>
      </c>
      <c r="T190" s="112" t="s">
        <v>48</v>
      </c>
      <c r="U190" s="137" t="s">
        <v>481</v>
      </c>
      <c r="V190" s="137" t="s">
        <v>482</v>
      </c>
      <c r="W190" s="69">
        <v>84</v>
      </c>
      <c r="X190" s="136">
        <v>1</v>
      </c>
      <c r="Y190" s="136">
        <v>3</v>
      </c>
      <c r="Z190" s="314"/>
      <c r="AA190" s="319">
        <v>0.60499999999999998</v>
      </c>
      <c r="AB190" s="315" t="s">
        <v>5165</v>
      </c>
      <c r="AC190" s="319">
        <v>3</v>
      </c>
      <c r="AD190" s="320">
        <v>6.5217391304347797E-2</v>
      </c>
      <c r="AE190" s="319">
        <v>2</v>
      </c>
      <c r="AF190" s="320">
        <v>4.3478260869565202E-2</v>
      </c>
      <c r="AG190" s="319">
        <v>2</v>
      </c>
      <c r="AH190" s="320">
        <v>4.3478260869565202E-2</v>
      </c>
      <c r="AI190" s="319">
        <v>0</v>
      </c>
      <c r="AJ190" s="320">
        <v>0</v>
      </c>
      <c r="AK190" s="320">
        <v>0</v>
      </c>
      <c r="AL190" s="319">
        <v>5</v>
      </c>
      <c r="AM190" s="319">
        <v>7.4</v>
      </c>
      <c r="AN190" s="319">
        <v>2</v>
      </c>
      <c r="AO190" s="319">
        <v>0.48</v>
      </c>
      <c r="AP190">
        <v>3</v>
      </c>
      <c r="AQ190">
        <v>3</v>
      </c>
      <c r="AR190" s="136"/>
      <c r="AT190" s="69">
        <v>2.3148</v>
      </c>
      <c r="AU190" s="69">
        <v>7.6852</v>
      </c>
      <c r="AV190" s="69">
        <v>2.3148</v>
      </c>
      <c r="AW190" s="69">
        <v>0.41049999999999998</v>
      </c>
      <c r="BB190" s="69"/>
    </row>
    <row r="191" spans="1:54" customFormat="1" ht="40" customHeight="1">
      <c r="A191" s="313">
        <v>190</v>
      </c>
      <c r="B191" s="136" t="s">
        <v>499</v>
      </c>
      <c r="C191" s="136" t="s">
        <v>59</v>
      </c>
      <c r="D191" s="31">
        <f t="shared" si="10"/>
        <v>5</v>
      </c>
      <c r="E191" s="137" t="s">
        <v>80</v>
      </c>
      <c r="F191" s="31">
        <f t="shared" si="11"/>
        <v>4</v>
      </c>
      <c r="G191" s="137" t="s">
        <v>581</v>
      </c>
      <c r="H191" s="138">
        <v>33</v>
      </c>
      <c r="I191" s="158">
        <f t="shared" si="12"/>
        <v>0.58972718788246303</v>
      </c>
      <c r="J191" s="95">
        <v>0.55873933852233604</v>
      </c>
      <c r="K191" s="137">
        <v>0.62071503724259003</v>
      </c>
      <c r="L191" s="137">
        <v>0.61983471074380203</v>
      </c>
      <c r="M191" s="137">
        <v>0.62203552699077302</v>
      </c>
      <c r="N191" s="136">
        <v>1</v>
      </c>
      <c r="O191" s="32">
        <v>42584</v>
      </c>
      <c r="P191" s="98">
        <f t="shared" si="13"/>
        <v>1</v>
      </c>
      <c r="Q191">
        <v>0</v>
      </c>
      <c r="R191">
        <v>0</v>
      </c>
      <c r="S191">
        <v>0</v>
      </c>
      <c r="T191" s="112" t="s">
        <v>73</v>
      </c>
      <c r="U191" s="137" t="s">
        <v>582</v>
      </c>
      <c r="V191" s="137" t="s">
        <v>583</v>
      </c>
      <c r="W191" s="69">
        <v>51</v>
      </c>
      <c r="X191" s="136">
        <v>2</v>
      </c>
      <c r="Y191" s="136">
        <v>7</v>
      </c>
      <c r="Z191" s="314"/>
      <c r="AA191" s="319">
        <v>0.45454545454545398</v>
      </c>
      <c r="AB191" s="315" t="s">
        <v>5165</v>
      </c>
      <c r="AC191" s="319">
        <v>2</v>
      </c>
      <c r="AD191" s="320">
        <v>6.4516129032257993E-2</v>
      </c>
      <c r="AE191" s="319">
        <v>1</v>
      </c>
      <c r="AF191" s="320">
        <v>3.2258064516128997E-2</v>
      </c>
      <c r="AG191" s="319">
        <v>0</v>
      </c>
      <c r="AH191" s="320">
        <v>0</v>
      </c>
      <c r="AI191" s="319">
        <v>0</v>
      </c>
      <c r="AJ191" s="320">
        <v>0</v>
      </c>
      <c r="AK191" s="320">
        <v>0</v>
      </c>
      <c r="AL191" s="319">
        <v>5</v>
      </c>
      <c r="AM191" s="319">
        <v>5</v>
      </c>
      <c r="AN191" s="319">
        <v>2</v>
      </c>
      <c r="AO191" s="319">
        <v>0.4</v>
      </c>
      <c r="AP191">
        <v>7</v>
      </c>
      <c r="AQ191">
        <v>7</v>
      </c>
      <c r="AR191" s="136"/>
      <c r="AT191" s="69">
        <v>2.3148</v>
      </c>
      <c r="AU191" s="69">
        <v>2.3148</v>
      </c>
      <c r="AV191" s="69">
        <v>2.3148</v>
      </c>
      <c r="AW191" s="69">
        <v>0.23150000000000001</v>
      </c>
      <c r="BB191" s="69"/>
    </row>
    <row r="192" spans="1:54" customFormat="1" ht="40" customHeight="1">
      <c r="A192" s="313">
        <v>191</v>
      </c>
      <c r="B192" s="136" t="s">
        <v>499</v>
      </c>
      <c r="C192" s="136" t="s">
        <v>59</v>
      </c>
      <c r="D192" s="31">
        <f t="shared" si="10"/>
        <v>5</v>
      </c>
      <c r="E192" s="137" t="s">
        <v>46</v>
      </c>
      <c r="F192" s="31">
        <f t="shared" si="11"/>
        <v>6</v>
      </c>
      <c r="G192" s="137" t="s">
        <v>584</v>
      </c>
      <c r="H192" s="138">
        <v>67</v>
      </c>
      <c r="I192" s="158">
        <f t="shared" si="12"/>
        <v>0.50508820077719396</v>
      </c>
      <c r="J192" s="95">
        <v>0.337249906969186</v>
      </c>
      <c r="K192" s="137">
        <v>0.67292649458520204</v>
      </c>
      <c r="L192" s="137">
        <v>0.61983471074380203</v>
      </c>
      <c r="M192" s="137">
        <v>0.75256417034730305</v>
      </c>
      <c r="N192" s="136">
        <v>1</v>
      </c>
      <c r="O192" s="32">
        <v>42478</v>
      </c>
      <c r="P192" s="98">
        <f t="shared" si="13"/>
        <v>1</v>
      </c>
      <c r="Q192">
        <v>0</v>
      </c>
      <c r="R192">
        <v>0</v>
      </c>
      <c r="S192">
        <v>0</v>
      </c>
      <c r="T192" s="112" t="s">
        <v>73</v>
      </c>
      <c r="U192" s="137" t="s">
        <v>585</v>
      </c>
      <c r="V192" s="137" t="s">
        <v>586</v>
      </c>
      <c r="W192" s="69">
        <v>116</v>
      </c>
      <c r="X192" s="136">
        <v>2</v>
      </c>
      <c r="Y192" s="136">
        <v>3</v>
      </c>
      <c r="Z192" s="314"/>
      <c r="AA192" s="319">
        <v>0.5</v>
      </c>
      <c r="AB192" s="315" t="s">
        <v>5165</v>
      </c>
      <c r="AC192" s="319">
        <v>3</v>
      </c>
      <c r="AD192" s="320">
        <v>4.1095890410958902E-2</v>
      </c>
      <c r="AE192" s="319">
        <v>0</v>
      </c>
      <c r="AF192" s="320">
        <v>0</v>
      </c>
      <c r="AG192" s="319">
        <v>0</v>
      </c>
      <c r="AH192" s="320">
        <v>0</v>
      </c>
      <c r="AI192" s="319">
        <v>0</v>
      </c>
      <c r="AJ192" s="320">
        <v>0</v>
      </c>
      <c r="AK192" s="320">
        <v>0</v>
      </c>
      <c r="AL192" s="319">
        <v>5</v>
      </c>
      <c r="AM192" s="319">
        <v>5</v>
      </c>
      <c r="AN192" s="319">
        <v>3.5</v>
      </c>
      <c r="AO192" s="319">
        <v>0.45</v>
      </c>
      <c r="AP192">
        <v>3</v>
      </c>
      <c r="AQ192">
        <v>3</v>
      </c>
      <c r="AR192" s="136"/>
      <c r="AT192" s="69">
        <v>2.3148</v>
      </c>
      <c r="AU192" s="69">
        <v>2.3148</v>
      </c>
      <c r="AV192" s="69">
        <v>5.7443999999999997</v>
      </c>
      <c r="AW192" s="69">
        <v>0.3458</v>
      </c>
      <c r="BB192" s="69"/>
    </row>
    <row r="193" spans="1:54" customFormat="1" ht="40" customHeight="1">
      <c r="A193" s="313">
        <v>192</v>
      </c>
      <c r="B193" s="136" t="s">
        <v>499</v>
      </c>
      <c r="C193" s="136" t="s">
        <v>59</v>
      </c>
      <c r="D193" s="31">
        <f t="shared" si="10"/>
        <v>5</v>
      </c>
      <c r="E193" s="137" t="s">
        <v>80</v>
      </c>
      <c r="F193" s="31">
        <f t="shared" si="11"/>
        <v>4</v>
      </c>
      <c r="G193" s="137" t="s">
        <v>587</v>
      </c>
      <c r="H193" s="138">
        <v>12</v>
      </c>
      <c r="I193" s="158">
        <f t="shared" si="12"/>
        <v>0.43614989611786104</v>
      </c>
      <c r="J193" s="95">
        <v>0.25273029973654998</v>
      </c>
      <c r="K193" s="137">
        <v>0.61956949249917204</v>
      </c>
      <c r="L193" s="137">
        <v>0.68181818181818199</v>
      </c>
      <c r="M193" s="137">
        <v>0.526196458520657</v>
      </c>
      <c r="N193" s="136">
        <v>1</v>
      </c>
      <c r="O193" s="32">
        <v>42429</v>
      </c>
      <c r="P193" s="98">
        <f t="shared" si="13"/>
        <v>1</v>
      </c>
      <c r="Q193">
        <v>0</v>
      </c>
      <c r="R193">
        <v>0</v>
      </c>
      <c r="S193">
        <v>0</v>
      </c>
      <c r="T193" s="112" t="s">
        <v>73</v>
      </c>
      <c r="U193" s="137" t="s">
        <v>587</v>
      </c>
      <c r="V193" s="137" t="s">
        <v>588</v>
      </c>
      <c r="W193" s="69">
        <v>25</v>
      </c>
      <c r="X193" s="136">
        <v>2</v>
      </c>
      <c r="Y193" s="136">
        <v>11</v>
      </c>
      <c r="Z193" s="314"/>
      <c r="AA193" s="319">
        <v>0.55000000000000004</v>
      </c>
      <c r="AB193" s="315" t="s">
        <v>5178</v>
      </c>
      <c r="AC193" s="319">
        <v>1</v>
      </c>
      <c r="AD193" s="320">
        <v>7.69230769230769E-2</v>
      </c>
      <c r="AE193" s="319">
        <v>1</v>
      </c>
      <c r="AF193" s="320">
        <v>7.69230769230769E-2</v>
      </c>
      <c r="AG193" s="319">
        <v>0</v>
      </c>
      <c r="AH193" s="320">
        <v>0</v>
      </c>
      <c r="AI193" s="319">
        <v>0</v>
      </c>
      <c r="AJ193" s="320">
        <v>0</v>
      </c>
      <c r="AK193" s="320">
        <v>0</v>
      </c>
      <c r="AL193" s="319">
        <v>5</v>
      </c>
      <c r="AM193" s="319">
        <v>5</v>
      </c>
      <c r="AN193" s="319">
        <v>3.5</v>
      </c>
      <c r="AO193" s="319">
        <v>0.45</v>
      </c>
      <c r="AP193">
        <v>11</v>
      </c>
      <c r="AQ193">
        <v>11</v>
      </c>
      <c r="AR193" s="136"/>
      <c r="AT193" s="69">
        <v>2.3148</v>
      </c>
      <c r="AU193" s="69">
        <v>2.3148</v>
      </c>
      <c r="AV193" s="69">
        <v>5.7443999999999997</v>
      </c>
      <c r="AW193" s="69">
        <v>0.3458</v>
      </c>
      <c r="BB193" s="69"/>
    </row>
    <row r="194" spans="1:54" customFormat="1" ht="40" customHeight="1">
      <c r="A194" s="313">
        <v>193</v>
      </c>
      <c r="B194" s="136" t="s">
        <v>589</v>
      </c>
      <c r="C194" s="136" t="s">
        <v>45</v>
      </c>
      <c r="D194" s="31">
        <f t="shared" ref="D194:D257" si="14">IF(C194="投诉",4,IF(C194="建议",1,IF(C194="举报",2,IF(C194="求助",3,5))))</f>
        <v>4</v>
      </c>
      <c r="E194" s="137" t="s">
        <v>46</v>
      </c>
      <c r="F194" s="31">
        <f t="shared" ref="F194:F257" si="15">IF(E194="12345app",1,IF(E194="e福州app",2,IF(E194="qq",3,IF(E194="电话",4,IF(E194="短信",5,IF(E194="网站",6,IF(E194="微博",7,IF(E194="微信",8,9))))))))</f>
        <v>6</v>
      </c>
      <c r="G194" s="137" t="s">
        <v>590</v>
      </c>
      <c r="H194" s="138">
        <f t="shared" ref="H194:H211" si="16">LEN(U194)</f>
        <v>179</v>
      </c>
      <c r="I194" s="158">
        <f t="shared" ref="I194:I257" si="17">(J194+K194)/2</f>
        <v>0.37385195081952344</v>
      </c>
      <c r="J194" s="95">
        <v>1.9425196112314899E-2</v>
      </c>
      <c r="K194" s="137">
        <v>0.72827870552673202</v>
      </c>
      <c r="L194" s="137">
        <v>0.68181818181818199</v>
      </c>
      <c r="M194" s="137">
        <v>0.79796949108955795</v>
      </c>
      <c r="N194" s="136">
        <v>1</v>
      </c>
      <c r="O194" s="32">
        <v>44194</v>
      </c>
      <c r="P194" s="98">
        <f t="shared" ref="P194:P257" si="18">IF(T194="利己",0,IF(T194="生态",2,1))</f>
        <v>1</v>
      </c>
      <c r="Q194">
        <v>5.0999999999999996</v>
      </c>
      <c r="R194">
        <v>1.65</v>
      </c>
      <c r="S194">
        <v>0</v>
      </c>
      <c r="T194" s="112" t="s">
        <v>73</v>
      </c>
      <c r="U194" s="137" t="s">
        <v>591</v>
      </c>
      <c r="V194" s="137" t="s">
        <v>592</v>
      </c>
      <c r="W194" s="69">
        <f t="shared" ref="W194:W211" si="19">LEN(V194)</f>
        <v>63</v>
      </c>
      <c r="X194" s="136">
        <v>0</v>
      </c>
      <c r="Y194" s="136">
        <v>2</v>
      </c>
      <c r="Z194" s="314"/>
      <c r="AA194" s="319">
        <v>3.0121176362557602E-2</v>
      </c>
      <c r="AB194" s="315" t="s">
        <v>5168</v>
      </c>
      <c r="AC194" s="319">
        <v>0</v>
      </c>
      <c r="AD194" s="320">
        <v>0</v>
      </c>
      <c r="AE194" s="319">
        <v>0</v>
      </c>
      <c r="AF194" s="320">
        <v>0</v>
      </c>
      <c r="AG194" s="319">
        <v>1</v>
      </c>
      <c r="AH194" s="320">
        <v>2.7027027027027001E-2</v>
      </c>
      <c r="AI194" s="319">
        <v>0</v>
      </c>
      <c r="AJ194" s="320">
        <v>0</v>
      </c>
      <c r="AK194" s="320">
        <v>0</v>
      </c>
      <c r="AL194" s="319">
        <v>7.2857142857142803</v>
      </c>
      <c r="AM194" s="319">
        <v>8.3333333333333304</v>
      </c>
      <c r="AN194" s="319">
        <v>4.6666666666666599</v>
      </c>
      <c r="AO194" s="319">
        <v>0.67619047619047601</v>
      </c>
      <c r="AQ194">
        <v>2</v>
      </c>
      <c r="AR194" s="136"/>
      <c r="AT194" s="69">
        <v>7.4837999999999996</v>
      </c>
      <c r="AU194" s="69">
        <v>8.9379000000000008</v>
      </c>
      <c r="AV194" s="69">
        <v>8.1305999999999994</v>
      </c>
      <c r="AW194" s="69">
        <v>0.81840000000000002</v>
      </c>
      <c r="BB194" s="69"/>
    </row>
    <row r="195" spans="1:54" customFormat="1" ht="40" customHeight="1">
      <c r="A195" s="313">
        <v>194</v>
      </c>
      <c r="B195" s="136" t="s">
        <v>589</v>
      </c>
      <c r="C195" s="136" t="s">
        <v>45</v>
      </c>
      <c r="D195" s="31">
        <f t="shared" si="14"/>
        <v>4</v>
      </c>
      <c r="E195" s="137" t="s">
        <v>46</v>
      </c>
      <c r="F195" s="31">
        <f t="shared" si="15"/>
        <v>6</v>
      </c>
      <c r="G195" s="137" t="s">
        <v>593</v>
      </c>
      <c r="H195" s="138">
        <f t="shared" si="16"/>
        <v>159</v>
      </c>
      <c r="I195" s="158">
        <f t="shared" si="17"/>
        <v>0.3364695382312245</v>
      </c>
      <c r="J195" s="95">
        <v>1.2581877246953201E-5</v>
      </c>
      <c r="K195" s="137">
        <v>0.67292649458520204</v>
      </c>
      <c r="L195" s="137">
        <v>0.61983471074380203</v>
      </c>
      <c r="M195" s="137">
        <v>0.75256417034730305</v>
      </c>
      <c r="N195" s="136">
        <v>1</v>
      </c>
      <c r="O195" s="32">
        <v>44176</v>
      </c>
      <c r="P195" s="98">
        <f t="shared" si="18"/>
        <v>0</v>
      </c>
      <c r="Q195">
        <v>10.199999999999999</v>
      </c>
      <c r="R195">
        <v>1.65</v>
      </c>
      <c r="S195">
        <v>0</v>
      </c>
      <c r="T195" s="112" t="s">
        <v>48</v>
      </c>
      <c r="U195" s="137" t="s">
        <v>594</v>
      </c>
      <c r="V195" s="137" t="s">
        <v>595</v>
      </c>
      <c r="W195" s="69">
        <f t="shared" si="19"/>
        <v>249</v>
      </c>
      <c r="X195" s="136">
        <v>0</v>
      </c>
      <c r="Y195" s="136">
        <v>3</v>
      </c>
      <c r="Z195" s="314"/>
      <c r="AA195" s="319">
        <v>0.73204999999999998</v>
      </c>
      <c r="AB195" s="315" t="s">
        <v>5176</v>
      </c>
      <c r="AC195" s="319">
        <v>2</v>
      </c>
      <c r="AD195" s="320">
        <v>1.3793103448275799E-2</v>
      </c>
      <c r="AE195" s="319">
        <v>7</v>
      </c>
      <c r="AF195" s="320">
        <v>4.8275862068965503E-2</v>
      </c>
      <c r="AG195" s="319">
        <v>2</v>
      </c>
      <c r="AH195" s="320">
        <v>1.3793103448275799E-2</v>
      </c>
      <c r="AI195" s="319">
        <v>0</v>
      </c>
      <c r="AJ195" s="320">
        <v>0</v>
      </c>
      <c r="AK195" s="320">
        <v>1.379310344827586E-2</v>
      </c>
      <c r="AL195" s="319">
        <v>5</v>
      </c>
      <c r="AM195" s="319">
        <v>5</v>
      </c>
      <c r="AN195" s="319">
        <v>2</v>
      </c>
      <c r="AO195" s="319">
        <v>0.4</v>
      </c>
      <c r="AR195" s="136">
        <v>3</v>
      </c>
      <c r="AT195" s="69">
        <v>2.3148</v>
      </c>
      <c r="AU195" s="69">
        <v>2.3148</v>
      </c>
      <c r="AV195" s="69">
        <v>2.3148</v>
      </c>
      <c r="AW195" s="69">
        <v>0.23150000000000001</v>
      </c>
      <c r="BB195" s="69"/>
    </row>
    <row r="196" spans="1:54" customFormat="1" ht="40" customHeight="1">
      <c r="A196" s="313">
        <v>195</v>
      </c>
      <c r="B196" s="136" t="s">
        <v>589</v>
      </c>
      <c r="C196" s="136" t="s">
        <v>45</v>
      </c>
      <c r="D196" s="31">
        <f t="shared" si="14"/>
        <v>4</v>
      </c>
      <c r="E196" s="137" t="s">
        <v>46</v>
      </c>
      <c r="F196" s="31">
        <f t="shared" si="15"/>
        <v>6</v>
      </c>
      <c r="G196" s="137" t="s">
        <v>596</v>
      </c>
      <c r="H196" s="138">
        <f t="shared" si="16"/>
        <v>190</v>
      </c>
      <c r="I196" s="158">
        <f t="shared" si="17"/>
        <v>0.26597341082126658</v>
      </c>
      <c r="J196" s="95">
        <v>2.99794189473346E-10</v>
      </c>
      <c r="K196" s="137">
        <v>0.53194682134273896</v>
      </c>
      <c r="L196" s="137">
        <v>0.38486858867302998</v>
      </c>
      <c r="M196" s="137">
        <v>0.75256417034730305</v>
      </c>
      <c r="N196" s="136">
        <v>1</v>
      </c>
      <c r="O196" s="32">
        <v>44162</v>
      </c>
      <c r="P196" s="98">
        <f t="shared" si="18"/>
        <v>1</v>
      </c>
      <c r="Q196">
        <v>2.5499999999999998</v>
      </c>
      <c r="R196">
        <v>1.65</v>
      </c>
      <c r="S196">
        <v>0</v>
      </c>
      <c r="T196" s="112" t="s">
        <v>73</v>
      </c>
      <c r="U196" s="137" t="s">
        <v>597</v>
      </c>
      <c r="V196" s="137" t="s">
        <v>598</v>
      </c>
      <c r="W196" s="69">
        <f t="shared" si="19"/>
        <v>187</v>
      </c>
      <c r="X196" s="136">
        <v>0</v>
      </c>
      <c r="Y196" s="136">
        <v>3</v>
      </c>
      <c r="Z196" s="314"/>
      <c r="AA196" s="319">
        <v>4.5594098277725801E-4</v>
      </c>
      <c r="AB196" s="315" t="s">
        <v>5176</v>
      </c>
      <c r="AC196" s="319">
        <v>1</v>
      </c>
      <c r="AD196" s="320">
        <v>9.6153846153846107E-3</v>
      </c>
      <c r="AE196" s="319">
        <v>2</v>
      </c>
      <c r="AF196" s="320">
        <v>1.9230769230769201E-2</v>
      </c>
      <c r="AG196" s="319">
        <v>0</v>
      </c>
      <c r="AH196" s="320">
        <v>0</v>
      </c>
      <c r="AI196" s="319">
        <v>0</v>
      </c>
      <c r="AJ196" s="320">
        <v>0</v>
      </c>
      <c r="AK196" s="320">
        <v>9.6153846153846159E-3</v>
      </c>
      <c r="AL196" s="319">
        <v>7.2857142857142803</v>
      </c>
      <c r="AM196" s="319">
        <v>5</v>
      </c>
      <c r="AN196" s="319">
        <v>4.6666666666666599</v>
      </c>
      <c r="AO196" s="319">
        <v>0.56507936507936496</v>
      </c>
      <c r="AR196" s="136">
        <v>3</v>
      </c>
      <c r="AT196" s="69">
        <v>7.4837999999999996</v>
      </c>
      <c r="AU196" s="69">
        <v>2.3148</v>
      </c>
      <c r="AV196" s="69">
        <v>8.1305999999999994</v>
      </c>
      <c r="AW196" s="69">
        <v>0.59760000000000002</v>
      </c>
      <c r="BB196" s="69"/>
    </row>
    <row r="197" spans="1:54" customFormat="1" ht="40" customHeight="1">
      <c r="A197" s="313">
        <v>196</v>
      </c>
      <c r="B197" s="136" t="s">
        <v>589</v>
      </c>
      <c r="C197" s="136" t="s">
        <v>45</v>
      </c>
      <c r="D197" s="31">
        <f t="shared" si="14"/>
        <v>4</v>
      </c>
      <c r="E197" s="137" t="s">
        <v>221</v>
      </c>
      <c r="F197" s="31">
        <f t="shared" si="15"/>
        <v>2</v>
      </c>
      <c r="G197" s="137" t="s">
        <v>599</v>
      </c>
      <c r="H197" s="138">
        <f t="shared" si="16"/>
        <v>125</v>
      </c>
      <c r="I197" s="158">
        <f t="shared" si="17"/>
        <v>0.4046462345599901</v>
      </c>
      <c r="J197" s="95">
        <v>2.0156002907123499E-4</v>
      </c>
      <c r="K197" s="137">
        <v>0.80909090909090897</v>
      </c>
      <c r="L197" s="137">
        <v>0.68181818181818199</v>
      </c>
      <c r="M197" s="137">
        <v>1</v>
      </c>
      <c r="N197" s="136">
        <v>1</v>
      </c>
      <c r="O197" s="32">
        <v>44162</v>
      </c>
      <c r="P197" s="98">
        <f t="shared" si="18"/>
        <v>0</v>
      </c>
      <c r="Q197">
        <v>0</v>
      </c>
      <c r="R197">
        <v>0</v>
      </c>
      <c r="S197">
        <v>0</v>
      </c>
      <c r="T197" s="112" t="s">
        <v>48</v>
      </c>
      <c r="U197" s="137" t="s">
        <v>600</v>
      </c>
      <c r="V197" s="137" t="s">
        <v>601</v>
      </c>
      <c r="W197" s="69">
        <f t="shared" si="19"/>
        <v>207</v>
      </c>
      <c r="X197" s="136">
        <v>0</v>
      </c>
      <c r="Y197" s="136">
        <v>0</v>
      </c>
      <c r="Z197" s="314"/>
      <c r="AA197" s="319">
        <v>0.5</v>
      </c>
      <c r="AB197" s="315" t="s">
        <v>5194</v>
      </c>
      <c r="AC197" s="319">
        <v>1</v>
      </c>
      <c r="AD197" s="320">
        <v>8.7719298245613996E-3</v>
      </c>
      <c r="AE197" s="319">
        <v>3</v>
      </c>
      <c r="AF197" s="320">
        <v>2.6315789473684199E-2</v>
      </c>
      <c r="AG197" s="319">
        <v>1</v>
      </c>
      <c r="AH197" s="320">
        <v>8.7719298245613996E-3</v>
      </c>
      <c r="AI197" s="319">
        <v>3</v>
      </c>
      <c r="AJ197" s="320">
        <v>2.6315789473684199E-2</v>
      </c>
      <c r="AK197" s="320">
        <v>1.754385964912281E-2</v>
      </c>
      <c r="AL197" s="319">
        <v>5</v>
      </c>
      <c r="AM197" s="319">
        <v>5</v>
      </c>
      <c r="AN197" s="319">
        <v>2</v>
      </c>
      <c r="AO197" s="319">
        <v>0.4</v>
      </c>
      <c r="AR197" s="136">
        <v>0</v>
      </c>
      <c r="AT197" s="69">
        <v>2.3148</v>
      </c>
      <c r="AU197" s="69">
        <v>2.3148</v>
      </c>
      <c r="AV197" s="69">
        <v>2.3148</v>
      </c>
      <c r="AW197" s="69">
        <v>0.23150000000000001</v>
      </c>
      <c r="BB197" s="69"/>
    </row>
    <row r="198" spans="1:54" customFormat="1" ht="40" customHeight="1">
      <c r="A198" s="313">
        <v>197</v>
      </c>
      <c r="B198" s="136" t="s">
        <v>589</v>
      </c>
      <c r="C198" s="136" t="s">
        <v>45</v>
      </c>
      <c r="D198" s="31">
        <f t="shared" si="14"/>
        <v>4</v>
      </c>
      <c r="E198" s="137" t="s">
        <v>80</v>
      </c>
      <c r="F198" s="31">
        <f t="shared" si="15"/>
        <v>4</v>
      </c>
      <c r="G198" s="137" t="s">
        <v>602</v>
      </c>
      <c r="H198" s="138">
        <f t="shared" si="16"/>
        <v>97</v>
      </c>
      <c r="I198" s="158">
        <f t="shared" si="17"/>
        <v>0.91767046242534556</v>
      </c>
      <c r="J198" s="95">
        <v>0.99748378199354804</v>
      </c>
      <c r="K198" s="137">
        <v>0.83785714285714297</v>
      </c>
      <c r="L198" s="137">
        <v>0.82499999999999996</v>
      </c>
      <c r="M198" s="137">
        <v>0.85714285714285698</v>
      </c>
      <c r="N198" s="136">
        <v>1</v>
      </c>
      <c r="O198" s="32">
        <v>44151</v>
      </c>
      <c r="P198" s="98">
        <f t="shared" si="18"/>
        <v>1</v>
      </c>
      <c r="Q198">
        <v>0</v>
      </c>
      <c r="R198">
        <v>4.95</v>
      </c>
      <c r="S198">
        <v>0</v>
      </c>
      <c r="T198" s="112" t="s">
        <v>73</v>
      </c>
      <c r="U198" s="137" t="s">
        <v>603</v>
      </c>
      <c r="V198" s="137" t="s">
        <v>5180</v>
      </c>
      <c r="W198" s="69">
        <f t="shared" si="19"/>
        <v>175</v>
      </c>
      <c r="X198" s="136">
        <v>3</v>
      </c>
      <c r="Y198" s="136">
        <v>1</v>
      </c>
      <c r="Z198" s="314"/>
      <c r="AA198" s="319">
        <v>0.5</v>
      </c>
      <c r="AB198" s="315" t="s">
        <v>5176</v>
      </c>
      <c r="AC198" s="319">
        <v>0</v>
      </c>
      <c r="AD198" s="320">
        <v>0</v>
      </c>
      <c r="AE198" s="319">
        <v>6</v>
      </c>
      <c r="AF198" s="320">
        <v>6.1855670103092703E-2</v>
      </c>
      <c r="AG198" s="319">
        <v>2</v>
      </c>
      <c r="AH198" s="320">
        <v>2.06185567010309E-2</v>
      </c>
      <c r="AI198" s="319">
        <v>0</v>
      </c>
      <c r="AJ198" s="320">
        <v>0</v>
      </c>
      <c r="AK198" s="320">
        <v>2.0618556701030931E-2</v>
      </c>
      <c r="AL198" s="319">
        <v>6.75</v>
      </c>
      <c r="AM198" s="319">
        <v>5</v>
      </c>
      <c r="AN198" s="319">
        <v>4.6666666666666599</v>
      </c>
      <c r="AO198" s="319">
        <v>0.54722222222222205</v>
      </c>
      <c r="AP198">
        <v>1</v>
      </c>
      <c r="AR198" s="136"/>
      <c r="AT198" s="69">
        <v>6.3414000000000001</v>
      </c>
      <c r="AU198" s="69">
        <v>2.3148</v>
      </c>
      <c r="AV198" s="69">
        <v>8.1305999999999994</v>
      </c>
      <c r="AW198" s="69">
        <v>0.55959999999999999</v>
      </c>
      <c r="BB198" s="69"/>
    </row>
    <row r="199" spans="1:54" customFormat="1" ht="40" customHeight="1">
      <c r="A199" s="313">
        <v>198</v>
      </c>
      <c r="B199" s="136" t="s">
        <v>589</v>
      </c>
      <c r="C199" s="136" t="s">
        <v>45</v>
      </c>
      <c r="D199" s="31">
        <f t="shared" si="14"/>
        <v>4</v>
      </c>
      <c r="E199" s="137" t="s">
        <v>46</v>
      </c>
      <c r="F199" s="31">
        <f t="shared" si="15"/>
        <v>6</v>
      </c>
      <c r="G199" s="137" t="s">
        <v>605</v>
      </c>
      <c r="H199" s="138">
        <f t="shared" si="16"/>
        <v>66</v>
      </c>
      <c r="I199" s="158">
        <f t="shared" si="17"/>
        <v>0.88740756788625952</v>
      </c>
      <c r="J199" s="95">
        <v>0.981957992915376</v>
      </c>
      <c r="K199" s="137">
        <v>0.79285714285714304</v>
      </c>
      <c r="L199" s="137">
        <v>0.75</v>
      </c>
      <c r="M199" s="137">
        <v>0.85714285714285698</v>
      </c>
      <c r="N199" s="136">
        <v>1</v>
      </c>
      <c r="O199" s="32">
        <v>44133</v>
      </c>
      <c r="P199" s="98">
        <f t="shared" si="18"/>
        <v>0</v>
      </c>
      <c r="Q199">
        <v>2.5499999999999998</v>
      </c>
      <c r="R199">
        <v>1.65</v>
      </c>
      <c r="S199">
        <v>0</v>
      </c>
      <c r="T199" s="112" t="s">
        <v>48</v>
      </c>
      <c r="U199" s="137" t="s">
        <v>606</v>
      </c>
      <c r="V199" s="137" t="s">
        <v>607</v>
      </c>
      <c r="W199" s="69">
        <f t="shared" si="19"/>
        <v>100</v>
      </c>
      <c r="X199" s="136">
        <v>0</v>
      </c>
      <c r="Y199" s="136">
        <v>1</v>
      </c>
      <c r="Z199" s="314"/>
      <c r="AA199" s="319">
        <v>0.5</v>
      </c>
      <c r="AB199" s="315" t="s">
        <v>5176</v>
      </c>
      <c r="AC199" s="319">
        <v>1</v>
      </c>
      <c r="AD199" s="320">
        <v>1.7543859649122799E-2</v>
      </c>
      <c r="AE199" s="319">
        <v>2</v>
      </c>
      <c r="AF199" s="320">
        <v>3.5087719298245598E-2</v>
      </c>
      <c r="AG199" s="319">
        <v>0</v>
      </c>
      <c r="AH199" s="320">
        <v>0</v>
      </c>
      <c r="AI199" s="319">
        <v>0</v>
      </c>
      <c r="AJ199" s="320">
        <v>0</v>
      </c>
      <c r="AK199" s="320">
        <v>1.754385964912281E-2</v>
      </c>
      <c r="AL199" s="319">
        <v>5</v>
      </c>
      <c r="AM199" s="319">
        <v>5</v>
      </c>
      <c r="AN199" s="319">
        <v>2</v>
      </c>
      <c r="AO199" s="319">
        <v>0.4</v>
      </c>
      <c r="AQ199">
        <v>1</v>
      </c>
      <c r="AR199" s="136"/>
      <c r="AT199" s="69">
        <v>2.3148</v>
      </c>
      <c r="AU199" s="69">
        <v>2.3148</v>
      </c>
      <c r="AV199" s="69">
        <v>2.3148</v>
      </c>
      <c r="AW199" s="69">
        <v>0.23150000000000001</v>
      </c>
      <c r="BB199" s="69"/>
    </row>
    <row r="200" spans="1:54" customFormat="1" ht="40" customHeight="1">
      <c r="A200" s="313">
        <v>199</v>
      </c>
      <c r="B200" s="136" t="s">
        <v>589</v>
      </c>
      <c r="C200" s="136" t="s">
        <v>119</v>
      </c>
      <c r="D200" s="31">
        <f t="shared" si="14"/>
        <v>1</v>
      </c>
      <c r="E200" s="137" t="s">
        <v>221</v>
      </c>
      <c r="F200" s="31">
        <f t="shared" si="15"/>
        <v>2</v>
      </c>
      <c r="G200" s="137" t="s">
        <v>608</v>
      </c>
      <c r="H200" s="138">
        <f t="shared" si="16"/>
        <v>117</v>
      </c>
      <c r="I200" s="158">
        <f t="shared" si="17"/>
        <v>0.85309328539169349</v>
      </c>
      <c r="J200" s="95">
        <v>0.95423851883533495</v>
      </c>
      <c r="K200" s="137">
        <v>0.75194805194805203</v>
      </c>
      <c r="L200" s="137">
        <v>0.68181818181818199</v>
      </c>
      <c r="M200" s="137">
        <v>0.85714285714285698</v>
      </c>
      <c r="N200" s="136">
        <v>1</v>
      </c>
      <c r="O200" s="32">
        <v>44132</v>
      </c>
      <c r="P200" s="98">
        <f t="shared" si="18"/>
        <v>1</v>
      </c>
      <c r="Q200">
        <v>0</v>
      </c>
      <c r="R200">
        <v>8.25</v>
      </c>
      <c r="S200">
        <v>0</v>
      </c>
      <c r="T200" s="112" t="s">
        <v>73</v>
      </c>
      <c r="U200" s="137" t="s">
        <v>609</v>
      </c>
      <c r="V200" s="137" t="s">
        <v>610</v>
      </c>
      <c r="W200" s="69">
        <f t="shared" si="19"/>
        <v>190</v>
      </c>
      <c r="X200" s="136">
        <v>0</v>
      </c>
      <c r="Y200" s="136">
        <v>1</v>
      </c>
      <c r="Z200" s="314"/>
      <c r="AA200" s="319">
        <v>0.59450000000000003</v>
      </c>
      <c r="AB200" s="315" t="s">
        <v>5176</v>
      </c>
      <c r="AC200" s="319">
        <v>1</v>
      </c>
      <c r="AD200" s="320">
        <v>9.5238095238095195E-3</v>
      </c>
      <c r="AE200" s="319">
        <v>7</v>
      </c>
      <c r="AF200" s="320">
        <v>6.6666666666666596E-2</v>
      </c>
      <c r="AG200" s="319">
        <v>1</v>
      </c>
      <c r="AH200" s="320">
        <v>9.5238095238095195E-3</v>
      </c>
      <c r="AI200" s="319">
        <v>0</v>
      </c>
      <c r="AJ200" s="320">
        <v>0</v>
      </c>
      <c r="AK200" s="320">
        <v>9.5238095238095247E-3</v>
      </c>
      <c r="AL200" s="319">
        <v>6.75</v>
      </c>
      <c r="AM200" s="319">
        <v>7.4</v>
      </c>
      <c r="AN200" s="319">
        <v>4.6666666666666599</v>
      </c>
      <c r="AO200" s="319">
        <v>0.62722222222222201</v>
      </c>
      <c r="AR200" s="136">
        <v>1</v>
      </c>
      <c r="AT200" s="69">
        <v>6.3414000000000001</v>
      </c>
      <c r="AU200" s="69">
        <v>7.6852</v>
      </c>
      <c r="AV200" s="69">
        <v>8.1305999999999994</v>
      </c>
      <c r="AW200" s="69">
        <v>0.73860000000000003</v>
      </c>
      <c r="BB200" s="69"/>
    </row>
    <row r="201" spans="1:54" customFormat="1" ht="40" customHeight="1">
      <c r="A201" s="313">
        <v>200</v>
      </c>
      <c r="B201" s="136" t="s">
        <v>589</v>
      </c>
      <c r="C201" s="136" t="s">
        <v>45</v>
      </c>
      <c r="D201" s="31">
        <f t="shared" si="14"/>
        <v>4</v>
      </c>
      <c r="E201" s="137" t="s">
        <v>221</v>
      </c>
      <c r="F201" s="31">
        <f t="shared" si="15"/>
        <v>2</v>
      </c>
      <c r="G201" s="137" t="s">
        <v>611</v>
      </c>
      <c r="H201" s="138">
        <f t="shared" si="16"/>
        <v>27</v>
      </c>
      <c r="I201" s="158">
        <f t="shared" si="17"/>
        <v>0.43622968241745402</v>
      </c>
      <c r="J201" s="95">
        <v>0.144180659308176</v>
      </c>
      <c r="K201" s="137">
        <v>0.72827870552673202</v>
      </c>
      <c r="L201" s="137">
        <v>0.68181818181818199</v>
      </c>
      <c r="M201" s="137">
        <v>0.79796949108955795</v>
      </c>
      <c r="N201" s="136">
        <v>0</v>
      </c>
      <c r="O201" s="32">
        <v>44131</v>
      </c>
      <c r="P201" s="98">
        <f t="shared" si="18"/>
        <v>0</v>
      </c>
      <c r="Q201">
        <v>0</v>
      </c>
      <c r="R201">
        <v>0</v>
      </c>
      <c r="S201">
        <v>0</v>
      </c>
      <c r="T201" s="112" t="s">
        <v>48</v>
      </c>
      <c r="U201" s="137" t="s">
        <v>612</v>
      </c>
      <c r="V201" s="137" t="s">
        <v>613</v>
      </c>
      <c r="W201" s="69">
        <f t="shared" si="19"/>
        <v>106</v>
      </c>
      <c r="X201" s="136">
        <v>0</v>
      </c>
      <c r="Y201" s="136">
        <v>2</v>
      </c>
      <c r="Z201" s="314"/>
      <c r="AA201" s="319">
        <v>0.5</v>
      </c>
      <c r="AB201" s="315" t="s">
        <v>5176</v>
      </c>
      <c r="AC201" s="319">
        <v>1</v>
      </c>
      <c r="AD201" s="320">
        <v>1.72413793103448E-2</v>
      </c>
      <c r="AE201" s="319">
        <v>2</v>
      </c>
      <c r="AF201" s="320">
        <v>3.4482758620689599E-2</v>
      </c>
      <c r="AG201" s="319">
        <v>1</v>
      </c>
      <c r="AH201" s="320">
        <v>1.72413793103448E-2</v>
      </c>
      <c r="AI201" s="319">
        <v>0</v>
      </c>
      <c r="AJ201" s="320">
        <v>0</v>
      </c>
      <c r="AK201" s="320">
        <v>1.7241379310344831E-2</v>
      </c>
      <c r="AL201" s="319">
        <v>5</v>
      </c>
      <c r="AM201" s="319">
        <v>5</v>
      </c>
      <c r="AN201" s="319">
        <v>4.6666666666666599</v>
      </c>
      <c r="AO201" s="319">
        <v>0.48888888888888798</v>
      </c>
      <c r="AQ201">
        <v>2</v>
      </c>
      <c r="AR201" s="136"/>
      <c r="AT201" s="69">
        <v>2.3148</v>
      </c>
      <c r="AU201" s="69">
        <v>2.3148</v>
      </c>
      <c r="AV201" s="69">
        <v>8.1305999999999994</v>
      </c>
      <c r="AW201" s="69">
        <v>0.42530000000000001</v>
      </c>
      <c r="BB201" s="69"/>
    </row>
    <row r="202" spans="1:54" customFormat="1" ht="40" customHeight="1">
      <c r="A202" s="313">
        <v>201</v>
      </c>
      <c r="B202" s="136" t="s">
        <v>589</v>
      </c>
      <c r="C202" s="136" t="s">
        <v>45</v>
      </c>
      <c r="D202" s="31">
        <f t="shared" si="14"/>
        <v>4</v>
      </c>
      <c r="E202" s="137" t="s">
        <v>46</v>
      </c>
      <c r="F202" s="31">
        <f t="shared" si="15"/>
        <v>6</v>
      </c>
      <c r="G202" s="137" t="s">
        <v>614</v>
      </c>
      <c r="H202" s="138">
        <f t="shared" si="16"/>
        <v>322</v>
      </c>
      <c r="I202" s="158">
        <f t="shared" si="17"/>
        <v>0.884593898144586</v>
      </c>
      <c r="J202" s="95">
        <v>0.99999999985334898</v>
      </c>
      <c r="K202" s="137">
        <v>0.76918779643582302</v>
      </c>
      <c r="L202" s="137">
        <v>0.75</v>
      </c>
      <c r="M202" s="137">
        <v>0.79796949108955795</v>
      </c>
      <c r="N202" s="136">
        <v>0</v>
      </c>
      <c r="O202" s="32">
        <v>44131</v>
      </c>
      <c r="P202" s="98">
        <f t="shared" si="18"/>
        <v>1</v>
      </c>
      <c r="Q202">
        <v>0</v>
      </c>
      <c r="R202">
        <v>3.3</v>
      </c>
      <c r="S202">
        <v>3.74</v>
      </c>
      <c r="T202" s="112" t="s">
        <v>73</v>
      </c>
      <c r="U202" s="137" t="s">
        <v>615</v>
      </c>
      <c r="V202" s="137" t="s">
        <v>616</v>
      </c>
      <c r="W202" s="69">
        <f t="shared" si="19"/>
        <v>214</v>
      </c>
      <c r="X202" s="136">
        <v>0</v>
      </c>
      <c r="Y202" s="136">
        <v>2</v>
      </c>
      <c r="Z202" s="314"/>
      <c r="AA202" s="319">
        <v>0.5</v>
      </c>
      <c r="AB202" s="315" t="s">
        <v>5176</v>
      </c>
      <c r="AC202" s="319">
        <v>0</v>
      </c>
      <c r="AD202" s="320">
        <v>0</v>
      </c>
      <c r="AE202" s="319">
        <v>4</v>
      </c>
      <c r="AF202" s="320">
        <v>3.3057851239669402E-2</v>
      </c>
      <c r="AG202" s="319">
        <v>1</v>
      </c>
      <c r="AH202" s="320">
        <v>8.2644628099173504E-3</v>
      </c>
      <c r="AI202" s="319">
        <v>0</v>
      </c>
      <c r="AJ202" s="320">
        <v>0</v>
      </c>
      <c r="AK202" s="320">
        <v>8.2644628099173556E-3</v>
      </c>
      <c r="AL202" s="319">
        <v>5</v>
      </c>
      <c r="AM202" s="319">
        <v>5</v>
      </c>
      <c r="AN202" s="319">
        <v>2</v>
      </c>
      <c r="AO202" s="319">
        <v>0.4</v>
      </c>
      <c r="AR202" s="136">
        <v>2</v>
      </c>
      <c r="AT202" s="69">
        <v>2.3148</v>
      </c>
      <c r="AU202" s="69">
        <v>2.3148</v>
      </c>
      <c r="AV202" s="69">
        <v>2.3148</v>
      </c>
      <c r="AW202" s="69">
        <v>0.23150000000000001</v>
      </c>
      <c r="BB202" s="69"/>
    </row>
    <row r="203" spans="1:54" customFormat="1" ht="40" customHeight="1">
      <c r="A203" s="313">
        <v>202</v>
      </c>
      <c r="B203" s="136" t="s">
        <v>589</v>
      </c>
      <c r="C203" s="136" t="s">
        <v>45</v>
      </c>
      <c r="D203" s="31">
        <f t="shared" si="14"/>
        <v>4</v>
      </c>
      <c r="E203" s="137" t="s">
        <v>221</v>
      </c>
      <c r="F203" s="31">
        <f t="shared" si="15"/>
        <v>2</v>
      </c>
      <c r="G203" s="137" t="s">
        <v>617</v>
      </c>
      <c r="H203" s="138">
        <f t="shared" si="16"/>
        <v>85</v>
      </c>
      <c r="I203" s="158">
        <f t="shared" si="17"/>
        <v>0.31129907617376629</v>
      </c>
      <c r="J203" s="95">
        <v>3.26414113769546E-4</v>
      </c>
      <c r="K203" s="137">
        <v>0.62227173823376303</v>
      </c>
      <c r="L203" s="137">
        <v>0.465690992294366</v>
      </c>
      <c r="M203" s="137">
        <v>0.85714285714285698</v>
      </c>
      <c r="N203" s="136">
        <v>0</v>
      </c>
      <c r="O203" s="32">
        <v>44112</v>
      </c>
      <c r="P203" s="98">
        <f t="shared" si="18"/>
        <v>0</v>
      </c>
      <c r="Q203">
        <v>2.5499999999999998</v>
      </c>
      <c r="R203">
        <v>1.65</v>
      </c>
      <c r="S203">
        <v>0</v>
      </c>
      <c r="T203" s="112" t="s">
        <v>48</v>
      </c>
      <c r="U203" s="137" t="s">
        <v>618</v>
      </c>
      <c r="V203" s="137" t="s">
        <v>619</v>
      </c>
      <c r="W203" s="69">
        <f t="shared" si="19"/>
        <v>271</v>
      </c>
      <c r="X203" s="136">
        <v>0</v>
      </c>
      <c r="Y203" s="136">
        <v>1</v>
      </c>
      <c r="Z203" s="314"/>
      <c r="AA203" s="319">
        <v>3.36897349954273E-3</v>
      </c>
      <c r="AB203" s="315" t="s">
        <v>5165</v>
      </c>
      <c r="AC203" s="319">
        <v>3</v>
      </c>
      <c r="AD203" s="320">
        <v>1.9230769230769201E-2</v>
      </c>
      <c r="AE203" s="319">
        <v>0</v>
      </c>
      <c r="AF203" s="320">
        <v>0</v>
      </c>
      <c r="AG203" s="319">
        <v>2</v>
      </c>
      <c r="AH203" s="320">
        <v>1.2820512820512799E-2</v>
      </c>
      <c r="AI203" s="319">
        <v>0</v>
      </c>
      <c r="AJ203" s="320">
        <v>0</v>
      </c>
      <c r="AK203" s="320">
        <v>0</v>
      </c>
      <c r="AL203" s="319">
        <v>5</v>
      </c>
      <c r="AM203" s="319">
        <v>5</v>
      </c>
      <c r="AN203" s="319">
        <v>4.6666666666666599</v>
      </c>
      <c r="AO203" s="319">
        <v>0.48888888888888798</v>
      </c>
      <c r="AR203" s="136">
        <v>1</v>
      </c>
      <c r="AT203" s="69">
        <v>2.3148</v>
      </c>
      <c r="AU203" s="69">
        <v>2.3148</v>
      </c>
      <c r="AV203" s="69">
        <v>8.1305999999999994</v>
      </c>
      <c r="AW203" s="69">
        <v>0.42530000000000001</v>
      </c>
      <c r="BB203" s="69"/>
    </row>
    <row r="204" spans="1:54" customFormat="1" ht="40" customHeight="1">
      <c r="A204" s="313">
        <v>203</v>
      </c>
      <c r="B204" s="136" t="s">
        <v>589</v>
      </c>
      <c r="C204" s="136" t="s">
        <v>45</v>
      </c>
      <c r="D204" s="31">
        <f t="shared" si="14"/>
        <v>4</v>
      </c>
      <c r="E204" s="137" t="s">
        <v>80</v>
      </c>
      <c r="F204" s="31">
        <f t="shared" si="15"/>
        <v>4</v>
      </c>
      <c r="G204" s="137" t="s">
        <v>620</v>
      </c>
      <c r="H204" s="138">
        <f t="shared" si="16"/>
        <v>74</v>
      </c>
      <c r="I204" s="158">
        <f t="shared" si="17"/>
        <v>0.37191451399363096</v>
      </c>
      <c r="J204" s="95">
        <v>1.48171909528649E-5</v>
      </c>
      <c r="K204" s="137">
        <v>0.74381421079630905</v>
      </c>
      <c r="L204" s="137">
        <v>0.82499999999999996</v>
      </c>
      <c r="M204" s="137">
        <v>0.62203552699077302</v>
      </c>
      <c r="N204" s="136">
        <v>1</v>
      </c>
      <c r="O204" s="32">
        <v>44107</v>
      </c>
      <c r="P204" s="98">
        <f t="shared" si="18"/>
        <v>0</v>
      </c>
      <c r="Q204">
        <v>7.65</v>
      </c>
      <c r="R204">
        <v>1.65</v>
      </c>
      <c r="S204">
        <v>0</v>
      </c>
      <c r="T204" s="112" t="s">
        <v>48</v>
      </c>
      <c r="U204" s="137" t="s">
        <v>621</v>
      </c>
      <c r="V204" s="137" t="s">
        <v>5163</v>
      </c>
      <c r="W204" s="69">
        <f t="shared" si="19"/>
        <v>164</v>
      </c>
      <c r="X204" s="136">
        <v>0</v>
      </c>
      <c r="Y204" s="136">
        <v>7</v>
      </c>
      <c r="Z204" s="314"/>
      <c r="AA204" s="319">
        <v>0.5</v>
      </c>
      <c r="AB204" s="331" t="s">
        <v>5172</v>
      </c>
      <c r="AC204" s="319">
        <v>0</v>
      </c>
      <c r="AD204" s="320">
        <v>0</v>
      </c>
      <c r="AE204" s="319">
        <v>0</v>
      </c>
      <c r="AF204" s="320">
        <v>0</v>
      </c>
      <c r="AG204" s="319">
        <v>0</v>
      </c>
      <c r="AH204" s="320">
        <v>0</v>
      </c>
      <c r="AI204" s="319">
        <v>0</v>
      </c>
      <c r="AJ204" s="320">
        <v>0</v>
      </c>
      <c r="AK204" s="320">
        <v>0</v>
      </c>
      <c r="AL204" s="319">
        <v>5</v>
      </c>
      <c r="AM204" s="319">
        <v>6.2</v>
      </c>
      <c r="AN204" s="319">
        <v>4.6666666666666599</v>
      </c>
      <c r="AO204" s="319">
        <v>0.52888888888888796</v>
      </c>
      <c r="AR204" s="136">
        <v>7</v>
      </c>
      <c r="AT204" s="69">
        <v>2.3148</v>
      </c>
      <c r="AU204" s="69">
        <v>5</v>
      </c>
      <c r="AV204" s="69">
        <v>8.1305999999999994</v>
      </c>
      <c r="AW204" s="69">
        <v>0.51480000000000004</v>
      </c>
      <c r="BB204" s="69"/>
    </row>
    <row r="205" spans="1:54" customFormat="1" ht="40" customHeight="1">
      <c r="A205" s="313">
        <v>204</v>
      </c>
      <c r="B205" s="136" t="s">
        <v>589</v>
      </c>
      <c r="C205" s="136" t="s">
        <v>45</v>
      </c>
      <c r="D205" s="31">
        <f t="shared" si="14"/>
        <v>4</v>
      </c>
      <c r="E205" s="137" t="s">
        <v>221</v>
      </c>
      <c r="F205" s="31">
        <f t="shared" si="15"/>
        <v>2</v>
      </c>
      <c r="G205" s="137" t="s">
        <v>623</v>
      </c>
      <c r="H205" s="138">
        <f t="shared" si="16"/>
        <v>55</v>
      </c>
      <c r="I205" s="158">
        <f t="shared" si="17"/>
        <v>0.42181887405947049</v>
      </c>
      <c r="J205" s="95">
        <v>0.20452041957431</v>
      </c>
      <c r="K205" s="137">
        <v>0.63911732854463099</v>
      </c>
      <c r="L205" s="137">
        <v>0.56348610067618299</v>
      </c>
      <c r="M205" s="137">
        <v>0.75256417034730305</v>
      </c>
      <c r="N205" s="136">
        <v>1</v>
      </c>
      <c r="O205" s="32">
        <v>44078</v>
      </c>
      <c r="P205" s="98">
        <f t="shared" si="18"/>
        <v>0</v>
      </c>
      <c r="Q205">
        <v>0</v>
      </c>
      <c r="R205">
        <v>0</v>
      </c>
      <c r="S205">
        <v>0</v>
      </c>
      <c r="T205" s="112" t="s">
        <v>48</v>
      </c>
      <c r="U205" s="137" t="s">
        <v>624</v>
      </c>
      <c r="V205" s="137" t="s">
        <v>625</v>
      </c>
      <c r="W205" s="69">
        <f t="shared" si="19"/>
        <v>116</v>
      </c>
      <c r="X205" s="136">
        <v>0</v>
      </c>
      <c r="Y205" s="136">
        <v>3</v>
      </c>
      <c r="Z205" s="314"/>
      <c r="AA205" s="319">
        <v>0.5</v>
      </c>
      <c r="AB205" s="315" t="s">
        <v>5176</v>
      </c>
      <c r="AC205" s="319">
        <v>1</v>
      </c>
      <c r="AD205" s="320">
        <v>1.4925373134328301E-2</v>
      </c>
      <c r="AE205" s="319">
        <v>3</v>
      </c>
      <c r="AF205" s="320">
        <v>4.4776119402985003E-2</v>
      </c>
      <c r="AG205" s="319">
        <v>1</v>
      </c>
      <c r="AH205" s="320">
        <v>1.4925373134328301E-2</v>
      </c>
      <c r="AI205" s="319">
        <v>0</v>
      </c>
      <c r="AJ205" s="320">
        <v>0</v>
      </c>
      <c r="AK205" s="320">
        <v>1.492537313432836E-2</v>
      </c>
      <c r="AL205" s="319">
        <v>5</v>
      </c>
      <c r="AM205" s="319">
        <v>5</v>
      </c>
      <c r="AN205" s="319">
        <v>3.5</v>
      </c>
      <c r="AO205" s="319">
        <v>0.45</v>
      </c>
      <c r="AR205" s="136">
        <v>3</v>
      </c>
      <c r="AT205" s="69">
        <v>2.3148</v>
      </c>
      <c r="AU205" s="69">
        <v>2.3148</v>
      </c>
      <c r="AV205" s="69">
        <v>5.7443999999999997</v>
      </c>
      <c r="AW205" s="69">
        <v>0.3458</v>
      </c>
      <c r="BB205" s="69"/>
    </row>
    <row r="206" spans="1:54" customFormat="1" ht="40" customHeight="1">
      <c r="A206" s="313">
        <v>205</v>
      </c>
      <c r="B206" s="136" t="s">
        <v>589</v>
      </c>
      <c r="C206" s="136" t="s">
        <v>45</v>
      </c>
      <c r="D206" s="31">
        <f t="shared" si="14"/>
        <v>4</v>
      </c>
      <c r="E206" s="137" t="s">
        <v>46</v>
      </c>
      <c r="F206" s="31">
        <f t="shared" si="15"/>
        <v>6</v>
      </c>
      <c r="G206" s="137" t="s">
        <v>626</v>
      </c>
      <c r="H206" s="138">
        <f t="shared" si="16"/>
        <v>65</v>
      </c>
      <c r="I206" s="158">
        <f t="shared" si="17"/>
        <v>0.85545590542848804</v>
      </c>
      <c r="J206" s="95">
        <v>0.95896375890892405</v>
      </c>
      <c r="K206" s="137">
        <v>0.75194805194805203</v>
      </c>
      <c r="L206" s="137">
        <v>0.68181818181818199</v>
      </c>
      <c r="M206" s="137">
        <v>0.85714285714285698</v>
      </c>
      <c r="N206" s="136">
        <v>0</v>
      </c>
      <c r="O206" s="32">
        <v>44067</v>
      </c>
      <c r="P206" s="98">
        <f t="shared" si="18"/>
        <v>0</v>
      </c>
      <c r="Q206">
        <v>0</v>
      </c>
      <c r="R206">
        <v>0</v>
      </c>
      <c r="S206">
        <v>0</v>
      </c>
      <c r="T206" s="112" t="s">
        <v>48</v>
      </c>
      <c r="U206" s="137" t="s">
        <v>627</v>
      </c>
      <c r="V206" s="137" t="s">
        <v>628</v>
      </c>
      <c r="W206" s="69">
        <f t="shared" si="19"/>
        <v>159</v>
      </c>
      <c r="X206" s="136">
        <v>0</v>
      </c>
      <c r="Y206" s="136">
        <v>1</v>
      </c>
      <c r="Z206" s="314"/>
      <c r="AA206" s="319">
        <v>0.45454545454545398</v>
      </c>
      <c r="AB206" s="315" t="s">
        <v>5178</v>
      </c>
      <c r="AC206" s="319">
        <v>2</v>
      </c>
      <c r="AD206" s="320">
        <v>2.1276595744680799E-2</v>
      </c>
      <c r="AE206" s="319">
        <v>2</v>
      </c>
      <c r="AF206" s="320">
        <v>2.1276595744680799E-2</v>
      </c>
      <c r="AG206" s="319">
        <v>1</v>
      </c>
      <c r="AH206" s="320">
        <v>1.0638297872340399E-2</v>
      </c>
      <c r="AI206" s="319">
        <v>0</v>
      </c>
      <c r="AJ206" s="320">
        <v>0</v>
      </c>
      <c r="AK206" s="320">
        <v>1.063829787234043E-2</v>
      </c>
      <c r="AL206" s="319">
        <v>5</v>
      </c>
      <c r="AM206" s="319">
        <v>5</v>
      </c>
      <c r="AN206" s="319">
        <v>3.5</v>
      </c>
      <c r="AO206" s="319">
        <v>0.45</v>
      </c>
      <c r="AR206" s="136">
        <v>1</v>
      </c>
      <c r="AT206" s="69">
        <v>2.3148</v>
      </c>
      <c r="AU206" s="69">
        <v>2.3148</v>
      </c>
      <c r="AV206" s="69">
        <v>5.7443999999999997</v>
      </c>
      <c r="AW206" s="69">
        <v>0.3458</v>
      </c>
      <c r="BB206" s="69"/>
    </row>
    <row r="207" spans="1:54" customFormat="1" ht="40" customHeight="1">
      <c r="A207" s="313">
        <v>206</v>
      </c>
      <c r="B207" s="136" t="s">
        <v>589</v>
      </c>
      <c r="C207" s="136" t="s">
        <v>59</v>
      </c>
      <c r="D207" s="31">
        <f t="shared" si="14"/>
        <v>5</v>
      </c>
      <c r="E207" s="137" t="s">
        <v>46</v>
      </c>
      <c r="F207" s="31">
        <f t="shared" si="15"/>
        <v>6</v>
      </c>
      <c r="G207" s="137" t="s">
        <v>589</v>
      </c>
      <c r="H207" s="138">
        <f t="shared" si="16"/>
        <v>53</v>
      </c>
      <c r="I207" s="158">
        <f t="shared" si="17"/>
        <v>0.38084495746529801</v>
      </c>
      <c r="J207" s="95">
        <v>9.7418629825439806E-3</v>
      </c>
      <c r="K207" s="137">
        <v>0.75194805194805203</v>
      </c>
      <c r="L207" s="137">
        <v>0.68181818181818199</v>
      </c>
      <c r="M207" s="137">
        <v>0.85714285714285698</v>
      </c>
      <c r="N207" s="136">
        <v>0</v>
      </c>
      <c r="O207" s="32">
        <v>44061</v>
      </c>
      <c r="P207" s="98">
        <f t="shared" si="18"/>
        <v>0</v>
      </c>
      <c r="Q207">
        <v>2.5499999999999998</v>
      </c>
      <c r="R207">
        <v>0</v>
      </c>
      <c r="S207">
        <v>0</v>
      </c>
      <c r="T207" s="112" t="s">
        <v>48</v>
      </c>
      <c r="U207" s="137" t="s">
        <v>629</v>
      </c>
      <c r="V207" s="137" t="s">
        <v>630</v>
      </c>
      <c r="W207" s="69">
        <f t="shared" si="19"/>
        <v>161</v>
      </c>
      <c r="X207" s="136">
        <v>0</v>
      </c>
      <c r="Y207" s="136">
        <v>1</v>
      </c>
      <c r="Z207" s="314"/>
      <c r="AA207" s="319">
        <v>0.5</v>
      </c>
      <c r="AB207" s="315" t="s">
        <v>5176</v>
      </c>
      <c r="AC207" s="319">
        <v>2</v>
      </c>
      <c r="AD207" s="320">
        <v>2.1276595744680799E-2</v>
      </c>
      <c r="AE207" s="319">
        <v>3</v>
      </c>
      <c r="AF207" s="320">
        <v>3.1914893617021198E-2</v>
      </c>
      <c r="AG207" s="319">
        <v>1</v>
      </c>
      <c r="AH207" s="320">
        <v>1.0638297872340399E-2</v>
      </c>
      <c r="AI207" s="319">
        <v>0</v>
      </c>
      <c r="AJ207" s="320">
        <v>0</v>
      </c>
      <c r="AK207" s="320">
        <v>1.063829787234043E-2</v>
      </c>
      <c r="AL207" s="319">
        <v>5</v>
      </c>
      <c r="AM207" s="319">
        <v>5</v>
      </c>
      <c r="AN207" s="319">
        <v>3.5</v>
      </c>
      <c r="AO207" s="319">
        <v>0.45</v>
      </c>
      <c r="AR207" s="136">
        <v>1</v>
      </c>
      <c r="AT207" s="69">
        <v>2.3148</v>
      </c>
      <c r="AU207" s="69">
        <v>2.3148</v>
      </c>
      <c r="AV207" s="69">
        <v>5.7443999999999997</v>
      </c>
      <c r="AW207" s="69">
        <v>0.3458</v>
      </c>
      <c r="BB207" s="69"/>
    </row>
    <row r="208" spans="1:54" customFormat="1" ht="40" customHeight="1">
      <c r="A208" s="313">
        <v>207</v>
      </c>
      <c r="B208" s="136" t="s">
        <v>589</v>
      </c>
      <c r="C208" s="136" t="s">
        <v>59</v>
      </c>
      <c r="D208" s="31">
        <f t="shared" si="14"/>
        <v>5</v>
      </c>
      <c r="E208" s="137" t="s">
        <v>221</v>
      </c>
      <c r="F208" s="31">
        <f t="shared" si="15"/>
        <v>2</v>
      </c>
      <c r="G208" s="137" t="s">
        <v>631</v>
      </c>
      <c r="H208" s="138">
        <f t="shared" si="16"/>
        <v>35</v>
      </c>
      <c r="I208" s="158">
        <f t="shared" si="17"/>
        <v>0.36443200412421406</v>
      </c>
      <c r="J208" s="95">
        <v>1.4106038945004199E-2</v>
      </c>
      <c r="K208" s="137">
        <v>0.71475796930342395</v>
      </c>
      <c r="L208" s="137">
        <v>0.61983471074380203</v>
      </c>
      <c r="M208" s="137">
        <v>0.85714285714285698</v>
      </c>
      <c r="N208" s="136">
        <v>1</v>
      </c>
      <c r="O208" s="32">
        <v>44045</v>
      </c>
      <c r="P208" s="98">
        <f t="shared" si="18"/>
        <v>0</v>
      </c>
      <c r="Q208">
        <v>0</v>
      </c>
      <c r="R208">
        <v>0</v>
      </c>
      <c r="S208">
        <v>0</v>
      </c>
      <c r="T208" s="112" t="s">
        <v>48</v>
      </c>
      <c r="U208" s="137" t="s">
        <v>632</v>
      </c>
      <c r="V208" s="137" t="s">
        <v>633</v>
      </c>
      <c r="W208" s="69">
        <f t="shared" si="19"/>
        <v>93</v>
      </c>
      <c r="X208" s="136">
        <v>0</v>
      </c>
      <c r="Y208" s="136">
        <v>1</v>
      </c>
      <c r="Z208" s="314"/>
      <c r="AA208" s="319">
        <v>0.5</v>
      </c>
      <c r="AB208" s="315" t="s">
        <v>5176</v>
      </c>
      <c r="AC208" s="319">
        <v>0</v>
      </c>
      <c r="AD208" s="320">
        <v>0</v>
      </c>
      <c r="AE208" s="319">
        <v>2</v>
      </c>
      <c r="AF208" s="320">
        <v>3.5714285714285698E-2</v>
      </c>
      <c r="AG208" s="319">
        <v>1</v>
      </c>
      <c r="AH208" s="320">
        <v>1.7857142857142801E-2</v>
      </c>
      <c r="AI208" s="319">
        <v>0</v>
      </c>
      <c r="AJ208" s="320">
        <v>0</v>
      </c>
      <c r="AK208" s="320">
        <v>1.785714285714286E-2</v>
      </c>
      <c r="AL208" s="319">
        <v>5</v>
      </c>
      <c r="AM208" s="319">
        <v>6.2</v>
      </c>
      <c r="AN208" s="319">
        <v>6.1666666666666599</v>
      </c>
      <c r="AO208" s="319">
        <v>0.57888888888888801</v>
      </c>
      <c r="AQ208">
        <v>1</v>
      </c>
      <c r="AR208" s="136"/>
      <c r="AT208" s="69">
        <v>2.3148</v>
      </c>
      <c r="AU208" s="69">
        <v>5</v>
      </c>
      <c r="AV208" s="69">
        <v>9.5120000000000005</v>
      </c>
      <c r="AW208" s="69">
        <v>0.56089999999999995</v>
      </c>
      <c r="BB208" s="69"/>
    </row>
    <row r="209" spans="1:54" customFormat="1" ht="40" customHeight="1">
      <c r="A209" s="313">
        <v>208</v>
      </c>
      <c r="B209" s="136" t="s">
        <v>589</v>
      </c>
      <c r="C209" s="136" t="s">
        <v>45</v>
      </c>
      <c r="D209" s="31">
        <f t="shared" si="14"/>
        <v>4</v>
      </c>
      <c r="E209" s="137" t="s">
        <v>80</v>
      </c>
      <c r="F209" s="31">
        <f t="shared" si="15"/>
        <v>4</v>
      </c>
      <c r="G209" s="137" t="s">
        <v>634</v>
      </c>
      <c r="H209" s="138">
        <f t="shared" si="16"/>
        <v>48</v>
      </c>
      <c r="I209" s="158">
        <f t="shared" si="17"/>
        <v>0.40754897614076857</v>
      </c>
      <c r="J209" s="95">
        <v>9.1015584571418895E-4</v>
      </c>
      <c r="K209" s="137">
        <v>0.81418779643582295</v>
      </c>
      <c r="L209" s="137">
        <v>0.82499999999999996</v>
      </c>
      <c r="M209" s="137">
        <v>0.79796949108955795</v>
      </c>
      <c r="N209" s="136">
        <v>1</v>
      </c>
      <c r="O209" s="32">
        <v>44037</v>
      </c>
      <c r="P209" s="98">
        <f t="shared" si="18"/>
        <v>0</v>
      </c>
      <c r="Q209">
        <v>10.199999999999999</v>
      </c>
      <c r="R209">
        <v>0</v>
      </c>
      <c r="S209">
        <v>0</v>
      </c>
      <c r="T209" s="112" t="s">
        <v>48</v>
      </c>
      <c r="U209" s="137" t="s">
        <v>635</v>
      </c>
      <c r="V209" s="137" t="s">
        <v>636</v>
      </c>
      <c r="W209" s="69">
        <f t="shared" si="19"/>
        <v>96</v>
      </c>
      <c r="X209" s="136">
        <v>0</v>
      </c>
      <c r="Y209" s="136">
        <v>2</v>
      </c>
      <c r="Z209" s="314"/>
      <c r="AA209" s="319">
        <v>0.59450000000000003</v>
      </c>
      <c r="AB209" s="315" t="s">
        <v>5176</v>
      </c>
      <c r="AC209" s="319">
        <v>0</v>
      </c>
      <c r="AD209" s="320">
        <v>0</v>
      </c>
      <c r="AE209" s="319">
        <v>2</v>
      </c>
      <c r="AF209" s="320">
        <v>3.6363636363636299E-2</v>
      </c>
      <c r="AG209" s="319">
        <v>1</v>
      </c>
      <c r="AH209" s="320">
        <v>1.8181818181818101E-2</v>
      </c>
      <c r="AI209" s="319">
        <v>0</v>
      </c>
      <c r="AJ209" s="320">
        <v>0</v>
      </c>
      <c r="AK209" s="320">
        <v>1.8181818181818181E-2</v>
      </c>
      <c r="AL209" s="319">
        <v>6.75</v>
      </c>
      <c r="AM209" s="319">
        <v>5</v>
      </c>
      <c r="AN209" s="319">
        <v>7.3333333333333304</v>
      </c>
      <c r="AO209" s="319">
        <v>0.63611111111111096</v>
      </c>
      <c r="AQ209">
        <v>2</v>
      </c>
      <c r="AR209" s="136"/>
      <c r="AT209" s="69">
        <v>6.3414000000000001</v>
      </c>
      <c r="AU209" s="69">
        <v>2.3148</v>
      </c>
      <c r="AV209" s="69">
        <v>9.8416999999999994</v>
      </c>
      <c r="AW209" s="69">
        <v>0.61660000000000004</v>
      </c>
      <c r="BB209" s="69"/>
    </row>
    <row r="210" spans="1:54" customFormat="1" ht="40" customHeight="1">
      <c r="A210" s="313">
        <v>209</v>
      </c>
      <c r="B210" s="136" t="s">
        <v>589</v>
      </c>
      <c r="C210" s="136" t="s">
        <v>45</v>
      </c>
      <c r="D210" s="31">
        <f t="shared" si="14"/>
        <v>4</v>
      </c>
      <c r="E210" s="137" t="s">
        <v>46</v>
      </c>
      <c r="F210" s="31">
        <f t="shared" si="15"/>
        <v>6</v>
      </c>
      <c r="G210" s="137" t="s">
        <v>637</v>
      </c>
      <c r="H210" s="138">
        <f t="shared" si="16"/>
        <v>99</v>
      </c>
      <c r="I210" s="158">
        <f t="shared" si="17"/>
        <v>0.35860354636675817</v>
      </c>
      <c r="J210" s="95">
        <v>2.4491234300924002E-3</v>
      </c>
      <c r="K210" s="137">
        <v>0.71475796930342395</v>
      </c>
      <c r="L210" s="137">
        <v>0.61983471074380203</v>
      </c>
      <c r="M210" s="137">
        <v>0.85714285714285698</v>
      </c>
      <c r="N210" s="136">
        <v>0</v>
      </c>
      <c r="O210" s="32">
        <v>44034</v>
      </c>
      <c r="P210" s="98">
        <f t="shared" si="18"/>
        <v>1</v>
      </c>
      <c r="Q210">
        <v>0</v>
      </c>
      <c r="R210">
        <v>1.65</v>
      </c>
      <c r="S210">
        <v>0</v>
      </c>
      <c r="T210" s="112" t="s">
        <v>73</v>
      </c>
      <c r="U210" s="137" t="s">
        <v>638</v>
      </c>
      <c r="V210" s="137" t="s">
        <v>639</v>
      </c>
      <c r="W210" s="69">
        <f t="shared" si="19"/>
        <v>187</v>
      </c>
      <c r="X210" s="136">
        <v>2</v>
      </c>
      <c r="Y210" s="136">
        <v>1</v>
      </c>
      <c r="Z210" s="314"/>
      <c r="AA210" s="319">
        <v>0.54500000000000004</v>
      </c>
      <c r="AB210" s="315" t="s">
        <v>5176</v>
      </c>
      <c r="AC210" s="319">
        <v>1</v>
      </c>
      <c r="AD210" s="320">
        <v>9.1743119266054999E-3</v>
      </c>
      <c r="AE210" s="319">
        <v>3</v>
      </c>
      <c r="AF210" s="320">
        <v>2.7522935779816501E-2</v>
      </c>
      <c r="AG210" s="319">
        <v>1</v>
      </c>
      <c r="AH210" s="320">
        <v>9.1743119266054999E-3</v>
      </c>
      <c r="AI210" s="319">
        <v>0</v>
      </c>
      <c r="AJ210" s="320">
        <v>0</v>
      </c>
      <c r="AK210" s="320">
        <v>9.1743119266055051E-3</v>
      </c>
      <c r="AL210" s="319">
        <v>5</v>
      </c>
      <c r="AM210" s="319">
        <v>6.2</v>
      </c>
      <c r="AN210" s="319">
        <v>5</v>
      </c>
      <c r="AO210" s="319">
        <v>0.53999999999999904</v>
      </c>
      <c r="AP210">
        <v>1</v>
      </c>
      <c r="AR210" s="136">
        <v>1</v>
      </c>
      <c r="AT210" s="69">
        <v>2.3148</v>
      </c>
      <c r="AU210" s="69">
        <v>5</v>
      </c>
      <c r="AV210" s="69">
        <v>8.5815000000000001</v>
      </c>
      <c r="AW210" s="69">
        <v>0.52990000000000004</v>
      </c>
      <c r="BB210" s="69"/>
    </row>
    <row r="211" spans="1:54" customFormat="1" ht="40" customHeight="1">
      <c r="A211" s="313">
        <v>210</v>
      </c>
      <c r="B211" s="136" t="s">
        <v>589</v>
      </c>
      <c r="C211" s="136" t="s">
        <v>45</v>
      </c>
      <c r="D211" s="31">
        <f t="shared" si="14"/>
        <v>4</v>
      </c>
      <c r="E211" s="137" t="s">
        <v>80</v>
      </c>
      <c r="F211" s="31">
        <f t="shared" si="15"/>
        <v>4</v>
      </c>
      <c r="G211" s="137" t="s">
        <v>640</v>
      </c>
      <c r="H211" s="138">
        <f t="shared" si="16"/>
        <v>60</v>
      </c>
      <c r="I211" s="158">
        <f t="shared" si="17"/>
        <v>0.37604005455983919</v>
      </c>
      <c r="J211" s="95">
        <v>1.3205717162634301E-4</v>
      </c>
      <c r="K211" s="137">
        <v>0.75194805194805203</v>
      </c>
      <c r="L211" s="137">
        <v>0.68181818181818199</v>
      </c>
      <c r="M211" s="137">
        <v>0.85714285714285698</v>
      </c>
      <c r="N211" s="136">
        <v>1</v>
      </c>
      <c r="O211" s="32">
        <v>44013</v>
      </c>
      <c r="P211" s="98">
        <f t="shared" si="18"/>
        <v>0</v>
      </c>
      <c r="Q211">
        <v>0</v>
      </c>
      <c r="R211">
        <v>0</v>
      </c>
      <c r="S211">
        <v>0</v>
      </c>
      <c r="T211" s="112" t="s">
        <v>48</v>
      </c>
      <c r="U211" s="137" t="s">
        <v>641</v>
      </c>
      <c r="V211" s="137" t="s">
        <v>642</v>
      </c>
      <c r="W211" s="69">
        <f t="shared" si="19"/>
        <v>132</v>
      </c>
      <c r="X211" s="136">
        <v>0</v>
      </c>
      <c r="Y211" s="136">
        <v>1</v>
      </c>
      <c r="Z211" s="314"/>
      <c r="AA211" s="319">
        <v>0.42190082644628002</v>
      </c>
      <c r="AB211" s="315" t="s">
        <v>5177</v>
      </c>
      <c r="AC211" s="319">
        <v>0</v>
      </c>
      <c r="AD211" s="320">
        <v>0</v>
      </c>
      <c r="AE211" s="319">
        <v>2</v>
      </c>
      <c r="AF211" s="320">
        <v>2.6666666666666599E-2</v>
      </c>
      <c r="AG211" s="319">
        <v>2</v>
      </c>
      <c r="AH211" s="320">
        <v>2.6666666666666599E-2</v>
      </c>
      <c r="AI211" s="319">
        <v>0</v>
      </c>
      <c r="AJ211" s="320">
        <v>0</v>
      </c>
      <c r="AK211" s="320">
        <v>1.3333333333333331E-2</v>
      </c>
      <c r="AL211" s="319">
        <v>5</v>
      </c>
      <c r="AM211" s="319">
        <v>5</v>
      </c>
      <c r="AN211" s="319">
        <v>7.3333333333333304</v>
      </c>
      <c r="AO211" s="319">
        <v>0.57777777777777695</v>
      </c>
      <c r="AR211" s="136"/>
      <c r="AT211" s="69">
        <v>2.3148</v>
      </c>
      <c r="AU211" s="69">
        <v>2.3148</v>
      </c>
      <c r="AV211" s="69">
        <v>9.8416999999999994</v>
      </c>
      <c r="AW211" s="69">
        <v>0.4824</v>
      </c>
      <c r="BB211" s="69"/>
    </row>
    <row r="212" spans="1:54" customFormat="1" ht="40" customHeight="1">
      <c r="A212" s="313">
        <v>211</v>
      </c>
      <c r="B212" s="136" t="s">
        <v>589</v>
      </c>
      <c r="C212" s="136" t="s">
        <v>45</v>
      </c>
      <c r="D212" s="31">
        <f t="shared" si="14"/>
        <v>4</v>
      </c>
      <c r="E212" s="137" t="s">
        <v>80</v>
      </c>
      <c r="F212" s="31">
        <f t="shared" si="15"/>
        <v>4</v>
      </c>
      <c r="G212" s="137" t="s">
        <v>643</v>
      </c>
      <c r="H212" s="138">
        <v>48</v>
      </c>
      <c r="I212" s="158">
        <f t="shared" si="17"/>
        <v>0.41896048270751673</v>
      </c>
      <c r="J212" s="95">
        <v>6.3822557890502702E-5</v>
      </c>
      <c r="K212" s="137">
        <v>0.83785714285714297</v>
      </c>
      <c r="L212" s="137">
        <v>0.82499999999999996</v>
      </c>
      <c r="M212" s="137">
        <v>0.85714285714285698</v>
      </c>
      <c r="N212" s="136">
        <v>1</v>
      </c>
      <c r="O212" s="32">
        <v>44013</v>
      </c>
      <c r="P212" s="98">
        <f t="shared" si="18"/>
        <v>0</v>
      </c>
      <c r="Q212">
        <v>5.0999999999999996</v>
      </c>
      <c r="R212">
        <v>0</v>
      </c>
      <c r="S212">
        <v>0</v>
      </c>
      <c r="T212" s="112" t="s">
        <v>48</v>
      </c>
      <c r="U212" s="137" t="s">
        <v>644</v>
      </c>
      <c r="V212" s="137" t="s">
        <v>645</v>
      </c>
      <c r="W212" s="69">
        <v>118</v>
      </c>
      <c r="X212" s="136">
        <v>1</v>
      </c>
      <c r="Y212" s="136">
        <v>1</v>
      </c>
      <c r="Z212" s="314"/>
      <c r="AA212" s="319">
        <v>0.5</v>
      </c>
      <c r="AB212" s="315" t="s">
        <v>5176</v>
      </c>
      <c r="AC212" s="319">
        <v>1</v>
      </c>
      <c r="AD212" s="320">
        <v>1.38888888888888E-2</v>
      </c>
      <c r="AE212" s="319">
        <v>3</v>
      </c>
      <c r="AF212" s="320">
        <v>4.1666666666666602E-2</v>
      </c>
      <c r="AG212" s="319">
        <v>1</v>
      </c>
      <c r="AH212" s="320">
        <v>1.38888888888888E-2</v>
      </c>
      <c r="AI212" s="319">
        <v>0</v>
      </c>
      <c r="AJ212" s="320">
        <v>0</v>
      </c>
      <c r="AK212" s="320">
        <v>1.388888888888889E-2</v>
      </c>
      <c r="AL212" s="319">
        <v>5</v>
      </c>
      <c r="AM212" s="319">
        <v>5</v>
      </c>
      <c r="AN212" s="319">
        <v>7.3333333333333304</v>
      </c>
      <c r="AO212" s="319">
        <v>0.57777777777777695</v>
      </c>
      <c r="AP212">
        <v>1</v>
      </c>
      <c r="AR212" s="136">
        <v>1</v>
      </c>
      <c r="AT212" s="69">
        <v>2.3148</v>
      </c>
      <c r="AU212" s="69">
        <v>2.3148</v>
      </c>
      <c r="AV212" s="69">
        <v>9.8416999999999994</v>
      </c>
      <c r="AW212" s="69">
        <v>0.4824</v>
      </c>
      <c r="BB212" s="69"/>
    </row>
    <row r="213" spans="1:54" customFormat="1" ht="40" customHeight="1">
      <c r="A213" s="313">
        <v>212</v>
      </c>
      <c r="B213" s="136" t="s">
        <v>589</v>
      </c>
      <c r="C213" s="136" t="s">
        <v>45</v>
      </c>
      <c r="D213" s="31">
        <f t="shared" si="14"/>
        <v>4</v>
      </c>
      <c r="E213" s="137" t="s">
        <v>80</v>
      </c>
      <c r="F213" s="31">
        <f t="shared" si="15"/>
        <v>4</v>
      </c>
      <c r="G213" s="137" t="s">
        <v>646</v>
      </c>
      <c r="H213" s="138">
        <v>58</v>
      </c>
      <c r="I213" s="158">
        <f t="shared" si="17"/>
        <v>0.41930750264547328</v>
      </c>
      <c r="J213" s="95">
        <v>7.5786243380360197E-4</v>
      </c>
      <c r="K213" s="137">
        <v>0.83785714285714297</v>
      </c>
      <c r="L213" s="137">
        <v>0.82499999999999996</v>
      </c>
      <c r="M213" s="137">
        <v>0.85714285714285698</v>
      </c>
      <c r="N213" s="136">
        <v>1</v>
      </c>
      <c r="O213" s="32">
        <v>44011</v>
      </c>
      <c r="P213" s="98">
        <f t="shared" si="18"/>
        <v>2</v>
      </c>
      <c r="Q213">
        <v>0</v>
      </c>
      <c r="R213">
        <v>0</v>
      </c>
      <c r="S213">
        <v>0</v>
      </c>
      <c r="T213" s="112" t="s">
        <v>64</v>
      </c>
      <c r="U213" s="137" t="s">
        <v>647</v>
      </c>
      <c r="V213" s="137" t="s">
        <v>648</v>
      </c>
      <c r="W213" s="69">
        <v>109</v>
      </c>
      <c r="X213" s="136">
        <v>1</v>
      </c>
      <c r="Y213" s="136">
        <v>1</v>
      </c>
      <c r="Z213" s="314"/>
      <c r="AA213" s="319">
        <v>0.59450000000000003</v>
      </c>
      <c r="AB213" s="315" t="s">
        <v>5176</v>
      </c>
      <c r="AC213" s="319">
        <v>1</v>
      </c>
      <c r="AD213" s="320">
        <v>1.4925373134328301E-2</v>
      </c>
      <c r="AE213" s="319">
        <v>3</v>
      </c>
      <c r="AF213" s="320">
        <v>4.4776119402985003E-2</v>
      </c>
      <c r="AG213" s="319">
        <v>1</v>
      </c>
      <c r="AH213" s="320">
        <v>1.4925373134328301E-2</v>
      </c>
      <c r="AI213" s="319">
        <v>0</v>
      </c>
      <c r="AJ213" s="320">
        <v>0</v>
      </c>
      <c r="AK213" s="320">
        <v>1.492537313432836E-2</v>
      </c>
      <c r="AL213" s="319">
        <v>5</v>
      </c>
      <c r="AM213" s="319">
        <v>6.2</v>
      </c>
      <c r="AN213" s="319">
        <v>4.6666666666666599</v>
      </c>
      <c r="AO213" s="319">
        <v>0.52888888888888796</v>
      </c>
      <c r="AP213">
        <v>1</v>
      </c>
      <c r="AR213" s="136">
        <v>1</v>
      </c>
      <c r="AT213" s="69">
        <v>2.3148</v>
      </c>
      <c r="AU213" s="69">
        <v>5</v>
      </c>
      <c r="AV213" s="69">
        <v>8.1305999999999994</v>
      </c>
      <c r="AW213" s="69">
        <v>0.51480000000000004</v>
      </c>
      <c r="BB213" s="69"/>
    </row>
    <row r="214" spans="1:54" customFormat="1" ht="40" customHeight="1">
      <c r="A214" s="313">
        <v>213</v>
      </c>
      <c r="B214" s="136" t="s">
        <v>589</v>
      </c>
      <c r="C214" s="136" t="s">
        <v>45</v>
      </c>
      <c r="D214" s="31">
        <f t="shared" si="14"/>
        <v>4</v>
      </c>
      <c r="E214" s="137" t="s">
        <v>221</v>
      </c>
      <c r="F214" s="31">
        <f t="shared" si="15"/>
        <v>2</v>
      </c>
      <c r="G214" s="137" t="s">
        <v>649</v>
      </c>
      <c r="H214" s="138">
        <v>27</v>
      </c>
      <c r="I214" s="158">
        <f t="shared" si="17"/>
        <v>0.74295016560281346</v>
      </c>
      <c r="J214" s="95">
        <v>0.80495152794277403</v>
      </c>
      <c r="K214" s="137">
        <v>0.68094880326285301</v>
      </c>
      <c r="L214" s="137">
        <v>0.56348610067618299</v>
      </c>
      <c r="M214" s="137">
        <v>0.85714285714285698</v>
      </c>
      <c r="N214" s="136">
        <v>1</v>
      </c>
      <c r="O214" s="32">
        <v>44010</v>
      </c>
      <c r="P214" s="98">
        <f t="shared" si="18"/>
        <v>1</v>
      </c>
      <c r="Q214">
        <v>0</v>
      </c>
      <c r="R214">
        <v>0</v>
      </c>
      <c r="S214">
        <v>0</v>
      </c>
      <c r="T214" s="112" t="s">
        <v>73</v>
      </c>
      <c r="U214" s="137" t="s">
        <v>650</v>
      </c>
      <c r="V214" s="137" t="s">
        <v>651</v>
      </c>
      <c r="W214" s="69">
        <v>124</v>
      </c>
      <c r="X214" s="136">
        <v>1</v>
      </c>
      <c r="Y214" s="136">
        <v>1</v>
      </c>
      <c r="Z214" s="314"/>
      <c r="AA214" s="319">
        <v>2.4893534183931899E-2</v>
      </c>
      <c r="AB214" s="315" t="s">
        <v>5176</v>
      </c>
      <c r="AC214" s="319">
        <v>1</v>
      </c>
      <c r="AD214" s="320">
        <v>1.3333333333333299E-2</v>
      </c>
      <c r="AE214" s="319">
        <v>2</v>
      </c>
      <c r="AF214" s="320">
        <v>2.6666666666666599E-2</v>
      </c>
      <c r="AG214" s="319">
        <v>1</v>
      </c>
      <c r="AH214" s="320">
        <v>1.3333333333333299E-2</v>
      </c>
      <c r="AI214" s="319">
        <v>0</v>
      </c>
      <c r="AJ214" s="320">
        <v>0</v>
      </c>
      <c r="AK214" s="320">
        <v>1.3333333333333331E-2</v>
      </c>
      <c r="AL214" s="319">
        <v>5</v>
      </c>
      <c r="AM214" s="319">
        <v>5</v>
      </c>
      <c r="AN214" s="319">
        <v>4.6666666666666599</v>
      </c>
      <c r="AO214" s="319">
        <v>0.48888888888888798</v>
      </c>
      <c r="AP214">
        <v>1</v>
      </c>
      <c r="AR214" s="136">
        <v>1</v>
      </c>
      <c r="AT214" s="69">
        <v>2.3148</v>
      </c>
      <c r="AU214" s="69">
        <v>2.3148</v>
      </c>
      <c r="AV214" s="69">
        <v>8.1305999999999994</v>
      </c>
      <c r="AW214" s="69">
        <v>0.42530000000000001</v>
      </c>
      <c r="BB214" s="69"/>
    </row>
    <row r="215" spans="1:54" customFormat="1" ht="40" customHeight="1">
      <c r="A215" s="313">
        <v>214</v>
      </c>
      <c r="B215" s="136" t="s">
        <v>589</v>
      </c>
      <c r="C215" s="136" t="s">
        <v>45</v>
      </c>
      <c r="D215" s="31">
        <f t="shared" si="14"/>
        <v>4</v>
      </c>
      <c r="E215" s="137" t="s">
        <v>221</v>
      </c>
      <c r="F215" s="31">
        <f t="shared" si="15"/>
        <v>2</v>
      </c>
      <c r="G215" s="137" t="s">
        <v>652</v>
      </c>
      <c r="H215" s="138">
        <v>57</v>
      </c>
      <c r="I215" s="158">
        <f t="shared" si="17"/>
        <v>0.3333751284775256</v>
      </c>
      <c r="J215" s="95">
        <v>2.7632928410420199E-2</v>
      </c>
      <c r="K215" s="137">
        <v>0.63911732854463099</v>
      </c>
      <c r="L215" s="137">
        <v>0.56348610067618299</v>
      </c>
      <c r="M215" s="137">
        <v>0.75256417034730305</v>
      </c>
      <c r="N215" s="136">
        <v>1</v>
      </c>
      <c r="O215" s="32">
        <v>44008</v>
      </c>
      <c r="P215" s="98">
        <f t="shared" si="18"/>
        <v>1</v>
      </c>
      <c r="Q215">
        <v>0</v>
      </c>
      <c r="R215">
        <v>0</v>
      </c>
      <c r="S215">
        <v>0</v>
      </c>
      <c r="T215" s="112" t="s">
        <v>73</v>
      </c>
      <c r="U215" s="137" t="s">
        <v>653</v>
      </c>
      <c r="V215" s="137" t="s">
        <v>654</v>
      </c>
      <c r="W215" s="69">
        <v>170</v>
      </c>
      <c r="X215" s="136">
        <v>1</v>
      </c>
      <c r="Y215" s="136">
        <v>3</v>
      </c>
      <c r="Z215" s="314"/>
      <c r="AA215" s="319">
        <v>0.5</v>
      </c>
      <c r="AB215" s="315" t="s">
        <v>5176</v>
      </c>
      <c r="AC215" s="319">
        <v>1</v>
      </c>
      <c r="AD215" s="320">
        <v>9.9009900990098994E-3</v>
      </c>
      <c r="AE215" s="319">
        <v>3</v>
      </c>
      <c r="AF215" s="320">
        <v>2.9702970297029702E-2</v>
      </c>
      <c r="AG215" s="319">
        <v>1</v>
      </c>
      <c r="AH215" s="320">
        <v>9.9009900990098994E-3</v>
      </c>
      <c r="AI215" s="319">
        <v>0</v>
      </c>
      <c r="AJ215" s="320">
        <v>0</v>
      </c>
      <c r="AK215" s="320">
        <v>9.9009900990099011E-3</v>
      </c>
      <c r="AL215" s="319">
        <v>5</v>
      </c>
      <c r="AM215" s="319">
        <v>5</v>
      </c>
      <c r="AN215" s="319">
        <v>4.6666666666666599</v>
      </c>
      <c r="AO215" s="319">
        <v>0.48888888888888798</v>
      </c>
      <c r="AP215">
        <v>3</v>
      </c>
      <c r="AR215" s="136">
        <v>3</v>
      </c>
      <c r="AT215" s="69">
        <v>2.3148</v>
      </c>
      <c r="AU215" s="69">
        <v>2.3148</v>
      </c>
      <c r="AV215" s="69">
        <v>8.1305999999999994</v>
      </c>
      <c r="AW215" s="69">
        <v>0.42530000000000001</v>
      </c>
      <c r="BB215" s="69"/>
    </row>
    <row r="216" spans="1:54" customFormat="1" ht="40" customHeight="1">
      <c r="A216" s="313">
        <v>215</v>
      </c>
      <c r="B216" s="136" t="s">
        <v>589</v>
      </c>
      <c r="C216" s="136" t="s">
        <v>45</v>
      </c>
      <c r="D216" s="31">
        <f t="shared" si="14"/>
        <v>4</v>
      </c>
      <c r="E216" s="137" t="s">
        <v>46</v>
      </c>
      <c r="F216" s="31">
        <f t="shared" si="15"/>
        <v>6</v>
      </c>
      <c r="G216" s="137" t="s">
        <v>655</v>
      </c>
      <c r="H216" s="138">
        <v>34</v>
      </c>
      <c r="I216" s="158">
        <f t="shared" si="17"/>
        <v>0.54162468905677108</v>
      </c>
      <c r="J216" s="95">
        <v>0.41682080668497101</v>
      </c>
      <c r="K216" s="137">
        <v>0.66642857142857104</v>
      </c>
      <c r="L216" s="137">
        <v>0.82499999999999996</v>
      </c>
      <c r="M216" s="137">
        <v>0.42857142857142899</v>
      </c>
      <c r="N216" s="136">
        <v>0</v>
      </c>
      <c r="O216" s="32">
        <v>44001</v>
      </c>
      <c r="P216" s="98">
        <f t="shared" si="18"/>
        <v>1</v>
      </c>
      <c r="Q216">
        <v>0</v>
      </c>
      <c r="R216">
        <v>1.65</v>
      </c>
      <c r="S216">
        <v>0</v>
      </c>
      <c r="T216" s="112" t="s">
        <v>73</v>
      </c>
      <c r="U216" s="137" t="s">
        <v>656</v>
      </c>
      <c r="V216" s="137" t="s">
        <v>657</v>
      </c>
      <c r="W216" s="69">
        <v>126</v>
      </c>
      <c r="X216" s="136">
        <v>1</v>
      </c>
      <c r="Y216" s="136">
        <v>16</v>
      </c>
      <c r="Z216" s="314"/>
      <c r="AA216" s="319">
        <v>0.5</v>
      </c>
      <c r="AB216" s="315" t="s">
        <v>5176</v>
      </c>
      <c r="AC216" s="319">
        <v>0</v>
      </c>
      <c r="AD216" s="320">
        <v>0</v>
      </c>
      <c r="AE216" s="319">
        <v>1</v>
      </c>
      <c r="AF216" s="320">
        <v>1.47058823529411E-2</v>
      </c>
      <c r="AG216" s="319">
        <v>0</v>
      </c>
      <c r="AH216" s="320">
        <v>0</v>
      </c>
      <c r="AI216" s="319">
        <v>0</v>
      </c>
      <c r="AJ216" s="320">
        <v>0</v>
      </c>
      <c r="AK216" s="320">
        <v>0</v>
      </c>
      <c r="AL216" s="319">
        <v>5</v>
      </c>
      <c r="AM216" s="319">
        <v>6.2</v>
      </c>
      <c r="AN216" s="319">
        <v>2</v>
      </c>
      <c r="AO216" s="319">
        <v>0.44</v>
      </c>
      <c r="AP216">
        <v>16</v>
      </c>
      <c r="AQ216">
        <v>16</v>
      </c>
      <c r="AR216" s="136"/>
      <c r="AT216" s="69">
        <v>2.3148</v>
      </c>
      <c r="AU216" s="69">
        <v>5</v>
      </c>
      <c r="AV216" s="69">
        <v>2.3148</v>
      </c>
      <c r="AW216" s="69">
        <v>0.32100000000000001</v>
      </c>
      <c r="BB216" s="69"/>
    </row>
    <row r="217" spans="1:54" customFormat="1" ht="40" customHeight="1">
      <c r="A217" s="313">
        <v>216</v>
      </c>
      <c r="B217" s="136" t="s">
        <v>589</v>
      </c>
      <c r="C217" s="136" t="s">
        <v>59</v>
      </c>
      <c r="D217" s="31">
        <f t="shared" si="14"/>
        <v>5</v>
      </c>
      <c r="E217" s="137" t="s">
        <v>80</v>
      </c>
      <c r="F217" s="31">
        <f t="shared" si="15"/>
        <v>4</v>
      </c>
      <c r="G217" s="137" t="s">
        <v>658</v>
      </c>
      <c r="H217" s="138">
        <v>24</v>
      </c>
      <c r="I217" s="158">
        <f t="shared" si="17"/>
        <v>0.43311599872325163</v>
      </c>
      <c r="J217" s="95">
        <v>7.3374854589360203E-2</v>
      </c>
      <c r="K217" s="137">
        <v>0.79285714285714304</v>
      </c>
      <c r="L217" s="137">
        <v>0.75</v>
      </c>
      <c r="M217" s="137">
        <v>0.85714285714285698</v>
      </c>
      <c r="N217" s="136">
        <v>1</v>
      </c>
      <c r="O217" s="32">
        <v>43998</v>
      </c>
      <c r="P217" s="98">
        <f t="shared" si="18"/>
        <v>1</v>
      </c>
      <c r="Q217">
        <v>0</v>
      </c>
      <c r="R217">
        <v>0</v>
      </c>
      <c r="S217">
        <v>0</v>
      </c>
      <c r="T217" s="112" t="s">
        <v>73</v>
      </c>
      <c r="U217" s="137" t="s">
        <v>659</v>
      </c>
      <c r="V217" s="137" t="s">
        <v>660</v>
      </c>
      <c r="W217" s="69">
        <v>93</v>
      </c>
      <c r="X217" s="136">
        <v>1</v>
      </c>
      <c r="Y217" s="136">
        <v>1</v>
      </c>
      <c r="Z217" s="314"/>
      <c r="AA217" s="319">
        <v>0.54500000000000004</v>
      </c>
      <c r="AB217" s="315" t="s">
        <v>5176</v>
      </c>
      <c r="AC217" s="319">
        <v>1</v>
      </c>
      <c r="AD217" s="320">
        <v>1.8181818181818101E-2</v>
      </c>
      <c r="AE217" s="319">
        <v>3</v>
      </c>
      <c r="AF217" s="320">
        <v>5.4545454545454501E-2</v>
      </c>
      <c r="AG217" s="319">
        <v>0</v>
      </c>
      <c r="AH217" s="320">
        <v>0</v>
      </c>
      <c r="AI217" s="319">
        <v>0</v>
      </c>
      <c r="AJ217" s="320">
        <v>0</v>
      </c>
      <c r="AK217" s="320">
        <v>1.8181818181818181E-2</v>
      </c>
      <c r="AL217" s="319">
        <v>5</v>
      </c>
      <c r="AM217" s="319">
        <v>5</v>
      </c>
      <c r="AN217" s="319">
        <v>3.5</v>
      </c>
      <c r="AO217" s="319">
        <v>0.45</v>
      </c>
      <c r="AP217">
        <v>1</v>
      </c>
      <c r="AR217" s="136">
        <v>1</v>
      </c>
      <c r="AT217" s="69">
        <v>2.3148</v>
      </c>
      <c r="AU217" s="69">
        <v>2.3148</v>
      </c>
      <c r="AV217" s="69">
        <v>5.7443999999999997</v>
      </c>
      <c r="AW217" s="69">
        <v>0.3458</v>
      </c>
      <c r="BB217" s="69"/>
    </row>
    <row r="218" spans="1:54" customFormat="1" ht="40" customHeight="1">
      <c r="A218" s="313">
        <v>217</v>
      </c>
      <c r="B218" s="136" t="s">
        <v>589</v>
      </c>
      <c r="C218" s="136" t="s">
        <v>45</v>
      </c>
      <c r="D218" s="31">
        <f t="shared" si="14"/>
        <v>4</v>
      </c>
      <c r="E218" s="137" t="s">
        <v>80</v>
      </c>
      <c r="F218" s="31">
        <f t="shared" si="15"/>
        <v>4</v>
      </c>
      <c r="G218" s="137" t="s">
        <v>661</v>
      </c>
      <c r="H218" s="138">
        <v>123</v>
      </c>
      <c r="I218" s="158">
        <f t="shared" si="17"/>
        <v>0.37740947042045636</v>
      </c>
      <c r="J218" s="95">
        <v>2.8708888928606902E-3</v>
      </c>
      <c r="K218" s="137">
        <v>0.75194805194805203</v>
      </c>
      <c r="L218" s="137">
        <v>0.68181818181818199</v>
      </c>
      <c r="M218" s="137">
        <v>0.85714285714285698</v>
      </c>
      <c r="N218" s="136">
        <v>1</v>
      </c>
      <c r="O218" s="32">
        <v>43997</v>
      </c>
      <c r="P218" s="98">
        <f t="shared" si="18"/>
        <v>0</v>
      </c>
      <c r="Q218">
        <v>0</v>
      </c>
      <c r="R218">
        <v>0</v>
      </c>
      <c r="S218">
        <v>0</v>
      </c>
      <c r="T218" s="112" t="s">
        <v>48</v>
      </c>
      <c r="U218" s="137" t="s">
        <v>662</v>
      </c>
      <c r="V218" s="137" t="s">
        <v>663</v>
      </c>
      <c r="W218" s="69">
        <v>172</v>
      </c>
      <c r="X218" s="136">
        <v>1</v>
      </c>
      <c r="Y218" s="136">
        <v>1</v>
      </c>
      <c r="Z218" s="314"/>
      <c r="AA218" s="319">
        <v>0.46363636363636301</v>
      </c>
      <c r="AB218" s="315" t="s">
        <v>5176</v>
      </c>
      <c r="AC218" s="319">
        <v>1</v>
      </c>
      <c r="AD218" s="320">
        <v>9.3457943925233603E-3</v>
      </c>
      <c r="AE218" s="319">
        <v>6</v>
      </c>
      <c r="AF218" s="320">
        <v>5.6074766355140103E-2</v>
      </c>
      <c r="AG218" s="319">
        <v>1</v>
      </c>
      <c r="AH218" s="320">
        <v>9.3457943925233603E-3</v>
      </c>
      <c r="AI218" s="319">
        <v>0</v>
      </c>
      <c r="AJ218" s="320">
        <v>0</v>
      </c>
      <c r="AK218" s="320">
        <v>2.803738317757009E-2</v>
      </c>
      <c r="AL218" s="319">
        <v>5</v>
      </c>
      <c r="AM218" s="319">
        <v>5</v>
      </c>
      <c r="AN218" s="319">
        <v>4.6666666666666599</v>
      </c>
      <c r="AO218" s="319">
        <v>0.48888888888888798</v>
      </c>
      <c r="AP218">
        <v>1</v>
      </c>
      <c r="AR218" s="136">
        <v>1</v>
      </c>
      <c r="AT218" s="69">
        <v>2.3148</v>
      </c>
      <c r="AU218" s="69">
        <v>2.3148</v>
      </c>
      <c r="AV218" s="69">
        <v>8.1305999999999994</v>
      </c>
      <c r="AW218" s="69">
        <v>0.42530000000000001</v>
      </c>
      <c r="BB218" s="69"/>
    </row>
    <row r="219" spans="1:54" customFormat="1" ht="40" customHeight="1">
      <c r="A219" s="313">
        <v>218</v>
      </c>
      <c r="B219" s="136" t="s">
        <v>589</v>
      </c>
      <c r="C219" s="136" t="s">
        <v>45</v>
      </c>
      <c r="D219" s="31">
        <f t="shared" si="14"/>
        <v>4</v>
      </c>
      <c r="E219" s="137" t="s">
        <v>664</v>
      </c>
      <c r="F219" s="31">
        <f t="shared" si="15"/>
        <v>1</v>
      </c>
      <c r="G219" s="137" t="s">
        <v>665</v>
      </c>
      <c r="H219" s="138">
        <v>119</v>
      </c>
      <c r="I219" s="158">
        <f t="shared" si="17"/>
        <v>0.83646110268393548</v>
      </c>
      <c r="J219" s="95">
        <v>0.99999571078266902</v>
      </c>
      <c r="K219" s="137">
        <v>0.67292649458520204</v>
      </c>
      <c r="L219" s="137">
        <v>0.61983471074380203</v>
      </c>
      <c r="M219" s="137">
        <v>0.75256417034730305</v>
      </c>
      <c r="N219" s="136">
        <v>0</v>
      </c>
      <c r="O219" s="32">
        <v>43995</v>
      </c>
      <c r="P219" s="98">
        <f t="shared" si="18"/>
        <v>1</v>
      </c>
      <c r="Q219">
        <v>0</v>
      </c>
      <c r="R219">
        <v>4.95</v>
      </c>
      <c r="S219">
        <v>1.87</v>
      </c>
      <c r="T219" s="112" t="s">
        <v>73</v>
      </c>
      <c r="U219" s="137" t="s">
        <v>666</v>
      </c>
      <c r="V219" s="137" t="s">
        <v>667</v>
      </c>
      <c r="W219" s="69">
        <v>162</v>
      </c>
      <c r="X219" s="136">
        <v>1</v>
      </c>
      <c r="Y219" s="136">
        <v>3</v>
      </c>
      <c r="Z219" s="314"/>
      <c r="AA219" s="319">
        <v>0.55000000000000004</v>
      </c>
      <c r="AB219" s="315" t="s">
        <v>5176</v>
      </c>
      <c r="AC219" s="319">
        <v>2</v>
      </c>
      <c r="AD219" s="320">
        <v>0.02</v>
      </c>
      <c r="AE219" s="319">
        <v>3</v>
      </c>
      <c r="AF219" s="320">
        <v>0.03</v>
      </c>
      <c r="AG219" s="319">
        <v>2</v>
      </c>
      <c r="AH219" s="320">
        <v>0.02</v>
      </c>
      <c r="AI219" s="319">
        <v>0</v>
      </c>
      <c r="AJ219" s="320">
        <v>0</v>
      </c>
      <c r="AK219" s="320">
        <v>0.01</v>
      </c>
      <c r="AL219" s="319">
        <v>5</v>
      </c>
      <c r="AM219" s="319">
        <v>5</v>
      </c>
      <c r="AN219" s="319">
        <v>2</v>
      </c>
      <c r="AO219" s="319">
        <v>0.4</v>
      </c>
      <c r="AP219">
        <v>3</v>
      </c>
      <c r="AR219" s="136">
        <v>3</v>
      </c>
      <c r="AT219" s="69">
        <v>2.3148</v>
      </c>
      <c r="AU219" s="69">
        <v>2.3148</v>
      </c>
      <c r="AV219" s="69">
        <v>2.3148</v>
      </c>
      <c r="AW219" s="69">
        <v>0.23150000000000001</v>
      </c>
      <c r="BB219" s="69"/>
    </row>
    <row r="220" spans="1:54" customFormat="1" ht="40" customHeight="1">
      <c r="A220" s="313">
        <v>219</v>
      </c>
      <c r="B220" s="136" t="s">
        <v>589</v>
      </c>
      <c r="C220" s="136" t="s">
        <v>45</v>
      </c>
      <c r="D220" s="31">
        <f t="shared" si="14"/>
        <v>4</v>
      </c>
      <c r="E220" s="137" t="s">
        <v>221</v>
      </c>
      <c r="F220" s="31">
        <f t="shared" si="15"/>
        <v>2</v>
      </c>
      <c r="G220" s="137" t="s">
        <v>668</v>
      </c>
      <c r="H220" s="138">
        <v>69</v>
      </c>
      <c r="I220" s="158">
        <f t="shared" si="17"/>
        <v>0.666585423947889</v>
      </c>
      <c r="J220" s="95">
        <v>0.58214517975685698</v>
      </c>
      <c r="K220" s="137">
        <v>0.75102566813892102</v>
      </c>
      <c r="L220" s="137">
        <v>0.75</v>
      </c>
      <c r="M220" s="137">
        <v>0.75256417034730305</v>
      </c>
      <c r="N220" s="136">
        <v>1</v>
      </c>
      <c r="O220" s="32">
        <v>43989</v>
      </c>
      <c r="P220" s="98">
        <f t="shared" si="18"/>
        <v>0</v>
      </c>
      <c r="Q220">
        <v>2.5499999999999998</v>
      </c>
      <c r="R220">
        <v>1.65</v>
      </c>
      <c r="S220">
        <v>0</v>
      </c>
      <c r="T220" s="112" t="s">
        <v>48</v>
      </c>
      <c r="U220" s="137" t="s">
        <v>669</v>
      </c>
      <c r="V220" s="137" t="s">
        <v>670</v>
      </c>
      <c r="W220" s="69">
        <v>152</v>
      </c>
      <c r="X220" s="136">
        <v>1</v>
      </c>
      <c r="Y220" s="136">
        <v>3</v>
      </c>
      <c r="Z220" s="314"/>
      <c r="AA220" s="319">
        <v>0.54500000000000004</v>
      </c>
      <c r="AB220" s="315" t="s">
        <v>5176</v>
      </c>
      <c r="AC220" s="319">
        <v>1</v>
      </c>
      <c r="AD220" s="320">
        <v>1.0752688172042999E-2</v>
      </c>
      <c r="AE220" s="319">
        <v>3</v>
      </c>
      <c r="AF220" s="320">
        <v>3.2258064516128997E-2</v>
      </c>
      <c r="AG220" s="319">
        <v>2</v>
      </c>
      <c r="AH220" s="320">
        <v>2.1505376344085999E-2</v>
      </c>
      <c r="AI220" s="319">
        <v>0</v>
      </c>
      <c r="AJ220" s="320">
        <v>0</v>
      </c>
      <c r="AK220" s="320">
        <v>1.075268817204301E-2</v>
      </c>
      <c r="AL220" s="319">
        <v>5</v>
      </c>
      <c r="AM220" s="319">
        <v>6.2</v>
      </c>
      <c r="AN220" s="319">
        <v>2</v>
      </c>
      <c r="AO220" s="319">
        <v>0.44</v>
      </c>
      <c r="AP220">
        <v>3</v>
      </c>
      <c r="AR220" s="136">
        <v>3</v>
      </c>
      <c r="AT220" s="69">
        <v>2.3148</v>
      </c>
      <c r="AU220" s="69">
        <v>5</v>
      </c>
      <c r="AV220" s="69">
        <v>2.3148</v>
      </c>
      <c r="AW220" s="69">
        <v>0.32100000000000001</v>
      </c>
      <c r="BB220" s="69"/>
    </row>
    <row r="221" spans="1:54" customFormat="1" ht="40" customHeight="1">
      <c r="A221" s="313">
        <v>220</v>
      </c>
      <c r="B221" s="136" t="s">
        <v>589</v>
      </c>
      <c r="C221" s="136" t="s">
        <v>45</v>
      </c>
      <c r="D221" s="31">
        <f t="shared" si="14"/>
        <v>4</v>
      </c>
      <c r="E221" s="137" t="s">
        <v>46</v>
      </c>
      <c r="F221" s="31">
        <f t="shared" si="15"/>
        <v>6</v>
      </c>
      <c r="G221" s="137" t="s">
        <v>671</v>
      </c>
      <c r="H221" s="138">
        <v>577</v>
      </c>
      <c r="I221" s="158">
        <f t="shared" si="17"/>
        <v>0.25028969923685646</v>
      </c>
      <c r="J221" s="95">
        <v>8.4994389304426901E-10</v>
      </c>
      <c r="K221" s="137">
        <v>0.50057939762376902</v>
      </c>
      <c r="L221" s="137">
        <v>0.26287042461104398</v>
      </c>
      <c r="M221" s="137">
        <v>0.85714285714285698</v>
      </c>
      <c r="N221" s="136">
        <v>1</v>
      </c>
      <c r="O221" s="32">
        <v>43984</v>
      </c>
      <c r="P221" s="98">
        <f t="shared" si="18"/>
        <v>1</v>
      </c>
      <c r="Q221">
        <v>2.5499999999999998</v>
      </c>
      <c r="R221">
        <v>3.3</v>
      </c>
      <c r="S221">
        <v>0</v>
      </c>
      <c r="T221" s="112" t="s">
        <v>73</v>
      </c>
      <c r="U221" s="137" t="s">
        <v>672</v>
      </c>
      <c r="V221" s="137" t="s">
        <v>673</v>
      </c>
      <c r="W221" s="69">
        <v>249</v>
      </c>
      <c r="X221" s="136">
        <v>1</v>
      </c>
      <c r="Y221" s="136">
        <v>1</v>
      </c>
      <c r="Z221" s="314"/>
      <c r="AA221" s="319">
        <v>2.06363317102203E-5</v>
      </c>
      <c r="AB221" s="315" t="s">
        <v>5176</v>
      </c>
      <c r="AC221" s="319">
        <v>2</v>
      </c>
      <c r="AD221" s="320">
        <v>1.34228187919463E-2</v>
      </c>
      <c r="AE221" s="319">
        <v>4</v>
      </c>
      <c r="AF221" s="320">
        <v>2.68456375838926E-2</v>
      </c>
      <c r="AG221" s="319">
        <v>1</v>
      </c>
      <c r="AH221" s="320">
        <v>6.7114093959731499E-3</v>
      </c>
      <c r="AI221" s="319">
        <v>0</v>
      </c>
      <c r="AJ221" s="320">
        <v>0</v>
      </c>
      <c r="AK221" s="320">
        <v>2.0134228187919458E-2</v>
      </c>
      <c r="AL221" s="319">
        <v>5</v>
      </c>
      <c r="AM221" s="319">
        <v>5</v>
      </c>
      <c r="AN221" s="319">
        <v>7.3333333333333304</v>
      </c>
      <c r="AO221" s="319">
        <v>0.57777777777777695</v>
      </c>
      <c r="AP221">
        <v>1</v>
      </c>
      <c r="AR221" s="136">
        <v>1</v>
      </c>
      <c r="AT221" s="69">
        <v>2.3148</v>
      </c>
      <c r="AU221" s="69">
        <v>2.3148</v>
      </c>
      <c r="AV221" s="69">
        <v>9.8416999999999994</v>
      </c>
      <c r="AW221" s="69">
        <v>0.4824</v>
      </c>
      <c r="BB221" s="69"/>
    </row>
    <row r="222" spans="1:54" customFormat="1" ht="40" customHeight="1">
      <c r="A222" s="313">
        <v>221</v>
      </c>
      <c r="B222" s="136" t="s">
        <v>589</v>
      </c>
      <c r="C222" s="136" t="s">
        <v>45</v>
      </c>
      <c r="D222" s="31">
        <f t="shared" si="14"/>
        <v>4</v>
      </c>
      <c r="E222" s="137" t="s">
        <v>80</v>
      </c>
      <c r="F222" s="31">
        <f t="shared" si="15"/>
        <v>4</v>
      </c>
      <c r="G222" s="137" t="s">
        <v>674</v>
      </c>
      <c r="H222" s="138">
        <v>103</v>
      </c>
      <c r="I222" s="158">
        <f t="shared" si="17"/>
        <v>0.52550210739836145</v>
      </c>
      <c r="J222" s="95">
        <v>0.25497854665780201</v>
      </c>
      <c r="K222" s="137">
        <v>0.79602566813892095</v>
      </c>
      <c r="L222" s="137">
        <v>0.82499999999999996</v>
      </c>
      <c r="M222" s="137">
        <v>0.75256417034730305</v>
      </c>
      <c r="N222" s="136">
        <v>1</v>
      </c>
      <c r="O222" s="32">
        <v>43983</v>
      </c>
      <c r="P222" s="98">
        <f t="shared" si="18"/>
        <v>1</v>
      </c>
      <c r="Q222">
        <v>2.5499999999999998</v>
      </c>
      <c r="R222">
        <v>4.95</v>
      </c>
      <c r="S222">
        <v>0</v>
      </c>
      <c r="T222" s="112" t="s">
        <v>73</v>
      </c>
      <c r="U222" s="137" t="s">
        <v>675</v>
      </c>
      <c r="V222" s="137" t="s">
        <v>676</v>
      </c>
      <c r="W222" s="69">
        <v>128</v>
      </c>
      <c r="X222" s="136">
        <v>1</v>
      </c>
      <c r="Y222" s="136">
        <v>3</v>
      </c>
      <c r="Z222" s="314"/>
      <c r="AA222" s="319">
        <v>0.54500000000000004</v>
      </c>
      <c r="AB222" s="315" t="s">
        <v>5176</v>
      </c>
      <c r="AC222" s="319">
        <v>0</v>
      </c>
      <c r="AD222" s="320">
        <v>0</v>
      </c>
      <c r="AE222" s="319">
        <v>2</v>
      </c>
      <c r="AF222" s="320">
        <v>2.6315789473684199E-2</v>
      </c>
      <c r="AG222" s="319">
        <v>1</v>
      </c>
      <c r="AH222" s="320">
        <v>1.3157894736842099E-2</v>
      </c>
      <c r="AI222" s="319">
        <v>0</v>
      </c>
      <c r="AJ222" s="320">
        <v>0</v>
      </c>
      <c r="AK222" s="320">
        <v>1.3157894736842099E-2</v>
      </c>
      <c r="AL222" s="319">
        <v>5</v>
      </c>
      <c r="AM222" s="319">
        <v>5</v>
      </c>
      <c r="AN222" s="319">
        <v>4.6666666666666599</v>
      </c>
      <c r="AO222" s="319">
        <v>0.48888888888888798</v>
      </c>
      <c r="AP222">
        <v>3</v>
      </c>
      <c r="AR222" s="136">
        <v>3</v>
      </c>
      <c r="AT222" s="69">
        <v>2.3148</v>
      </c>
      <c r="AU222" s="69">
        <v>2.3148</v>
      </c>
      <c r="AV222" s="69">
        <v>8.1305999999999994</v>
      </c>
      <c r="AW222" s="69">
        <v>0.42530000000000001</v>
      </c>
      <c r="BB222" s="69"/>
    </row>
    <row r="223" spans="1:54" customFormat="1" ht="40" customHeight="1">
      <c r="A223" s="313">
        <v>222</v>
      </c>
      <c r="B223" s="136" t="s">
        <v>589</v>
      </c>
      <c r="C223" s="136" t="s">
        <v>45</v>
      </c>
      <c r="D223" s="31">
        <f t="shared" si="14"/>
        <v>4</v>
      </c>
      <c r="E223" s="137" t="s">
        <v>80</v>
      </c>
      <c r="F223" s="31">
        <f t="shared" si="15"/>
        <v>4</v>
      </c>
      <c r="G223" s="137" t="s">
        <v>677</v>
      </c>
      <c r="H223" s="138">
        <v>65</v>
      </c>
      <c r="I223" s="158">
        <f t="shared" si="17"/>
        <v>0.85244556544821803</v>
      </c>
      <c r="J223" s="95">
        <v>0.95386546275751505</v>
      </c>
      <c r="K223" s="137">
        <v>0.75102566813892102</v>
      </c>
      <c r="L223" s="137">
        <v>0.75</v>
      </c>
      <c r="M223" s="137">
        <v>0.75256417034730305</v>
      </c>
      <c r="N223" s="136">
        <v>1</v>
      </c>
      <c r="O223" s="32">
        <v>43981</v>
      </c>
      <c r="P223" s="98">
        <f t="shared" si="18"/>
        <v>1</v>
      </c>
      <c r="Q223">
        <v>0</v>
      </c>
      <c r="R223">
        <v>1.65</v>
      </c>
      <c r="S223">
        <v>0</v>
      </c>
      <c r="T223" s="112" t="s">
        <v>73</v>
      </c>
      <c r="U223" s="137" t="s">
        <v>678</v>
      </c>
      <c r="V223" s="137" t="s">
        <v>679</v>
      </c>
      <c r="W223" s="69">
        <v>84</v>
      </c>
      <c r="X223" s="136">
        <v>1</v>
      </c>
      <c r="Y223" s="136">
        <v>3</v>
      </c>
      <c r="Z223" s="314"/>
      <c r="AA223" s="319">
        <v>0.54500000000000004</v>
      </c>
      <c r="AB223" s="315" t="s">
        <v>5176</v>
      </c>
      <c r="AC223" s="319">
        <v>1</v>
      </c>
      <c r="AD223" s="320">
        <v>2.0833333333333301E-2</v>
      </c>
      <c r="AE223" s="319">
        <v>2</v>
      </c>
      <c r="AF223" s="320">
        <v>4.1666666666666602E-2</v>
      </c>
      <c r="AG223" s="319">
        <v>1</v>
      </c>
      <c r="AH223" s="320">
        <v>2.0833333333333301E-2</v>
      </c>
      <c r="AI223" s="319">
        <v>0</v>
      </c>
      <c r="AJ223" s="320">
        <v>0</v>
      </c>
      <c r="AK223" s="320">
        <v>2.0833333333333329E-2</v>
      </c>
      <c r="AL223" s="319">
        <v>5</v>
      </c>
      <c r="AM223" s="319">
        <v>5</v>
      </c>
      <c r="AN223" s="319">
        <v>7.3333333333333304</v>
      </c>
      <c r="AO223" s="319">
        <v>0.57777777777777695</v>
      </c>
      <c r="AP223">
        <v>3</v>
      </c>
      <c r="AR223" s="136">
        <v>3</v>
      </c>
      <c r="AT223" s="69">
        <v>2.3148</v>
      </c>
      <c r="AU223" s="69">
        <v>2.3148</v>
      </c>
      <c r="AV223" s="69">
        <v>9.8416999999999994</v>
      </c>
      <c r="AW223" s="69">
        <v>0.4824</v>
      </c>
      <c r="BB223" s="69"/>
    </row>
    <row r="224" spans="1:54" customFormat="1" ht="40" customHeight="1">
      <c r="A224" s="313">
        <v>223</v>
      </c>
      <c r="B224" s="136" t="s">
        <v>589</v>
      </c>
      <c r="C224" s="136" t="s">
        <v>45</v>
      </c>
      <c r="D224" s="31">
        <f t="shared" si="14"/>
        <v>4</v>
      </c>
      <c r="E224" s="137" t="s">
        <v>221</v>
      </c>
      <c r="F224" s="31">
        <f t="shared" si="15"/>
        <v>2</v>
      </c>
      <c r="G224" s="137" t="s">
        <v>680</v>
      </c>
      <c r="H224" s="138">
        <v>11</v>
      </c>
      <c r="I224" s="158">
        <f t="shared" si="17"/>
        <v>0.39989532766941704</v>
      </c>
      <c r="J224" s="95">
        <v>4.8764987199913103E-2</v>
      </c>
      <c r="K224" s="137">
        <v>0.75102566813892102</v>
      </c>
      <c r="L224" s="137">
        <v>0.75</v>
      </c>
      <c r="M224" s="137">
        <v>0.75256417034730305</v>
      </c>
      <c r="N224" s="136">
        <v>1</v>
      </c>
      <c r="O224" s="32">
        <v>43981</v>
      </c>
      <c r="P224" s="98">
        <f t="shared" si="18"/>
        <v>1</v>
      </c>
      <c r="Q224">
        <v>0</v>
      </c>
      <c r="R224">
        <v>0</v>
      </c>
      <c r="S224">
        <v>0</v>
      </c>
      <c r="T224" s="112" t="s">
        <v>73</v>
      </c>
      <c r="U224" s="137" t="s">
        <v>681</v>
      </c>
      <c r="V224" s="137" t="s">
        <v>682</v>
      </c>
      <c r="W224" s="69">
        <v>87</v>
      </c>
      <c r="X224" s="136">
        <v>1</v>
      </c>
      <c r="Y224" s="136">
        <v>3</v>
      </c>
      <c r="Z224" s="314"/>
      <c r="AA224" s="319">
        <v>0.5</v>
      </c>
      <c r="AB224" s="315" t="s">
        <v>5176</v>
      </c>
      <c r="AC224" s="319">
        <v>0</v>
      </c>
      <c r="AD224" s="320">
        <v>0</v>
      </c>
      <c r="AE224" s="319">
        <v>3</v>
      </c>
      <c r="AF224" s="320">
        <v>0.06</v>
      </c>
      <c r="AG224" s="319">
        <v>1</v>
      </c>
      <c r="AH224" s="320">
        <v>0.02</v>
      </c>
      <c r="AI224" s="319">
        <v>0</v>
      </c>
      <c r="AJ224" s="320">
        <v>0</v>
      </c>
      <c r="AK224" s="320">
        <v>0.02</v>
      </c>
      <c r="AL224" s="319">
        <v>5</v>
      </c>
      <c r="AM224" s="319">
        <v>5</v>
      </c>
      <c r="AN224" s="319">
        <v>4.6666666666666599</v>
      </c>
      <c r="AO224" s="319">
        <v>0.48888888888888798</v>
      </c>
      <c r="AP224">
        <v>3</v>
      </c>
      <c r="AR224" s="136"/>
      <c r="AT224" s="69">
        <v>2.3148</v>
      </c>
      <c r="AU224" s="69">
        <v>2.3148</v>
      </c>
      <c r="AV224" s="69">
        <v>8.1305999999999994</v>
      </c>
      <c r="AW224" s="69">
        <v>0.42530000000000001</v>
      </c>
      <c r="BB224" s="69"/>
    </row>
    <row r="225" spans="1:54" customFormat="1" ht="40" customHeight="1">
      <c r="A225" s="313">
        <v>224</v>
      </c>
      <c r="B225" s="136" t="s">
        <v>589</v>
      </c>
      <c r="C225" s="136" t="s">
        <v>59</v>
      </c>
      <c r="D225" s="31">
        <f t="shared" si="14"/>
        <v>5</v>
      </c>
      <c r="E225" s="137" t="s">
        <v>46</v>
      </c>
      <c r="F225" s="31">
        <f t="shared" si="15"/>
        <v>6</v>
      </c>
      <c r="G225" s="137" t="s">
        <v>683</v>
      </c>
      <c r="H225" s="138">
        <v>232</v>
      </c>
      <c r="I225" s="158">
        <f t="shared" si="17"/>
        <v>0.37597458858944804</v>
      </c>
      <c r="J225" s="95">
        <v>1.1252308440568E-6</v>
      </c>
      <c r="K225" s="137">
        <v>0.75194805194805203</v>
      </c>
      <c r="L225" s="137">
        <v>0.68181818181818199</v>
      </c>
      <c r="M225" s="137">
        <v>0.85714285714285698</v>
      </c>
      <c r="N225" s="136">
        <v>0</v>
      </c>
      <c r="O225" s="32">
        <v>43957</v>
      </c>
      <c r="P225" s="98">
        <f t="shared" si="18"/>
        <v>0</v>
      </c>
      <c r="Q225">
        <v>5.0999999999999996</v>
      </c>
      <c r="R225">
        <v>3.3</v>
      </c>
      <c r="S225">
        <v>1.87</v>
      </c>
      <c r="T225" s="112" t="s">
        <v>48</v>
      </c>
      <c r="U225" s="137" t="s">
        <v>684</v>
      </c>
      <c r="V225" s="137" t="s">
        <v>685</v>
      </c>
      <c r="W225" s="69">
        <v>176</v>
      </c>
      <c r="X225" s="136">
        <v>1</v>
      </c>
      <c r="Y225" s="136">
        <v>1</v>
      </c>
      <c r="Z225" s="314"/>
      <c r="AA225" s="319">
        <v>0.45454545454545398</v>
      </c>
      <c r="AB225" s="315" t="s">
        <v>5176</v>
      </c>
      <c r="AC225" s="319">
        <v>1</v>
      </c>
      <c r="AD225" s="320">
        <v>1.0526315789473601E-2</v>
      </c>
      <c r="AE225" s="319">
        <v>3</v>
      </c>
      <c r="AF225" s="320">
        <v>3.1578947368420998E-2</v>
      </c>
      <c r="AG225" s="319">
        <v>2</v>
      </c>
      <c r="AH225" s="320">
        <v>2.1052631578947299E-2</v>
      </c>
      <c r="AI225" s="319">
        <v>0</v>
      </c>
      <c r="AJ225" s="320">
        <v>0</v>
      </c>
      <c r="AK225" s="320">
        <v>1.0526315789473681E-2</v>
      </c>
      <c r="AL225" s="319">
        <v>6.75</v>
      </c>
      <c r="AM225" s="319">
        <v>5</v>
      </c>
      <c r="AN225" s="319">
        <v>7.6666666666666599</v>
      </c>
      <c r="AO225" s="319">
        <v>0.64722222222222203</v>
      </c>
      <c r="AP225">
        <v>1</v>
      </c>
      <c r="AR225" s="136">
        <v>1</v>
      </c>
      <c r="AT225" s="69">
        <v>6.3414000000000001</v>
      </c>
      <c r="AU225" s="69">
        <v>2.3148</v>
      </c>
      <c r="AV225" s="69">
        <v>9.8867999999999991</v>
      </c>
      <c r="AW225" s="69">
        <v>0.61809999999999998</v>
      </c>
      <c r="BB225" s="69"/>
    </row>
    <row r="226" spans="1:54" customFormat="1" ht="40" customHeight="1">
      <c r="A226" s="313">
        <v>225</v>
      </c>
      <c r="B226" s="136" t="s">
        <v>589</v>
      </c>
      <c r="C226" s="136" t="s">
        <v>45</v>
      </c>
      <c r="D226" s="31">
        <f t="shared" si="14"/>
        <v>4</v>
      </c>
      <c r="E226" s="137" t="s">
        <v>46</v>
      </c>
      <c r="F226" s="31">
        <f t="shared" si="15"/>
        <v>6</v>
      </c>
      <c r="G226" s="137" t="s">
        <v>686</v>
      </c>
      <c r="H226" s="138">
        <v>55</v>
      </c>
      <c r="I226" s="158">
        <f t="shared" si="17"/>
        <v>0.47046726848468401</v>
      </c>
      <c r="J226" s="95">
        <v>0.12674674053354501</v>
      </c>
      <c r="K226" s="137">
        <v>0.81418779643582295</v>
      </c>
      <c r="L226" s="137">
        <v>0.82499999999999996</v>
      </c>
      <c r="M226" s="137">
        <v>0.79796949108955795</v>
      </c>
      <c r="N226" s="136">
        <v>0</v>
      </c>
      <c r="O226" s="32">
        <v>43947</v>
      </c>
      <c r="P226" s="98">
        <f t="shared" si="18"/>
        <v>0</v>
      </c>
      <c r="Q226">
        <v>5.0999999999999996</v>
      </c>
      <c r="R226">
        <v>1.65</v>
      </c>
      <c r="S226">
        <v>1.87</v>
      </c>
      <c r="T226" s="112" t="s">
        <v>48</v>
      </c>
      <c r="U226" s="137" t="s">
        <v>687</v>
      </c>
      <c r="V226" s="137" t="s">
        <v>688</v>
      </c>
      <c r="W226" s="69">
        <v>46</v>
      </c>
      <c r="X226" s="136">
        <v>1</v>
      </c>
      <c r="Y226" s="136">
        <v>2</v>
      </c>
      <c r="Z226" s="314"/>
      <c r="AA226" s="319">
        <v>0.55000000000000004</v>
      </c>
      <c r="AB226" s="315" t="s">
        <v>5179</v>
      </c>
      <c r="AC226" s="319">
        <v>1</v>
      </c>
      <c r="AD226" s="320">
        <v>3.8461538461538401E-2</v>
      </c>
      <c r="AE226" s="319">
        <v>1</v>
      </c>
      <c r="AF226" s="320">
        <v>3.8461538461538401E-2</v>
      </c>
      <c r="AG226" s="319">
        <v>1</v>
      </c>
      <c r="AH226" s="320">
        <v>3.8461538461538401E-2</v>
      </c>
      <c r="AI226" s="319">
        <v>0</v>
      </c>
      <c r="AJ226" s="320">
        <v>0</v>
      </c>
      <c r="AK226" s="320">
        <v>0</v>
      </c>
      <c r="AL226" s="319">
        <v>6.75</v>
      </c>
      <c r="AM226" s="319">
        <v>5</v>
      </c>
      <c r="AN226" s="319">
        <v>4.6666666666666599</v>
      </c>
      <c r="AO226" s="319">
        <v>0.54722222222222205</v>
      </c>
      <c r="AP226">
        <v>2</v>
      </c>
      <c r="AR226" s="136"/>
      <c r="AS226">
        <v>2</v>
      </c>
      <c r="AT226" s="69">
        <v>6.3414000000000001</v>
      </c>
      <c r="AU226" s="69">
        <v>2.3148</v>
      </c>
      <c r="AV226" s="69">
        <v>8.1305999999999994</v>
      </c>
      <c r="AW226" s="69">
        <v>0.55959999999999999</v>
      </c>
      <c r="BB226" s="69"/>
    </row>
    <row r="227" spans="1:54" customFormat="1" ht="40" customHeight="1">
      <c r="A227" s="313">
        <v>226</v>
      </c>
      <c r="B227" s="136" t="s">
        <v>589</v>
      </c>
      <c r="C227" s="136" t="s">
        <v>45</v>
      </c>
      <c r="D227" s="31">
        <f t="shared" si="14"/>
        <v>4</v>
      </c>
      <c r="E227" s="137" t="s">
        <v>46</v>
      </c>
      <c r="F227" s="31">
        <f t="shared" si="15"/>
        <v>6</v>
      </c>
      <c r="G227" s="137" t="s">
        <v>689</v>
      </c>
      <c r="H227" s="138">
        <v>68</v>
      </c>
      <c r="I227" s="158">
        <f t="shared" si="17"/>
        <v>0.28023936709416952</v>
      </c>
      <c r="J227" s="95">
        <v>4.3675985322356101E-2</v>
      </c>
      <c r="K227" s="137">
        <v>0.51680274886598299</v>
      </c>
      <c r="L227" s="137">
        <v>0.75</v>
      </c>
      <c r="M227" s="137">
        <v>0.16700687216495699</v>
      </c>
      <c r="N227" s="136">
        <v>1</v>
      </c>
      <c r="O227" s="32">
        <v>43938</v>
      </c>
      <c r="P227" s="98">
        <f t="shared" si="18"/>
        <v>1</v>
      </c>
      <c r="Q227">
        <v>0</v>
      </c>
      <c r="R227">
        <v>1.65</v>
      </c>
      <c r="S227">
        <v>0</v>
      </c>
      <c r="T227" s="112" t="s">
        <v>73</v>
      </c>
      <c r="U227" s="137" t="s">
        <v>690</v>
      </c>
      <c r="V227" s="137" t="s">
        <v>691</v>
      </c>
      <c r="W227" s="69">
        <v>135</v>
      </c>
      <c r="X227" s="136">
        <v>2</v>
      </c>
      <c r="Y227" s="136">
        <v>34</v>
      </c>
      <c r="Z227" s="314"/>
      <c r="AA227" s="319">
        <v>0.413223140495867</v>
      </c>
      <c r="AB227" s="315" t="s">
        <v>5176</v>
      </c>
      <c r="AC227" s="319">
        <v>0</v>
      </c>
      <c r="AD227" s="320">
        <v>0</v>
      </c>
      <c r="AE227" s="319">
        <v>2</v>
      </c>
      <c r="AF227" s="320">
        <v>2.5641025641025599E-2</v>
      </c>
      <c r="AG227" s="319">
        <v>1</v>
      </c>
      <c r="AH227" s="320">
        <v>1.2820512820512799E-2</v>
      </c>
      <c r="AI227" s="319">
        <v>0</v>
      </c>
      <c r="AJ227" s="320">
        <v>0</v>
      </c>
      <c r="AK227" s="320">
        <v>1.282051282051282E-2</v>
      </c>
      <c r="AL227" s="319">
        <v>5</v>
      </c>
      <c r="AM227" s="319">
        <v>5</v>
      </c>
      <c r="AN227" s="319">
        <v>2</v>
      </c>
      <c r="AO227" s="319">
        <v>0.4</v>
      </c>
      <c r="AP227">
        <v>34</v>
      </c>
      <c r="AR227" s="136">
        <v>34</v>
      </c>
      <c r="AT227" s="69">
        <v>2.3148</v>
      </c>
      <c r="AU227" s="69">
        <v>2.3148</v>
      </c>
      <c r="AV227" s="69">
        <v>2.3148</v>
      </c>
      <c r="AW227" s="69">
        <v>0.23150000000000001</v>
      </c>
      <c r="BB227" s="69"/>
    </row>
    <row r="228" spans="1:54" customFormat="1" ht="40" customHeight="1">
      <c r="A228" s="313">
        <v>227</v>
      </c>
      <c r="B228" s="136" t="s">
        <v>589</v>
      </c>
      <c r="C228" s="136" t="s">
        <v>45</v>
      </c>
      <c r="D228" s="31">
        <f t="shared" si="14"/>
        <v>4</v>
      </c>
      <c r="E228" s="137" t="s">
        <v>80</v>
      </c>
      <c r="F228" s="31">
        <f t="shared" si="15"/>
        <v>4</v>
      </c>
      <c r="G228" s="137" t="s">
        <v>159</v>
      </c>
      <c r="H228" s="138">
        <v>57</v>
      </c>
      <c r="I228" s="158">
        <f t="shared" si="17"/>
        <v>0.38719991213106719</v>
      </c>
      <c r="J228" s="95">
        <v>9.3208817792074294E-2</v>
      </c>
      <c r="K228" s="137">
        <v>0.68119100647006003</v>
      </c>
      <c r="L228" s="137">
        <v>0.82499999999999996</v>
      </c>
      <c r="M228" s="137">
        <v>0.46547751617515098</v>
      </c>
      <c r="N228" s="136">
        <v>1</v>
      </c>
      <c r="O228" s="32">
        <v>43933</v>
      </c>
      <c r="P228" s="98">
        <f t="shared" si="18"/>
        <v>0</v>
      </c>
      <c r="Q228">
        <v>10.199999999999999</v>
      </c>
      <c r="R228">
        <v>0</v>
      </c>
      <c r="S228">
        <v>0</v>
      </c>
      <c r="T228" s="112" t="s">
        <v>48</v>
      </c>
      <c r="U228" s="137" t="s">
        <v>692</v>
      </c>
      <c r="V228" s="137" t="s">
        <v>693</v>
      </c>
      <c r="W228" s="69">
        <v>47</v>
      </c>
      <c r="X228" s="136">
        <v>3</v>
      </c>
      <c r="Y228" s="136">
        <v>14</v>
      </c>
      <c r="Z228" s="314"/>
      <c r="AA228" s="319">
        <v>0.59450000000000003</v>
      </c>
      <c r="AB228" s="315" t="s">
        <v>5167</v>
      </c>
      <c r="AC228" s="319">
        <v>1</v>
      </c>
      <c r="AD228" s="320">
        <v>3.5714285714285698E-2</v>
      </c>
      <c r="AE228" s="319">
        <v>0</v>
      </c>
      <c r="AF228" s="320">
        <v>0</v>
      </c>
      <c r="AG228" s="319">
        <v>0</v>
      </c>
      <c r="AH228" s="320">
        <v>0</v>
      </c>
      <c r="AI228" s="319">
        <v>3</v>
      </c>
      <c r="AJ228" s="320">
        <v>0.107142857142857</v>
      </c>
      <c r="AK228" s="320">
        <v>0</v>
      </c>
      <c r="AL228" s="319">
        <v>6.75</v>
      </c>
      <c r="AM228" s="319">
        <v>5</v>
      </c>
      <c r="AN228" s="319">
        <v>7.3333333333333304</v>
      </c>
      <c r="AO228" s="319">
        <v>0.63611111111111096</v>
      </c>
      <c r="AP228">
        <v>14</v>
      </c>
      <c r="AR228" s="136"/>
      <c r="AS228">
        <v>14</v>
      </c>
      <c r="AT228" s="69">
        <v>6.3414000000000001</v>
      </c>
      <c r="AU228" s="69">
        <v>2.3148</v>
      </c>
      <c r="AV228" s="69">
        <v>9.8416999999999994</v>
      </c>
      <c r="AW228" s="69">
        <v>0.61660000000000004</v>
      </c>
      <c r="BB228" s="69"/>
    </row>
    <row r="229" spans="1:54" customFormat="1" ht="40" customHeight="1">
      <c r="A229" s="313">
        <v>228</v>
      </c>
      <c r="B229" s="136" t="s">
        <v>589</v>
      </c>
      <c r="C229" s="136" t="s">
        <v>45</v>
      </c>
      <c r="D229" s="31">
        <f t="shared" si="14"/>
        <v>4</v>
      </c>
      <c r="E229" s="137" t="s">
        <v>221</v>
      </c>
      <c r="F229" s="31">
        <f t="shared" si="15"/>
        <v>2</v>
      </c>
      <c r="G229" s="137" t="s">
        <v>694</v>
      </c>
      <c r="H229" s="138">
        <v>164</v>
      </c>
      <c r="I229" s="158">
        <f t="shared" si="17"/>
        <v>0.39914497233880308</v>
      </c>
      <c r="J229" s="95">
        <v>2.2642765386852201E-3</v>
      </c>
      <c r="K229" s="137">
        <v>0.79602566813892095</v>
      </c>
      <c r="L229" s="137">
        <v>0.82499999999999996</v>
      </c>
      <c r="M229" s="137">
        <v>0.75256417034730305</v>
      </c>
      <c r="N229" s="136">
        <v>1</v>
      </c>
      <c r="O229" s="32">
        <v>43904</v>
      </c>
      <c r="P229" s="98">
        <f t="shared" si="18"/>
        <v>1</v>
      </c>
      <c r="Q229">
        <v>0</v>
      </c>
      <c r="R229">
        <v>4.95</v>
      </c>
      <c r="S229">
        <v>0</v>
      </c>
      <c r="T229" s="112" t="s">
        <v>73</v>
      </c>
      <c r="U229" s="137" t="s">
        <v>695</v>
      </c>
      <c r="V229" s="137" t="s">
        <v>696</v>
      </c>
      <c r="W229" s="69">
        <v>191</v>
      </c>
      <c r="X229" s="136">
        <v>3</v>
      </c>
      <c r="Y229" s="136">
        <v>3</v>
      </c>
      <c r="Z229" s="314"/>
      <c r="AA229" s="319">
        <v>0.45909090909090899</v>
      </c>
      <c r="AB229" s="315" t="s">
        <v>5165</v>
      </c>
      <c r="AC229" s="319">
        <v>1</v>
      </c>
      <c r="AD229" s="320">
        <v>8.9285714285714194E-3</v>
      </c>
      <c r="AE229" s="319">
        <v>0</v>
      </c>
      <c r="AF229" s="320">
        <v>0</v>
      </c>
      <c r="AG229" s="319">
        <v>0</v>
      </c>
      <c r="AH229" s="320">
        <v>0</v>
      </c>
      <c r="AI229" s="319">
        <v>0</v>
      </c>
      <c r="AJ229" s="320">
        <v>0</v>
      </c>
      <c r="AK229" s="320">
        <v>0</v>
      </c>
      <c r="AL229" s="319">
        <v>6.75</v>
      </c>
      <c r="AM229" s="319">
        <v>6.2</v>
      </c>
      <c r="AN229" s="319">
        <v>4.6666666666666599</v>
      </c>
      <c r="AO229" s="319">
        <v>0.58722222222222198</v>
      </c>
      <c r="AP229">
        <v>3</v>
      </c>
      <c r="AR229" s="136">
        <v>3</v>
      </c>
      <c r="AT229" s="69">
        <v>6.3414000000000001</v>
      </c>
      <c r="AU229" s="69">
        <v>5</v>
      </c>
      <c r="AV229" s="69">
        <v>8.1305999999999994</v>
      </c>
      <c r="AW229" s="69">
        <v>0.64910000000000001</v>
      </c>
      <c r="BB229" s="69"/>
    </row>
    <row r="230" spans="1:54" customFormat="1" ht="40" customHeight="1">
      <c r="A230" s="313">
        <v>229</v>
      </c>
      <c r="B230" s="136" t="s">
        <v>589</v>
      </c>
      <c r="C230" s="136" t="s">
        <v>45</v>
      </c>
      <c r="D230" s="31">
        <f t="shared" si="14"/>
        <v>4</v>
      </c>
      <c r="E230" s="137" t="s">
        <v>46</v>
      </c>
      <c r="F230" s="31">
        <f t="shared" si="15"/>
        <v>6</v>
      </c>
      <c r="G230" s="137" t="s">
        <v>697</v>
      </c>
      <c r="H230" s="138">
        <v>280</v>
      </c>
      <c r="I230" s="158">
        <f t="shared" si="17"/>
        <v>0.37190732966507722</v>
      </c>
      <c r="J230" s="95">
        <v>4.4853384539855799E-7</v>
      </c>
      <c r="K230" s="137">
        <v>0.74381421079630905</v>
      </c>
      <c r="L230" s="137">
        <v>0.82499999999999996</v>
      </c>
      <c r="M230" s="137">
        <v>0.62203552699077302</v>
      </c>
      <c r="N230" s="136">
        <v>0</v>
      </c>
      <c r="O230" s="32">
        <v>43836</v>
      </c>
      <c r="P230" s="98">
        <f t="shared" si="18"/>
        <v>0</v>
      </c>
      <c r="Q230">
        <v>5.0999999999999996</v>
      </c>
      <c r="R230">
        <v>3.3</v>
      </c>
      <c r="S230">
        <v>0</v>
      </c>
      <c r="T230" s="112" t="s">
        <v>48</v>
      </c>
      <c r="U230" s="137" t="s">
        <v>698</v>
      </c>
      <c r="V230" s="137" t="s">
        <v>699</v>
      </c>
      <c r="W230" s="69">
        <v>120</v>
      </c>
      <c r="X230" s="136">
        <v>1</v>
      </c>
      <c r="Y230" s="136">
        <v>7</v>
      </c>
      <c r="Z230" s="314"/>
      <c r="AA230" s="319">
        <v>0.5</v>
      </c>
      <c r="AB230" s="315" t="s">
        <v>5176</v>
      </c>
      <c r="AC230" s="319">
        <v>2</v>
      </c>
      <c r="AD230" s="320">
        <v>2.94117647058823E-2</v>
      </c>
      <c r="AE230" s="319">
        <v>4</v>
      </c>
      <c r="AF230" s="320">
        <v>5.8823529411764698E-2</v>
      </c>
      <c r="AG230" s="319">
        <v>1</v>
      </c>
      <c r="AH230" s="320">
        <v>1.47058823529411E-2</v>
      </c>
      <c r="AI230" s="319">
        <v>0</v>
      </c>
      <c r="AJ230" s="320">
        <v>0</v>
      </c>
      <c r="AK230" s="320">
        <v>2.9411764705882349E-2</v>
      </c>
      <c r="AL230" s="319">
        <v>6.75</v>
      </c>
      <c r="AM230" s="319">
        <v>5</v>
      </c>
      <c r="AN230" s="319">
        <v>6.1666666666666599</v>
      </c>
      <c r="AO230" s="319">
        <v>0.59722222222222199</v>
      </c>
      <c r="AP230">
        <v>7</v>
      </c>
      <c r="AQ230">
        <v>7</v>
      </c>
      <c r="AR230" s="136"/>
      <c r="AT230" s="69">
        <v>6.3414000000000001</v>
      </c>
      <c r="AU230" s="69">
        <v>2.3148</v>
      </c>
      <c r="AV230" s="69">
        <v>9.5120000000000005</v>
      </c>
      <c r="AW230" s="69">
        <v>0.60560000000000003</v>
      </c>
      <c r="BB230" s="69"/>
    </row>
    <row r="231" spans="1:54" customFormat="1" ht="40" customHeight="1">
      <c r="A231" s="313">
        <v>230</v>
      </c>
      <c r="B231" s="136" t="s">
        <v>589</v>
      </c>
      <c r="C231" s="136" t="s">
        <v>45</v>
      </c>
      <c r="D231" s="31">
        <f t="shared" si="14"/>
        <v>4</v>
      </c>
      <c r="E231" s="137" t="s">
        <v>80</v>
      </c>
      <c r="F231" s="31">
        <f t="shared" si="15"/>
        <v>4</v>
      </c>
      <c r="G231" s="137" t="s">
        <v>700</v>
      </c>
      <c r="H231" s="138">
        <v>75</v>
      </c>
      <c r="I231" s="158">
        <f t="shared" si="17"/>
        <v>0.37751960768800702</v>
      </c>
      <c r="J231" s="95">
        <v>1.0057820767017701E-5</v>
      </c>
      <c r="K231" s="137">
        <v>0.75502915755524702</v>
      </c>
      <c r="L231" s="137">
        <v>0.82499999999999996</v>
      </c>
      <c r="M231" s="137">
        <v>0.65007289388811795</v>
      </c>
      <c r="N231" s="136">
        <v>1</v>
      </c>
      <c r="O231" s="32">
        <v>43833</v>
      </c>
      <c r="P231" s="98">
        <f t="shared" si="18"/>
        <v>0</v>
      </c>
      <c r="Q231">
        <v>2.5499999999999998</v>
      </c>
      <c r="R231">
        <v>1.65</v>
      </c>
      <c r="S231">
        <v>0</v>
      </c>
      <c r="T231" s="112" t="s">
        <v>48</v>
      </c>
      <c r="U231" s="137" t="s">
        <v>701</v>
      </c>
      <c r="V231" s="137" t="s">
        <v>702</v>
      </c>
      <c r="W231" s="69">
        <v>72</v>
      </c>
      <c r="X231" s="136">
        <v>2</v>
      </c>
      <c r="Y231" s="136">
        <v>6</v>
      </c>
      <c r="Z231" s="314"/>
      <c r="AA231" s="319">
        <v>0.54500000000000004</v>
      </c>
      <c r="AB231" s="315" t="s">
        <v>5176</v>
      </c>
      <c r="AC231" s="319">
        <v>0</v>
      </c>
      <c r="AD231" s="320">
        <v>0</v>
      </c>
      <c r="AE231" s="319">
        <v>2</v>
      </c>
      <c r="AF231" s="320">
        <v>4.54545454545454E-2</v>
      </c>
      <c r="AG231" s="319">
        <v>0</v>
      </c>
      <c r="AH231" s="320">
        <v>0</v>
      </c>
      <c r="AI231" s="319">
        <v>0</v>
      </c>
      <c r="AJ231" s="320">
        <v>0</v>
      </c>
      <c r="AK231" s="320">
        <v>2.2727272727272731E-2</v>
      </c>
      <c r="AL231" s="319">
        <v>5</v>
      </c>
      <c r="AM231" s="319">
        <v>6.2</v>
      </c>
      <c r="AN231" s="319">
        <v>4.6666666666666599</v>
      </c>
      <c r="AO231" s="319">
        <v>0.52888888888888796</v>
      </c>
      <c r="AP231">
        <v>6</v>
      </c>
      <c r="AQ231">
        <v>6</v>
      </c>
      <c r="AR231" s="136"/>
      <c r="AT231" s="69">
        <v>2.3148</v>
      </c>
      <c r="AU231" s="69">
        <v>5</v>
      </c>
      <c r="AV231" s="69">
        <v>8.1305999999999994</v>
      </c>
      <c r="AW231" s="69">
        <v>0.51480000000000004</v>
      </c>
      <c r="BB231" s="69"/>
    </row>
    <row r="232" spans="1:54" customFormat="1" ht="40" customHeight="1">
      <c r="A232" s="313">
        <v>231</v>
      </c>
      <c r="B232" s="136" t="s">
        <v>589</v>
      </c>
      <c r="C232" s="136" t="s">
        <v>45</v>
      </c>
      <c r="D232" s="31">
        <f t="shared" si="14"/>
        <v>4</v>
      </c>
      <c r="E232" s="137" t="s">
        <v>221</v>
      </c>
      <c r="F232" s="31">
        <f t="shared" si="15"/>
        <v>2</v>
      </c>
      <c r="G232" s="137" t="s">
        <v>703</v>
      </c>
      <c r="H232" s="138">
        <v>99</v>
      </c>
      <c r="I232" s="158">
        <f t="shared" si="17"/>
        <v>0.37604172675575537</v>
      </c>
      <c r="J232" s="95">
        <v>1.05778537258972E-3</v>
      </c>
      <c r="K232" s="137">
        <v>0.75102566813892102</v>
      </c>
      <c r="L232" s="137">
        <v>0.75</v>
      </c>
      <c r="M232" s="137">
        <v>0.75256417034730305</v>
      </c>
      <c r="N232" s="136">
        <v>1</v>
      </c>
      <c r="O232" s="32">
        <v>43827</v>
      </c>
      <c r="P232" s="98">
        <f t="shared" si="18"/>
        <v>1</v>
      </c>
      <c r="Q232">
        <v>0</v>
      </c>
      <c r="R232">
        <v>0</v>
      </c>
      <c r="S232">
        <v>0</v>
      </c>
      <c r="T232" s="112" t="s">
        <v>73</v>
      </c>
      <c r="U232" s="137" t="s">
        <v>704</v>
      </c>
      <c r="V232" s="137" t="s">
        <v>705</v>
      </c>
      <c r="W232" s="69">
        <v>99</v>
      </c>
      <c r="X232" s="136">
        <v>1</v>
      </c>
      <c r="Y232" s="136">
        <v>3</v>
      </c>
      <c r="Z232" s="314"/>
      <c r="AA232" s="319">
        <v>0.55000000000000004</v>
      </c>
      <c r="AB232" s="315" t="s">
        <v>5176</v>
      </c>
      <c r="AC232" s="319">
        <v>1</v>
      </c>
      <c r="AD232" s="320">
        <v>1.6949152542372801E-2</v>
      </c>
      <c r="AE232" s="319">
        <v>3</v>
      </c>
      <c r="AF232" s="320">
        <v>5.0847457627118599E-2</v>
      </c>
      <c r="AG232" s="319">
        <v>1</v>
      </c>
      <c r="AH232" s="320">
        <v>1.6949152542372801E-2</v>
      </c>
      <c r="AI232" s="319">
        <v>0</v>
      </c>
      <c r="AJ232" s="320">
        <v>0</v>
      </c>
      <c r="AK232" s="320">
        <v>3.3898305084745763E-2</v>
      </c>
      <c r="AL232" s="319">
        <v>5</v>
      </c>
      <c r="AM232" s="319">
        <v>6.2</v>
      </c>
      <c r="AN232" s="319">
        <v>2</v>
      </c>
      <c r="AO232" s="319">
        <v>0.44</v>
      </c>
      <c r="AP232">
        <v>3</v>
      </c>
      <c r="AQ232">
        <v>3</v>
      </c>
      <c r="AR232" s="136"/>
      <c r="AT232" s="69">
        <v>2.3148</v>
      </c>
      <c r="AU232" s="69">
        <v>5</v>
      </c>
      <c r="AV232" s="69">
        <v>2.3148</v>
      </c>
      <c r="AW232" s="69">
        <v>0.32100000000000001</v>
      </c>
      <c r="BB232" s="69"/>
    </row>
    <row r="233" spans="1:54" customFormat="1" ht="40" customHeight="1">
      <c r="A233" s="313">
        <v>232</v>
      </c>
      <c r="B233" s="136" t="s">
        <v>589</v>
      </c>
      <c r="C233" s="136" t="s">
        <v>59</v>
      </c>
      <c r="D233" s="31">
        <f t="shared" si="14"/>
        <v>5</v>
      </c>
      <c r="E233" s="137" t="s">
        <v>221</v>
      </c>
      <c r="F233" s="31">
        <f t="shared" si="15"/>
        <v>2</v>
      </c>
      <c r="G233" s="137" t="s">
        <v>706</v>
      </c>
      <c r="H233" s="138">
        <v>40</v>
      </c>
      <c r="I233" s="158">
        <f t="shared" si="17"/>
        <v>0.35357274429091173</v>
      </c>
      <c r="J233" s="95">
        <v>4.9866031740290501E-2</v>
      </c>
      <c r="K233" s="137">
        <v>0.65727945684153299</v>
      </c>
      <c r="L233" s="137">
        <v>0.56348610067618299</v>
      </c>
      <c r="M233" s="137">
        <v>0.79796949108955795</v>
      </c>
      <c r="N233" s="136">
        <v>1</v>
      </c>
      <c r="O233" s="32">
        <v>43802</v>
      </c>
      <c r="P233" s="98">
        <f t="shared" si="18"/>
        <v>0</v>
      </c>
      <c r="Q233">
        <v>0</v>
      </c>
      <c r="R233">
        <v>0</v>
      </c>
      <c r="S233">
        <v>0</v>
      </c>
      <c r="T233" s="112" t="s">
        <v>48</v>
      </c>
      <c r="U233" s="137" t="s">
        <v>707</v>
      </c>
      <c r="V233" s="137" t="s">
        <v>708</v>
      </c>
      <c r="W233" s="69">
        <v>51</v>
      </c>
      <c r="X233" s="136">
        <v>1</v>
      </c>
      <c r="Y233" s="136">
        <v>2</v>
      </c>
      <c r="Z233" s="314"/>
      <c r="AA233" s="319">
        <v>2.2630485621756301E-2</v>
      </c>
      <c r="AB233" s="315" t="s">
        <v>5176</v>
      </c>
      <c r="AC233" s="319">
        <v>1</v>
      </c>
      <c r="AD233" s="320">
        <v>3.3333333333333298E-2</v>
      </c>
      <c r="AE233" s="319">
        <v>3</v>
      </c>
      <c r="AF233" s="320">
        <v>0.1</v>
      </c>
      <c r="AG233" s="319">
        <v>0</v>
      </c>
      <c r="AH233" s="320">
        <v>0</v>
      </c>
      <c r="AI233" s="319">
        <v>0</v>
      </c>
      <c r="AJ233" s="320">
        <v>0</v>
      </c>
      <c r="AK233" s="320">
        <v>0</v>
      </c>
      <c r="AL233" s="319">
        <v>5</v>
      </c>
      <c r="AM233" s="319">
        <v>5</v>
      </c>
      <c r="AN233" s="319">
        <v>2</v>
      </c>
      <c r="AO233" s="319">
        <v>0.4</v>
      </c>
      <c r="AP233">
        <v>2</v>
      </c>
      <c r="AQ233">
        <v>2</v>
      </c>
      <c r="AR233" s="136"/>
      <c r="AT233" s="69">
        <v>2.3148</v>
      </c>
      <c r="AU233" s="69">
        <v>2.3148</v>
      </c>
      <c r="AV233" s="69">
        <v>2.3148</v>
      </c>
      <c r="AW233" s="69">
        <v>0.23150000000000001</v>
      </c>
      <c r="BB233" s="69"/>
    </row>
    <row r="234" spans="1:54" customFormat="1" ht="40" customHeight="1">
      <c r="A234" s="313">
        <v>233</v>
      </c>
      <c r="B234" s="136" t="s">
        <v>589</v>
      </c>
      <c r="C234" s="136" t="s">
        <v>45</v>
      </c>
      <c r="D234" s="31">
        <f t="shared" si="14"/>
        <v>4</v>
      </c>
      <c r="E234" s="137" t="s">
        <v>46</v>
      </c>
      <c r="F234" s="31">
        <f t="shared" si="15"/>
        <v>6</v>
      </c>
      <c r="G234" s="137" t="s">
        <v>709</v>
      </c>
      <c r="H234" s="138">
        <v>103</v>
      </c>
      <c r="I234" s="158">
        <f t="shared" si="17"/>
        <v>0.60403465047000848</v>
      </c>
      <c r="J234" s="95">
        <v>0.56895197239538597</v>
      </c>
      <c r="K234" s="137">
        <v>0.63911732854463099</v>
      </c>
      <c r="L234" s="137">
        <v>0.56348610067618299</v>
      </c>
      <c r="M234" s="137">
        <v>0.75256417034730305</v>
      </c>
      <c r="N234" s="136">
        <v>1</v>
      </c>
      <c r="O234" s="32">
        <v>43799</v>
      </c>
      <c r="P234" s="98">
        <f t="shared" si="18"/>
        <v>0</v>
      </c>
      <c r="Q234">
        <v>2.5499999999999998</v>
      </c>
      <c r="R234">
        <v>1.65</v>
      </c>
      <c r="S234">
        <v>0</v>
      </c>
      <c r="T234" s="112" t="s">
        <v>48</v>
      </c>
      <c r="U234" s="137" t="s">
        <v>710</v>
      </c>
      <c r="V234" s="137" t="s">
        <v>711</v>
      </c>
      <c r="W234" s="69">
        <v>138</v>
      </c>
      <c r="X234" s="136">
        <v>4</v>
      </c>
      <c r="Y234" s="136">
        <v>3</v>
      </c>
      <c r="Z234" s="314"/>
      <c r="AA234" s="319">
        <v>0.45454545454545398</v>
      </c>
      <c r="AB234" s="315" t="s">
        <v>5176</v>
      </c>
      <c r="AC234" s="319">
        <v>2</v>
      </c>
      <c r="AD234" s="320">
        <v>2.5974025974025899E-2</v>
      </c>
      <c r="AE234" s="319">
        <v>5</v>
      </c>
      <c r="AF234" s="320">
        <v>6.4935064935064901E-2</v>
      </c>
      <c r="AG234" s="319">
        <v>0</v>
      </c>
      <c r="AH234" s="320">
        <v>0</v>
      </c>
      <c r="AI234" s="319">
        <v>0</v>
      </c>
      <c r="AJ234" s="320">
        <v>0</v>
      </c>
      <c r="AK234" s="320">
        <v>3.896103896103896E-2</v>
      </c>
      <c r="AL234" s="319">
        <v>5</v>
      </c>
      <c r="AM234" s="319">
        <v>5</v>
      </c>
      <c r="AN234" s="319">
        <v>2</v>
      </c>
      <c r="AO234" s="319">
        <v>0.4</v>
      </c>
      <c r="AP234">
        <v>3</v>
      </c>
      <c r="AR234" s="136">
        <v>3</v>
      </c>
      <c r="AT234" s="69">
        <v>2.3148</v>
      </c>
      <c r="AU234" s="69">
        <v>2.3148</v>
      </c>
      <c r="AV234" s="69">
        <v>2.3148</v>
      </c>
      <c r="AW234" s="69">
        <v>0.23150000000000001</v>
      </c>
      <c r="BB234" s="69"/>
    </row>
    <row r="235" spans="1:54" customFormat="1" ht="40" customHeight="1">
      <c r="A235" s="313">
        <v>234</v>
      </c>
      <c r="B235" s="136" t="s">
        <v>589</v>
      </c>
      <c r="C235" s="136" t="s">
        <v>45</v>
      </c>
      <c r="D235" s="31">
        <f t="shared" si="14"/>
        <v>4</v>
      </c>
      <c r="E235" s="137" t="s">
        <v>221</v>
      </c>
      <c r="F235" s="31">
        <f t="shared" si="15"/>
        <v>2</v>
      </c>
      <c r="G235" s="137" t="s">
        <v>712</v>
      </c>
      <c r="H235" s="138">
        <v>29</v>
      </c>
      <c r="I235" s="158">
        <f t="shared" si="17"/>
        <v>0.403932100405267</v>
      </c>
      <c r="J235" s="95">
        <v>0.113059006005339</v>
      </c>
      <c r="K235" s="137">
        <v>0.69480519480519498</v>
      </c>
      <c r="L235" s="137">
        <v>0.68181818181818199</v>
      </c>
      <c r="M235" s="137">
        <v>0.71428571428571397</v>
      </c>
      <c r="N235" s="136">
        <v>0</v>
      </c>
      <c r="O235" s="32">
        <v>43783</v>
      </c>
      <c r="P235" s="98">
        <f t="shared" si="18"/>
        <v>2</v>
      </c>
      <c r="Q235">
        <v>0</v>
      </c>
      <c r="R235">
        <v>0</v>
      </c>
      <c r="S235">
        <v>0</v>
      </c>
      <c r="T235" s="112" t="s">
        <v>64</v>
      </c>
      <c r="U235" s="137" t="s">
        <v>713</v>
      </c>
      <c r="V235" s="137" t="s">
        <v>714</v>
      </c>
      <c r="W235" s="69">
        <v>145</v>
      </c>
      <c r="X235" s="136">
        <v>2</v>
      </c>
      <c r="Y235" s="136">
        <v>4</v>
      </c>
      <c r="Z235" s="314"/>
      <c r="AA235" s="319">
        <v>0.5</v>
      </c>
      <c r="AB235" s="315" t="s">
        <v>5178</v>
      </c>
      <c r="AC235" s="319">
        <v>4</v>
      </c>
      <c r="AD235" s="320">
        <v>4.8192771084337303E-2</v>
      </c>
      <c r="AE235" s="319">
        <v>4</v>
      </c>
      <c r="AF235" s="320">
        <v>4.8192771084337303E-2</v>
      </c>
      <c r="AG235" s="319">
        <v>1</v>
      </c>
      <c r="AH235" s="320">
        <v>1.20481927710843E-2</v>
      </c>
      <c r="AI235" s="319">
        <v>0</v>
      </c>
      <c r="AJ235" s="320">
        <v>0</v>
      </c>
      <c r="AK235" s="320">
        <v>3.6144578313253017E-2</v>
      </c>
      <c r="AL235" s="319">
        <v>5</v>
      </c>
      <c r="AM235" s="319">
        <v>5</v>
      </c>
      <c r="AN235" s="319">
        <v>4.6666666666666599</v>
      </c>
      <c r="AO235" s="319">
        <v>0.48888888888888798</v>
      </c>
      <c r="AP235">
        <v>4</v>
      </c>
      <c r="AR235" s="136">
        <v>4</v>
      </c>
      <c r="AT235" s="69">
        <v>2.3148</v>
      </c>
      <c r="AU235" s="69">
        <v>2.3148</v>
      </c>
      <c r="AV235" s="69">
        <v>8.1305999999999994</v>
      </c>
      <c r="AW235" s="69">
        <v>0.42530000000000001</v>
      </c>
      <c r="BB235" s="69"/>
    </row>
    <row r="236" spans="1:54" customFormat="1" ht="40" customHeight="1">
      <c r="A236" s="313">
        <v>235</v>
      </c>
      <c r="B236" s="136" t="s">
        <v>589</v>
      </c>
      <c r="C236" s="136" t="s">
        <v>45</v>
      </c>
      <c r="D236" s="31">
        <f t="shared" si="14"/>
        <v>4</v>
      </c>
      <c r="E236" s="137" t="s">
        <v>46</v>
      </c>
      <c r="F236" s="31">
        <f t="shared" si="15"/>
        <v>6</v>
      </c>
      <c r="G236" s="137" t="s">
        <v>715</v>
      </c>
      <c r="H236" s="138">
        <v>46</v>
      </c>
      <c r="I236" s="158">
        <f t="shared" si="17"/>
        <v>0.82680026293133957</v>
      </c>
      <c r="J236" s="95">
        <v>0.90257485772375801</v>
      </c>
      <c r="K236" s="137">
        <v>0.75102566813892102</v>
      </c>
      <c r="L236" s="137">
        <v>0.75</v>
      </c>
      <c r="M236" s="137">
        <v>0.75256417034730305</v>
      </c>
      <c r="N236" s="136">
        <v>0</v>
      </c>
      <c r="O236" s="32">
        <v>43781</v>
      </c>
      <c r="P236" s="98">
        <f t="shared" si="18"/>
        <v>1</v>
      </c>
      <c r="Q236">
        <v>0</v>
      </c>
      <c r="R236">
        <v>1.65</v>
      </c>
      <c r="S236">
        <v>0</v>
      </c>
      <c r="T236" s="112" t="s">
        <v>73</v>
      </c>
      <c r="U236" s="137" t="s">
        <v>716</v>
      </c>
      <c r="V236" s="137" t="s">
        <v>717</v>
      </c>
      <c r="W236" s="69">
        <v>128</v>
      </c>
      <c r="X236" s="136">
        <v>1</v>
      </c>
      <c r="Y236" s="136">
        <v>3</v>
      </c>
      <c r="Z236" s="314"/>
      <c r="AA236" s="319">
        <v>0.54500000000000004</v>
      </c>
      <c r="AB236" s="315" t="s">
        <v>5176</v>
      </c>
      <c r="AC236" s="319">
        <v>0</v>
      </c>
      <c r="AD236" s="320">
        <v>0</v>
      </c>
      <c r="AE236" s="319">
        <v>3</v>
      </c>
      <c r="AF236" s="320">
        <v>4.3478260869565202E-2</v>
      </c>
      <c r="AG236" s="319">
        <v>0</v>
      </c>
      <c r="AH236" s="320">
        <v>0</v>
      </c>
      <c r="AI236" s="319">
        <v>0</v>
      </c>
      <c r="AJ236" s="320">
        <v>0</v>
      </c>
      <c r="AK236" s="320">
        <v>0</v>
      </c>
      <c r="AL236" s="319">
        <v>5</v>
      </c>
      <c r="AM236" s="319">
        <v>6.2</v>
      </c>
      <c r="AN236" s="319">
        <v>3.5</v>
      </c>
      <c r="AO236" s="319">
        <v>0.49</v>
      </c>
      <c r="AP236">
        <v>3</v>
      </c>
      <c r="AQ236">
        <v>3</v>
      </c>
      <c r="AR236" s="136"/>
      <c r="AT236" s="69">
        <v>2.3148</v>
      </c>
      <c r="AU236" s="69">
        <v>5</v>
      </c>
      <c r="AV236" s="69">
        <v>5.7443999999999997</v>
      </c>
      <c r="AW236" s="69">
        <v>0.43530000000000002</v>
      </c>
      <c r="BB236" s="69"/>
    </row>
    <row r="237" spans="1:54" customFormat="1" ht="40" customHeight="1">
      <c r="A237" s="313">
        <v>236</v>
      </c>
      <c r="B237" s="136" t="s">
        <v>589</v>
      </c>
      <c r="C237" s="136" t="s">
        <v>45</v>
      </c>
      <c r="D237" s="31">
        <f t="shared" si="14"/>
        <v>4</v>
      </c>
      <c r="E237" s="137" t="s">
        <v>80</v>
      </c>
      <c r="F237" s="31">
        <f t="shared" si="15"/>
        <v>4</v>
      </c>
      <c r="G237" s="137" t="s">
        <v>718</v>
      </c>
      <c r="H237" s="138">
        <v>51</v>
      </c>
      <c r="I237" s="158">
        <f t="shared" si="17"/>
        <v>0.42426286774943567</v>
      </c>
      <c r="J237" s="95">
        <v>6.7811449784585295E-2</v>
      </c>
      <c r="K237" s="137">
        <v>0.78071428571428603</v>
      </c>
      <c r="L237" s="137">
        <v>0.82499999999999996</v>
      </c>
      <c r="M237" s="137">
        <v>0.71428571428571397</v>
      </c>
      <c r="N237" s="136">
        <v>1</v>
      </c>
      <c r="O237" s="32">
        <v>43729</v>
      </c>
      <c r="P237" s="98">
        <f t="shared" si="18"/>
        <v>1</v>
      </c>
      <c r="Q237">
        <v>0</v>
      </c>
      <c r="R237">
        <v>0</v>
      </c>
      <c r="S237">
        <v>0</v>
      </c>
      <c r="T237" s="112" t="s">
        <v>73</v>
      </c>
      <c r="U237" s="137" t="s">
        <v>719</v>
      </c>
      <c r="V237" s="137" t="s">
        <v>720</v>
      </c>
      <c r="W237" s="69">
        <v>120</v>
      </c>
      <c r="X237" s="136">
        <v>1</v>
      </c>
      <c r="Y237" s="136">
        <v>4</v>
      </c>
      <c r="Z237" s="314"/>
      <c r="AA237" s="319">
        <v>0.55000000000000004</v>
      </c>
      <c r="AB237" s="315" t="s">
        <v>5176</v>
      </c>
      <c r="AC237" s="319">
        <v>0</v>
      </c>
      <c r="AD237" s="320">
        <v>0</v>
      </c>
      <c r="AE237" s="319">
        <v>4</v>
      </c>
      <c r="AF237" s="320">
        <v>5.8823529411764698E-2</v>
      </c>
      <c r="AG237" s="319">
        <v>1</v>
      </c>
      <c r="AH237" s="320">
        <v>1.47058823529411E-2</v>
      </c>
      <c r="AI237" s="319">
        <v>0</v>
      </c>
      <c r="AJ237" s="320">
        <v>0</v>
      </c>
      <c r="AK237" s="320">
        <v>7.3529411764705885E-2</v>
      </c>
      <c r="AL237" s="319">
        <v>5</v>
      </c>
      <c r="AM237" s="319">
        <v>6.2</v>
      </c>
      <c r="AN237" s="319">
        <v>2</v>
      </c>
      <c r="AO237" s="319">
        <v>0.44</v>
      </c>
      <c r="AP237">
        <v>4</v>
      </c>
      <c r="AR237" s="136">
        <v>4</v>
      </c>
      <c r="AT237" s="69">
        <v>2.3148</v>
      </c>
      <c r="AU237" s="69">
        <v>5</v>
      </c>
      <c r="AV237" s="69">
        <v>2.3148</v>
      </c>
      <c r="AW237" s="69">
        <v>0.32100000000000001</v>
      </c>
      <c r="BB237" s="69"/>
    </row>
    <row r="238" spans="1:54" customFormat="1" ht="40" customHeight="1">
      <c r="A238" s="313">
        <v>237</v>
      </c>
      <c r="B238" s="136" t="s">
        <v>589</v>
      </c>
      <c r="C238" s="136" t="s">
        <v>45</v>
      </c>
      <c r="D238" s="31">
        <f t="shared" si="14"/>
        <v>4</v>
      </c>
      <c r="E238" s="137" t="s">
        <v>664</v>
      </c>
      <c r="F238" s="31">
        <f t="shared" si="15"/>
        <v>1</v>
      </c>
      <c r="G238" s="137" t="s">
        <v>721</v>
      </c>
      <c r="H238" s="138">
        <v>173</v>
      </c>
      <c r="I238" s="158">
        <f t="shared" si="17"/>
        <v>0.50701370818154445</v>
      </c>
      <c r="J238" s="95">
        <v>0.176170273505946</v>
      </c>
      <c r="K238" s="137">
        <v>0.83785714285714297</v>
      </c>
      <c r="L238" s="137">
        <v>0.82499999999999996</v>
      </c>
      <c r="M238" s="137">
        <v>0.85714285714285698</v>
      </c>
      <c r="N238" s="136">
        <v>0</v>
      </c>
      <c r="O238" s="32">
        <v>43724</v>
      </c>
      <c r="P238" s="98">
        <f t="shared" si="18"/>
        <v>1</v>
      </c>
      <c r="Q238">
        <v>2.5499999999999998</v>
      </c>
      <c r="R238">
        <v>6.6</v>
      </c>
      <c r="S238">
        <v>1.87</v>
      </c>
      <c r="T238" s="112" t="s">
        <v>73</v>
      </c>
      <c r="U238" s="137" t="s">
        <v>722</v>
      </c>
      <c r="V238" s="137" t="s">
        <v>723</v>
      </c>
      <c r="W238" s="69">
        <v>135</v>
      </c>
      <c r="X238" s="136">
        <v>1</v>
      </c>
      <c r="Y238" s="136">
        <v>1</v>
      </c>
      <c r="Z238" s="314"/>
      <c r="AA238" s="319">
        <v>0.45454545454545398</v>
      </c>
      <c r="AB238" s="315" t="s">
        <v>5165</v>
      </c>
      <c r="AC238" s="319">
        <v>2</v>
      </c>
      <c r="AD238" s="320">
        <v>2.7397260273972601E-2</v>
      </c>
      <c r="AE238" s="319">
        <v>1</v>
      </c>
      <c r="AF238" s="320">
        <v>1.3698630136986301E-2</v>
      </c>
      <c r="AG238" s="319">
        <v>1</v>
      </c>
      <c r="AH238" s="320">
        <v>1.3698630136986301E-2</v>
      </c>
      <c r="AI238" s="319">
        <v>0</v>
      </c>
      <c r="AJ238" s="320">
        <v>0</v>
      </c>
      <c r="AK238" s="320">
        <v>0</v>
      </c>
      <c r="AL238" s="319">
        <v>6.75</v>
      </c>
      <c r="AM238" s="319">
        <v>7.4</v>
      </c>
      <c r="AN238" s="319">
        <v>4.6666666666666599</v>
      </c>
      <c r="AO238" s="319">
        <v>0.62722222222222201</v>
      </c>
      <c r="AP238">
        <v>1</v>
      </c>
      <c r="AR238" s="136">
        <v>1</v>
      </c>
      <c r="AT238" s="69">
        <v>6.3414000000000001</v>
      </c>
      <c r="AU238" s="69">
        <v>7.6852</v>
      </c>
      <c r="AV238" s="69">
        <v>8.1305999999999994</v>
      </c>
      <c r="AW238" s="69">
        <v>0.73860000000000003</v>
      </c>
      <c r="BB238" s="69"/>
    </row>
    <row r="239" spans="1:54" customFormat="1" ht="40" customHeight="1">
      <c r="A239" s="313">
        <v>238</v>
      </c>
      <c r="B239" s="136" t="s">
        <v>589</v>
      </c>
      <c r="C239" s="136" t="s">
        <v>45</v>
      </c>
      <c r="D239" s="31">
        <f t="shared" si="14"/>
        <v>4</v>
      </c>
      <c r="E239" s="137" t="s">
        <v>80</v>
      </c>
      <c r="F239" s="31">
        <f t="shared" si="15"/>
        <v>4</v>
      </c>
      <c r="G239" s="137" t="s">
        <v>724</v>
      </c>
      <c r="H239" s="138">
        <v>42</v>
      </c>
      <c r="I239" s="158">
        <f t="shared" si="17"/>
        <v>0.49234414914875901</v>
      </c>
      <c r="J239" s="95">
        <v>0.24897401258323201</v>
      </c>
      <c r="K239" s="137">
        <v>0.73571428571428599</v>
      </c>
      <c r="L239" s="137">
        <v>0.75</v>
      </c>
      <c r="M239" s="137">
        <v>0.71428571428571397</v>
      </c>
      <c r="N239" s="136">
        <v>1</v>
      </c>
      <c r="O239" s="32">
        <v>43720</v>
      </c>
      <c r="P239" s="98">
        <f t="shared" si="18"/>
        <v>1</v>
      </c>
      <c r="Q239">
        <v>0</v>
      </c>
      <c r="R239">
        <v>0</v>
      </c>
      <c r="S239">
        <v>0</v>
      </c>
      <c r="T239" s="112" t="s">
        <v>73</v>
      </c>
      <c r="U239" s="137" t="s">
        <v>725</v>
      </c>
      <c r="V239" s="137" t="s">
        <v>726</v>
      </c>
      <c r="W239" s="69">
        <v>68</v>
      </c>
      <c r="X239" s="136">
        <v>1</v>
      </c>
      <c r="Y239" s="136">
        <v>4</v>
      </c>
      <c r="Z239" s="314"/>
      <c r="AA239" s="319">
        <v>0.54500000000000004</v>
      </c>
      <c r="AB239" s="315" t="s">
        <v>5168</v>
      </c>
      <c r="AC239" s="319">
        <v>0</v>
      </c>
      <c r="AD239" s="320">
        <v>0</v>
      </c>
      <c r="AE239" s="319">
        <v>0</v>
      </c>
      <c r="AF239" s="320">
        <v>0</v>
      </c>
      <c r="AG239" s="319">
        <v>3</v>
      </c>
      <c r="AH239" s="320">
        <v>7.8947368421052599E-2</v>
      </c>
      <c r="AI239" s="319">
        <v>0</v>
      </c>
      <c r="AJ239" s="320">
        <v>0</v>
      </c>
      <c r="AK239" s="320">
        <v>5.2631578947368418E-2</v>
      </c>
      <c r="AL239" s="319">
        <v>5</v>
      </c>
      <c r="AM239" s="319">
        <v>7.4</v>
      </c>
      <c r="AN239" s="319">
        <v>3.5</v>
      </c>
      <c r="AO239" s="319">
        <v>0.53</v>
      </c>
      <c r="AP239">
        <v>4</v>
      </c>
      <c r="AQ239">
        <v>4</v>
      </c>
      <c r="AR239" s="136"/>
      <c r="AT239" s="69">
        <v>2.3148</v>
      </c>
      <c r="AU239" s="69">
        <v>7.6852</v>
      </c>
      <c r="AV239" s="69">
        <v>5.7443999999999997</v>
      </c>
      <c r="AW239" s="69">
        <v>0.52480000000000004</v>
      </c>
      <c r="BB239" s="69"/>
    </row>
    <row r="240" spans="1:54" customFormat="1" ht="40" customHeight="1">
      <c r="A240" s="313">
        <v>239</v>
      </c>
      <c r="B240" s="136" t="s">
        <v>589</v>
      </c>
      <c r="C240" s="136" t="s">
        <v>45</v>
      </c>
      <c r="D240" s="31">
        <f t="shared" si="14"/>
        <v>4</v>
      </c>
      <c r="E240" s="137" t="s">
        <v>80</v>
      </c>
      <c r="F240" s="31">
        <f t="shared" si="15"/>
        <v>4</v>
      </c>
      <c r="G240" s="137" t="s">
        <v>727</v>
      </c>
      <c r="H240" s="138">
        <v>68</v>
      </c>
      <c r="I240" s="158">
        <f t="shared" si="17"/>
        <v>0.47218480750380648</v>
      </c>
      <c r="J240" s="95">
        <v>0.24731827872977</v>
      </c>
      <c r="K240" s="137">
        <v>0.69705133627784299</v>
      </c>
      <c r="L240" s="137">
        <v>0.82499999999999996</v>
      </c>
      <c r="M240" s="137">
        <v>0.50512834069460699</v>
      </c>
      <c r="N240" s="136">
        <v>1</v>
      </c>
      <c r="O240" s="32">
        <v>43720</v>
      </c>
      <c r="P240" s="98">
        <f t="shared" si="18"/>
        <v>1</v>
      </c>
      <c r="Q240">
        <v>0</v>
      </c>
      <c r="R240">
        <v>1.65</v>
      </c>
      <c r="S240">
        <v>0</v>
      </c>
      <c r="T240" s="112" t="s">
        <v>73</v>
      </c>
      <c r="U240" s="137" t="s">
        <v>728</v>
      </c>
      <c r="V240" s="137" t="s">
        <v>729</v>
      </c>
      <c r="W240" s="69">
        <v>46</v>
      </c>
      <c r="X240" s="136">
        <v>2</v>
      </c>
      <c r="Y240" s="136">
        <v>12</v>
      </c>
      <c r="Z240" s="314"/>
      <c r="AA240" s="319">
        <v>0.5</v>
      </c>
      <c r="AB240" s="315" t="s">
        <v>5176</v>
      </c>
      <c r="AC240" s="319">
        <v>2</v>
      </c>
      <c r="AD240" s="320">
        <v>7.4074074074074001E-2</v>
      </c>
      <c r="AE240" s="319">
        <v>3</v>
      </c>
      <c r="AF240" s="320">
        <v>0.11111111111111099</v>
      </c>
      <c r="AG240" s="319">
        <v>2</v>
      </c>
      <c r="AH240" s="320">
        <v>7.4074074074074001E-2</v>
      </c>
      <c r="AI240" s="319">
        <v>0</v>
      </c>
      <c r="AJ240" s="320">
        <v>0</v>
      </c>
      <c r="AK240" s="320">
        <v>7.407407407407407E-2</v>
      </c>
      <c r="AL240" s="319">
        <v>5</v>
      </c>
      <c r="AM240" s="319">
        <v>5</v>
      </c>
      <c r="AN240" s="319">
        <v>4.6666666666666599</v>
      </c>
      <c r="AO240" s="319">
        <v>0.48888888888888798</v>
      </c>
      <c r="AP240">
        <v>12</v>
      </c>
      <c r="AQ240">
        <v>12</v>
      </c>
      <c r="AR240" s="136"/>
      <c r="AT240" s="69">
        <v>2.3148</v>
      </c>
      <c r="AU240" s="69">
        <v>2.3148</v>
      </c>
      <c r="AV240" s="69">
        <v>8.1305999999999994</v>
      </c>
      <c r="AW240" s="69">
        <v>0.42530000000000001</v>
      </c>
      <c r="BB240" s="69"/>
    </row>
    <row r="241" spans="1:54" customFormat="1" ht="40" customHeight="1">
      <c r="A241" s="313">
        <v>240</v>
      </c>
      <c r="B241" s="136" t="s">
        <v>589</v>
      </c>
      <c r="C241" s="136" t="s">
        <v>45</v>
      </c>
      <c r="D241" s="31">
        <f t="shared" si="14"/>
        <v>4</v>
      </c>
      <c r="E241" s="137" t="s">
        <v>80</v>
      </c>
      <c r="F241" s="31">
        <f t="shared" si="15"/>
        <v>4</v>
      </c>
      <c r="G241" s="137" t="s">
        <v>159</v>
      </c>
      <c r="H241" s="138">
        <v>66</v>
      </c>
      <c r="I241" s="158">
        <f t="shared" si="17"/>
        <v>0.40722265309467542</v>
      </c>
      <c r="J241" s="95">
        <v>2.5750975352789601E-4</v>
      </c>
      <c r="K241" s="137">
        <v>0.81418779643582295</v>
      </c>
      <c r="L241" s="137">
        <v>0.82499999999999996</v>
      </c>
      <c r="M241" s="137">
        <v>0.79796949108955795</v>
      </c>
      <c r="N241" s="136">
        <v>1</v>
      </c>
      <c r="O241" s="32">
        <v>43718</v>
      </c>
      <c r="P241" s="98">
        <f t="shared" si="18"/>
        <v>0</v>
      </c>
      <c r="Q241">
        <v>7.65</v>
      </c>
      <c r="R241">
        <v>0</v>
      </c>
      <c r="S241">
        <v>0</v>
      </c>
      <c r="T241" s="112" t="s">
        <v>48</v>
      </c>
      <c r="U241" s="137" t="s">
        <v>730</v>
      </c>
      <c r="V241" s="137" t="s">
        <v>731</v>
      </c>
      <c r="W241" s="69">
        <v>189</v>
      </c>
      <c r="X241" s="136">
        <v>1</v>
      </c>
      <c r="Y241" s="136">
        <v>2</v>
      </c>
      <c r="Z241" s="314"/>
      <c r="AA241" s="319">
        <v>0.66549999999999998</v>
      </c>
      <c r="AB241" s="315" t="s">
        <v>5168</v>
      </c>
      <c r="AC241" s="319">
        <v>1</v>
      </c>
      <c r="AD241" s="320">
        <v>9.1743119266054999E-3</v>
      </c>
      <c r="AE241" s="319">
        <v>3</v>
      </c>
      <c r="AF241" s="320">
        <v>2.7522935779816501E-2</v>
      </c>
      <c r="AG241" s="319">
        <v>4</v>
      </c>
      <c r="AH241" s="320">
        <v>3.6697247706422E-2</v>
      </c>
      <c r="AI241" s="319">
        <v>0</v>
      </c>
      <c r="AJ241" s="320">
        <v>0</v>
      </c>
      <c r="AK241" s="320">
        <v>1.834862385321101E-2</v>
      </c>
      <c r="AL241" s="319">
        <v>6.75</v>
      </c>
      <c r="AM241" s="319">
        <v>6.2</v>
      </c>
      <c r="AN241" s="319">
        <v>4.6666666666666599</v>
      </c>
      <c r="AO241" s="319">
        <v>0.58722222222222198</v>
      </c>
      <c r="AP241">
        <v>2</v>
      </c>
      <c r="AR241" s="136">
        <v>2</v>
      </c>
      <c r="AT241" s="69">
        <v>6.3414000000000001</v>
      </c>
      <c r="AU241" s="69">
        <v>5</v>
      </c>
      <c r="AV241" s="69">
        <v>8.1305999999999994</v>
      </c>
      <c r="AW241" s="69">
        <v>0.64910000000000001</v>
      </c>
      <c r="BB241" s="69"/>
    </row>
    <row r="242" spans="1:54" customFormat="1" ht="40" customHeight="1">
      <c r="A242" s="313">
        <v>241</v>
      </c>
      <c r="B242" s="136" t="s">
        <v>589</v>
      </c>
      <c r="C242" s="136" t="s">
        <v>45</v>
      </c>
      <c r="D242" s="31">
        <f t="shared" si="14"/>
        <v>4</v>
      </c>
      <c r="E242" s="137" t="s">
        <v>664</v>
      </c>
      <c r="F242" s="31">
        <f t="shared" si="15"/>
        <v>1</v>
      </c>
      <c r="G242" s="137" t="s">
        <v>732</v>
      </c>
      <c r="H242" s="138">
        <v>61</v>
      </c>
      <c r="I242" s="158">
        <f t="shared" si="17"/>
        <v>0.65707507475891958</v>
      </c>
      <c r="J242" s="95">
        <v>0.54496235308201602</v>
      </c>
      <c r="K242" s="137">
        <v>0.76918779643582302</v>
      </c>
      <c r="L242" s="137">
        <v>0.75</v>
      </c>
      <c r="M242" s="137">
        <v>0.79796949108955795</v>
      </c>
      <c r="N242" s="136">
        <v>1</v>
      </c>
      <c r="O242" s="32">
        <v>43718</v>
      </c>
      <c r="P242" s="98">
        <f t="shared" si="18"/>
        <v>0</v>
      </c>
      <c r="Q242">
        <v>2.5499999999999998</v>
      </c>
      <c r="R242">
        <v>0</v>
      </c>
      <c r="S242">
        <v>0</v>
      </c>
      <c r="T242" s="112" t="s">
        <v>48</v>
      </c>
      <c r="U242" s="137" t="s">
        <v>733</v>
      </c>
      <c r="V242" s="137" t="s">
        <v>731</v>
      </c>
      <c r="W242" s="69">
        <v>189</v>
      </c>
      <c r="X242" s="136">
        <v>1</v>
      </c>
      <c r="Y242" s="136">
        <v>2</v>
      </c>
      <c r="Z242" s="314"/>
      <c r="AA242" s="319">
        <v>0.55000000000000004</v>
      </c>
      <c r="AB242" s="315" t="s">
        <v>5168</v>
      </c>
      <c r="AC242" s="319">
        <v>1</v>
      </c>
      <c r="AD242" s="320">
        <v>9.1743119266054999E-3</v>
      </c>
      <c r="AE242" s="319">
        <v>3</v>
      </c>
      <c r="AF242" s="320">
        <v>2.7522935779816501E-2</v>
      </c>
      <c r="AG242" s="319">
        <v>4</v>
      </c>
      <c r="AH242" s="320">
        <v>3.6697247706422E-2</v>
      </c>
      <c r="AI242" s="319">
        <v>0</v>
      </c>
      <c r="AJ242" s="320">
        <v>0</v>
      </c>
      <c r="AK242" s="320">
        <v>1.834862385321101E-2</v>
      </c>
      <c r="AL242" s="319">
        <v>5</v>
      </c>
      <c r="AM242" s="319">
        <v>5</v>
      </c>
      <c r="AN242" s="319">
        <v>4.6666666666666599</v>
      </c>
      <c r="AO242" s="319">
        <v>0.48888888888888798</v>
      </c>
      <c r="AP242">
        <v>2</v>
      </c>
      <c r="AR242" s="136">
        <v>2</v>
      </c>
      <c r="AT242" s="69">
        <v>2.3148</v>
      </c>
      <c r="AU242" s="69">
        <v>2.3148</v>
      </c>
      <c r="AV242" s="69">
        <v>8.1305999999999994</v>
      </c>
      <c r="AW242" s="69">
        <v>0.42530000000000001</v>
      </c>
      <c r="BB242" s="69"/>
    </row>
    <row r="243" spans="1:54" customFormat="1" ht="40" customHeight="1">
      <c r="A243" s="313">
        <v>242</v>
      </c>
      <c r="B243" s="136" t="s">
        <v>589</v>
      </c>
      <c r="C243" s="136" t="s">
        <v>45</v>
      </c>
      <c r="D243" s="31">
        <f t="shared" si="14"/>
        <v>4</v>
      </c>
      <c r="E243" s="137" t="s">
        <v>80</v>
      </c>
      <c r="F243" s="31">
        <f t="shared" si="15"/>
        <v>4</v>
      </c>
      <c r="G243" s="137" t="s">
        <v>159</v>
      </c>
      <c r="H243" s="138">
        <v>42</v>
      </c>
      <c r="I243" s="158">
        <f t="shared" si="17"/>
        <v>0.42355490088935099</v>
      </c>
      <c r="J243" s="95">
        <v>6.6395516064416002E-2</v>
      </c>
      <c r="K243" s="137">
        <v>0.78071428571428603</v>
      </c>
      <c r="L243" s="137">
        <v>0.82499999999999996</v>
      </c>
      <c r="M243" s="137">
        <v>0.71428571428571397</v>
      </c>
      <c r="N243" s="136">
        <v>1</v>
      </c>
      <c r="O243" s="32">
        <v>43715</v>
      </c>
      <c r="P243" s="98">
        <f t="shared" si="18"/>
        <v>0</v>
      </c>
      <c r="Q243">
        <v>7.65</v>
      </c>
      <c r="R243">
        <v>0</v>
      </c>
      <c r="S243">
        <v>0</v>
      </c>
      <c r="T243" s="112" t="s">
        <v>48</v>
      </c>
      <c r="U243" s="137" t="s">
        <v>734</v>
      </c>
      <c r="V243" s="137" t="s">
        <v>735</v>
      </c>
      <c r="W243" s="69">
        <v>194</v>
      </c>
      <c r="X243" s="136">
        <v>1</v>
      </c>
      <c r="Y243" s="136">
        <v>4</v>
      </c>
      <c r="Z243" s="314"/>
      <c r="AA243" s="319">
        <v>0.54500000000000004</v>
      </c>
      <c r="AB243" s="315" t="s">
        <v>5168</v>
      </c>
      <c r="AC243" s="319">
        <v>1</v>
      </c>
      <c r="AD243" s="320">
        <v>8.9285714285714194E-3</v>
      </c>
      <c r="AE243" s="319">
        <v>3</v>
      </c>
      <c r="AF243" s="320">
        <v>2.6785714285714201E-2</v>
      </c>
      <c r="AG243" s="319">
        <v>4</v>
      </c>
      <c r="AH243" s="320">
        <v>3.5714285714285698E-2</v>
      </c>
      <c r="AI243" s="319">
        <v>0</v>
      </c>
      <c r="AJ243" s="320">
        <v>0</v>
      </c>
      <c r="AK243" s="320">
        <v>1.785714285714286E-2</v>
      </c>
      <c r="AL243" s="319">
        <v>5</v>
      </c>
      <c r="AM243" s="319">
        <v>5</v>
      </c>
      <c r="AN243" s="319">
        <v>4.6666666666666599</v>
      </c>
      <c r="AO243" s="319">
        <v>0.48888888888888798</v>
      </c>
      <c r="AP243">
        <v>4</v>
      </c>
      <c r="AR243" s="136">
        <v>4</v>
      </c>
      <c r="AT243" s="69">
        <v>2.3148</v>
      </c>
      <c r="AU243" s="69">
        <v>2.3148</v>
      </c>
      <c r="AV243" s="69">
        <v>8.1305999999999994</v>
      </c>
      <c r="AW243" s="69">
        <v>0.42530000000000001</v>
      </c>
      <c r="BB243" s="69"/>
    </row>
    <row r="244" spans="1:54" customFormat="1" ht="40" customHeight="1">
      <c r="A244" s="313">
        <v>243</v>
      </c>
      <c r="B244" s="136" t="s">
        <v>589</v>
      </c>
      <c r="C244" s="136" t="s">
        <v>45</v>
      </c>
      <c r="D244" s="31">
        <f t="shared" si="14"/>
        <v>4</v>
      </c>
      <c r="E244" s="137" t="s">
        <v>221</v>
      </c>
      <c r="F244" s="31">
        <f t="shared" si="15"/>
        <v>2</v>
      </c>
      <c r="G244" s="137" t="s">
        <v>736</v>
      </c>
      <c r="H244" s="138">
        <v>56</v>
      </c>
      <c r="I244" s="158">
        <f t="shared" si="17"/>
        <v>0.80024005583318947</v>
      </c>
      <c r="J244" s="95">
        <v>0.93136004502022296</v>
      </c>
      <c r="K244" s="137">
        <v>0.66912006664615598</v>
      </c>
      <c r="L244" s="137">
        <v>0.68181818181818199</v>
      </c>
      <c r="M244" s="137">
        <v>0.65007289388811795</v>
      </c>
      <c r="N244" s="136">
        <v>1</v>
      </c>
      <c r="O244" s="32">
        <v>43712</v>
      </c>
      <c r="P244" s="98">
        <f t="shared" si="18"/>
        <v>1</v>
      </c>
      <c r="Q244">
        <v>0</v>
      </c>
      <c r="R244">
        <v>1.65</v>
      </c>
      <c r="S244">
        <v>0</v>
      </c>
      <c r="T244" s="112" t="s">
        <v>73</v>
      </c>
      <c r="U244" s="137" t="s">
        <v>737</v>
      </c>
      <c r="V244" s="137" t="s">
        <v>738</v>
      </c>
      <c r="W244" s="69">
        <v>157</v>
      </c>
      <c r="X244" s="136">
        <v>2</v>
      </c>
      <c r="Y244" s="136">
        <v>6</v>
      </c>
      <c r="Z244" s="314"/>
      <c r="AA244" s="319">
        <v>0.45454545454545398</v>
      </c>
      <c r="AB244" s="315" t="s">
        <v>5168</v>
      </c>
      <c r="AC244" s="319">
        <v>1</v>
      </c>
      <c r="AD244" s="320">
        <v>1.1494252873563199E-2</v>
      </c>
      <c r="AE244" s="319">
        <v>2</v>
      </c>
      <c r="AF244" s="320">
        <v>2.2988505747126398E-2</v>
      </c>
      <c r="AG244" s="319">
        <v>3</v>
      </c>
      <c r="AH244" s="320">
        <v>3.4482758620689599E-2</v>
      </c>
      <c r="AI244" s="319">
        <v>0</v>
      </c>
      <c r="AJ244" s="320">
        <v>0</v>
      </c>
      <c r="AK244" s="320">
        <v>2.298850574712644E-2</v>
      </c>
      <c r="AL244" s="319">
        <v>5</v>
      </c>
      <c r="AM244" s="319">
        <v>5</v>
      </c>
      <c r="AN244" s="319">
        <v>2</v>
      </c>
      <c r="AO244" s="319">
        <v>0.4</v>
      </c>
      <c r="AP244">
        <v>6</v>
      </c>
      <c r="AQ244">
        <v>6</v>
      </c>
      <c r="AR244" s="136"/>
      <c r="AT244" s="69">
        <v>2.3148</v>
      </c>
      <c r="AU244" s="69">
        <v>2.3148</v>
      </c>
      <c r="AV244" s="69">
        <v>2.3148</v>
      </c>
      <c r="AW244" s="69">
        <v>0.23150000000000001</v>
      </c>
      <c r="BB244" s="69"/>
    </row>
    <row r="245" spans="1:54" customFormat="1" ht="40" customHeight="1">
      <c r="A245" s="313">
        <v>244</v>
      </c>
      <c r="B245" s="136" t="s">
        <v>589</v>
      </c>
      <c r="C245" s="136" t="s">
        <v>45</v>
      </c>
      <c r="D245" s="31">
        <f t="shared" si="14"/>
        <v>4</v>
      </c>
      <c r="E245" s="137" t="s">
        <v>80</v>
      </c>
      <c r="F245" s="31">
        <f t="shared" si="15"/>
        <v>4</v>
      </c>
      <c r="G245" s="137" t="s">
        <v>739</v>
      </c>
      <c r="H245" s="138">
        <v>54</v>
      </c>
      <c r="I245" s="158">
        <f t="shared" si="17"/>
        <v>0.52734248885233403</v>
      </c>
      <c r="J245" s="95">
        <v>0.355870766908359</v>
      </c>
      <c r="K245" s="137">
        <v>0.69881421079630901</v>
      </c>
      <c r="L245" s="137">
        <v>0.75</v>
      </c>
      <c r="M245" s="137">
        <v>0.62203552699077302</v>
      </c>
      <c r="N245" s="136">
        <v>1</v>
      </c>
      <c r="O245" s="32">
        <v>43711</v>
      </c>
      <c r="P245" s="98">
        <f t="shared" si="18"/>
        <v>0</v>
      </c>
      <c r="Q245">
        <v>7.65</v>
      </c>
      <c r="R245">
        <v>0</v>
      </c>
      <c r="S245">
        <v>0</v>
      </c>
      <c r="T245" s="112" t="s">
        <v>48</v>
      </c>
      <c r="U245" s="137" t="s">
        <v>740</v>
      </c>
      <c r="V245" s="137" t="s">
        <v>741</v>
      </c>
      <c r="W245" s="69">
        <v>106</v>
      </c>
      <c r="X245" s="136">
        <v>2</v>
      </c>
      <c r="Y245" s="136">
        <v>7</v>
      </c>
      <c r="Z245" s="314"/>
      <c r="AA245" s="319">
        <v>0.5</v>
      </c>
      <c r="AB245" s="315" t="s">
        <v>5165</v>
      </c>
      <c r="AC245" s="319">
        <v>3</v>
      </c>
      <c r="AD245" s="320">
        <v>4.8387096774193498E-2</v>
      </c>
      <c r="AE245" s="319">
        <v>2</v>
      </c>
      <c r="AF245" s="320">
        <v>3.2258064516128997E-2</v>
      </c>
      <c r="AG245" s="319">
        <v>1</v>
      </c>
      <c r="AH245" s="320">
        <v>1.6129032258064498E-2</v>
      </c>
      <c r="AI245" s="319">
        <v>2</v>
      </c>
      <c r="AJ245" s="320">
        <v>3.2258064516128997E-2</v>
      </c>
      <c r="AK245" s="320">
        <v>0</v>
      </c>
      <c r="AL245" s="319">
        <v>6.75</v>
      </c>
      <c r="AM245" s="319">
        <v>5</v>
      </c>
      <c r="AN245" s="319">
        <v>7.3333333333333304</v>
      </c>
      <c r="AO245" s="319">
        <v>0.63611111111111096</v>
      </c>
      <c r="AP245">
        <v>7</v>
      </c>
      <c r="AQ245">
        <v>7</v>
      </c>
      <c r="AR245" s="136"/>
      <c r="AT245" s="69">
        <v>6.3414000000000001</v>
      </c>
      <c r="AU245" s="69">
        <v>2.3148</v>
      </c>
      <c r="AV245" s="69">
        <v>9.8416999999999994</v>
      </c>
      <c r="AW245" s="69">
        <v>0.61660000000000004</v>
      </c>
      <c r="BB245" s="69"/>
    </row>
    <row r="246" spans="1:54" customFormat="1" ht="40" customHeight="1">
      <c r="A246" s="313">
        <v>245</v>
      </c>
      <c r="B246" s="136" t="s">
        <v>589</v>
      </c>
      <c r="C246" s="136" t="s">
        <v>45</v>
      </c>
      <c r="D246" s="31">
        <f t="shared" si="14"/>
        <v>4</v>
      </c>
      <c r="E246" s="137" t="s">
        <v>80</v>
      </c>
      <c r="F246" s="31">
        <f t="shared" si="15"/>
        <v>4</v>
      </c>
      <c r="G246" s="137" t="s">
        <v>180</v>
      </c>
      <c r="H246" s="138">
        <v>51</v>
      </c>
      <c r="I246" s="158">
        <f t="shared" si="17"/>
        <v>0.41528328451062319</v>
      </c>
      <c r="J246" s="95">
        <v>1.6378772585423401E-2</v>
      </c>
      <c r="K246" s="137">
        <v>0.81418779643582295</v>
      </c>
      <c r="L246" s="137">
        <v>0.82499999999999996</v>
      </c>
      <c r="M246" s="137">
        <v>0.79796949108955795</v>
      </c>
      <c r="N246" s="136">
        <v>1</v>
      </c>
      <c r="O246" s="32">
        <v>43710</v>
      </c>
      <c r="P246" s="98">
        <f t="shared" si="18"/>
        <v>0</v>
      </c>
      <c r="Q246">
        <v>2.5499999999999998</v>
      </c>
      <c r="R246">
        <v>0</v>
      </c>
      <c r="S246">
        <v>0</v>
      </c>
      <c r="T246" s="112" t="s">
        <v>48</v>
      </c>
      <c r="U246" s="137" t="s">
        <v>742</v>
      </c>
      <c r="V246" s="137" t="s">
        <v>743</v>
      </c>
      <c r="W246" s="69">
        <v>65</v>
      </c>
      <c r="X246" s="136">
        <v>1</v>
      </c>
      <c r="Y246" s="136">
        <v>2</v>
      </c>
      <c r="Z246" s="314"/>
      <c r="AA246" s="319">
        <v>0.64895000000000003</v>
      </c>
      <c r="AB246" s="315" t="s">
        <v>5165</v>
      </c>
      <c r="AC246" s="319">
        <v>3</v>
      </c>
      <c r="AD246" s="320">
        <v>8.1081081081081002E-2</v>
      </c>
      <c r="AE246" s="319">
        <v>1</v>
      </c>
      <c r="AF246" s="320">
        <v>2.7027027027027001E-2</v>
      </c>
      <c r="AG246" s="319">
        <v>0</v>
      </c>
      <c r="AH246" s="320">
        <v>0</v>
      </c>
      <c r="AI246" s="319">
        <v>2</v>
      </c>
      <c r="AJ246" s="320">
        <v>5.4054054054054002E-2</v>
      </c>
      <c r="AK246" s="320">
        <v>0</v>
      </c>
      <c r="AL246" s="319">
        <v>8.5</v>
      </c>
      <c r="AM246" s="319">
        <v>7.4</v>
      </c>
      <c r="AN246" s="319">
        <v>2</v>
      </c>
      <c r="AO246" s="319">
        <v>0.59666666666666601</v>
      </c>
      <c r="AP246">
        <v>2</v>
      </c>
      <c r="AR246" s="136"/>
      <c r="AS246">
        <v>2</v>
      </c>
      <c r="AT246" s="69">
        <v>9.0888000000000009</v>
      </c>
      <c r="AU246" s="69">
        <v>7.6852</v>
      </c>
      <c r="AV246" s="69">
        <v>2.3148</v>
      </c>
      <c r="AW246" s="69">
        <v>0.63629999999999998</v>
      </c>
      <c r="BB246" s="69"/>
    </row>
    <row r="247" spans="1:54" customFormat="1" ht="40" customHeight="1">
      <c r="A247" s="313">
        <v>246</v>
      </c>
      <c r="B247" s="136" t="s">
        <v>589</v>
      </c>
      <c r="C247" s="136" t="s">
        <v>45</v>
      </c>
      <c r="D247" s="31">
        <f t="shared" si="14"/>
        <v>4</v>
      </c>
      <c r="E247" s="137" t="s">
        <v>80</v>
      </c>
      <c r="F247" s="31">
        <f t="shared" si="15"/>
        <v>4</v>
      </c>
      <c r="G247" s="137" t="s">
        <v>744</v>
      </c>
      <c r="H247" s="138">
        <v>78</v>
      </c>
      <c r="I247" s="158">
        <f t="shared" si="17"/>
        <v>0.37620071740160493</v>
      </c>
      <c r="J247" s="95">
        <v>1.3757666642888499E-3</v>
      </c>
      <c r="K247" s="137">
        <v>0.75102566813892102</v>
      </c>
      <c r="L247" s="137">
        <v>0.75</v>
      </c>
      <c r="M247" s="137">
        <v>0.75256417034730305</v>
      </c>
      <c r="N247" s="136">
        <v>1</v>
      </c>
      <c r="O247" s="32">
        <v>43709</v>
      </c>
      <c r="P247" s="98">
        <f t="shared" si="18"/>
        <v>0</v>
      </c>
      <c r="Q247">
        <v>2.5499999999999998</v>
      </c>
      <c r="R247">
        <v>0</v>
      </c>
      <c r="S247">
        <v>0</v>
      </c>
      <c r="T247" s="112" t="s">
        <v>48</v>
      </c>
      <c r="U247" s="137" t="s">
        <v>745</v>
      </c>
      <c r="V247" s="137" t="s">
        <v>746</v>
      </c>
      <c r="W247" s="69">
        <v>216</v>
      </c>
      <c r="X247" s="136">
        <v>1</v>
      </c>
      <c r="Y247" s="136">
        <v>3</v>
      </c>
      <c r="Z247" s="314"/>
      <c r="AA247" s="319">
        <v>0.5</v>
      </c>
      <c r="AB247" s="315" t="s">
        <v>5176</v>
      </c>
      <c r="AC247" s="319">
        <v>2</v>
      </c>
      <c r="AD247" s="320">
        <v>1.7699115044247701E-2</v>
      </c>
      <c r="AE247" s="319">
        <v>3</v>
      </c>
      <c r="AF247" s="320">
        <v>2.6548672566371601E-2</v>
      </c>
      <c r="AG247" s="319">
        <v>1</v>
      </c>
      <c r="AH247" s="320">
        <v>8.8495575221238902E-3</v>
      </c>
      <c r="AI247" s="319">
        <v>2</v>
      </c>
      <c r="AJ247" s="320">
        <v>1.7699115044247701E-2</v>
      </c>
      <c r="AK247" s="320">
        <v>0</v>
      </c>
      <c r="AL247" s="319">
        <v>8.5</v>
      </c>
      <c r="AM247" s="319">
        <v>5</v>
      </c>
      <c r="AN247" s="319">
        <v>4.6666666666666599</v>
      </c>
      <c r="AO247" s="319">
        <v>0.60555555555555496</v>
      </c>
      <c r="AP247">
        <v>3</v>
      </c>
      <c r="AR247" s="136">
        <v>3</v>
      </c>
      <c r="AT247" s="69">
        <v>9.0888000000000009</v>
      </c>
      <c r="AU247" s="69">
        <v>2.3148</v>
      </c>
      <c r="AV247" s="69">
        <v>8.1305999999999994</v>
      </c>
      <c r="AW247" s="69">
        <v>0.65110000000000001</v>
      </c>
      <c r="BB247" s="69"/>
    </row>
    <row r="248" spans="1:54" customFormat="1" ht="40" customHeight="1">
      <c r="A248" s="313">
        <v>247</v>
      </c>
      <c r="B248" s="136" t="s">
        <v>589</v>
      </c>
      <c r="C248" s="136" t="s">
        <v>45</v>
      </c>
      <c r="D248" s="31">
        <f t="shared" si="14"/>
        <v>4</v>
      </c>
      <c r="E248" s="137" t="s">
        <v>46</v>
      </c>
      <c r="F248" s="31">
        <f t="shared" si="15"/>
        <v>6</v>
      </c>
      <c r="G248" s="137" t="s">
        <v>747</v>
      </c>
      <c r="H248" s="138">
        <v>81</v>
      </c>
      <c r="I248" s="158">
        <f t="shared" si="17"/>
        <v>0.26986384549253206</v>
      </c>
      <c r="J248" s="95">
        <v>1.3674657917128701E-7</v>
      </c>
      <c r="K248" s="137">
        <v>0.53972755423848495</v>
      </c>
      <c r="L248" s="137">
        <v>0.423355447540333</v>
      </c>
      <c r="M248" s="137">
        <v>0.71428571428571397</v>
      </c>
      <c r="N248" s="136">
        <v>1</v>
      </c>
      <c r="O248" s="32">
        <v>43707</v>
      </c>
      <c r="P248" s="98">
        <f t="shared" si="18"/>
        <v>0</v>
      </c>
      <c r="Q248">
        <v>5.0999999999999996</v>
      </c>
      <c r="R248">
        <v>1.65</v>
      </c>
      <c r="S248">
        <v>0</v>
      </c>
      <c r="T248" s="112" t="s">
        <v>48</v>
      </c>
      <c r="U248" s="137" t="s">
        <v>748</v>
      </c>
      <c r="V248" s="137" t="s">
        <v>749</v>
      </c>
      <c r="W248" s="69">
        <v>101</v>
      </c>
      <c r="X248" s="136">
        <v>1</v>
      </c>
      <c r="Y248" s="136">
        <v>4</v>
      </c>
      <c r="Z248" s="314"/>
      <c r="AA248" s="319">
        <v>1.1267055348483401E-3</v>
      </c>
      <c r="AB248" s="315" t="s">
        <v>5168</v>
      </c>
      <c r="AC248" s="319">
        <v>0</v>
      </c>
      <c r="AD248" s="320">
        <v>0</v>
      </c>
      <c r="AE248" s="319">
        <v>1</v>
      </c>
      <c r="AF248" s="320">
        <v>1.8867924528301799E-2</v>
      </c>
      <c r="AG248" s="319">
        <v>2</v>
      </c>
      <c r="AH248" s="320">
        <v>3.7735849056603703E-2</v>
      </c>
      <c r="AI248" s="319">
        <v>0</v>
      </c>
      <c r="AJ248" s="320">
        <v>0</v>
      </c>
      <c r="AK248" s="320">
        <v>0</v>
      </c>
      <c r="AL248" s="319">
        <v>5</v>
      </c>
      <c r="AM248" s="319">
        <v>5</v>
      </c>
      <c r="AN248" s="319">
        <v>4.6666666666666599</v>
      </c>
      <c r="AO248" s="319">
        <v>0.48888888888888798</v>
      </c>
      <c r="AP248">
        <v>4</v>
      </c>
      <c r="AR248" s="136"/>
      <c r="AS248">
        <v>4</v>
      </c>
      <c r="AT248" s="69">
        <v>2.3148</v>
      </c>
      <c r="AU248" s="69">
        <v>2.3148</v>
      </c>
      <c r="AV248" s="69">
        <v>8.1305999999999994</v>
      </c>
      <c r="AW248" s="69">
        <v>0.42530000000000001</v>
      </c>
      <c r="BB248" s="69"/>
    </row>
    <row r="249" spans="1:54" customFormat="1" ht="40" customHeight="1">
      <c r="A249" s="313">
        <v>248</v>
      </c>
      <c r="B249" s="136" t="s">
        <v>589</v>
      </c>
      <c r="C249" s="136" t="s">
        <v>45</v>
      </c>
      <c r="D249" s="31">
        <f t="shared" si="14"/>
        <v>4</v>
      </c>
      <c r="E249" s="137" t="s">
        <v>221</v>
      </c>
      <c r="F249" s="31">
        <f t="shared" si="15"/>
        <v>2</v>
      </c>
      <c r="G249" s="137" t="s">
        <v>750</v>
      </c>
      <c r="H249" s="138">
        <v>138</v>
      </c>
      <c r="I249" s="158">
        <f t="shared" si="17"/>
        <v>0.40030885831407464</v>
      </c>
      <c r="J249" s="95">
        <v>4.5920484892283397E-3</v>
      </c>
      <c r="K249" s="137">
        <v>0.79602566813892095</v>
      </c>
      <c r="L249" s="137">
        <v>0.82499999999999996</v>
      </c>
      <c r="M249" s="137">
        <v>0.75256417034730305</v>
      </c>
      <c r="N249" s="136">
        <v>1</v>
      </c>
      <c r="O249" s="32">
        <v>43697</v>
      </c>
      <c r="P249" s="98">
        <f t="shared" si="18"/>
        <v>0</v>
      </c>
      <c r="Q249">
        <v>2.5499999999999998</v>
      </c>
      <c r="R249">
        <v>1.65</v>
      </c>
      <c r="S249">
        <v>1.87</v>
      </c>
      <c r="T249" s="112" t="s">
        <v>48</v>
      </c>
      <c r="U249" s="137" t="s">
        <v>751</v>
      </c>
      <c r="V249" s="137" t="s">
        <v>752</v>
      </c>
      <c r="W249" s="69">
        <v>116</v>
      </c>
      <c r="X249" s="136">
        <v>2</v>
      </c>
      <c r="Y249" s="136">
        <v>3</v>
      </c>
      <c r="Z249" s="314"/>
      <c r="AA249" s="319">
        <v>0.45454545454545398</v>
      </c>
      <c r="AB249" s="315" t="s">
        <v>5168</v>
      </c>
      <c r="AC249" s="319">
        <v>1</v>
      </c>
      <c r="AD249" s="320">
        <v>1.5625E-2</v>
      </c>
      <c r="AE249" s="319">
        <v>2</v>
      </c>
      <c r="AF249" s="320">
        <v>3.125E-2</v>
      </c>
      <c r="AG249" s="319">
        <v>3</v>
      </c>
      <c r="AH249" s="320">
        <v>4.6875E-2</v>
      </c>
      <c r="AI249" s="319">
        <v>0</v>
      </c>
      <c r="AJ249" s="320">
        <v>0</v>
      </c>
      <c r="AK249" s="320">
        <v>3.125E-2</v>
      </c>
      <c r="AL249" s="319">
        <v>5</v>
      </c>
      <c r="AM249" s="319">
        <v>5</v>
      </c>
      <c r="AN249" s="319">
        <v>4.6666666666666599</v>
      </c>
      <c r="AO249" s="319">
        <v>0.48888888888888798</v>
      </c>
      <c r="AP249">
        <v>3</v>
      </c>
      <c r="AQ249">
        <v>3</v>
      </c>
      <c r="AR249" s="136"/>
      <c r="AT249" s="69">
        <v>2.3148</v>
      </c>
      <c r="AU249" s="69">
        <v>2.3148</v>
      </c>
      <c r="AV249" s="69">
        <v>8.1305999999999994</v>
      </c>
      <c r="AW249" s="69">
        <v>0.42530000000000001</v>
      </c>
      <c r="BB249" s="69"/>
    </row>
    <row r="250" spans="1:54" customFormat="1" ht="40" customHeight="1">
      <c r="A250" s="313">
        <v>249</v>
      </c>
      <c r="B250" s="136" t="s">
        <v>589</v>
      </c>
      <c r="C250" s="136" t="s">
        <v>45</v>
      </c>
      <c r="D250" s="31">
        <f t="shared" si="14"/>
        <v>4</v>
      </c>
      <c r="E250" s="137" t="s">
        <v>221</v>
      </c>
      <c r="F250" s="31">
        <f t="shared" si="15"/>
        <v>2</v>
      </c>
      <c r="G250" s="137" t="s">
        <v>753</v>
      </c>
      <c r="H250" s="138">
        <v>39</v>
      </c>
      <c r="I250" s="158">
        <f t="shared" si="17"/>
        <v>0.8100998564842099</v>
      </c>
      <c r="J250" s="95">
        <v>0.93888411687749895</v>
      </c>
      <c r="K250" s="137">
        <v>0.68131559609092096</v>
      </c>
      <c r="L250" s="137">
        <v>0.68181818181818199</v>
      </c>
      <c r="M250" s="137">
        <v>0.68056171750003003</v>
      </c>
      <c r="N250" s="136">
        <v>1</v>
      </c>
      <c r="O250" s="32">
        <v>43694</v>
      </c>
      <c r="P250" s="98">
        <f t="shared" si="18"/>
        <v>1</v>
      </c>
      <c r="Q250">
        <v>0</v>
      </c>
      <c r="R250">
        <v>0</v>
      </c>
      <c r="S250">
        <v>0</v>
      </c>
      <c r="T250" s="112" t="s">
        <v>73</v>
      </c>
      <c r="U250" s="137" t="s">
        <v>754</v>
      </c>
      <c r="V250" s="137" t="s">
        <v>755</v>
      </c>
      <c r="W250" s="69">
        <v>116</v>
      </c>
      <c r="X250" s="136">
        <v>2</v>
      </c>
      <c r="Y250" s="136">
        <v>5</v>
      </c>
      <c r="Z250" s="314"/>
      <c r="AA250" s="319">
        <v>0.45454545454545398</v>
      </c>
      <c r="AB250" s="315" t="s">
        <v>5168</v>
      </c>
      <c r="AC250" s="319">
        <v>1</v>
      </c>
      <c r="AD250" s="320">
        <v>1.5625E-2</v>
      </c>
      <c r="AE250" s="319">
        <v>2</v>
      </c>
      <c r="AF250" s="320">
        <v>3.125E-2</v>
      </c>
      <c r="AG250" s="319">
        <v>3</v>
      </c>
      <c r="AH250" s="320">
        <v>4.6875E-2</v>
      </c>
      <c r="AI250" s="319">
        <v>0</v>
      </c>
      <c r="AJ250" s="320">
        <v>0</v>
      </c>
      <c r="AK250" s="320">
        <v>3.125E-2</v>
      </c>
      <c r="AL250" s="319">
        <v>5</v>
      </c>
      <c r="AM250" s="319">
        <v>5</v>
      </c>
      <c r="AN250" s="319">
        <v>2</v>
      </c>
      <c r="AO250" s="319">
        <v>0.4</v>
      </c>
      <c r="AP250">
        <v>5</v>
      </c>
      <c r="AQ250">
        <v>5</v>
      </c>
      <c r="AR250" s="136"/>
      <c r="AT250" s="69">
        <v>2.3148</v>
      </c>
      <c r="AU250" s="69">
        <v>2.3148</v>
      </c>
      <c r="AV250" s="69">
        <v>2.3148</v>
      </c>
      <c r="AW250" s="69">
        <v>0.23150000000000001</v>
      </c>
      <c r="BB250" s="69"/>
    </row>
    <row r="251" spans="1:54" customFormat="1" ht="40" customHeight="1">
      <c r="A251" s="313">
        <v>250</v>
      </c>
      <c r="B251" s="136" t="s">
        <v>589</v>
      </c>
      <c r="C251" s="136" t="s">
        <v>45</v>
      </c>
      <c r="D251" s="31">
        <f t="shared" si="14"/>
        <v>4</v>
      </c>
      <c r="E251" s="137" t="s">
        <v>221</v>
      </c>
      <c r="F251" s="31">
        <f t="shared" si="15"/>
        <v>2</v>
      </c>
      <c r="G251" s="137" t="s">
        <v>756</v>
      </c>
      <c r="H251" s="138">
        <v>36</v>
      </c>
      <c r="I251" s="158">
        <f t="shared" si="17"/>
        <v>0.34707858640871897</v>
      </c>
      <c r="J251" s="95">
        <v>1.2841576726517E-2</v>
      </c>
      <c r="K251" s="137">
        <v>0.68131559609092096</v>
      </c>
      <c r="L251" s="137">
        <v>0.68181818181818199</v>
      </c>
      <c r="M251" s="137">
        <v>0.68056171750003003</v>
      </c>
      <c r="N251" s="136">
        <v>0</v>
      </c>
      <c r="O251" s="32">
        <v>43694</v>
      </c>
      <c r="P251" s="98">
        <f t="shared" si="18"/>
        <v>0</v>
      </c>
      <c r="Q251">
        <v>0</v>
      </c>
      <c r="R251">
        <v>0</v>
      </c>
      <c r="S251">
        <v>0</v>
      </c>
      <c r="T251" s="112" t="s">
        <v>48</v>
      </c>
      <c r="U251" s="137" t="s">
        <v>757</v>
      </c>
      <c r="V251" s="137" t="s">
        <v>755</v>
      </c>
      <c r="W251" s="69">
        <v>116</v>
      </c>
      <c r="X251" s="136">
        <v>2</v>
      </c>
      <c r="Y251" s="136">
        <v>5</v>
      </c>
      <c r="Z251" s="314"/>
      <c r="AA251" s="319">
        <v>0.5</v>
      </c>
      <c r="AB251" s="315" t="s">
        <v>5168</v>
      </c>
      <c r="AC251" s="319">
        <v>1</v>
      </c>
      <c r="AD251" s="320">
        <v>1.5625E-2</v>
      </c>
      <c r="AE251" s="319">
        <v>2</v>
      </c>
      <c r="AF251" s="320">
        <v>3.125E-2</v>
      </c>
      <c r="AG251" s="319">
        <v>3</v>
      </c>
      <c r="AH251" s="320">
        <v>4.6875E-2</v>
      </c>
      <c r="AI251" s="319">
        <v>0</v>
      </c>
      <c r="AJ251" s="320">
        <v>0</v>
      </c>
      <c r="AK251" s="320">
        <v>3.125E-2</v>
      </c>
      <c r="AL251" s="319">
        <v>5</v>
      </c>
      <c r="AM251" s="319">
        <v>5</v>
      </c>
      <c r="AN251" s="319">
        <v>4.6666666666666599</v>
      </c>
      <c r="AO251" s="319">
        <v>0.48888888888888798</v>
      </c>
      <c r="AP251">
        <v>5</v>
      </c>
      <c r="AQ251">
        <v>5</v>
      </c>
      <c r="AR251" s="136"/>
      <c r="AT251" s="69">
        <v>2.3148</v>
      </c>
      <c r="AU251" s="69">
        <v>2.3148</v>
      </c>
      <c r="AV251" s="69">
        <v>8.1305999999999994</v>
      </c>
      <c r="AW251" s="69">
        <v>0.42530000000000001</v>
      </c>
      <c r="BB251" s="69"/>
    </row>
    <row r="252" spans="1:54" customFormat="1" ht="40" customHeight="1">
      <c r="A252" s="313">
        <v>251</v>
      </c>
      <c r="B252" s="136" t="s">
        <v>589</v>
      </c>
      <c r="C252" s="136" t="s">
        <v>45</v>
      </c>
      <c r="D252" s="31">
        <f t="shared" si="14"/>
        <v>4</v>
      </c>
      <c r="E252" s="137" t="s">
        <v>80</v>
      </c>
      <c r="F252" s="31">
        <f t="shared" si="15"/>
        <v>4</v>
      </c>
      <c r="G252" s="137" t="s">
        <v>758</v>
      </c>
      <c r="H252" s="138">
        <v>41</v>
      </c>
      <c r="I252" s="158">
        <f t="shared" si="17"/>
        <v>0.34830700591046315</v>
      </c>
      <c r="J252" s="95">
        <v>1.80881701573132E-3</v>
      </c>
      <c r="K252" s="137">
        <v>0.69480519480519498</v>
      </c>
      <c r="L252" s="137">
        <v>0.68181818181818199</v>
      </c>
      <c r="M252" s="137">
        <v>0.71428571428571397</v>
      </c>
      <c r="N252" s="136">
        <v>1</v>
      </c>
      <c r="O252" s="32">
        <v>43679</v>
      </c>
      <c r="P252" s="98">
        <f t="shared" si="18"/>
        <v>0</v>
      </c>
      <c r="Q252">
        <v>2.5499999999999998</v>
      </c>
      <c r="R252">
        <v>0</v>
      </c>
      <c r="S252">
        <v>0</v>
      </c>
      <c r="T252" s="112" t="s">
        <v>48</v>
      </c>
      <c r="U252" s="137" t="s">
        <v>759</v>
      </c>
      <c r="V252" s="137" t="s">
        <v>760</v>
      </c>
      <c r="W252" s="69">
        <v>51</v>
      </c>
      <c r="X252" s="136">
        <v>1</v>
      </c>
      <c r="Y252" s="136">
        <v>4</v>
      </c>
      <c r="Z252" s="314"/>
      <c r="AA252" s="319">
        <v>0.5</v>
      </c>
      <c r="AB252" s="315" t="s">
        <v>5166</v>
      </c>
      <c r="AC252" s="319">
        <v>1</v>
      </c>
      <c r="AD252" s="320">
        <v>3.3333333333333298E-2</v>
      </c>
      <c r="AE252" s="319">
        <v>0</v>
      </c>
      <c r="AF252" s="320">
        <v>0</v>
      </c>
      <c r="AG252" s="319">
        <v>0</v>
      </c>
      <c r="AH252" s="320">
        <v>0</v>
      </c>
      <c r="AI252" s="319">
        <v>1</v>
      </c>
      <c r="AJ252" s="320">
        <v>3.3333333333333298E-2</v>
      </c>
      <c r="AK252" s="320">
        <v>0</v>
      </c>
      <c r="AL252" s="319">
        <v>6.75</v>
      </c>
      <c r="AM252" s="319">
        <v>5</v>
      </c>
      <c r="AN252" s="319">
        <v>4.6666666666666599</v>
      </c>
      <c r="AO252" s="319">
        <v>0.54722222222222205</v>
      </c>
      <c r="AP252">
        <v>4</v>
      </c>
      <c r="AR252" s="136"/>
      <c r="AS252">
        <v>4</v>
      </c>
      <c r="AT252" s="69">
        <v>6.3414000000000001</v>
      </c>
      <c r="AU252" s="69">
        <v>2.3148</v>
      </c>
      <c r="AV252" s="69">
        <v>8.1305999999999994</v>
      </c>
      <c r="AW252" s="69">
        <v>0.55959999999999999</v>
      </c>
      <c r="BB252" s="69"/>
    </row>
    <row r="253" spans="1:54" customFormat="1" ht="40" customHeight="1">
      <c r="A253" s="313">
        <v>252</v>
      </c>
      <c r="B253" s="136" t="s">
        <v>589</v>
      </c>
      <c r="C253" s="136" t="s">
        <v>45</v>
      </c>
      <c r="D253" s="31">
        <f t="shared" si="14"/>
        <v>4</v>
      </c>
      <c r="E253" s="137" t="s">
        <v>46</v>
      </c>
      <c r="F253" s="31">
        <f t="shared" si="15"/>
        <v>6</v>
      </c>
      <c r="G253" s="137" t="s">
        <v>761</v>
      </c>
      <c r="H253" s="138">
        <v>72</v>
      </c>
      <c r="I253" s="158">
        <f t="shared" si="17"/>
        <v>0.77736787496527648</v>
      </c>
      <c r="J253" s="95">
        <v>0.79970659237530595</v>
      </c>
      <c r="K253" s="137">
        <v>0.75502915755524702</v>
      </c>
      <c r="L253" s="137">
        <v>0.82499999999999996</v>
      </c>
      <c r="M253" s="137">
        <v>0.65007289388811795</v>
      </c>
      <c r="N253" s="136">
        <v>0</v>
      </c>
      <c r="O253" s="32">
        <v>43678</v>
      </c>
      <c r="P253" s="98">
        <f t="shared" si="18"/>
        <v>0</v>
      </c>
      <c r="Q253">
        <v>7.65</v>
      </c>
      <c r="R253">
        <v>3.3</v>
      </c>
      <c r="S253">
        <v>0</v>
      </c>
      <c r="T253" s="112" t="s">
        <v>48</v>
      </c>
      <c r="U253" s="137" t="s">
        <v>762</v>
      </c>
      <c r="V253" s="137" t="s">
        <v>763</v>
      </c>
      <c r="W253" s="69">
        <v>16</v>
      </c>
      <c r="X253" s="136">
        <v>1</v>
      </c>
      <c r="Y253" s="136">
        <v>6</v>
      </c>
      <c r="Z253" s="314"/>
      <c r="AA253" s="319">
        <v>0.60499999999999998</v>
      </c>
      <c r="AB253" s="315" t="s">
        <v>5178</v>
      </c>
      <c r="AC253" s="319">
        <v>1</v>
      </c>
      <c r="AD253" s="320">
        <v>0.11111111111111099</v>
      </c>
      <c r="AE253" s="319">
        <v>1</v>
      </c>
      <c r="AF253" s="320">
        <v>0.11111111111111099</v>
      </c>
      <c r="AG253" s="319">
        <v>0</v>
      </c>
      <c r="AH253" s="320">
        <v>0</v>
      </c>
      <c r="AI253" s="319">
        <v>0</v>
      </c>
      <c r="AJ253" s="320">
        <v>0</v>
      </c>
      <c r="AK253" s="320">
        <v>0</v>
      </c>
      <c r="AL253" s="319">
        <v>6.75</v>
      </c>
      <c r="AM253" s="319">
        <v>5</v>
      </c>
      <c r="AN253" s="319">
        <v>4.6666666666666599</v>
      </c>
      <c r="AO253" s="319">
        <v>0.54722222222222205</v>
      </c>
      <c r="AP253">
        <v>6</v>
      </c>
      <c r="AR253" s="136"/>
      <c r="AT253" s="69">
        <v>6.3414000000000001</v>
      </c>
      <c r="AU253" s="69">
        <v>2.3148</v>
      </c>
      <c r="AV253" s="69">
        <v>8.1305999999999994</v>
      </c>
      <c r="AW253" s="69">
        <v>0.55959999999999999</v>
      </c>
      <c r="BB253" s="69"/>
    </row>
    <row r="254" spans="1:54" customFormat="1" ht="40" customHeight="1">
      <c r="A254" s="313">
        <v>253</v>
      </c>
      <c r="B254" s="136" t="s">
        <v>589</v>
      </c>
      <c r="C254" s="136" t="s">
        <v>59</v>
      </c>
      <c r="D254" s="31">
        <f t="shared" si="14"/>
        <v>5</v>
      </c>
      <c r="E254" s="137" t="s">
        <v>664</v>
      </c>
      <c r="F254" s="31">
        <f t="shared" si="15"/>
        <v>1</v>
      </c>
      <c r="G254" s="137" t="s">
        <v>764</v>
      </c>
      <c r="H254" s="138">
        <v>53</v>
      </c>
      <c r="I254" s="158">
        <f t="shared" si="17"/>
        <v>0.41706642849678</v>
      </c>
      <c r="J254" s="95">
        <v>0.12401627976373</v>
      </c>
      <c r="K254" s="137">
        <v>0.71011657722983001</v>
      </c>
      <c r="L254" s="137">
        <v>0.68181818181818199</v>
      </c>
      <c r="M254" s="137">
        <v>0.75256417034730305</v>
      </c>
      <c r="N254" s="136">
        <v>0</v>
      </c>
      <c r="O254" s="32">
        <v>43667</v>
      </c>
      <c r="P254" s="98">
        <f t="shared" si="18"/>
        <v>1</v>
      </c>
      <c r="Q254">
        <v>0</v>
      </c>
      <c r="R254">
        <v>0</v>
      </c>
      <c r="S254">
        <v>0</v>
      </c>
      <c r="T254" s="112" t="s">
        <v>73</v>
      </c>
      <c r="U254" s="137" t="s">
        <v>765</v>
      </c>
      <c r="V254" s="137" t="s">
        <v>766</v>
      </c>
      <c r="W254" s="69">
        <v>122</v>
      </c>
      <c r="X254" s="136">
        <v>3</v>
      </c>
      <c r="Y254" s="136">
        <v>3</v>
      </c>
      <c r="Z254" s="314"/>
      <c r="AA254" s="319">
        <v>0.45454545454545398</v>
      </c>
      <c r="AB254" s="315" t="s">
        <v>5176</v>
      </c>
      <c r="AC254" s="319">
        <v>3</v>
      </c>
      <c r="AD254" s="320">
        <v>4.0540540540540501E-2</v>
      </c>
      <c r="AE254" s="319">
        <v>4</v>
      </c>
      <c r="AF254" s="320">
        <v>5.4054054054054002E-2</v>
      </c>
      <c r="AG254" s="319">
        <v>1</v>
      </c>
      <c r="AH254" s="320">
        <v>1.35135135135135E-2</v>
      </c>
      <c r="AI254" s="319">
        <v>0</v>
      </c>
      <c r="AJ254" s="320">
        <v>0</v>
      </c>
      <c r="AK254" s="320">
        <v>0</v>
      </c>
      <c r="AL254" s="319">
        <v>5</v>
      </c>
      <c r="AM254" s="319">
        <v>5</v>
      </c>
      <c r="AN254" s="319">
        <v>2</v>
      </c>
      <c r="AO254" s="319">
        <v>0.4</v>
      </c>
      <c r="AP254">
        <v>3</v>
      </c>
      <c r="AR254" s="136"/>
      <c r="AS254">
        <v>3</v>
      </c>
      <c r="AT254" s="69">
        <v>2.3148</v>
      </c>
      <c r="AU254" s="69">
        <v>2.3148</v>
      </c>
      <c r="AV254" s="69">
        <v>2.3148</v>
      </c>
      <c r="AW254" s="69">
        <v>0.23150000000000001</v>
      </c>
      <c r="BB254" s="69"/>
    </row>
    <row r="255" spans="1:54" customFormat="1" ht="40" customHeight="1">
      <c r="A255" s="313">
        <v>254</v>
      </c>
      <c r="B255" s="136" t="s">
        <v>589</v>
      </c>
      <c r="C255" s="136" t="s">
        <v>45</v>
      </c>
      <c r="D255" s="31">
        <f t="shared" si="14"/>
        <v>4</v>
      </c>
      <c r="E255" s="137" t="s">
        <v>80</v>
      </c>
      <c r="F255" s="31">
        <f t="shared" si="15"/>
        <v>4</v>
      </c>
      <c r="G255" s="137" t="s">
        <v>767</v>
      </c>
      <c r="H255" s="138">
        <v>44</v>
      </c>
      <c r="I255" s="158">
        <f t="shared" si="17"/>
        <v>0.44899199819995539</v>
      </c>
      <c r="J255" s="95">
        <v>4.79839963999108E-2</v>
      </c>
      <c r="K255" s="137">
        <v>0.85</v>
      </c>
      <c r="L255" s="137">
        <v>0.75</v>
      </c>
      <c r="M255" s="137">
        <v>1</v>
      </c>
      <c r="N255" s="136">
        <v>1</v>
      </c>
      <c r="O255" s="32">
        <v>43663</v>
      </c>
      <c r="P255" s="98">
        <f t="shared" si="18"/>
        <v>0</v>
      </c>
      <c r="Q255">
        <v>2.5499999999999998</v>
      </c>
      <c r="R255">
        <v>1.65</v>
      </c>
      <c r="S255">
        <v>0</v>
      </c>
      <c r="T255" s="112" t="s">
        <v>48</v>
      </c>
      <c r="U255" s="137" t="s">
        <v>768</v>
      </c>
      <c r="V255" s="137" t="s">
        <v>769</v>
      </c>
      <c r="W255" s="69">
        <v>106</v>
      </c>
      <c r="X255" s="136">
        <v>1</v>
      </c>
      <c r="Y255" s="136">
        <v>0</v>
      </c>
      <c r="Z255" s="314"/>
      <c r="AA255" s="319">
        <v>0.59450000000000003</v>
      </c>
      <c r="AB255" s="315" t="s">
        <v>5176</v>
      </c>
      <c r="AC255" s="319">
        <v>3</v>
      </c>
      <c r="AD255" s="320">
        <v>4.8387096774193498E-2</v>
      </c>
      <c r="AE255" s="319">
        <v>5</v>
      </c>
      <c r="AF255" s="320">
        <v>8.0645161290322495E-2</v>
      </c>
      <c r="AG255" s="319">
        <v>1</v>
      </c>
      <c r="AH255" s="320">
        <v>1.6129032258064498E-2</v>
      </c>
      <c r="AI255" s="319">
        <v>0</v>
      </c>
      <c r="AJ255" s="320">
        <v>0</v>
      </c>
      <c r="AK255" s="320">
        <v>4.8387096774193547E-2</v>
      </c>
      <c r="AL255" s="319">
        <v>5</v>
      </c>
      <c r="AM255" s="319">
        <v>6.2</v>
      </c>
      <c r="AN255" s="319">
        <v>4.6666666666666599</v>
      </c>
      <c r="AO255" s="319">
        <v>0.52888888888888796</v>
      </c>
      <c r="AP255">
        <v>0</v>
      </c>
      <c r="AR255" s="136">
        <v>0</v>
      </c>
      <c r="AT255" s="69">
        <v>2.3148</v>
      </c>
      <c r="AU255" s="69">
        <v>5</v>
      </c>
      <c r="AV255" s="69">
        <v>8.1305999999999994</v>
      </c>
      <c r="AW255" s="69">
        <v>0.51480000000000004</v>
      </c>
      <c r="BB255" s="69"/>
    </row>
    <row r="256" spans="1:54" customFormat="1" ht="40" customHeight="1">
      <c r="A256" s="313">
        <v>255</v>
      </c>
      <c r="B256" s="136" t="s">
        <v>589</v>
      </c>
      <c r="C256" s="136" t="s">
        <v>45</v>
      </c>
      <c r="D256" s="31">
        <f t="shared" si="14"/>
        <v>4</v>
      </c>
      <c r="E256" s="137" t="s">
        <v>80</v>
      </c>
      <c r="F256" s="31">
        <f t="shared" si="15"/>
        <v>4</v>
      </c>
      <c r="G256" s="137" t="s">
        <v>770</v>
      </c>
      <c r="H256" s="138">
        <v>397</v>
      </c>
      <c r="I256" s="158">
        <f t="shared" si="17"/>
        <v>0.23165524031956342</v>
      </c>
      <c r="J256" s="95">
        <v>2.4186537149684101E-4</v>
      </c>
      <c r="K256" s="137">
        <v>0.46306861526762999</v>
      </c>
      <c r="L256" s="137">
        <v>0.31807321377936298</v>
      </c>
      <c r="M256" s="137">
        <v>0.68056171750003003</v>
      </c>
      <c r="N256" s="136">
        <v>1</v>
      </c>
      <c r="O256" s="32">
        <v>43650</v>
      </c>
      <c r="P256" s="98">
        <f t="shared" si="18"/>
        <v>0</v>
      </c>
      <c r="Q256">
        <v>5.0999999999999996</v>
      </c>
      <c r="R256">
        <v>1.65</v>
      </c>
      <c r="S256">
        <v>1.87</v>
      </c>
      <c r="T256" s="112" t="s">
        <v>48</v>
      </c>
      <c r="U256" s="137" t="s">
        <v>771</v>
      </c>
      <c r="V256" s="137" t="s">
        <v>772</v>
      </c>
      <c r="W256" s="69">
        <v>182</v>
      </c>
      <c r="X256" s="136">
        <v>1</v>
      </c>
      <c r="Y256" s="136">
        <v>5</v>
      </c>
      <c r="Z256" s="314"/>
      <c r="AA256" s="319">
        <v>9.0189184267326495E-6</v>
      </c>
      <c r="AB256" s="315" t="s">
        <v>5165</v>
      </c>
      <c r="AC256" s="319">
        <v>3</v>
      </c>
      <c r="AD256" s="320">
        <v>2.83018867924528E-2</v>
      </c>
      <c r="AE256" s="319">
        <v>1</v>
      </c>
      <c r="AF256" s="320">
        <v>9.4339622641509396E-3</v>
      </c>
      <c r="AG256" s="319">
        <v>0</v>
      </c>
      <c r="AH256" s="320">
        <v>0</v>
      </c>
      <c r="AI256" s="319">
        <v>0</v>
      </c>
      <c r="AJ256" s="320">
        <v>0</v>
      </c>
      <c r="AK256" s="320">
        <v>0</v>
      </c>
      <c r="AL256" s="319">
        <v>5</v>
      </c>
      <c r="AM256" s="319">
        <v>6.2</v>
      </c>
      <c r="AN256" s="319">
        <v>7.3333333333333304</v>
      </c>
      <c r="AO256" s="319">
        <v>0.61777777777777698</v>
      </c>
      <c r="AP256">
        <v>5</v>
      </c>
      <c r="AR256" s="136">
        <v>5</v>
      </c>
      <c r="AT256" s="69">
        <v>2.3148</v>
      </c>
      <c r="AU256" s="69">
        <v>5</v>
      </c>
      <c r="AV256" s="69">
        <v>9.8416999999999994</v>
      </c>
      <c r="AW256" s="69">
        <v>0.57189999999999996</v>
      </c>
      <c r="BB256" s="69"/>
    </row>
    <row r="257" spans="1:54" customFormat="1" ht="40" customHeight="1">
      <c r="A257" s="313">
        <v>256</v>
      </c>
      <c r="B257" s="136" t="s">
        <v>589</v>
      </c>
      <c r="C257" s="136" t="s">
        <v>45</v>
      </c>
      <c r="D257" s="31">
        <f t="shared" si="14"/>
        <v>4</v>
      </c>
      <c r="E257" s="137" t="s">
        <v>80</v>
      </c>
      <c r="F257" s="31">
        <f t="shared" si="15"/>
        <v>4</v>
      </c>
      <c r="G257" s="137" t="s">
        <v>773</v>
      </c>
      <c r="H257" s="138">
        <v>106</v>
      </c>
      <c r="I257" s="158">
        <f t="shared" si="17"/>
        <v>0.89640944792234545</v>
      </c>
      <c r="J257" s="95">
        <v>0.99996175298754797</v>
      </c>
      <c r="K257" s="137">
        <v>0.79285714285714304</v>
      </c>
      <c r="L257" s="137">
        <v>0.75</v>
      </c>
      <c r="M257" s="137">
        <v>0.85714285714285698</v>
      </c>
      <c r="N257" s="136">
        <v>1</v>
      </c>
      <c r="O257" s="32">
        <v>43643</v>
      </c>
      <c r="P257" s="98">
        <f t="shared" si="18"/>
        <v>2</v>
      </c>
      <c r="Q257">
        <v>0</v>
      </c>
      <c r="R257">
        <v>1.65</v>
      </c>
      <c r="S257">
        <v>1.87</v>
      </c>
      <c r="T257" s="112" t="s">
        <v>64</v>
      </c>
      <c r="U257" s="137" t="s">
        <v>774</v>
      </c>
      <c r="V257" s="137" t="s">
        <v>775</v>
      </c>
      <c r="W257" s="69">
        <v>64</v>
      </c>
      <c r="X257" s="136">
        <v>1</v>
      </c>
      <c r="Y257" s="136">
        <v>1</v>
      </c>
      <c r="Z257" s="314"/>
      <c r="AA257" s="319">
        <v>0.55000000000000004</v>
      </c>
      <c r="AB257" s="315" t="s">
        <v>5165</v>
      </c>
      <c r="AC257" s="319">
        <v>2</v>
      </c>
      <c r="AD257" s="320">
        <v>5.1282051282051197E-2</v>
      </c>
      <c r="AE257" s="319">
        <v>0</v>
      </c>
      <c r="AF257" s="320">
        <v>0</v>
      </c>
      <c r="AG257" s="319">
        <v>1</v>
      </c>
      <c r="AH257" s="320">
        <v>2.5641025641025599E-2</v>
      </c>
      <c r="AI257" s="319">
        <v>0</v>
      </c>
      <c r="AJ257" s="320">
        <v>0</v>
      </c>
      <c r="AK257" s="320">
        <v>0</v>
      </c>
      <c r="AL257" s="319">
        <v>5</v>
      </c>
      <c r="AM257" s="319">
        <v>6.2</v>
      </c>
      <c r="AN257" s="319">
        <v>2</v>
      </c>
      <c r="AO257" s="319">
        <v>0.44</v>
      </c>
      <c r="AP257">
        <v>1</v>
      </c>
      <c r="AQ257">
        <v>1</v>
      </c>
      <c r="AR257" s="136"/>
      <c r="AT257" s="69">
        <v>2.3148</v>
      </c>
      <c r="AU257" s="69">
        <v>5</v>
      </c>
      <c r="AV257" s="69">
        <v>2.3148</v>
      </c>
      <c r="AW257" s="69">
        <v>0.32100000000000001</v>
      </c>
      <c r="BB257" s="69"/>
    </row>
    <row r="258" spans="1:54" customFormat="1" ht="40" customHeight="1">
      <c r="A258" s="313">
        <v>257</v>
      </c>
      <c r="B258" s="136" t="s">
        <v>589</v>
      </c>
      <c r="C258" s="136" t="s">
        <v>45</v>
      </c>
      <c r="D258" s="31">
        <f t="shared" ref="D258:D321" si="20">IF(C258="投诉",4,IF(C258="建议",1,IF(C258="举报",2,IF(C258="求助",3,5))))</f>
        <v>4</v>
      </c>
      <c r="E258" s="137" t="s">
        <v>80</v>
      </c>
      <c r="F258" s="31">
        <f t="shared" ref="F258:F321" si="21">IF(E258="12345app",1,IF(E258="e福州app",2,IF(E258="qq",3,IF(E258="电话",4,IF(E258="短信",5,IF(E258="网站",6,IF(E258="微博",7,IF(E258="微信",8,9))))))))</f>
        <v>4</v>
      </c>
      <c r="G258" s="137" t="s">
        <v>159</v>
      </c>
      <c r="H258" s="138">
        <v>91</v>
      </c>
      <c r="I258" s="158">
        <f t="shared" ref="I258:I321" si="22">(J258+K258)/2</f>
        <v>0.37756857106366976</v>
      </c>
      <c r="J258" s="95">
        <v>1.0798457209249E-4</v>
      </c>
      <c r="K258" s="137">
        <v>0.75502915755524702</v>
      </c>
      <c r="L258" s="137">
        <v>0.82499999999999996</v>
      </c>
      <c r="M258" s="137">
        <v>0.65007289388811795</v>
      </c>
      <c r="N258" s="136">
        <v>1</v>
      </c>
      <c r="O258" s="32">
        <v>43641</v>
      </c>
      <c r="P258" s="98">
        <f t="shared" ref="P258:P321" si="23">IF(T258="利己",0,IF(T258="生态",2,1))</f>
        <v>0</v>
      </c>
      <c r="Q258">
        <v>10.199999999999999</v>
      </c>
      <c r="R258">
        <v>0</v>
      </c>
      <c r="S258">
        <v>0</v>
      </c>
      <c r="T258" s="112" t="s">
        <v>48</v>
      </c>
      <c r="U258" s="137" t="s">
        <v>776</v>
      </c>
      <c r="V258" s="137" t="s">
        <v>777</v>
      </c>
      <c r="W258" s="69">
        <v>59</v>
      </c>
      <c r="X258" s="136">
        <v>1</v>
      </c>
      <c r="Y258" s="136">
        <v>6</v>
      </c>
      <c r="Z258" s="314"/>
      <c r="AA258" s="319">
        <v>0.54500000000000004</v>
      </c>
      <c r="AB258" s="315" t="s">
        <v>5165</v>
      </c>
      <c r="AC258" s="319">
        <v>2</v>
      </c>
      <c r="AD258" s="320">
        <v>6.0606060606060601E-2</v>
      </c>
      <c r="AE258" s="319">
        <v>1</v>
      </c>
      <c r="AF258" s="320">
        <v>3.03030303030303E-2</v>
      </c>
      <c r="AG258" s="319">
        <v>1</v>
      </c>
      <c r="AH258" s="320">
        <v>3.03030303030303E-2</v>
      </c>
      <c r="AI258" s="319">
        <v>1</v>
      </c>
      <c r="AJ258" s="320">
        <v>3.03030303030303E-2</v>
      </c>
      <c r="AK258" s="320">
        <v>3.03030303030303E-2</v>
      </c>
      <c r="AL258" s="319">
        <v>6.75</v>
      </c>
      <c r="AM258" s="319">
        <v>5</v>
      </c>
      <c r="AN258" s="319">
        <v>7.3333333333333304</v>
      </c>
      <c r="AO258" s="319">
        <v>0.63611111111111096</v>
      </c>
      <c r="AP258">
        <v>6</v>
      </c>
      <c r="AR258" s="136"/>
      <c r="AS258">
        <v>6</v>
      </c>
      <c r="AT258" s="69">
        <v>6.3414000000000001</v>
      </c>
      <c r="AU258" s="69">
        <v>2.3148</v>
      </c>
      <c r="AV258" s="69">
        <v>9.8416999999999994</v>
      </c>
      <c r="AW258" s="69">
        <v>0.61660000000000004</v>
      </c>
      <c r="BB258" s="69"/>
    </row>
    <row r="259" spans="1:54" customFormat="1" ht="40" customHeight="1">
      <c r="A259" s="313">
        <v>258</v>
      </c>
      <c r="B259" s="136" t="s">
        <v>589</v>
      </c>
      <c r="C259" s="136" t="s">
        <v>45</v>
      </c>
      <c r="D259" s="31">
        <f t="shared" si="20"/>
        <v>4</v>
      </c>
      <c r="E259" s="137" t="s">
        <v>80</v>
      </c>
      <c r="F259" s="31">
        <f t="shared" si="21"/>
        <v>4</v>
      </c>
      <c r="G259" s="137" t="s">
        <v>778</v>
      </c>
      <c r="H259" s="138">
        <v>54</v>
      </c>
      <c r="I259" s="158">
        <f t="shared" si="22"/>
        <v>0.45636793612135396</v>
      </c>
      <c r="J259" s="95">
        <v>0.116710204103787</v>
      </c>
      <c r="K259" s="137">
        <v>0.79602566813892095</v>
      </c>
      <c r="L259" s="137">
        <v>0.82499999999999996</v>
      </c>
      <c r="M259" s="137">
        <v>0.75256417034730305</v>
      </c>
      <c r="N259" s="136">
        <v>1</v>
      </c>
      <c r="O259" s="32">
        <v>43641</v>
      </c>
      <c r="P259" s="98">
        <f t="shared" si="23"/>
        <v>0</v>
      </c>
      <c r="Q259">
        <v>7.65</v>
      </c>
      <c r="R259">
        <v>0</v>
      </c>
      <c r="S259">
        <v>0</v>
      </c>
      <c r="T259" s="112" t="s">
        <v>48</v>
      </c>
      <c r="U259" s="137" t="s">
        <v>779</v>
      </c>
      <c r="V259" s="137" t="s">
        <v>780</v>
      </c>
      <c r="W259" s="69">
        <v>49</v>
      </c>
      <c r="X259" s="136">
        <v>1</v>
      </c>
      <c r="Y259" s="136">
        <v>3</v>
      </c>
      <c r="Z259" s="314"/>
      <c r="AA259" s="319">
        <v>0.54500000000000004</v>
      </c>
      <c r="AB259" s="315" t="s">
        <v>5165</v>
      </c>
      <c r="AC259" s="319">
        <v>2</v>
      </c>
      <c r="AD259" s="320">
        <v>7.1428571428571397E-2</v>
      </c>
      <c r="AE259" s="319">
        <v>1</v>
      </c>
      <c r="AF259" s="320">
        <v>3.5714285714285698E-2</v>
      </c>
      <c r="AG259" s="319">
        <v>1</v>
      </c>
      <c r="AH259" s="320">
        <v>3.5714285714285698E-2</v>
      </c>
      <c r="AI259" s="319">
        <v>1</v>
      </c>
      <c r="AJ259" s="320">
        <v>3.5714285714285698E-2</v>
      </c>
      <c r="AK259" s="320">
        <v>0</v>
      </c>
      <c r="AL259" s="319">
        <v>6.75</v>
      </c>
      <c r="AM259" s="319">
        <v>5</v>
      </c>
      <c r="AN259" s="319">
        <v>7.3333333333333304</v>
      </c>
      <c r="AO259" s="319">
        <v>0.63611111111111096</v>
      </c>
      <c r="AP259">
        <v>3</v>
      </c>
      <c r="AR259" s="136"/>
      <c r="AS259">
        <v>3</v>
      </c>
      <c r="AT259" s="69">
        <v>6.3414000000000001</v>
      </c>
      <c r="AU259" s="69">
        <v>2.3148</v>
      </c>
      <c r="AV259" s="69">
        <v>9.8416999999999994</v>
      </c>
      <c r="AW259" s="69">
        <v>0.61660000000000004</v>
      </c>
      <c r="BB259" s="69"/>
    </row>
    <row r="260" spans="1:54" customFormat="1" ht="40" customHeight="1">
      <c r="A260" s="313">
        <v>259</v>
      </c>
      <c r="B260" s="136" t="s">
        <v>589</v>
      </c>
      <c r="C260" s="136" t="s">
        <v>45</v>
      </c>
      <c r="D260" s="31">
        <f t="shared" si="20"/>
        <v>4</v>
      </c>
      <c r="E260" s="137" t="s">
        <v>80</v>
      </c>
      <c r="F260" s="31">
        <f t="shared" si="21"/>
        <v>4</v>
      </c>
      <c r="G260" s="137" t="s">
        <v>781</v>
      </c>
      <c r="H260" s="138">
        <v>71</v>
      </c>
      <c r="I260" s="158">
        <f t="shared" si="22"/>
        <v>0.39649449544812743</v>
      </c>
      <c r="J260" s="95">
        <v>1.31848039111815E-4</v>
      </c>
      <c r="K260" s="137">
        <v>0.79285714285714304</v>
      </c>
      <c r="L260" s="137">
        <v>0.75</v>
      </c>
      <c r="M260" s="137">
        <v>0.85714285714285698</v>
      </c>
      <c r="N260" s="136">
        <v>1</v>
      </c>
      <c r="O260" s="32">
        <v>43636</v>
      </c>
      <c r="P260" s="98">
        <f t="shared" si="23"/>
        <v>0</v>
      </c>
      <c r="Q260">
        <v>7.65</v>
      </c>
      <c r="R260">
        <v>0</v>
      </c>
      <c r="S260">
        <v>0</v>
      </c>
      <c r="T260" s="112" t="s">
        <v>48</v>
      </c>
      <c r="U260" s="137" t="s">
        <v>782</v>
      </c>
      <c r="V260" s="137" t="s">
        <v>769</v>
      </c>
      <c r="W260" s="69">
        <v>106</v>
      </c>
      <c r="X260" s="136">
        <v>1</v>
      </c>
      <c r="Y260" s="136">
        <v>1</v>
      </c>
      <c r="Z260" s="314"/>
      <c r="AA260" s="319">
        <v>0.5</v>
      </c>
      <c r="AB260" s="315" t="s">
        <v>5176</v>
      </c>
      <c r="AC260" s="319">
        <v>3</v>
      </c>
      <c r="AD260" s="320">
        <v>4.8387096774193498E-2</v>
      </c>
      <c r="AE260" s="319">
        <v>5</v>
      </c>
      <c r="AF260" s="320">
        <v>8.0645161290322495E-2</v>
      </c>
      <c r="AG260" s="319">
        <v>1</v>
      </c>
      <c r="AH260" s="320">
        <v>1.6129032258064498E-2</v>
      </c>
      <c r="AI260" s="319">
        <v>0</v>
      </c>
      <c r="AJ260" s="320">
        <v>0</v>
      </c>
      <c r="AK260" s="320">
        <v>4.8387096774193547E-2</v>
      </c>
      <c r="AL260" s="319">
        <v>6.75</v>
      </c>
      <c r="AM260" s="319">
        <v>5</v>
      </c>
      <c r="AN260" s="319">
        <v>4.6666666666666599</v>
      </c>
      <c r="AO260" s="319">
        <v>0.54722222222222205</v>
      </c>
      <c r="AP260">
        <v>1</v>
      </c>
      <c r="AQ260">
        <v>1</v>
      </c>
      <c r="AR260" s="136"/>
      <c r="AT260" s="69">
        <v>6.3414000000000001</v>
      </c>
      <c r="AU260" s="69">
        <v>2.3148</v>
      </c>
      <c r="AV260" s="69">
        <v>8.1305999999999994</v>
      </c>
      <c r="AW260" s="69">
        <v>0.55959999999999999</v>
      </c>
      <c r="BB260" s="69"/>
    </row>
    <row r="261" spans="1:54" customFormat="1" ht="40" customHeight="1">
      <c r="A261" s="313">
        <v>260</v>
      </c>
      <c r="B261" s="136" t="s">
        <v>589</v>
      </c>
      <c r="C261" s="136" t="s">
        <v>45</v>
      </c>
      <c r="D261" s="31">
        <f t="shared" si="20"/>
        <v>4</v>
      </c>
      <c r="E261" s="137" t="s">
        <v>46</v>
      </c>
      <c r="F261" s="31">
        <f t="shared" si="21"/>
        <v>6</v>
      </c>
      <c r="G261" s="137" t="s">
        <v>783</v>
      </c>
      <c r="H261" s="138">
        <v>260</v>
      </c>
      <c r="I261" s="158">
        <f t="shared" si="22"/>
        <v>0.34874024114629837</v>
      </c>
      <c r="J261" s="95">
        <v>6.3918594104927003E-3</v>
      </c>
      <c r="K261" s="137">
        <v>0.69108862288210404</v>
      </c>
      <c r="L261" s="137">
        <v>0.61983471074380103</v>
      </c>
      <c r="M261" s="137">
        <v>0.79796949108955795</v>
      </c>
      <c r="N261" s="136">
        <v>1</v>
      </c>
      <c r="O261" s="32">
        <v>43635</v>
      </c>
      <c r="P261" s="98">
        <f t="shared" si="23"/>
        <v>0</v>
      </c>
      <c r="Q261">
        <v>5.0999999999999996</v>
      </c>
      <c r="R261">
        <v>0</v>
      </c>
      <c r="S261">
        <v>1.87</v>
      </c>
      <c r="T261" s="112" t="s">
        <v>48</v>
      </c>
      <c r="U261" s="137" t="s">
        <v>784</v>
      </c>
      <c r="V261" s="137" t="s">
        <v>785</v>
      </c>
      <c r="W261" s="69">
        <v>42</v>
      </c>
      <c r="X261" s="136">
        <v>1</v>
      </c>
      <c r="Y261" s="136">
        <v>2</v>
      </c>
      <c r="Z261" s="314"/>
      <c r="AA261" s="319">
        <v>9.98202319436013E-3</v>
      </c>
      <c r="AB261" s="315" t="s">
        <v>5169</v>
      </c>
      <c r="AC261" s="319">
        <v>1</v>
      </c>
      <c r="AD261" s="320">
        <v>4.1666666666666602E-2</v>
      </c>
      <c r="AE261" s="319">
        <v>0</v>
      </c>
      <c r="AF261" s="320">
        <v>0</v>
      </c>
      <c r="AG261" s="319">
        <v>1</v>
      </c>
      <c r="AH261" s="320">
        <v>4.1666666666666602E-2</v>
      </c>
      <c r="AI261" s="319">
        <v>0</v>
      </c>
      <c r="AJ261" s="320">
        <v>0</v>
      </c>
      <c r="AK261" s="320">
        <v>0</v>
      </c>
      <c r="AL261" s="319">
        <v>5</v>
      </c>
      <c r="AM261" s="319">
        <v>6.2</v>
      </c>
      <c r="AN261" s="319">
        <v>3.5</v>
      </c>
      <c r="AO261" s="319">
        <v>0.49</v>
      </c>
      <c r="AP261">
        <v>2</v>
      </c>
      <c r="AR261" s="136"/>
      <c r="AS261">
        <v>2</v>
      </c>
      <c r="AT261" s="69">
        <v>2.3148</v>
      </c>
      <c r="AU261" s="69">
        <v>5</v>
      </c>
      <c r="AV261" s="69">
        <v>5.7443999999999997</v>
      </c>
      <c r="AW261" s="69">
        <v>0.43530000000000002</v>
      </c>
      <c r="BB261" s="69"/>
    </row>
    <row r="262" spans="1:54" customFormat="1" ht="40" customHeight="1">
      <c r="A262" s="313">
        <v>261</v>
      </c>
      <c r="B262" s="136" t="s">
        <v>589</v>
      </c>
      <c r="C262" s="136" t="s">
        <v>45</v>
      </c>
      <c r="D262" s="31">
        <f t="shared" si="20"/>
        <v>4</v>
      </c>
      <c r="E262" s="137" t="s">
        <v>80</v>
      </c>
      <c r="F262" s="31">
        <f t="shared" si="21"/>
        <v>4</v>
      </c>
      <c r="G262" s="137" t="s">
        <v>786</v>
      </c>
      <c r="H262" s="138">
        <v>46</v>
      </c>
      <c r="I262" s="158">
        <f t="shared" si="22"/>
        <v>0.40625784793675379</v>
      </c>
      <c r="J262" s="95">
        <v>4.5291008873495603E-2</v>
      </c>
      <c r="K262" s="137">
        <v>0.76722468700001201</v>
      </c>
      <c r="L262" s="137">
        <v>0.82499999999999996</v>
      </c>
      <c r="M262" s="137">
        <v>0.68056171750003003</v>
      </c>
      <c r="N262" s="136">
        <v>1</v>
      </c>
      <c r="O262" s="32">
        <v>43635</v>
      </c>
      <c r="P262" s="98">
        <f t="shared" si="23"/>
        <v>0</v>
      </c>
      <c r="Q262">
        <v>5.0999999999999996</v>
      </c>
      <c r="R262">
        <v>0</v>
      </c>
      <c r="S262">
        <v>0</v>
      </c>
      <c r="T262" s="112" t="s">
        <v>48</v>
      </c>
      <c r="U262" s="137" t="s">
        <v>787</v>
      </c>
      <c r="V262" s="137" t="s">
        <v>788</v>
      </c>
      <c r="W262" s="69">
        <v>46</v>
      </c>
      <c r="X262" s="136">
        <v>4</v>
      </c>
      <c r="Y262" s="136">
        <v>5</v>
      </c>
      <c r="Z262" s="314"/>
      <c r="AA262" s="319">
        <v>0.54500000000000004</v>
      </c>
      <c r="AB262" s="315" t="s">
        <v>5193</v>
      </c>
      <c r="AC262" s="319">
        <v>1</v>
      </c>
      <c r="AD262" s="320">
        <v>3.8461538461538401E-2</v>
      </c>
      <c r="AE262" s="319">
        <v>1</v>
      </c>
      <c r="AF262" s="320">
        <v>3.8461538461538401E-2</v>
      </c>
      <c r="AG262" s="319">
        <v>0</v>
      </c>
      <c r="AH262" s="320">
        <v>0</v>
      </c>
      <c r="AI262" s="319">
        <v>1</v>
      </c>
      <c r="AJ262" s="320">
        <v>3.8461538461538401E-2</v>
      </c>
      <c r="AK262" s="320">
        <v>0</v>
      </c>
      <c r="AL262" s="319">
        <v>6.75</v>
      </c>
      <c r="AM262" s="319">
        <v>5</v>
      </c>
      <c r="AN262" s="319">
        <v>7.3333333333333304</v>
      </c>
      <c r="AO262" s="319">
        <v>0.63611111111111096</v>
      </c>
      <c r="AP262">
        <v>5</v>
      </c>
      <c r="AR262" s="136"/>
      <c r="AS262">
        <v>5</v>
      </c>
      <c r="AT262" s="69">
        <v>6.3414000000000001</v>
      </c>
      <c r="AU262" s="69">
        <v>2.3148</v>
      </c>
      <c r="AV262" s="69">
        <v>9.8416999999999994</v>
      </c>
      <c r="AW262" s="69">
        <v>0.61660000000000004</v>
      </c>
      <c r="BB262" s="69"/>
    </row>
    <row r="263" spans="1:54" customFormat="1" ht="40" customHeight="1">
      <c r="A263" s="313">
        <v>262</v>
      </c>
      <c r="B263" s="136" t="s">
        <v>589</v>
      </c>
      <c r="C263" s="136" t="s">
        <v>45</v>
      </c>
      <c r="D263" s="31">
        <f t="shared" si="20"/>
        <v>4</v>
      </c>
      <c r="E263" s="137" t="s">
        <v>80</v>
      </c>
      <c r="F263" s="31">
        <f t="shared" si="21"/>
        <v>4</v>
      </c>
      <c r="G263" s="137" t="s">
        <v>778</v>
      </c>
      <c r="H263" s="138">
        <v>50</v>
      </c>
      <c r="I263" s="158">
        <f t="shared" si="22"/>
        <v>0.41938716673388993</v>
      </c>
      <c r="J263" s="95">
        <v>9.1719061063688699E-4</v>
      </c>
      <c r="K263" s="137">
        <v>0.83785714285714297</v>
      </c>
      <c r="L263" s="137">
        <v>0.82499999999999996</v>
      </c>
      <c r="M263" s="137">
        <v>0.85714285714285698</v>
      </c>
      <c r="N263" s="136">
        <v>1</v>
      </c>
      <c r="O263" s="32">
        <v>43634</v>
      </c>
      <c r="P263" s="98">
        <f t="shared" si="23"/>
        <v>0</v>
      </c>
      <c r="Q263">
        <v>5.0999999999999996</v>
      </c>
      <c r="R263">
        <v>1.65</v>
      </c>
      <c r="S263">
        <v>0</v>
      </c>
      <c r="T263" s="112" t="s">
        <v>48</v>
      </c>
      <c r="U263" s="137" t="s">
        <v>789</v>
      </c>
      <c r="V263" s="137" t="s">
        <v>790</v>
      </c>
      <c r="W263" s="69">
        <v>56</v>
      </c>
      <c r="X263" s="136">
        <v>1</v>
      </c>
      <c r="Y263" s="136">
        <v>1</v>
      </c>
      <c r="Z263" s="314"/>
      <c r="AA263" s="319">
        <v>0.54500000000000004</v>
      </c>
      <c r="AB263" s="315" t="s">
        <v>5165</v>
      </c>
      <c r="AC263" s="319">
        <v>2</v>
      </c>
      <c r="AD263" s="320">
        <v>5.7142857142857099E-2</v>
      </c>
      <c r="AE263" s="319">
        <v>1</v>
      </c>
      <c r="AF263" s="320">
        <v>2.8571428571428501E-2</v>
      </c>
      <c r="AG263" s="319">
        <v>0</v>
      </c>
      <c r="AH263" s="320">
        <v>0</v>
      </c>
      <c r="AI263" s="319">
        <v>0</v>
      </c>
      <c r="AJ263" s="320">
        <v>0</v>
      </c>
      <c r="AK263" s="320">
        <v>0</v>
      </c>
      <c r="AL263" s="319">
        <v>6.75</v>
      </c>
      <c r="AM263" s="319">
        <v>5</v>
      </c>
      <c r="AN263" s="319">
        <v>7.3333333333333304</v>
      </c>
      <c r="AO263" s="319">
        <v>0.63611111111111096</v>
      </c>
      <c r="AP263">
        <v>1</v>
      </c>
      <c r="AR263" s="136"/>
      <c r="AS263">
        <v>1</v>
      </c>
      <c r="AT263" s="69">
        <v>6.3414000000000001</v>
      </c>
      <c r="AU263" s="69">
        <v>2.3148</v>
      </c>
      <c r="AV263" s="69">
        <v>9.8416999999999994</v>
      </c>
      <c r="AW263" s="69">
        <v>0.61660000000000004</v>
      </c>
      <c r="BB263" s="69"/>
    </row>
    <row r="264" spans="1:54" customFormat="1" ht="40" customHeight="1">
      <c r="A264" s="313">
        <v>263</v>
      </c>
      <c r="B264" s="136" t="s">
        <v>589</v>
      </c>
      <c r="C264" s="136" t="s">
        <v>45</v>
      </c>
      <c r="D264" s="31">
        <f t="shared" si="20"/>
        <v>4</v>
      </c>
      <c r="E264" s="137" t="s">
        <v>46</v>
      </c>
      <c r="F264" s="31">
        <f t="shared" si="21"/>
        <v>6</v>
      </c>
      <c r="G264" s="137" t="s">
        <v>791</v>
      </c>
      <c r="H264" s="138">
        <v>145</v>
      </c>
      <c r="I264" s="158">
        <f t="shared" si="22"/>
        <v>0.87934342587797598</v>
      </c>
      <c r="J264" s="95">
        <v>0.98949905532012905</v>
      </c>
      <c r="K264" s="137">
        <v>0.76918779643582302</v>
      </c>
      <c r="L264" s="137">
        <v>0.75</v>
      </c>
      <c r="M264" s="137">
        <v>0.79796949108955795</v>
      </c>
      <c r="N264" s="136">
        <v>1</v>
      </c>
      <c r="O264" s="32">
        <v>43633</v>
      </c>
      <c r="P264" s="98">
        <f t="shared" si="23"/>
        <v>2</v>
      </c>
      <c r="Q264">
        <v>0</v>
      </c>
      <c r="R264">
        <v>1.65</v>
      </c>
      <c r="S264">
        <v>1.87</v>
      </c>
      <c r="T264" s="112" t="s">
        <v>64</v>
      </c>
      <c r="U264" s="137" t="s">
        <v>792</v>
      </c>
      <c r="V264" s="137" t="s">
        <v>793</v>
      </c>
      <c r="W264" s="69">
        <v>67</v>
      </c>
      <c r="X264" s="136">
        <v>1</v>
      </c>
      <c r="Y264" s="136">
        <v>2</v>
      </c>
      <c r="Z264" s="314"/>
      <c r="AA264" s="319">
        <v>0.5</v>
      </c>
      <c r="AB264" s="315" t="s">
        <v>5178</v>
      </c>
      <c r="AC264" s="319">
        <v>2</v>
      </c>
      <c r="AD264" s="320">
        <v>4.54545454545454E-2</v>
      </c>
      <c r="AE264" s="319">
        <v>2</v>
      </c>
      <c r="AF264" s="320">
        <v>4.54545454545454E-2</v>
      </c>
      <c r="AG264" s="319">
        <v>1</v>
      </c>
      <c r="AH264" s="320">
        <v>2.27272727272727E-2</v>
      </c>
      <c r="AI264" s="319">
        <v>0</v>
      </c>
      <c r="AJ264" s="320">
        <v>0</v>
      </c>
      <c r="AK264" s="320">
        <v>4.5454545454545463E-2</v>
      </c>
      <c r="AL264" s="319">
        <v>5</v>
      </c>
      <c r="AM264" s="319">
        <v>9.5333333333333297</v>
      </c>
      <c r="AN264" s="319">
        <v>2</v>
      </c>
      <c r="AO264" s="319">
        <v>0.551111111111111</v>
      </c>
      <c r="AP264">
        <v>2</v>
      </c>
      <c r="AQ264">
        <v>2</v>
      </c>
      <c r="AR264" s="136"/>
      <c r="AT264" s="69">
        <v>2.3148</v>
      </c>
      <c r="AU264" s="69">
        <v>9.6544000000000008</v>
      </c>
      <c r="AV264" s="69">
        <v>2.3148</v>
      </c>
      <c r="AW264" s="69">
        <v>0.47610000000000002</v>
      </c>
      <c r="BB264" s="69"/>
    </row>
    <row r="265" spans="1:54" customFormat="1" ht="40" customHeight="1">
      <c r="A265" s="313">
        <v>264</v>
      </c>
      <c r="B265" s="136" t="s">
        <v>589</v>
      </c>
      <c r="C265" s="136" t="s">
        <v>45</v>
      </c>
      <c r="D265" s="31">
        <f t="shared" si="20"/>
        <v>4</v>
      </c>
      <c r="E265" s="137" t="s">
        <v>221</v>
      </c>
      <c r="F265" s="31">
        <f t="shared" si="21"/>
        <v>2</v>
      </c>
      <c r="G265" s="137" t="s">
        <v>794</v>
      </c>
      <c r="H265" s="138">
        <v>38</v>
      </c>
      <c r="I265" s="158">
        <f t="shared" si="22"/>
        <v>0.27413079295744841</v>
      </c>
      <c r="J265" s="95">
        <v>2.5299381289688402E-3</v>
      </c>
      <c r="K265" s="137">
        <v>0.54573164778592798</v>
      </c>
      <c r="L265" s="137">
        <v>0.51226009152380303</v>
      </c>
      <c r="M265" s="137">
        <v>0.59593898217911601</v>
      </c>
      <c r="N265" s="136">
        <v>0</v>
      </c>
      <c r="O265" s="32">
        <v>43628</v>
      </c>
      <c r="P265" s="98">
        <f t="shared" si="23"/>
        <v>0</v>
      </c>
      <c r="Q265">
        <v>2.5499999999999998</v>
      </c>
      <c r="R265">
        <v>0</v>
      </c>
      <c r="S265">
        <v>0</v>
      </c>
      <c r="T265" s="112" t="s">
        <v>48</v>
      </c>
      <c r="U265" s="137" t="s">
        <v>795</v>
      </c>
      <c r="V265" s="137" t="s">
        <v>796</v>
      </c>
      <c r="W265" s="69">
        <v>84</v>
      </c>
      <c r="X265" s="136">
        <v>3</v>
      </c>
      <c r="Y265" s="136">
        <v>8</v>
      </c>
      <c r="Z265" s="314"/>
      <c r="AA265" s="319">
        <v>1.00736013888038E-2</v>
      </c>
      <c r="AB265" s="315" t="s">
        <v>5169</v>
      </c>
      <c r="AC265" s="319">
        <v>2</v>
      </c>
      <c r="AD265" s="320">
        <v>0.04</v>
      </c>
      <c r="AE265" s="319">
        <v>1</v>
      </c>
      <c r="AF265" s="320">
        <v>0.02</v>
      </c>
      <c r="AG265" s="319">
        <v>2</v>
      </c>
      <c r="AH265" s="320">
        <v>0.04</v>
      </c>
      <c r="AI265" s="319">
        <v>0</v>
      </c>
      <c r="AJ265" s="320">
        <v>0</v>
      </c>
      <c r="AK265" s="320">
        <v>0.02</v>
      </c>
      <c r="AL265" s="319">
        <v>5</v>
      </c>
      <c r="AM265" s="319">
        <v>5</v>
      </c>
      <c r="AN265" s="319">
        <v>4.6666666666666599</v>
      </c>
      <c r="AO265" s="319">
        <v>0.48888888888888798</v>
      </c>
      <c r="AP265">
        <v>8</v>
      </c>
      <c r="AQ265">
        <v>8</v>
      </c>
      <c r="AR265" s="136"/>
      <c r="AT265" s="69">
        <v>2.3148</v>
      </c>
      <c r="AU265" s="69">
        <v>2.3148</v>
      </c>
      <c r="AV265" s="69">
        <v>8.1305999999999994</v>
      </c>
      <c r="AW265" s="69">
        <v>0.42530000000000001</v>
      </c>
      <c r="BB265" s="69"/>
    </row>
    <row r="266" spans="1:54" customFormat="1" ht="40" customHeight="1">
      <c r="A266" s="313">
        <v>265</v>
      </c>
      <c r="B266" s="136" t="s">
        <v>589</v>
      </c>
      <c r="C266" s="136" t="s">
        <v>45</v>
      </c>
      <c r="D266" s="31">
        <f t="shared" si="20"/>
        <v>4</v>
      </c>
      <c r="E266" s="137" t="s">
        <v>80</v>
      </c>
      <c r="F266" s="31">
        <f t="shared" si="21"/>
        <v>4</v>
      </c>
      <c r="G266" s="137" t="s">
        <v>797</v>
      </c>
      <c r="H266" s="138">
        <v>107</v>
      </c>
      <c r="I266" s="158">
        <f t="shared" si="22"/>
        <v>0.76059386463114809</v>
      </c>
      <c r="J266" s="95">
        <v>0.84826123467709402</v>
      </c>
      <c r="K266" s="137">
        <v>0.67292649458520204</v>
      </c>
      <c r="L266" s="137">
        <v>0.61983471074380203</v>
      </c>
      <c r="M266" s="137">
        <v>0.75256417034730305</v>
      </c>
      <c r="N266" s="136">
        <v>1</v>
      </c>
      <c r="O266" s="32">
        <v>43625</v>
      </c>
      <c r="P266" s="98">
        <f t="shared" si="23"/>
        <v>2</v>
      </c>
      <c r="Q266">
        <v>0</v>
      </c>
      <c r="R266">
        <v>1.65</v>
      </c>
      <c r="S266">
        <v>1.87</v>
      </c>
      <c r="T266" s="112" t="s">
        <v>64</v>
      </c>
      <c r="U266" s="137" t="s">
        <v>798</v>
      </c>
      <c r="V266" s="137" t="s">
        <v>799</v>
      </c>
      <c r="W266" s="69">
        <v>92</v>
      </c>
      <c r="X266" s="136">
        <v>1</v>
      </c>
      <c r="Y266" s="136">
        <v>3</v>
      </c>
      <c r="Z266" s="314"/>
      <c r="AA266" s="319">
        <v>0.43057851239669398</v>
      </c>
      <c r="AB266" s="315" t="s">
        <v>5168</v>
      </c>
      <c r="AC266" s="319">
        <v>0</v>
      </c>
      <c r="AD266" s="320">
        <v>0</v>
      </c>
      <c r="AE266" s="319">
        <v>0</v>
      </c>
      <c r="AF266" s="320">
        <v>0</v>
      </c>
      <c r="AG266" s="319">
        <v>2</v>
      </c>
      <c r="AH266" s="320">
        <v>4.2553191489361701E-2</v>
      </c>
      <c r="AI266" s="319">
        <v>0</v>
      </c>
      <c r="AJ266" s="320">
        <v>0</v>
      </c>
      <c r="AK266" s="320">
        <v>0</v>
      </c>
      <c r="AL266" s="319">
        <v>5</v>
      </c>
      <c r="AM266" s="319">
        <v>5</v>
      </c>
      <c r="AN266" s="319">
        <v>3.5</v>
      </c>
      <c r="AO266" s="319">
        <v>0.45</v>
      </c>
      <c r="AP266">
        <v>3</v>
      </c>
      <c r="AQ266">
        <v>3</v>
      </c>
      <c r="AR266" s="136"/>
      <c r="AT266" s="69">
        <v>2.3148</v>
      </c>
      <c r="AU266" s="69">
        <v>2.3148</v>
      </c>
      <c r="AV266" s="69">
        <v>5.7443999999999997</v>
      </c>
      <c r="AW266" s="69">
        <v>0.3458</v>
      </c>
      <c r="BB266" s="69"/>
    </row>
    <row r="267" spans="1:54" customFormat="1" ht="40" customHeight="1">
      <c r="A267" s="313">
        <v>266</v>
      </c>
      <c r="B267" s="136" t="s">
        <v>589</v>
      </c>
      <c r="C267" s="136" t="s">
        <v>45</v>
      </c>
      <c r="D267" s="31">
        <f t="shared" si="20"/>
        <v>4</v>
      </c>
      <c r="E267" s="137" t="s">
        <v>80</v>
      </c>
      <c r="F267" s="31">
        <f t="shared" si="21"/>
        <v>4</v>
      </c>
      <c r="G267" s="137" t="s">
        <v>800</v>
      </c>
      <c r="H267" s="138">
        <v>84</v>
      </c>
      <c r="I267" s="158">
        <f t="shared" si="22"/>
        <v>0.35548421614247527</v>
      </c>
      <c r="J267" s="95">
        <v>9.3927472970356497E-4</v>
      </c>
      <c r="K267" s="137">
        <v>0.71002915755524698</v>
      </c>
      <c r="L267" s="137">
        <v>0.75</v>
      </c>
      <c r="M267" s="137">
        <v>0.65007289388811795</v>
      </c>
      <c r="N267" s="136">
        <v>1</v>
      </c>
      <c r="O267" s="32">
        <v>43620</v>
      </c>
      <c r="P267" s="98">
        <f t="shared" si="23"/>
        <v>2</v>
      </c>
      <c r="Q267">
        <v>0</v>
      </c>
      <c r="R267">
        <v>1.65</v>
      </c>
      <c r="S267">
        <v>1.87</v>
      </c>
      <c r="T267" s="112" t="s">
        <v>64</v>
      </c>
      <c r="U267" s="137" t="s">
        <v>801</v>
      </c>
      <c r="V267" s="137" t="s">
        <v>802</v>
      </c>
      <c r="W267" s="69">
        <v>76</v>
      </c>
      <c r="X267" s="136">
        <v>1</v>
      </c>
      <c r="Y267" s="136">
        <v>6</v>
      </c>
      <c r="Z267" s="314"/>
      <c r="AA267" s="319">
        <v>0.472727272727272</v>
      </c>
      <c r="AB267" s="315" t="s">
        <v>5168</v>
      </c>
      <c r="AC267" s="319">
        <v>0</v>
      </c>
      <c r="AD267" s="320">
        <v>0</v>
      </c>
      <c r="AE267" s="319">
        <v>2</v>
      </c>
      <c r="AF267" s="320">
        <v>4.4444444444444398E-2</v>
      </c>
      <c r="AG267" s="319">
        <v>4</v>
      </c>
      <c r="AH267" s="320">
        <v>8.8888888888888906E-2</v>
      </c>
      <c r="AI267" s="319">
        <v>0</v>
      </c>
      <c r="AJ267" s="320">
        <v>0</v>
      </c>
      <c r="AK267" s="320">
        <v>2.222222222222222E-2</v>
      </c>
      <c r="AL267" s="319">
        <v>5</v>
      </c>
      <c r="AM267" s="319">
        <v>5</v>
      </c>
      <c r="AN267" s="319">
        <v>4.6666666666666599</v>
      </c>
      <c r="AO267" s="319">
        <v>0.48888888888888798</v>
      </c>
      <c r="AP267">
        <v>6</v>
      </c>
      <c r="AR267" s="136">
        <v>6</v>
      </c>
      <c r="AT267" s="69">
        <v>2.3148</v>
      </c>
      <c r="AU267" s="69">
        <v>2.3148</v>
      </c>
      <c r="AV267" s="69">
        <v>8.1305999999999994</v>
      </c>
      <c r="AW267" s="69">
        <v>0.42530000000000001</v>
      </c>
      <c r="BB267" s="69"/>
    </row>
    <row r="268" spans="1:54" customFormat="1" ht="40" customHeight="1">
      <c r="A268" s="313">
        <v>267</v>
      </c>
      <c r="B268" s="136" t="s">
        <v>589</v>
      </c>
      <c r="C268" s="136" t="s">
        <v>59</v>
      </c>
      <c r="D268" s="31">
        <f t="shared" si="20"/>
        <v>5</v>
      </c>
      <c r="E268" s="137" t="s">
        <v>46</v>
      </c>
      <c r="F268" s="31">
        <f t="shared" si="21"/>
        <v>6</v>
      </c>
      <c r="G268" s="137" t="s">
        <v>803</v>
      </c>
      <c r="H268" s="138">
        <v>78</v>
      </c>
      <c r="I268" s="158">
        <f t="shared" si="22"/>
        <v>0.31604663023930007</v>
      </c>
      <c r="J268" s="95">
        <v>1.6327647707215E-4</v>
      </c>
      <c r="K268" s="137">
        <v>0.631929984001528</v>
      </c>
      <c r="L268" s="137">
        <v>0.61983471074380103</v>
      </c>
      <c r="M268" s="137">
        <v>0.65007289388811795</v>
      </c>
      <c r="N268" s="136">
        <v>1</v>
      </c>
      <c r="O268" s="32">
        <v>43615</v>
      </c>
      <c r="P268" s="98">
        <f t="shared" si="23"/>
        <v>0</v>
      </c>
      <c r="Q268">
        <v>0</v>
      </c>
      <c r="R268">
        <v>0</v>
      </c>
      <c r="S268">
        <v>0</v>
      </c>
      <c r="T268" s="112" t="s">
        <v>48</v>
      </c>
      <c r="U268" s="137" t="s">
        <v>804</v>
      </c>
      <c r="V268" s="137" t="s">
        <v>805</v>
      </c>
      <c r="W268" s="69">
        <v>133</v>
      </c>
      <c r="X268" s="136">
        <v>1</v>
      </c>
      <c r="Y268" s="136">
        <v>6</v>
      </c>
      <c r="Z268" s="314"/>
      <c r="AA268" s="319">
        <v>0.5</v>
      </c>
      <c r="AB268" s="315" t="s">
        <v>5165</v>
      </c>
      <c r="AC268" s="319">
        <v>3</v>
      </c>
      <c r="AD268" s="320">
        <v>0.04</v>
      </c>
      <c r="AE268" s="319">
        <v>1</v>
      </c>
      <c r="AF268" s="320">
        <v>1.3333333333333299E-2</v>
      </c>
      <c r="AG268" s="319">
        <v>1</v>
      </c>
      <c r="AH268" s="320">
        <v>1.3333333333333299E-2</v>
      </c>
      <c r="AI268" s="319">
        <v>0</v>
      </c>
      <c r="AJ268" s="320">
        <v>0</v>
      </c>
      <c r="AK268" s="320">
        <v>0</v>
      </c>
      <c r="AL268" s="319">
        <v>5</v>
      </c>
      <c r="AM268" s="319">
        <v>5</v>
      </c>
      <c r="AN268" s="319">
        <v>3.5</v>
      </c>
      <c r="AO268" s="319">
        <v>0.45</v>
      </c>
      <c r="AP268">
        <v>6</v>
      </c>
      <c r="AR268" s="136">
        <v>6</v>
      </c>
      <c r="AT268" s="69">
        <v>2.3148</v>
      </c>
      <c r="AU268" s="69">
        <v>2.3148</v>
      </c>
      <c r="AV268" s="69">
        <v>5.7443999999999997</v>
      </c>
      <c r="AW268" s="69">
        <v>0.3458</v>
      </c>
      <c r="BB268" s="69"/>
    </row>
    <row r="269" spans="1:54" customFormat="1" ht="40" customHeight="1">
      <c r="A269" s="313">
        <v>268</v>
      </c>
      <c r="B269" s="136" t="s">
        <v>589</v>
      </c>
      <c r="C269" s="136" t="s">
        <v>45</v>
      </c>
      <c r="D269" s="31">
        <f t="shared" si="20"/>
        <v>4</v>
      </c>
      <c r="E269" s="137" t="s">
        <v>221</v>
      </c>
      <c r="F269" s="31">
        <f t="shared" si="21"/>
        <v>2</v>
      </c>
      <c r="G269" s="137" t="s">
        <v>806</v>
      </c>
      <c r="H269" s="138">
        <v>28</v>
      </c>
      <c r="I269" s="158">
        <f t="shared" si="22"/>
        <v>0.45452905793859955</v>
      </c>
      <c r="J269" s="95">
        <v>0.13987031944137601</v>
      </c>
      <c r="K269" s="137">
        <v>0.76918779643582302</v>
      </c>
      <c r="L269" s="137">
        <v>0.75</v>
      </c>
      <c r="M269" s="137">
        <v>0.79796949108955795</v>
      </c>
      <c r="N269" s="136">
        <v>0</v>
      </c>
      <c r="O269" s="32">
        <v>43612</v>
      </c>
      <c r="P269" s="98">
        <f t="shared" si="23"/>
        <v>0</v>
      </c>
      <c r="Q269">
        <v>0</v>
      </c>
      <c r="R269">
        <v>0</v>
      </c>
      <c r="S269">
        <v>0</v>
      </c>
      <c r="T269" s="112" t="s">
        <v>48</v>
      </c>
      <c r="U269" s="137" t="s">
        <v>807</v>
      </c>
      <c r="V269" s="137" t="s">
        <v>808</v>
      </c>
      <c r="W269" s="69">
        <v>49</v>
      </c>
      <c r="X269" s="136">
        <v>1</v>
      </c>
      <c r="Y269" s="136">
        <v>2</v>
      </c>
      <c r="Z269" s="314"/>
      <c r="AA269" s="319">
        <v>0.5</v>
      </c>
      <c r="AB269" s="315" t="s">
        <v>5165</v>
      </c>
      <c r="AC269" s="319">
        <v>4</v>
      </c>
      <c r="AD269" s="320">
        <v>0.13793103448275801</v>
      </c>
      <c r="AE269" s="319">
        <v>0</v>
      </c>
      <c r="AF269" s="320">
        <v>0</v>
      </c>
      <c r="AG269" s="319">
        <v>0</v>
      </c>
      <c r="AH269" s="320">
        <v>0</v>
      </c>
      <c r="AI269" s="319">
        <v>0</v>
      </c>
      <c r="AJ269" s="320">
        <v>0</v>
      </c>
      <c r="AK269" s="320">
        <v>0</v>
      </c>
      <c r="AL269" s="319">
        <v>5</v>
      </c>
      <c r="AM269" s="319">
        <v>5</v>
      </c>
      <c r="AN269" s="319">
        <v>4.6666666666666599</v>
      </c>
      <c r="AO269" s="319">
        <v>0.48888888888888798</v>
      </c>
      <c r="AP269">
        <v>2</v>
      </c>
      <c r="AQ269">
        <v>2</v>
      </c>
      <c r="AR269" s="136"/>
      <c r="AT269" s="69">
        <v>2.3148</v>
      </c>
      <c r="AU269" s="69">
        <v>2.3148</v>
      </c>
      <c r="AV269" s="69">
        <v>8.1305999999999994</v>
      </c>
      <c r="AW269" s="69">
        <v>0.42530000000000001</v>
      </c>
      <c r="BB269" s="69"/>
    </row>
    <row r="270" spans="1:54" customFormat="1" ht="40" customHeight="1">
      <c r="A270" s="313">
        <v>269</v>
      </c>
      <c r="B270" s="136" t="s">
        <v>589</v>
      </c>
      <c r="C270" s="136" t="s">
        <v>45</v>
      </c>
      <c r="D270" s="31">
        <f t="shared" si="20"/>
        <v>4</v>
      </c>
      <c r="E270" s="137" t="s">
        <v>46</v>
      </c>
      <c r="F270" s="31">
        <f t="shared" si="21"/>
        <v>6</v>
      </c>
      <c r="G270" s="137" t="s">
        <v>809</v>
      </c>
      <c r="H270" s="138">
        <v>39</v>
      </c>
      <c r="I270" s="158">
        <f t="shared" si="22"/>
        <v>0.38541089629598047</v>
      </c>
      <c r="J270" s="95">
        <v>3.5107506877674999E-2</v>
      </c>
      <c r="K270" s="137">
        <v>0.73571428571428599</v>
      </c>
      <c r="L270" s="137">
        <v>0.75</v>
      </c>
      <c r="M270" s="137">
        <v>0.71428571428571397</v>
      </c>
      <c r="N270" s="136">
        <v>1</v>
      </c>
      <c r="O270" s="32">
        <v>43609</v>
      </c>
      <c r="P270" s="98">
        <f t="shared" si="23"/>
        <v>0</v>
      </c>
      <c r="Q270">
        <v>2.5499999999999998</v>
      </c>
      <c r="R270">
        <v>0</v>
      </c>
      <c r="S270">
        <v>0</v>
      </c>
      <c r="T270" s="112" t="s">
        <v>48</v>
      </c>
      <c r="U270" s="137" t="s">
        <v>810</v>
      </c>
      <c r="V270" s="137" t="s">
        <v>811</v>
      </c>
      <c r="W270" s="69">
        <v>93</v>
      </c>
      <c r="X270" s="136">
        <v>1</v>
      </c>
      <c r="Y270" s="136">
        <v>4</v>
      </c>
      <c r="Z270" s="314"/>
      <c r="AA270" s="319">
        <v>0.5</v>
      </c>
      <c r="AB270" s="315" t="s">
        <v>5168</v>
      </c>
      <c r="AC270" s="319">
        <v>0</v>
      </c>
      <c r="AD270" s="320">
        <v>0</v>
      </c>
      <c r="AE270" s="319">
        <v>0</v>
      </c>
      <c r="AF270" s="320">
        <v>0</v>
      </c>
      <c r="AG270" s="319">
        <v>2</v>
      </c>
      <c r="AH270" s="320">
        <v>3.7037037037037E-2</v>
      </c>
      <c r="AI270" s="319">
        <v>0</v>
      </c>
      <c r="AJ270" s="320">
        <v>0</v>
      </c>
      <c r="AK270" s="320">
        <v>1.8518518518518521E-2</v>
      </c>
      <c r="AL270" s="319">
        <v>5</v>
      </c>
      <c r="AM270" s="319">
        <v>5</v>
      </c>
      <c r="AN270" s="319">
        <v>4.6666666666666599</v>
      </c>
      <c r="AO270" s="319">
        <v>0.48888888888888798</v>
      </c>
      <c r="AP270">
        <v>4</v>
      </c>
      <c r="AR270" s="136">
        <v>4</v>
      </c>
      <c r="AT270" s="69">
        <v>2.3148</v>
      </c>
      <c r="AU270" s="69">
        <v>2.3148</v>
      </c>
      <c r="AV270" s="69">
        <v>8.1305999999999994</v>
      </c>
      <c r="AW270" s="69">
        <v>0.42530000000000001</v>
      </c>
      <c r="BB270" s="69"/>
    </row>
    <row r="271" spans="1:54" customFormat="1" ht="40" customHeight="1">
      <c r="A271" s="313">
        <v>270</v>
      </c>
      <c r="B271" s="136" t="s">
        <v>589</v>
      </c>
      <c r="C271" s="136" t="s">
        <v>59</v>
      </c>
      <c r="D271" s="31">
        <f t="shared" si="20"/>
        <v>5</v>
      </c>
      <c r="E271" s="137" t="s">
        <v>664</v>
      </c>
      <c r="F271" s="31">
        <f t="shared" si="21"/>
        <v>1</v>
      </c>
      <c r="G271" s="137" t="s">
        <v>812</v>
      </c>
      <c r="H271" s="138">
        <v>147</v>
      </c>
      <c r="I271" s="158">
        <f t="shared" si="22"/>
        <v>0.32880766415687079</v>
      </c>
      <c r="J271" s="95">
        <v>2.16153174581457E-7</v>
      </c>
      <c r="K271" s="137">
        <v>0.65761511216056701</v>
      </c>
      <c r="L271" s="137">
        <v>0.61983471074380203</v>
      </c>
      <c r="M271" s="137">
        <v>0.71428571428571397</v>
      </c>
      <c r="N271" s="136">
        <v>1</v>
      </c>
      <c r="O271" s="32">
        <v>43605</v>
      </c>
      <c r="P271" s="98">
        <f t="shared" si="23"/>
        <v>0</v>
      </c>
      <c r="Q271">
        <v>5.0999999999999996</v>
      </c>
      <c r="R271">
        <v>0</v>
      </c>
      <c r="S271">
        <v>0</v>
      </c>
      <c r="T271" s="112" t="s">
        <v>48</v>
      </c>
      <c r="U271" s="137" t="s">
        <v>813</v>
      </c>
      <c r="V271" s="137" t="s">
        <v>814</v>
      </c>
      <c r="W271" s="69">
        <v>103</v>
      </c>
      <c r="X271" s="136">
        <v>4</v>
      </c>
      <c r="Y271" s="136">
        <v>4</v>
      </c>
      <c r="Z271" s="314"/>
      <c r="AA271" s="319">
        <v>0.5</v>
      </c>
      <c r="AB271" s="315" t="s">
        <v>5176</v>
      </c>
      <c r="AC271" s="319">
        <v>0</v>
      </c>
      <c r="AD271" s="320">
        <v>0</v>
      </c>
      <c r="AE271" s="319">
        <v>1</v>
      </c>
      <c r="AF271" s="320">
        <v>1.6666666666666601E-2</v>
      </c>
      <c r="AG271" s="319">
        <v>0</v>
      </c>
      <c r="AH271" s="320">
        <v>0</v>
      </c>
      <c r="AI271" s="319">
        <v>0</v>
      </c>
      <c r="AJ271" s="320">
        <v>0</v>
      </c>
      <c r="AK271" s="320">
        <v>0</v>
      </c>
      <c r="AL271" s="319">
        <v>5</v>
      </c>
      <c r="AM271" s="319">
        <v>5</v>
      </c>
      <c r="AN271" s="319">
        <v>6.1666666666666599</v>
      </c>
      <c r="AO271" s="319">
        <v>0.53888888888888797</v>
      </c>
      <c r="AP271">
        <v>4</v>
      </c>
      <c r="AR271" s="136"/>
      <c r="AT271" s="69">
        <v>2.3148</v>
      </c>
      <c r="AU271" s="69">
        <v>2.3148</v>
      </c>
      <c r="AV271" s="69">
        <v>9.5120000000000005</v>
      </c>
      <c r="AW271" s="69">
        <v>0.47139999999999999</v>
      </c>
      <c r="BB271" s="69"/>
    </row>
    <row r="272" spans="1:54" customFormat="1" ht="40" customHeight="1">
      <c r="A272" s="313">
        <v>271</v>
      </c>
      <c r="B272" s="136" t="s">
        <v>589</v>
      </c>
      <c r="C272" s="136" t="s">
        <v>45</v>
      </c>
      <c r="D272" s="31">
        <f t="shared" si="20"/>
        <v>4</v>
      </c>
      <c r="E272" s="137" t="s">
        <v>221</v>
      </c>
      <c r="F272" s="31">
        <f t="shared" si="21"/>
        <v>2</v>
      </c>
      <c r="G272" s="137" t="s">
        <v>815</v>
      </c>
      <c r="H272" s="138">
        <v>54</v>
      </c>
      <c r="I272" s="158">
        <f t="shared" si="22"/>
        <v>0.73668469661057889</v>
      </c>
      <c r="J272" s="95">
        <v>0.75861142391773395</v>
      </c>
      <c r="K272" s="137">
        <v>0.71475796930342395</v>
      </c>
      <c r="L272" s="137">
        <v>0.61983471074380203</v>
      </c>
      <c r="M272" s="137">
        <v>0.85714285714285698</v>
      </c>
      <c r="N272" s="136">
        <v>0</v>
      </c>
      <c r="O272" s="32">
        <v>43600</v>
      </c>
      <c r="P272" s="98">
        <f t="shared" si="23"/>
        <v>0</v>
      </c>
      <c r="Q272">
        <v>2.5499999999999998</v>
      </c>
      <c r="R272">
        <v>0</v>
      </c>
      <c r="S272">
        <v>0</v>
      </c>
      <c r="T272" s="112" t="s">
        <v>48</v>
      </c>
      <c r="U272" s="137" t="s">
        <v>816</v>
      </c>
      <c r="V272" s="137" t="s">
        <v>817</v>
      </c>
      <c r="W272" s="69">
        <v>57</v>
      </c>
      <c r="X272" s="136">
        <v>2</v>
      </c>
      <c r="Y272" s="136">
        <v>1</v>
      </c>
      <c r="Z272" s="314"/>
      <c r="AA272" s="319">
        <v>0.45454545454545398</v>
      </c>
      <c r="AB272" s="315" t="s">
        <v>5176</v>
      </c>
      <c r="AC272" s="319">
        <v>1</v>
      </c>
      <c r="AD272" s="320">
        <v>2.77777777777777E-2</v>
      </c>
      <c r="AE272" s="319">
        <v>3</v>
      </c>
      <c r="AF272" s="320">
        <v>8.3333333333333301E-2</v>
      </c>
      <c r="AG272" s="319">
        <v>1</v>
      </c>
      <c r="AH272" s="320">
        <v>2.77777777777777E-2</v>
      </c>
      <c r="AI272" s="319">
        <v>0</v>
      </c>
      <c r="AJ272" s="320">
        <v>0</v>
      </c>
      <c r="AK272" s="320">
        <v>2.777777777777778E-2</v>
      </c>
      <c r="AL272" s="319">
        <v>5</v>
      </c>
      <c r="AM272" s="319">
        <v>5</v>
      </c>
      <c r="AN272" s="319">
        <v>6.1666666666666599</v>
      </c>
      <c r="AO272" s="319">
        <v>0.53888888888888797</v>
      </c>
      <c r="AP272">
        <v>1</v>
      </c>
      <c r="AQ272">
        <v>1</v>
      </c>
      <c r="AR272" s="136"/>
      <c r="AT272" s="69">
        <v>2.3148</v>
      </c>
      <c r="AU272" s="69">
        <v>2.3148</v>
      </c>
      <c r="AV272" s="69">
        <v>9.5120000000000005</v>
      </c>
      <c r="AW272" s="69">
        <v>0.47139999999999999</v>
      </c>
      <c r="BB272" s="69"/>
    </row>
    <row r="273" spans="1:54" customFormat="1" ht="40" customHeight="1">
      <c r="A273" s="313">
        <v>272</v>
      </c>
      <c r="B273" s="136" t="s">
        <v>589</v>
      </c>
      <c r="C273" s="136" t="s">
        <v>45</v>
      </c>
      <c r="D273" s="31">
        <f t="shared" si="20"/>
        <v>4</v>
      </c>
      <c r="E273" s="137" t="s">
        <v>46</v>
      </c>
      <c r="F273" s="31">
        <f t="shared" si="21"/>
        <v>6</v>
      </c>
      <c r="G273" s="137" t="s">
        <v>818</v>
      </c>
      <c r="H273" s="138">
        <v>199</v>
      </c>
      <c r="I273" s="158">
        <f t="shared" si="22"/>
        <v>0.9070937923641289</v>
      </c>
      <c r="J273" s="95">
        <v>0.99999978829243497</v>
      </c>
      <c r="K273" s="137">
        <v>0.81418779643582295</v>
      </c>
      <c r="L273" s="137">
        <v>0.82499999999999996</v>
      </c>
      <c r="M273" s="137">
        <v>0.79796949108955795</v>
      </c>
      <c r="N273" s="136">
        <v>1</v>
      </c>
      <c r="O273" s="32">
        <v>43597</v>
      </c>
      <c r="P273" s="98">
        <f t="shared" si="23"/>
        <v>2</v>
      </c>
      <c r="Q273">
        <v>2.5499999999999998</v>
      </c>
      <c r="R273">
        <v>1.65</v>
      </c>
      <c r="S273">
        <v>5.61</v>
      </c>
      <c r="T273" s="112" t="s">
        <v>64</v>
      </c>
      <c r="U273" s="137" t="s">
        <v>819</v>
      </c>
      <c r="V273" s="137" t="s">
        <v>820</v>
      </c>
      <c r="W273" s="69">
        <v>48</v>
      </c>
      <c r="X273" s="136">
        <v>3</v>
      </c>
      <c r="Y273" s="136">
        <v>2</v>
      </c>
      <c r="Z273" s="314"/>
      <c r="AA273" s="319">
        <v>0.73204999999999998</v>
      </c>
      <c r="AB273" s="315" t="s">
        <v>5178</v>
      </c>
      <c r="AC273" s="319">
        <v>2</v>
      </c>
      <c r="AD273" s="320">
        <v>6.8965517241379296E-2</v>
      </c>
      <c r="AE273" s="319">
        <v>2</v>
      </c>
      <c r="AF273" s="320">
        <v>6.8965517241379296E-2</v>
      </c>
      <c r="AG273" s="319">
        <v>0</v>
      </c>
      <c r="AH273" s="320">
        <v>0</v>
      </c>
      <c r="AI273" s="319">
        <v>0</v>
      </c>
      <c r="AJ273" s="320">
        <v>0</v>
      </c>
      <c r="AK273" s="320">
        <v>6.8965517241379309E-2</v>
      </c>
      <c r="AL273" s="319">
        <v>5</v>
      </c>
      <c r="AM273" s="319">
        <v>6.2</v>
      </c>
      <c r="AN273" s="319">
        <v>4.6666666666666599</v>
      </c>
      <c r="AO273" s="319">
        <v>0.52888888888888796</v>
      </c>
      <c r="AP273">
        <v>2</v>
      </c>
      <c r="AQ273">
        <v>2</v>
      </c>
      <c r="AR273" s="136"/>
      <c r="AT273" s="69">
        <v>2.3148</v>
      </c>
      <c r="AU273" s="69">
        <v>5</v>
      </c>
      <c r="AV273" s="69">
        <v>8.1305999999999994</v>
      </c>
      <c r="AW273" s="69">
        <v>0.51480000000000004</v>
      </c>
      <c r="BB273" s="69"/>
    </row>
    <row r="274" spans="1:54" customFormat="1" ht="40" customHeight="1">
      <c r="A274" s="313">
        <v>273</v>
      </c>
      <c r="B274" s="136" t="s">
        <v>589</v>
      </c>
      <c r="C274" s="136" t="s">
        <v>45</v>
      </c>
      <c r="D274" s="31">
        <f t="shared" si="20"/>
        <v>4</v>
      </c>
      <c r="E274" s="137" t="s">
        <v>46</v>
      </c>
      <c r="F274" s="31">
        <f t="shared" si="21"/>
        <v>6</v>
      </c>
      <c r="G274" s="137" t="s">
        <v>821</v>
      </c>
      <c r="H274" s="138">
        <v>91</v>
      </c>
      <c r="I274" s="158">
        <f t="shared" si="22"/>
        <v>0.61623283256650141</v>
      </c>
      <c r="J274" s="95">
        <v>0.53766047032780795</v>
      </c>
      <c r="K274" s="137">
        <v>0.69480519480519498</v>
      </c>
      <c r="L274" s="137">
        <v>0.68181818181818199</v>
      </c>
      <c r="M274" s="137">
        <v>0.71428571428571397</v>
      </c>
      <c r="N274" s="136">
        <v>0</v>
      </c>
      <c r="O274" s="32">
        <v>43596</v>
      </c>
      <c r="P274" s="98">
        <f t="shared" si="23"/>
        <v>1</v>
      </c>
      <c r="Q274">
        <v>0</v>
      </c>
      <c r="R274">
        <v>0</v>
      </c>
      <c r="S274">
        <v>0</v>
      </c>
      <c r="T274" s="112" t="s">
        <v>73</v>
      </c>
      <c r="U274" s="137" t="s">
        <v>822</v>
      </c>
      <c r="V274" s="137" t="s">
        <v>823</v>
      </c>
      <c r="W274" s="69">
        <v>124</v>
      </c>
      <c r="X274" s="136">
        <v>1</v>
      </c>
      <c r="Y274" s="136">
        <v>4</v>
      </c>
      <c r="Z274" s="314"/>
      <c r="AA274" s="319">
        <v>0.5</v>
      </c>
      <c r="AB274" s="315" t="s">
        <v>5177</v>
      </c>
      <c r="AC274" s="319">
        <v>1</v>
      </c>
      <c r="AD274" s="320">
        <v>1.4084507042253501E-2</v>
      </c>
      <c r="AE274" s="319">
        <v>4</v>
      </c>
      <c r="AF274" s="320">
        <v>5.6338028169014003E-2</v>
      </c>
      <c r="AG274" s="319">
        <v>4</v>
      </c>
      <c r="AH274" s="320">
        <v>5.6338028169014003E-2</v>
      </c>
      <c r="AI274" s="319">
        <v>0</v>
      </c>
      <c r="AJ274" s="320">
        <v>0</v>
      </c>
      <c r="AK274" s="320">
        <v>4.2253521126760563E-2</v>
      </c>
      <c r="AL274" s="319">
        <v>5</v>
      </c>
      <c r="AM274" s="319">
        <v>5</v>
      </c>
      <c r="AN274" s="319">
        <v>7.6666666666666599</v>
      </c>
      <c r="AO274" s="319">
        <v>0.58888888888888802</v>
      </c>
      <c r="AP274">
        <v>4</v>
      </c>
      <c r="AR274" s="136">
        <v>4</v>
      </c>
      <c r="AT274" s="69">
        <v>2.3148</v>
      </c>
      <c r="AU274" s="69">
        <v>2.3148</v>
      </c>
      <c r="AV274" s="69">
        <v>9.8867999999999991</v>
      </c>
      <c r="AW274" s="69">
        <v>0.4839</v>
      </c>
      <c r="BB274" s="69"/>
    </row>
    <row r="275" spans="1:54" customFormat="1" ht="40" customHeight="1">
      <c r="A275" s="313">
        <v>274</v>
      </c>
      <c r="B275" s="136" t="s">
        <v>589</v>
      </c>
      <c r="C275" s="136" t="s">
        <v>59</v>
      </c>
      <c r="D275" s="31">
        <f t="shared" si="20"/>
        <v>5</v>
      </c>
      <c r="E275" s="137" t="s">
        <v>221</v>
      </c>
      <c r="F275" s="31">
        <f t="shared" si="21"/>
        <v>2</v>
      </c>
      <c r="G275" s="137" t="s">
        <v>824</v>
      </c>
      <c r="H275" s="138">
        <v>114</v>
      </c>
      <c r="I275" s="158">
        <f t="shared" si="22"/>
        <v>0.76040481699463602</v>
      </c>
      <c r="J275" s="95">
        <v>0.95494030899807603</v>
      </c>
      <c r="K275" s="137">
        <v>0.56586932499119602</v>
      </c>
      <c r="L275" s="137">
        <v>0.61983471074380203</v>
      </c>
      <c r="M275" s="137">
        <v>0.48492124636228701</v>
      </c>
      <c r="N275" s="136">
        <v>1</v>
      </c>
      <c r="O275" s="32">
        <v>43596</v>
      </c>
      <c r="P275" s="98">
        <f t="shared" si="23"/>
        <v>1</v>
      </c>
      <c r="Q275">
        <v>0</v>
      </c>
      <c r="R275">
        <v>3.3</v>
      </c>
      <c r="S275">
        <v>0</v>
      </c>
      <c r="T275" s="112" t="s">
        <v>73</v>
      </c>
      <c r="U275" s="137" t="s">
        <v>825</v>
      </c>
      <c r="V275" s="137" t="s">
        <v>826</v>
      </c>
      <c r="W275" s="69">
        <v>156</v>
      </c>
      <c r="X275" s="136">
        <v>4</v>
      </c>
      <c r="Y275" s="136">
        <v>13</v>
      </c>
      <c r="Z275" s="314"/>
      <c r="AA275" s="319">
        <v>0.5</v>
      </c>
      <c r="AB275" s="315" t="s">
        <v>5167</v>
      </c>
      <c r="AC275" s="319">
        <v>1</v>
      </c>
      <c r="AD275" s="320">
        <v>1.1494252873563199E-2</v>
      </c>
      <c r="AE275" s="319">
        <v>2</v>
      </c>
      <c r="AF275" s="320">
        <v>2.2988505747126398E-2</v>
      </c>
      <c r="AG275" s="319">
        <v>1</v>
      </c>
      <c r="AH275" s="320">
        <v>1.1494252873563199E-2</v>
      </c>
      <c r="AI275" s="319">
        <v>3</v>
      </c>
      <c r="AJ275" s="320">
        <v>3.4482758620689599E-2</v>
      </c>
      <c r="AK275" s="320">
        <v>0</v>
      </c>
      <c r="AL275" s="319">
        <v>5</v>
      </c>
      <c r="AM275" s="319">
        <v>5</v>
      </c>
      <c r="AN275" s="319">
        <v>2</v>
      </c>
      <c r="AO275" s="319">
        <v>0.4</v>
      </c>
      <c r="AP275">
        <v>13</v>
      </c>
      <c r="AR275" s="136">
        <v>13</v>
      </c>
      <c r="AT275" s="69">
        <v>2.3148</v>
      </c>
      <c r="AU275" s="69">
        <v>2.3148</v>
      </c>
      <c r="AV275" s="69">
        <v>2.3148</v>
      </c>
      <c r="AW275" s="69">
        <v>0.23150000000000001</v>
      </c>
      <c r="BB275" s="69"/>
    </row>
    <row r="276" spans="1:54" customFormat="1" ht="40" customHeight="1">
      <c r="A276" s="313">
        <v>275</v>
      </c>
      <c r="B276" s="136" t="s">
        <v>589</v>
      </c>
      <c r="C276" s="136" t="s">
        <v>45</v>
      </c>
      <c r="D276" s="31">
        <f t="shared" si="20"/>
        <v>4</v>
      </c>
      <c r="E276" s="137" t="s">
        <v>46</v>
      </c>
      <c r="F276" s="31">
        <f t="shared" si="21"/>
        <v>6</v>
      </c>
      <c r="G276" s="137" t="s">
        <v>827</v>
      </c>
      <c r="H276" s="138">
        <v>190</v>
      </c>
      <c r="I276" s="158">
        <f t="shared" si="22"/>
        <v>0.7119709658878105</v>
      </c>
      <c r="J276" s="95">
        <v>0.80013598565562505</v>
      </c>
      <c r="K276" s="137">
        <v>0.62380594611999596</v>
      </c>
      <c r="L276" s="137">
        <v>0.56348610067618299</v>
      </c>
      <c r="M276" s="137">
        <v>0.71428571428571397</v>
      </c>
      <c r="N276" s="136">
        <v>1</v>
      </c>
      <c r="O276" s="32">
        <v>43581</v>
      </c>
      <c r="P276" s="98">
        <f t="shared" si="23"/>
        <v>1</v>
      </c>
      <c r="Q276">
        <v>0</v>
      </c>
      <c r="R276">
        <v>1.65</v>
      </c>
      <c r="S276">
        <v>0</v>
      </c>
      <c r="T276" s="112" t="s">
        <v>73</v>
      </c>
      <c r="U276" s="137" t="s">
        <v>828</v>
      </c>
      <c r="V276" s="137" t="s">
        <v>829</v>
      </c>
      <c r="W276" s="69">
        <v>105</v>
      </c>
      <c r="X276" s="136">
        <v>1</v>
      </c>
      <c r="Y276" s="136">
        <v>4</v>
      </c>
      <c r="Z276" s="314"/>
      <c r="AA276" s="319">
        <v>0.55000000000000004</v>
      </c>
      <c r="AB276" s="315" t="s">
        <v>5165</v>
      </c>
      <c r="AC276" s="319">
        <v>2</v>
      </c>
      <c r="AD276" s="320">
        <v>3.1746031746031703E-2</v>
      </c>
      <c r="AE276" s="319">
        <v>1</v>
      </c>
      <c r="AF276" s="320">
        <v>1.5873015873015799E-2</v>
      </c>
      <c r="AG276" s="319">
        <v>0</v>
      </c>
      <c r="AH276" s="320">
        <v>0</v>
      </c>
      <c r="AI276" s="319">
        <v>0</v>
      </c>
      <c r="AJ276" s="320">
        <v>0</v>
      </c>
      <c r="AK276" s="320">
        <v>0</v>
      </c>
      <c r="AL276" s="319">
        <v>5</v>
      </c>
      <c r="AM276" s="319">
        <v>6.2</v>
      </c>
      <c r="AN276" s="319">
        <v>2</v>
      </c>
      <c r="AO276" s="319">
        <v>0.44</v>
      </c>
      <c r="AP276">
        <v>4</v>
      </c>
      <c r="AR276" s="136">
        <v>4</v>
      </c>
      <c r="AT276" s="69">
        <v>2.3148</v>
      </c>
      <c r="AU276" s="69">
        <v>5</v>
      </c>
      <c r="AV276" s="69">
        <v>2.3148</v>
      </c>
      <c r="AW276" s="69">
        <v>0.32100000000000001</v>
      </c>
      <c r="BB276" s="69"/>
    </row>
    <row r="277" spans="1:54" customFormat="1" ht="40" customHeight="1">
      <c r="A277" s="313">
        <v>276</v>
      </c>
      <c r="B277" s="136" t="s">
        <v>589</v>
      </c>
      <c r="C277" s="136" t="s">
        <v>45</v>
      </c>
      <c r="D277" s="31">
        <f t="shared" si="20"/>
        <v>4</v>
      </c>
      <c r="E277" s="137" t="s">
        <v>80</v>
      </c>
      <c r="F277" s="31">
        <f t="shared" si="21"/>
        <v>4</v>
      </c>
      <c r="G277" s="137" t="s">
        <v>830</v>
      </c>
      <c r="H277" s="138">
        <v>95</v>
      </c>
      <c r="I277" s="158">
        <f t="shared" si="22"/>
        <v>0.85976501309564801</v>
      </c>
      <c r="J277" s="95">
        <v>0.968504358052375</v>
      </c>
      <c r="K277" s="137">
        <v>0.75102566813892102</v>
      </c>
      <c r="L277" s="137">
        <v>0.75</v>
      </c>
      <c r="M277" s="137">
        <v>0.75256417034730305</v>
      </c>
      <c r="N277" s="136">
        <v>1</v>
      </c>
      <c r="O277" s="32">
        <v>43568</v>
      </c>
      <c r="P277" s="98">
        <f t="shared" si="23"/>
        <v>0</v>
      </c>
      <c r="Q277">
        <v>5.0999999999999996</v>
      </c>
      <c r="R277">
        <v>0</v>
      </c>
      <c r="S277">
        <v>0</v>
      </c>
      <c r="T277" s="112" t="s">
        <v>48</v>
      </c>
      <c r="U277" s="137" t="s">
        <v>831</v>
      </c>
      <c r="V277" s="137" t="s">
        <v>832</v>
      </c>
      <c r="W277" s="69">
        <v>121</v>
      </c>
      <c r="X277" s="136">
        <v>1</v>
      </c>
      <c r="Y277" s="136">
        <v>3</v>
      </c>
      <c r="Z277" s="314"/>
      <c r="AA277" s="319">
        <v>0.60499999999999998</v>
      </c>
      <c r="AB277" s="315" t="s">
        <v>5177</v>
      </c>
      <c r="AC277" s="319">
        <v>1</v>
      </c>
      <c r="AD277" s="320">
        <v>1.4084507042253501E-2</v>
      </c>
      <c r="AE277" s="319">
        <v>2</v>
      </c>
      <c r="AF277" s="320">
        <v>2.8169014084507001E-2</v>
      </c>
      <c r="AG277" s="319">
        <v>2</v>
      </c>
      <c r="AH277" s="320">
        <v>2.8169014084507001E-2</v>
      </c>
      <c r="AI277" s="319">
        <v>0</v>
      </c>
      <c r="AJ277" s="320">
        <v>0</v>
      </c>
      <c r="AK277" s="320">
        <v>2.8169014084507039E-2</v>
      </c>
      <c r="AL277" s="319">
        <v>5</v>
      </c>
      <c r="AM277" s="319">
        <v>7.4</v>
      </c>
      <c r="AN277" s="319">
        <v>2</v>
      </c>
      <c r="AO277" s="319">
        <v>0.48</v>
      </c>
      <c r="AP277">
        <v>3</v>
      </c>
      <c r="AR277" s="136">
        <v>3</v>
      </c>
      <c r="AT277" s="69">
        <v>2.3148</v>
      </c>
      <c r="AU277" s="69">
        <v>7.6852</v>
      </c>
      <c r="AV277" s="69">
        <v>2.3148</v>
      </c>
      <c r="AW277" s="69">
        <v>0.41049999999999998</v>
      </c>
      <c r="BB277" s="69"/>
    </row>
    <row r="278" spans="1:54" customFormat="1" ht="40" customHeight="1">
      <c r="A278" s="313">
        <v>277</v>
      </c>
      <c r="B278" s="136" t="s">
        <v>589</v>
      </c>
      <c r="C278" s="136" t="s">
        <v>45</v>
      </c>
      <c r="D278" s="31">
        <f t="shared" si="20"/>
        <v>4</v>
      </c>
      <c r="E278" s="137" t="s">
        <v>833</v>
      </c>
      <c r="F278" s="31">
        <f t="shared" si="21"/>
        <v>3</v>
      </c>
      <c r="G278" s="137" t="s">
        <v>834</v>
      </c>
      <c r="H278" s="138">
        <v>285</v>
      </c>
      <c r="I278" s="158">
        <f t="shared" si="22"/>
        <v>0.29930119590636939</v>
      </c>
      <c r="J278" s="95">
        <v>2.9576341376014201E-13</v>
      </c>
      <c r="K278" s="137">
        <v>0.59860239181244301</v>
      </c>
      <c r="L278" s="137">
        <v>0.465690992294366</v>
      </c>
      <c r="M278" s="137">
        <v>0.79796949108955795</v>
      </c>
      <c r="N278" s="136">
        <v>1</v>
      </c>
      <c r="O278" s="32">
        <v>43565</v>
      </c>
      <c r="P278" s="98">
        <f t="shared" si="23"/>
        <v>0</v>
      </c>
      <c r="Q278">
        <v>7.65</v>
      </c>
      <c r="R278">
        <v>4.95</v>
      </c>
      <c r="S278">
        <v>0</v>
      </c>
      <c r="T278" s="112" t="s">
        <v>48</v>
      </c>
      <c r="U278" s="137" t="s">
        <v>835</v>
      </c>
      <c r="V278" s="137" t="s">
        <v>836</v>
      </c>
      <c r="W278" s="69">
        <v>96</v>
      </c>
      <c r="X278" s="136">
        <v>1</v>
      </c>
      <c r="Y278" s="136">
        <v>2</v>
      </c>
      <c r="Z278" s="314"/>
      <c r="AA278" s="319">
        <v>1.4996450668831401E-3</v>
      </c>
      <c r="AB278" s="315" t="s">
        <v>5169</v>
      </c>
      <c r="AC278" s="319">
        <v>2</v>
      </c>
      <c r="AD278" s="320">
        <v>3.5087719298245598E-2</v>
      </c>
      <c r="AE278" s="319">
        <v>1</v>
      </c>
      <c r="AF278" s="320">
        <v>1.7543859649122799E-2</v>
      </c>
      <c r="AG278" s="319">
        <v>2</v>
      </c>
      <c r="AH278" s="320">
        <v>3.5087719298245598E-2</v>
      </c>
      <c r="AI278" s="319">
        <v>0</v>
      </c>
      <c r="AJ278" s="320">
        <v>0</v>
      </c>
      <c r="AK278" s="320">
        <v>0</v>
      </c>
      <c r="AL278" s="319">
        <v>6.75</v>
      </c>
      <c r="AM278" s="319">
        <v>6.2</v>
      </c>
      <c r="AN278" s="319">
        <v>3.5</v>
      </c>
      <c r="AO278" s="319">
        <v>0.54833333333333301</v>
      </c>
      <c r="AP278">
        <v>2</v>
      </c>
      <c r="AR278" s="136">
        <v>2</v>
      </c>
      <c r="AT278" s="69">
        <v>6.3414000000000001</v>
      </c>
      <c r="AU278" s="69">
        <v>5</v>
      </c>
      <c r="AV278" s="69">
        <v>5.7443999999999997</v>
      </c>
      <c r="AW278" s="69">
        <v>0.56950000000000001</v>
      </c>
      <c r="BB278" s="69"/>
    </row>
    <row r="279" spans="1:54" customFormat="1" ht="40" customHeight="1">
      <c r="A279" s="313">
        <v>278</v>
      </c>
      <c r="B279" s="136" t="s">
        <v>589</v>
      </c>
      <c r="C279" s="136" t="s">
        <v>45</v>
      </c>
      <c r="D279" s="31">
        <f t="shared" si="20"/>
        <v>4</v>
      </c>
      <c r="E279" s="137" t="s">
        <v>46</v>
      </c>
      <c r="F279" s="31">
        <f t="shared" si="21"/>
        <v>6</v>
      </c>
      <c r="G279" s="137" t="s">
        <v>834</v>
      </c>
      <c r="H279" s="138">
        <v>285</v>
      </c>
      <c r="I279" s="158">
        <f t="shared" si="22"/>
        <v>0.29022013175791839</v>
      </c>
      <c r="J279" s="95">
        <v>2.9576341376014201E-13</v>
      </c>
      <c r="K279" s="137">
        <v>0.58044026351554101</v>
      </c>
      <c r="L279" s="137">
        <v>0.465690992294366</v>
      </c>
      <c r="M279" s="137">
        <v>0.75256417034730305</v>
      </c>
      <c r="N279" s="136">
        <v>1</v>
      </c>
      <c r="O279" s="32">
        <v>43564</v>
      </c>
      <c r="P279" s="98">
        <f t="shared" si="23"/>
        <v>0</v>
      </c>
      <c r="Q279">
        <v>7.65</v>
      </c>
      <c r="R279">
        <v>4.95</v>
      </c>
      <c r="S279">
        <v>0</v>
      </c>
      <c r="T279" s="112" t="s">
        <v>48</v>
      </c>
      <c r="U279" s="137" t="s">
        <v>837</v>
      </c>
      <c r="V279" s="137" t="s">
        <v>838</v>
      </c>
      <c r="W279" s="69">
        <v>96</v>
      </c>
      <c r="X279" s="136">
        <v>2</v>
      </c>
      <c r="Y279" s="136">
        <v>3</v>
      </c>
      <c r="Z279" s="314"/>
      <c r="AA279" s="319">
        <v>1.4996450668831401E-3</v>
      </c>
      <c r="AB279" s="315" t="s">
        <v>5169</v>
      </c>
      <c r="AC279" s="319">
        <v>2</v>
      </c>
      <c r="AD279" s="320">
        <v>3.5087719298245598E-2</v>
      </c>
      <c r="AE279" s="319">
        <v>1</v>
      </c>
      <c r="AF279" s="320">
        <v>1.7543859649122799E-2</v>
      </c>
      <c r="AG279" s="319">
        <v>2</v>
      </c>
      <c r="AH279" s="320">
        <v>3.5087719298245598E-2</v>
      </c>
      <c r="AI279" s="319">
        <v>0</v>
      </c>
      <c r="AJ279" s="320">
        <v>0</v>
      </c>
      <c r="AK279" s="320">
        <v>0</v>
      </c>
      <c r="AL279" s="319">
        <v>6.75</v>
      </c>
      <c r="AM279" s="319">
        <v>6.2</v>
      </c>
      <c r="AN279" s="319">
        <v>3.5</v>
      </c>
      <c r="AO279" s="319">
        <v>0.54833333333333301</v>
      </c>
      <c r="AP279">
        <v>3</v>
      </c>
      <c r="AR279" s="136">
        <v>3</v>
      </c>
      <c r="AT279" s="69">
        <v>6.3414000000000001</v>
      </c>
      <c r="AU279" s="69">
        <v>5</v>
      </c>
      <c r="AV279" s="69">
        <v>5.7443999999999997</v>
      </c>
      <c r="AW279" s="69">
        <v>0.56950000000000001</v>
      </c>
      <c r="BB279" s="69"/>
    </row>
    <row r="280" spans="1:54" customFormat="1" ht="40" customHeight="1">
      <c r="A280" s="313">
        <v>279</v>
      </c>
      <c r="B280" s="136" t="s">
        <v>589</v>
      </c>
      <c r="C280" s="136" t="s">
        <v>45</v>
      </c>
      <c r="D280" s="31">
        <f t="shared" si="20"/>
        <v>4</v>
      </c>
      <c r="E280" s="137" t="s">
        <v>46</v>
      </c>
      <c r="F280" s="31">
        <f t="shared" si="21"/>
        <v>6</v>
      </c>
      <c r="G280" s="137" t="s">
        <v>839</v>
      </c>
      <c r="H280" s="138">
        <v>98</v>
      </c>
      <c r="I280" s="158">
        <f t="shared" si="22"/>
        <v>0.37601685018590847</v>
      </c>
      <c r="J280" s="95">
        <v>5.4982364093974001E-2</v>
      </c>
      <c r="K280" s="137">
        <v>0.69705133627784299</v>
      </c>
      <c r="L280" s="137">
        <v>0.82499999999999996</v>
      </c>
      <c r="M280" s="137">
        <v>0.50512834069460699</v>
      </c>
      <c r="N280" s="136">
        <v>1</v>
      </c>
      <c r="O280" s="32">
        <v>43553</v>
      </c>
      <c r="P280" s="98">
        <f t="shared" si="23"/>
        <v>0</v>
      </c>
      <c r="Q280">
        <v>2.5499999999999998</v>
      </c>
      <c r="R280">
        <v>0</v>
      </c>
      <c r="S280">
        <v>0</v>
      </c>
      <c r="T280" s="112" t="s">
        <v>48</v>
      </c>
      <c r="U280" s="137" t="s">
        <v>840</v>
      </c>
      <c r="V280" s="137" t="s">
        <v>841</v>
      </c>
      <c r="W280" s="69">
        <v>54</v>
      </c>
      <c r="X280" s="136">
        <v>2</v>
      </c>
      <c r="Y280" s="136">
        <v>12</v>
      </c>
      <c r="Z280" s="314"/>
      <c r="AA280" s="319">
        <v>0.60499999999999998</v>
      </c>
      <c r="AB280" s="315" t="s">
        <v>5168</v>
      </c>
      <c r="AC280" s="319">
        <v>0</v>
      </c>
      <c r="AD280" s="320">
        <v>0</v>
      </c>
      <c r="AE280" s="319">
        <v>0</v>
      </c>
      <c r="AF280" s="320">
        <v>0</v>
      </c>
      <c r="AG280" s="319">
        <v>1</v>
      </c>
      <c r="AH280" s="320">
        <v>3.2258064516128997E-2</v>
      </c>
      <c r="AI280" s="319">
        <v>0</v>
      </c>
      <c r="AJ280" s="320">
        <v>0</v>
      </c>
      <c r="AK280" s="320">
        <v>0</v>
      </c>
      <c r="AL280" s="319">
        <v>5</v>
      </c>
      <c r="AM280" s="319">
        <v>5</v>
      </c>
      <c r="AN280" s="319">
        <v>4.6666666666666599</v>
      </c>
      <c r="AO280" s="319">
        <v>0.48888888888888798</v>
      </c>
      <c r="AP280">
        <v>12</v>
      </c>
      <c r="AR280" s="136"/>
      <c r="AS280">
        <v>12</v>
      </c>
      <c r="AT280" s="69">
        <v>2.3148</v>
      </c>
      <c r="AU280" s="69">
        <v>2.3148</v>
      </c>
      <c r="AV280" s="69">
        <v>8.1305999999999994</v>
      </c>
      <c r="AW280" s="69">
        <v>0.42530000000000001</v>
      </c>
      <c r="BB280" s="69"/>
    </row>
    <row r="281" spans="1:54" customFormat="1" ht="40" customHeight="1">
      <c r="A281" s="313">
        <v>280</v>
      </c>
      <c r="B281" s="136" t="s">
        <v>589</v>
      </c>
      <c r="C281" s="136" t="s">
        <v>59</v>
      </c>
      <c r="D281" s="31">
        <f t="shared" si="20"/>
        <v>5</v>
      </c>
      <c r="E281" s="137" t="s">
        <v>80</v>
      </c>
      <c r="F281" s="31">
        <f t="shared" si="21"/>
        <v>4</v>
      </c>
      <c r="G281" s="137" t="s">
        <v>842</v>
      </c>
      <c r="H281" s="138">
        <v>40</v>
      </c>
      <c r="I281" s="158">
        <f t="shared" si="22"/>
        <v>0.4116791362954782</v>
      </c>
      <c r="J281" s="95">
        <v>3.0501129733813401E-2</v>
      </c>
      <c r="K281" s="137">
        <v>0.79285714285714304</v>
      </c>
      <c r="L281" s="137">
        <v>0.75</v>
      </c>
      <c r="M281" s="137">
        <v>0.85714285714285698</v>
      </c>
      <c r="N281" s="136">
        <v>1</v>
      </c>
      <c r="O281" s="32">
        <v>43543</v>
      </c>
      <c r="P281" s="98">
        <f t="shared" si="23"/>
        <v>1</v>
      </c>
      <c r="Q281">
        <v>0</v>
      </c>
      <c r="R281">
        <v>1.65</v>
      </c>
      <c r="S281">
        <v>0</v>
      </c>
      <c r="T281" s="112" t="s">
        <v>73</v>
      </c>
      <c r="U281" s="137" t="s">
        <v>843</v>
      </c>
      <c r="V281" s="137" t="s">
        <v>844</v>
      </c>
      <c r="W281" s="69">
        <v>48</v>
      </c>
      <c r="X281" s="136">
        <v>1</v>
      </c>
      <c r="Y281" s="136">
        <v>1</v>
      </c>
      <c r="Z281" s="314"/>
      <c r="AA281" s="319">
        <v>0.42190082644628002</v>
      </c>
      <c r="AB281" s="315" t="s">
        <v>5178</v>
      </c>
      <c r="AC281" s="319">
        <v>2</v>
      </c>
      <c r="AD281" s="320">
        <v>6.8965517241379296E-2</v>
      </c>
      <c r="AE281" s="319">
        <v>2</v>
      </c>
      <c r="AF281" s="320">
        <v>6.8965517241379296E-2</v>
      </c>
      <c r="AG281" s="319">
        <v>0</v>
      </c>
      <c r="AH281" s="320">
        <v>0</v>
      </c>
      <c r="AI281" s="319">
        <v>0</v>
      </c>
      <c r="AJ281" s="320">
        <v>0</v>
      </c>
      <c r="AK281" s="320">
        <v>3.4482758620689648E-2</v>
      </c>
      <c r="AL281" s="319">
        <v>5</v>
      </c>
      <c r="AM281" s="319">
        <v>5</v>
      </c>
      <c r="AN281" s="319">
        <v>3.5</v>
      </c>
      <c r="AO281" s="319">
        <v>0.45</v>
      </c>
      <c r="AP281">
        <v>1</v>
      </c>
      <c r="AQ281">
        <v>1</v>
      </c>
      <c r="AR281" s="136"/>
      <c r="AT281" s="69">
        <v>2.3148</v>
      </c>
      <c r="AU281" s="69">
        <v>2.3148</v>
      </c>
      <c r="AV281" s="69">
        <v>5.7443999999999997</v>
      </c>
      <c r="AW281" s="69">
        <v>0.3458</v>
      </c>
      <c r="BB281" s="69"/>
    </row>
    <row r="282" spans="1:54" customFormat="1" ht="40" customHeight="1">
      <c r="A282" s="313">
        <v>281</v>
      </c>
      <c r="B282" s="136" t="s">
        <v>589</v>
      </c>
      <c r="C282" s="136" t="s">
        <v>45</v>
      </c>
      <c r="D282" s="31">
        <f t="shared" si="20"/>
        <v>4</v>
      </c>
      <c r="E282" s="137" t="s">
        <v>46</v>
      </c>
      <c r="F282" s="31">
        <f t="shared" si="21"/>
        <v>6</v>
      </c>
      <c r="G282" s="137" t="s">
        <v>845</v>
      </c>
      <c r="H282" s="138">
        <v>156</v>
      </c>
      <c r="I282" s="158">
        <f t="shared" si="22"/>
        <v>0.41510715171339058</v>
      </c>
      <c r="J282" s="95">
        <v>1.7712495137267601E-8</v>
      </c>
      <c r="K282" s="137">
        <v>0.83021428571428602</v>
      </c>
      <c r="L282" s="137">
        <v>0.90749999999999997</v>
      </c>
      <c r="M282" s="137">
        <v>0.71428571428571397</v>
      </c>
      <c r="N282" s="136">
        <v>0</v>
      </c>
      <c r="O282" s="32">
        <v>43533</v>
      </c>
      <c r="P282" s="98">
        <f t="shared" si="23"/>
        <v>0</v>
      </c>
      <c r="Q282">
        <v>7.65</v>
      </c>
      <c r="R282">
        <v>1.65</v>
      </c>
      <c r="S282">
        <v>1.87</v>
      </c>
      <c r="T282" s="112" t="s">
        <v>48</v>
      </c>
      <c r="U282" s="137" t="s">
        <v>846</v>
      </c>
      <c r="V282" s="137" t="s">
        <v>847</v>
      </c>
      <c r="W282" s="69">
        <v>121</v>
      </c>
      <c r="X282" s="136">
        <v>2</v>
      </c>
      <c r="Y282" s="136">
        <v>4</v>
      </c>
      <c r="Z282" s="314"/>
      <c r="AA282" s="319">
        <v>0.53500000000000003</v>
      </c>
      <c r="AB282" s="315" t="s">
        <v>5168</v>
      </c>
      <c r="AC282" s="319">
        <v>0</v>
      </c>
      <c r="AD282" s="320">
        <v>0</v>
      </c>
      <c r="AE282" s="319">
        <v>2</v>
      </c>
      <c r="AF282" s="320">
        <v>2.8985507246376802E-2</v>
      </c>
      <c r="AG282" s="319">
        <v>3</v>
      </c>
      <c r="AH282" s="320">
        <v>4.3478260869565202E-2</v>
      </c>
      <c r="AI282" s="319">
        <v>0</v>
      </c>
      <c r="AJ282" s="320">
        <v>0</v>
      </c>
      <c r="AK282" s="320">
        <v>2.8985507246376808E-2</v>
      </c>
      <c r="AL282" s="319">
        <v>6.75</v>
      </c>
      <c r="AM282" s="319">
        <v>5</v>
      </c>
      <c r="AN282" s="319">
        <v>6.1666666666666599</v>
      </c>
      <c r="AO282" s="319">
        <v>0.59722222222222199</v>
      </c>
      <c r="AP282">
        <v>4</v>
      </c>
      <c r="AR282" s="136"/>
      <c r="AS282">
        <v>4</v>
      </c>
      <c r="AT282" s="69">
        <v>6.3414000000000001</v>
      </c>
      <c r="AU282" s="69">
        <v>2.3148</v>
      </c>
      <c r="AV282" s="69">
        <v>9.5120000000000005</v>
      </c>
      <c r="AW282" s="69">
        <v>0.60560000000000003</v>
      </c>
      <c r="BB282" s="69"/>
    </row>
    <row r="283" spans="1:54" customFormat="1" ht="40" customHeight="1">
      <c r="A283" s="313">
        <v>282</v>
      </c>
      <c r="B283" s="136" t="s">
        <v>589</v>
      </c>
      <c r="C283" s="136" t="s">
        <v>45</v>
      </c>
      <c r="D283" s="31">
        <f t="shared" si="20"/>
        <v>4</v>
      </c>
      <c r="E283" s="137" t="s">
        <v>848</v>
      </c>
      <c r="F283" s="31">
        <f t="shared" si="21"/>
        <v>9</v>
      </c>
      <c r="G283" s="137" t="s">
        <v>849</v>
      </c>
      <c r="H283" s="138">
        <v>310</v>
      </c>
      <c r="I283" s="158">
        <f t="shared" si="22"/>
        <v>0.35273985249786777</v>
      </c>
      <c r="J283" s="95">
        <v>1.12158747256341E-6</v>
      </c>
      <c r="K283" s="137">
        <v>0.70547858340826297</v>
      </c>
      <c r="L283" s="137">
        <v>0.82499999999999996</v>
      </c>
      <c r="M283" s="137">
        <v>0.526196458520657</v>
      </c>
      <c r="N283" s="136">
        <v>1</v>
      </c>
      <c r="O283" s="32">
        <v>43528</v>
      </c>
      <c r="P283" s="98">
        <f t="shared" si="23"/>
        <v>0</v>
      </c>
      <c r="Q283">
        <v>2.5499999999999998</v>
      </c>
      <c r="R283">
        <v>1.65</v>
      </c>
      <c r="S283">
        <v>0</v>
      </c>
      <c r="T283" s="112" t="s">
        <v>48</v>
      </c>
      <c r="U283" s="137" t="s">
        <v>850</v>
      </c>
      <c r="V283" s="137" t="s">
        <v>851</v>
      </c>
      <c r="W283" s="69">
        <v>218</v>
      </c>
      <c r="X283" s="136">
        <v>4</v>
      </c>
      <c r="Y283" s="136">
        <v>11</v>
      </c>
      <c r="Z283" s="314"/>
      <c r="AA283" s="319">
        <v>0.64895000000000003</v>
      </c>
      <c r="AB283" s="315" t="s">
        <v>5176</v>
      </c>
      <c r="AC283" s="319">
        <v>0</v>
      </c>
      <c r="AD283" s="320">
        <v>0</v>
      </c>
      <c r="AE283" s="319">
        <v>3</v>
      </c>
      <c r="AF283" s="320">
        <v>2.2556390977443601E-2</v>
      </c>
      <c r="AG283" s="319">
        <v>1</v>
      </c>
      <c r="AH283" s="320">
        <v>7.5187969924812E-3</v>
      </c>
      <c r="AI283" s="319">
        <v>0</v>
      </c>
      <c r="AJ283" s="320">
        <v>0</v>
      </c>
      <c r="AK283" s="320">
        <v>7.5187969924812026E-3</v>
      </c>
      <c r="AL283" s="319">
        <v>5</v>
      </c>
      <c r="AM283" s="319">
        <v>6.2</v>
      </c>
      <c r="AN283" s="319">
        <v>7.3333333333333304</v>
      </c>
      <c r="AO283" s="319">
        <v>0.61777777777777698</v>
      </c>
      <c r="AP283">
        <v>11</v>
      </c>
      <c r="AQ283">
        <v>11</v>
      </c>
      <c r="AR283" s="136"/>
      <c r="AT283" s="69">
        <v>2.3148</v>
      </c>
      <c r="AU283" s="69">
        <v>5</v>
      </c>
      <c r="AV283" s="69">
        <v>9.8416999999999994</v>
      </c>
      <c r="AW283" s="69">
        <v>0.57189999999999996</v>
      </c>
      <c r="BB283" s="69"/>
    </row>
    <row r="284" spans="1:54" customFormat="1" ht="40" customHeight="1">
      <c r="A284" s="313">
        <v>283</v>
      </c>
      <c r="B284" s="136" t="s">
        <v>589</v>
      </c>
      <c r="C284" s="136" t="s">
        <v>45</v>
      </c>
      <c r="D284" s="31">
        <f t="shared" si="20"/>
        <v>4</v>
      </c>
      <c r="E284" s="137" t="s">
        <v>80</v>
      </c>
      <c r="F284" s="31">
        <f t="shared" si="21"/>
        <v>4</v>
      </c>
      <c r="G284" s="137" t="s">
        <v>852</v>
      </c>
      <c r="H284" s="138">
        <v>55</v>
      </c>
      <c r="I284" s="158">
        <f t="shared" si="22"/>
        <v>0.81506998995213353</v>
      </c>
      <c r="J284" s="95">
        <v>0.78461431176534602</v>
      </c>
      <c r="K284" s="137">
        <v>0.84552566813892105</v>
      </c>
      <c r="L284" s="137">
        <v>0.90749999999999997</v>
      </c>
      <c r="M284" s="137">
        <v>0.75256417034730305</v>
      </c>
      <c r="N284" s="136">
        <v>1</v>
      </c>
      <c r="O284" s="32">
        <v>43525</v>
      </c>
      <c r="P284" s="98">
        <f t="shared" si="23"/>
        <v>0</v>
      </c>
      <c r="Q284">
        <v>2.5499999999999998</v>
      </c>
      <c r="R284">
        <v>0</v>
      </c>
      <c r="S284">
        <v>0</v>
      </c>
      <c r="T284" s="112" t="s">
        <v>48</v>
      </c>
      <c r="U284" s="137" t="s">
        <v>853</v>
      </c>
      <c r="V284" s="137" t="s">
        <v>854</v>
      </c>
      <c r="W284" s="69">
        <v>67</v>
      </c>
      <c r="X284" s="136">
        <v>3</v>
      </c>
      <c r="Y284" s="136">
        <v>3</v>
      </c>
      <c r="Z284" s="314"/>
      <c r="AA284" s="319">
        <v>0.59450000000000003</v>
      </c>
      <c r="AB284" s="331" t="s">
        <v>5161</v>
      </c>
      <c r="AC284" s="319">
        <v>0</v>
      </c>
      <c r="AD284" s="320">
        <v>0</v>
      </c>
      <c r="AE284" s="319">
        <v>0</v>
      </c>
      <c r="AF284" s="320">
        <v>0</v>
      </c>
      <c r="AG284" s="319">
        <v>0</v>
      </c>
      <c r="AH284" s="320">
        <v>0</v>
      </c>
      <c r="AI284" s="319">
        <v>0</v>
      </c>
      <c r="AJ284" s="320">
        <v>0</v>
      </c>
      <c r="AK284" s="320">
        <v>0</v>
      </c>
      <c r="AL284" s="319">
        <v>5</v>
      </c>
      <c r="AM284" s="319">
        <v>5</v>
      </c>
      <c r="AN284" s="319">
        <v>4.6666666666666599</v>
      </c>
      <c r="AO284" s="319">
        <v>0.48888888888888798</v>
      </c>
      <c r="AP284">
        <v>3</v>
      </c>
      <c r="AQ284">
        <v>3</v>
      </c>
      <c r="AR284" s="136"/>
      <c r="AT284" s="69">
        <v>2.3148</v>
      </c>
      <c r="AU284" s="69">
        <v>2.3148</v>
      </c>
      <c r="AV284" s="69">
        <v>8.1305999999999994</v>
      </c>
      <c r="AW284" s="69">
        <v>0.42530000000000001</v>
      </c>
      <c r="BB284" s="69"/>
    </row>
    <row r="285" spans="1:54" customFormat="1" ht="40" customHeight="1">
      <c r="A285" s="313">
        <v>284</v>
      </c>
      <c r="B285" s="136" t="s">
        <v>589</v>
      </c>
      <c r="C285" s="136" t="s">
        <v>45</v>
      </c>
      <c r="D285" s="31">
        <f t="shared" si="20"/>
        <v>4</v>
      </c>
      <c r="E285" s="137" t="s">
        <v>46</v>
      </c>
      <c r="F285" s="31">
        <f t="shared" si="21"/>
        <v>6</v>
      </c>
      <c r="G285" s="137" t="s">
        <v>855</v>
      </c>
      <c r="H285" s="138">
        <v>46</v>
      </c>
      <c r="I285" s="158">
        <f t="shared" si="22"/>
        <v>0.79632097836934457</v>
      </c>
      <c r="J285" s="95">
        <v>0.95645095026862903</v>
      </c>
      <c r="K285" s="137">
        <v>0.63619100647005999</v>
      </c>
      <c r="L285" s="137">
        <v>0.75</v>
      </c>
      <c r="M285" s="137">
        <v>0.46547751617515098</v>
      </c>
      <c r="N285" s="136">
        <v>1</v>
      </c>
      <c r="O285" s="32">
        <v>43515</v>
      </c>
      <c r="P285" s="98">
        <f t="shared" si="23"/>
        <v>1</v>
      </c>
      <c r="Q285">
        <v>0</v>
      </c>
      <c r="R285">
        <v>0</v>
      </c>
      <c r="S285">
        <v>0</v>
      </c>
      <c r="T285" s="112" t="s">
        <v>73</v>
      </c>
      <c r="U285" s="137" t="s">
        <v>856</v>
      </c>
      <c r="V285" s="137" t="s">
        <v>851</v>
      </c>
      <c r="W285" s="69">
        <v>218</v>
      </c>
      <c r="X285" s="136">
        <v>2</v>
      </c>
      <c r="Y285" s="136">
        <v>14</v>
      </c>
      <c r="Z285" s="314"/>
      <c r="AA285" s="319">
        <v>0.5</v>
      </c>
      <c r="AB285" s="315" t="s">
        <v>5176</v>
      </c>
      <c r="AC285" s="319">
        <v>0</v>
      </c>
      <c r="AD285" s="320">
        <v>0</v>
      </c>
      <c r="AE285" s="319">
        <v>3</v>
      </c>
      <c r="AF285" s="320">
        <v>2.2556390977443601E-2</v>
      </c>
      <c r="AG285" s="319">
        <v>1</v>
      </c>
      <c r="AH285" s="320">
        <v>7.5187969924812E-3</v>
      </c>
      <c r="AI285" s="319">
        <v>0</v>
      </c>
      <c r="AJ285" s="320">
        <v>0</v>
      </c>
      <c r="AK285" s="320">
        <v>7.5187969924812026E-3</v>
      </c>
      <c r="AL285" s="319">
        <v>5</v>
      </c>
      <c r="AM285" s="319">
        <v>5</v>
      </c>
      <c r="AN285" s="319">
        <v>2</v>
      </c>
      <c r="AO285" s="319">
        <v>0.4</v>
      </c>
      <c r="AP285">
        <v>14</v>
      </c>
      <c r="AQ285">
        <v>14</v>
      </c>
      <c r="AR285" s="136"/>
      <c r="AT285" s="69">
        <v>2.3148</v>
      </c>
      <c r="AU285" s="69">
        <v>2.3148</v>
      </c>
      <c r="AV285" s="69">
        <v>2.3148</v>
      </c>
      <c r="AW285" s="69">
        <v>0.23150000000000001</v>
      </c>
      <c r="BB285" s="69"/>
    </row>
    <row r="286" spans="1:54" customFormat="1" ht="40" customHeight="1">
      <c r="A286" s="313">
        <v>285</v>
      </c>
      <c r="B286" s="136" t="s">
        <v>589</v>
      </c>
      <c r="C286" s="136" t="s">
        <v>45</v>
      </c>
      <c r="D286" s="31">
        <f t="shared" si="20"/>
        <v>4</v>
      </c>
      <c r="E286" s="137" t="s">
        <v>80</v>
      </c>
      <c r="F286" s="31">
        <f t="shared" si="21"/>
        <v>4</v>
      </c>
      <c r="G286" s="137" t="s">
        <v>857</v>
      </c>
      <c r="H286" s="138">
        <v>49</v>
      </c>
      <c r="I286" s="158">
        <f t="shared" si="22"/>
        <v>0.42485924453446061</v>
      </c>
      <c r="J286" s="95">
        <v>1.18613462117783E-2</v>
      </c>
      <c r="K286" s="137">
        <v>0.83785714285714297</v>
      </c>
      <c r="L286" s="137">
        <v>0.82499999999999996</v>
      </c>
      <c r="M286" s="137">
        <v>0.85714285714285698</v>
      </c>
      <c r="N286" s="136">
        <v>1</v>
      </c>
      <c r="O286" s="32">
        <v>43481</v>
      </c>
      <c r="P286" s="98">
        <f t="shared" si="23"/>
        <v>0</v>
      </c>
      <c r="Q286">
        <v>2.5499999999999998</v>
      </c>
      <c r="R286">
        <v>0</v>
      </c>
      <c r="S286">
        <v>0</v>
      </c>
      <c r="T286" s="112" t="s">
        <v>48</v>
      </c>
      <c r="U286" s="137" t="s">
        <v>858</v>
      </c>
      <c r="V286" s="137" t="s">
        <v>859</v>
      </c>
      <c r="W286" s="69">
        <v>71</v>
      </c>
      <c r="X286" s="136">
        <v>1</v>
      </c>
      <c r="Y286" s="136">
        <v>1</v>
      </c>
      <c r="Z286" s="314"/>
      <c r="AA286" s="319">
        <v>0.54500000000000004</v>
      </c>
      <c r="AB286" s="315" t="s">
        <v>5168</v>
      </c>
      <c r="AC286" s="319">
        <v>1</v>
      </c>
      <c r="AD286" s="320">
        <v>2.5641025641025599E-2</v>
      </c>
      <c r="AE286" s="319">
        <v>0</v>
      </c>
      <c r="AF286" s="320">
        <v>0</v>
      </c>
      <c r="AG286" s="319">
        <v>2</v>
      </c>
      <c r="AH286" s="320">
        <v>5.1282051282051197E-2</v>
      </c>
      <c r="AI286" s="319">
        <v>0</v>
      </c>
      <c r="AJ286" s="320">
        <v>0</v>
      </c>
      <c r="AK286" s="320">
        <v>5.128205128205128E-2</v>
      </c>
      <c r="AL286" s="319">
        <v>9.0357142857142794</v>
      </c>
      <c r="AM286" s="319">
        <v>8.3333333333333304</v>
      </c>
      <c r="AN286" s="319">
        <v>4.6666666666666599</v>
      </c>
      <c r="AO286" s="319">
        <v>0.73452380952380902</v>
      </c>
      <c r="AP286">
        <v>1</v>
      </c>
      <c r="AQ286">
        <v>1</v>
      </c>
      <c r="AR286" s="136"/>
      <c r="AT286" s="69">
        <v>9.4480000000000004</v>
      </c>
      <c r="AU286" s="69">
        <v>8.9379000000000008</v>
      </c>
      <c r="AV286" s="69">
        <v>8.1305999999999994</v>
      </c>
      <c r="AW286" s="69">
        <v>0.88390000000000002</v>
      </c>
      <c r="BB286" s="69"/>
    </row>
    <row r="287" spans="1:54" customFormat="1" ht="40" customHeight="1">
      <c r="A287" s="313">
        <v>286</v>
      </c>
      <c r="B287" s="136" t="s">
        <v>589</v>
      </c>
      <c r="C287" s="136" t="s">
        <v>45</v>
      </c>
      <c r="D287" s="31">
        <f t="shared" si="20"/>
        <v>4</v>
      </c>
      <c r="E287" s="137" t="s">
        <v>80</v>
      </c>
      <c r="F287" s="31">
        <f t="shared" si="21"/>
        <v>4</v>
      </c>
      <c r="G287" s="137" t="s">
        <v>159</v>
      </c>
      <c r="H287" s="138">
        <v>178</v>
      </c>
      <c r="I287" s="158">
        <f t="shared" si="22"/>
        <v>0.38361234372319813</v>
      </c>
      <c r="J287" s="95">
        <v>4.46384262886568E-10</v>
      </c>
      <c r="K287" s="137">
        <v>0.76722468700001201</v>
      </c>
      <c r="L287" s="137">
        <v>0.82499999999999996</v>
      </c>
      <c r="M287" s="137">
        <v>0.68056171750003003</v>
      </c>
      <c r="N287" s="136">
        <v>1</v>
      </c>
      <c r="O287" s="32">
        <v>43476</v>
      </c>
      <c r="P287" s="98">
        <f t="shared" si="23"/>
        <v>0</v>
      </c>
      <c r="Q287">
        <v>10.199999999999999</v>
      </c>
      <c r="R287">
        <v>3.3</v>
      </c>
      <c r="S287">
        <v>0</v>
      </c>
      <c r="T287" s="112" t="s">
        <v>48</v>
      </c>
      <c r="U287" s="137" t="s">
        <v>860</v>
      </c>
      <c r="V287" s="137" t="s">
        <v>861</v>
      </c>
      <c r="W287" s="69">
        <v>75</v>
      </c>
      <c r="X287" s="136">
        <v>1</v>
      </c>
      <c r="Y287" s="136">
        <v>5</v>
      </c>
      <c r="Z287" s="314"/>
      <c r="AA287" s="319">
        <v>0.64895000000000003</v>
      </c>
      <c r="AB287" s="315" t="s">
        <v>5167</v>
      </c>
      <c r="AC287" s="319">
        <v>0</v>
      </c>
      <c r="AD287" s="320">
        <v>0</v>
      </c>
      <c r="AE287" s="319">
        <v>1</v>
      </c>
      <c r="AF287" s="320">
        <v>2.3809523809523801E-2</v>
      </c>
      <c r="AG287" s="319">
        <v>0</v>
      </c>
      <c r="AH287" s="320">
        <v>0</v>
      </c>
      <c r="AI287" s="319">
        <v>2</v>
      </c>
      <c r="AJ287" s="320">
        <v>4.7619047619047603E-2</v>
      </c>
      <c r="AK287" s="320">
        <v>4.7619047619047623E-2</v>
      </c>
      <c r="AL287" s="319">
        <v>10</v>
      </c>
      <c r="AM287" s="319">
        <v>6.2</v>
      </c>
      <c r="AN287" s="319">
        <v>4.6666666666666599</v>
      </c>
      <c r="AO287" s="319">
        <v>0.69555555555555504</v>
      </c>
      <c r="AP287">
        <v>5</v>
      </c>
      <c r="AR287" s="136"/>
      <c r="AS287">
        <v>5</v>
      </c>
      <c r="AT287" s="69">
        <v>9.8994999999999997</v>
      </c>
      <c r="AU287" s="69">
        <v>5</v>
      </c>
      <c r="AV287" s="69">
        <v>8.1305999999999994</v>
      </c>
      <c r="AW287" s="69">
        <v>0.76770000000000005</v>
      </c>
      <c r="BB287" s="69"/>
    </row>
    <row r="288" spans="1:54" customFormat="1" ht="40" customHeight="1">
      <c r="A288" s="313">
        <v>287</v>
      </c>
      <c r="B288" s="136" t="s">
        <v>589</v>
      </c>
      <c r="C288" s="136" t="s">
        <v>45</v>
      </c>
      <c r="D288" s="31">
        <f t="shared" si="20"/>
        <v>4</v>
      </c>
      <c r="E288" s="137" t="s">
        <v>80</v>
      </c>
      <c r="F288" s="31">
        <f t="shared" si="21"/>
        <v>4</v>
      </c>
      <c r="G288" s="137" t="s">
        <v>862</v>
      </c>
      <c r="H288" s="138">
        <v>163</v>
      </c>
      <c r="I288" s="158">
        <f t="shared" si="22"/>
        <v>0.39093046986035473</v>
      </c>
      <c r="J288" s="95">
        <v>1.1466540064234399E-3</v>
      </c>
      <c r="K288" s="137">
        <v>0.78071428571428603</v>
      </c>
      <c r="L288" s="137">
        <v>0.82499999999999996</v>
      </c>
      <c r="M288" s="137">
        <v>0.71428571428571397</v>
      </c>
      <c r="N288" s="136">
        <v>1</v>
      </c>
      <c r="O288" s="32">
        <v>43476</v>
      </c>
      <c r="P288" s="98">
        <f t="shared" si="23"/>
        <v>0</v>
      </c>
      <c r="Q288">
        <v>5.0999999999999996</v>
      </c>
      <c r="R288">
        <v>1.65</v>
      </c>
      <c r="S288">
        <v>0</v>
      </c>
      <c r="T288" s="112" t="s">
        <v>48</v>
      </c>
      <c r="U288" s="137" t="s">
        <v>863</v>
      </c>
      <c r="V288" s="137" t="s">
        <v>864</v>
      </c>
      <c r="W288" s="69">
        <v>191</v>
      </c>
      <c r="X288" s="136">
        <v>1</v>
      </c>
      <c r="Y288" s="136">
        <v>4</v>
      </c>
      <c r="Z288" s="314"/>
      <c r="AA288" s="319">
        <v>0.66549999999999998</v>
      </c>
      <c r="AB288" s="315" t="s">
        <v>5168</v>
      </c>
      <c r="AC288" s="319">
        <v>1</v>
      </c>
      <c r="AD288" s="320">
        <v>9.4339622641509396E-3</v>
      </c>
      <c r="AE288" s="319">
        <v>1</v>
      </c>
      <c r="AF288" s="320">
        <v>9.4339622641509396E-3</v>
      </c>
      <c r="AG288" s="319">
        <v>4</v>
      </c>
      <c r="AH288" s="320">
        <v>3.7735849056603703E-2</v>
      </c>
      <c r="AI288" s="319">
        <v>1</v>
      </c>
      <c r="AJ288" s="320">
        <v>9.4339622641509396E-3</v>
      </c>
      <c r="AK288" s="320">
        <v>2.8301886792452831E-2</v>
      </c>
      <c r="AL288" s="319">
        <v>9.0357142857142794</v>
      </c>
      <c r="AM288" s="319">
        <v>6.2</v>
      </c>
      <c r="AN288" s="319">
        <v>2</v>
      </c>
      <c r="AO288" s="319">
        <v>0.57452380952380899</v>
      </c>
      <c r="AP288">
        <v>4</v>
      </c>
      <c r="AR288" s="136"/>
      <c r="AS288">
        <v>4</v>
      </c>
      <c r="AT288" s="69">
        <v>9.4480000000000004</v>
      </c>
      <c r="AU288" s="69">
        <v>5</v>
      </c>
      <c r="AV288" s="69">
        <v>2.3148</v>
      </c>
      <c r="AW288" s="69">
        <v>0.55879999999999996</v>
      </c>
      <c r="BB288" s="69"/>
    </row>
    <row r="289" spans="1:54" customFormat="1" ht="40" customHeight="1">
      <c r="A289" s="313">
        <v>288</v>
      </c>
      <c r="B289" s="136" t="s">
        <v>589</v>
      </c>
      <c r="C289" s="136" t="s">
        <v>45</v>
      </c>
      <c r="D289" s="31">
        <f t="shared" si="20"/>
        <v>4</v>
      </c>
      <c r="E289" s="137" t="s">
        <v>80</v>
      </c>
      <c r="F289" s="31">
        <f t="shared" si="21"/>
        <v>4</v>
      </c>
      <c r="G289" s="137" t="s">
        <v>180</v>
      </c>
      <c r="H289" s="138">
        <v>112</v>
      </c>
      <c r="I289" s="158">
        <f t="shared" si="22"/>
        <v>0.38772292287799648</v>
      </c>
      <c r="J289" s="95">
        <v>5.3221158755980998E-2</v>
      </c>
      <c r="K289" s="137">
        <v>0.72222468700001197</v>
      </c>
      <c r="L289" s="137">
        <v>0.75</v>
      </c>
      <c r="M289" s="137">
        <v>0.68056171750003003</v>
      </c>
      <c r="N289" s="136">
        <v>1</v>
      </c>
      <c r="O289" s="32">
        <v>43476</v>
      </c>
      <c r="P289" s="98">
        <f t="shared" si="23"/>
        <v>0</v>
      </c>
      <c r="Q289">
        <v>5.0999999999999996</v>
      </c>
      <c r="R289">
        <v>1.65</v>
      </c>
      <c r="S289">
        <v>0</v>
      </c>
      <c r="T289" s="112" t="s">
        <v>48</v>
      </c>
      <c r="U289" s="137" t="s">
        <v>865</v>
      </c>
      <c r="V289" s="137" t="s">
        <v>866</v>
      </c>
      <c r="W289" s="69">
        <v>142</v>
      </c>
      <c r="X289" s="136">
        <v>1</v>
      </c>
      <c r="Y289" s="136">
        <v>5</v>
      </c>
      <c r="Z289" s="314"/>
      <c r="AA289" s="319">
        <v>0.64895000000000003</v>
      </c>
      <c r="AB289" s="315" t="s">
        <v>5165</v>
      </c>
      <c r="AC289" s="319">
        <v>3</v>
      </c>
      <c r="AD289" s="320">
        <v>3.7499999999999999E-2</v>
      </c>
      <c r="AE289" s="319">
        <v>2</v>
      </c>
      <c r="AF289" s="320">
        <v>2.5000000000000001E-2</v>
      </c>
      <c r="AG289" s="319">
        <v>1</v>
      </c>
      <c r="AH289" s="320">
        <v>1.2500000000000001E-2</v>
      </c>
      <c r="AI289" s="319">
        <v>2</v>
      </c>
      <c r="AJ289" s="320">
        <v>2.5000000000000001E-2</v>
      </c>
      <c r="AK289" s="320">
        <v>2.5000000000000001E-2</v>
      </c>
      <c r="AL289" s="319">
        <v>9.0357142857142794</v>
      </c>
      <c r="AM289" s="319">
        <v>5</v>
      </c>
      <c r="AN289" s="319">
        <v>7.3333333333333304</v>
      </c>
      <c r="AO289" s="319">
        <v>0.71230158730158699</v>
      </c>
      <c r="AP289">
        <v>5</v>
      </c>
      <c r="AR289" s="136"/>
      <c r="AS289">
        <v>5</v>
      </c>
      <c r="AT289" s="69">
        <v>9.4480000000000004</v>
      </c>
      <c r="AU289" s="69">
        <v>2.3148</v>
      </c>
      <c r="AV289" s="69">
        <v>9.8416999999999994</v>
      </c>
      <c r="AW289" s="69">
        <v>0.72019999999999995</v>
      </c>
      <c r="BB289" s="69"/>
    </row>
    <row r="290" spans="1:54" customFormat="1" ht="40" customHeight="1">
      <c r="A290" s="313">
        <v>289</v>
      </c>
      <c r="B290" s="136" t="s">
        <v>589</v>
      </c>
      <c r="C290" s="136" t="s">
        <v>45</v>
      </c>
      <c r="D290" s="31">
        <f t="shared" si="20"/>
        <v>4</v>
      </c>
      <c r="E290" s="137" t="s">
        <v>80</v>
      </c>
      <c r="F290" s="31">
        <f t="shared" si="21"/>
        <v>4</v>
      </c>
      <c r="G290" s="137" t="s">
        <v>867</v>
      </c>
      <c r="H290" s="138">
        <v>103</v>
      </c>
      <c r="I290" s="158">
        <f t="shared" si="22"/>
        <v>0.67027881802843647</v>
      </c>
      <c r="J290" s="95">
        <v>0.544531967917952</v>
      </c>
      <c r="K290" s="137">
        <v>0.79602566813892095</v>
      </c>
      <c r="L290" s="137">
        <v>0.82499999999999996</v>
      </c>
      <c r="M290" s="137">
        <v>0.75256417034730305</v>
      </c>
      <c r="N290" s="136">
        <v>1</v>
      </c>
      <c r="O290" s="32">
        <v>43476</v>
      </c>
      <c r="P290" s="98">
        <f t="shared" si="23"/>
        <v>0</v>
      </c>
      <c r="Q290">
        <v>5.0999999999999996</v>
      </c>
      <c r="R290">
        <v>4.95</v>
      </c>
      <c r="S290">
        <v>0</v>
      </c>
      <c r="T290" s="112" t="s">
        <v>48</v>
      </c>
      <c r="U290" s="137" t="s">
        <v>868</v>
      </c>
      <c r="V290" s="137" t="s">
        <v>869</v>
      </c>
      <c r="W290" s="69">
        <v>95</v>
      </c>
      <c r="X290" s="136">
        <v>1</v>
      </c>
      <c r="Y290" s="136">
        <v>3</v>
      </c>
      <c r="Z290" s="314"/>
      <c r="AA290" s="319">
        <v>0.59450000000000003</v>
      </c>
      <c r="AB290" s="315" t="s">
        <v>5168</v>
      </c>
      <c r="AC290" s="319">
        <v>2</v>
      </c>
      <c r="AD290" s="320">
        <v>3.7735849056603703E-2</v>
      </c>
      <c r="AE290" s="319">
        <v>1</v>
      </c>
      <c r="AF290" s="320">
        <v>1.8867924528301799E-2</v>
      </c>
      <c r="AG290" s="319">
        <v>3</v>
      </c>
      <c r="AH290" s="320">
        <v>5.6603773584905599E-2</v>
      </c>
      <c r="AI290" s="319">
        <v>0</v>
      </c>
      <c r="AJ290" s="320">
        <v>0</v>
      </c>
      <c r="AK290" s="320">
        <v>3.7735849056603772E-2</v>
      </c>
      <c r="AL290" s="319">
        <v>8.5</v>
      </c>
      <c r="AM290" s="319">
        <v>6.2</v>
      </c>
      <c r="AN290" s="319">
        <v>7.3333333333333304</v>
      </c>
      <c r="AO290" s="319">
        <v>0.73444444444444401</v>
      </c>
      <c r="AP290">
        <v>3</v>
      </c>
      <c r="AQ290">
        <v>3</v>
      </c>
      <c r="AR290" s="136"/>
      <c r="AT290" s="69">
        <v>9.0888000000000009</v>
      </c>
      <c r="AU290" s="69">
        <v>5</v>
      </c>
      <c r="AV290" s="69">
        <v>9.8416999999999994</v>
      </c>
      <c r="AW290" s="69">
        <v>0.79769999999999996</v>
      </c>
      <c r="BB290" s="69"/>
    </row>
    <row r="291" spans="1:54" customFormat="1" ht="40" customHeight="1">
      <c r="A291" s="313">
        <v>290</v>
      </c>
      <c r="B291" s="136" t="s">
        <v>589</v>
      </c>
      <c r="C291" s="136" t="s">
        <v>59</v>
      </c>
      <c r="D291" s="31">
        <f t="shared" si="20"/>
        <v>5</v>
      </c>
      <c r="E291" s="137" t="s">
        <v>46</v>
      </c>
      <c r="F291" s="31">
        <f t="shared" si="21"/>
        <v>6</v>
      </c>
      <c r="G291" s="137" t="s">
        <v>870</v>
      </c>
      <c r="H291" s="138">
        <v>21</v>
      </c>
      <c r="I291" s="158">
        <f t="shared" si="22"/>
        <v>0.89363271232875452</v>
      </c>
      <c r="J291" s="95">
        <v>0.994408281800366</v>
      </c>
      <c r="K291" s="137">
        <v>0.79285714285714304</v>
      </c>
      <c r="L291" s="137">
        <v>0.75</v>
      </c>
      <c r="M291" s="137">
        <v>0.85714285714285698</v>
      </c>
      <c r="N291" s="136">
        <v>0</v>
      </c>
      <c r="O291" s="32">
        <v>43475</v>
      </c>
      <c r="P291" s="98">
        <f t="shared" si="23"/>
        <v>1</v>
      </c>
      <c r="Q291">
        <v>0</v>
      </c>
      <c r="R291">
        <v>1.65</v>
      </c>
      <c r="S291">
        <v>0</v>
      </c>
      <c r="T291" s="112" t="s">
        <v>73</v>
      </c>
      <c r="U291" s="137" t="s">
        <v>871</v>
      </c>
      <c r="V291" s="137" t="s">
        <v>872</v>
      </c>
      <c r="W291" s="69">
        <v>36</v>
      </c>
      <c r="X291" s="136">
        <v>1</v>
      </c>
      <c r="Y291" s="136">
        <v>1</v>
      </c>
      <c r="Z291" s="314"/>
      <c r="AA291" s="319">
        <v>0.5</v>
      </c>
      <c r="AB291" s="315" t="s">
        <v>5165</v>
      </c>
      <c r="AC291" s="319">
        <v>2</v>
      </c>
      <c r="AD291" s="320">
        <v>0.1</v>
      </c>
      <c r="AE291" s="319">
        <v>1</v>
      </c>
      <c r="AF291" s="320">
        <v>0.05</v>
      </c>
      <c r="AG291" s="319">
        <v>0</v>
      </c>
      <c r="AH291" s="320">
        <v>0</v>
      </c>
      <c r="AI291" s="319">
        <v>0</v>
      </c>
      <c r="AJ291" s="320">
        <v>0</v>
      </c>
      <c r="AK291" s="320">
        <v>0</v>
      </c>
      <c r="AL291" s="319">
        <v>5</v>
      </c>
      <c r="AM291" s="319">
        <v>5</v>
      </c>
      <c r="AN291" s="319">
        <v>3.5</v>
      </c>
      <c r="AO291" s="319">
        <v>0.45</v>
      </c>
      <c r="AP291">
        <v>1</v>
      </c>
      <c r="AQ291">
        <v>1</v>
      </c>
      <c r="AR291" s="136"/>
      <c r="AT291" s="69">
        <v>2.3148</v>
      </c>
      <c r="AU291" s="69">
        <v>2.3148</v>
      </c>
      <c r="AV291" s="69">
        <v>5.7443999999999997</v>
      </c>
      <c r="AW291" s="69">
        <v>0.3458</v>
      </c>
      <c r="BB291" s="69"/>
    </row>
    <row r="292" spans="1:54" customFormat="1" ht="40" customHeight="1">
      <c r="A292" s="313">
        <v>291</v>
      </c>
      <c r="B292" s="136" t="s">
        <v>589</v>
      </c>
      <c r="C292" s="136" t="s">
        <v>45</v>
      </c>
      <c r="D292" s="31">
        <f t="shared" si="20"/>
        <v>4</v>
      </c>
      <c r="E292" s="137" t="s">
        <v>80</v>
      </c>
      <c r="F292" s="31">
        <f t="shared" si="21"/>
        <v>4</v>
      </c>
      <c r="G292" s="137" t="s">
        <v>873</v>
      </c>
      <c r="H292" s="138">
        <v>64</v>
      </c>
      <c r="I292" s="158">
        <f t="shared" si="22"/>
        <v>0.73506249172802052</v>
      </c>
      <c r="J292" s="95">
        <v>0.73441069774175505</v>
      </c>
      <c r="K292" s="137">
        <v>0.73571428571428599</v>
      </c>
      <c r="L292" s="137">
        <v>0.75</v>
      </c>
      <c r="M292" s="137">
        <v>0.71428571428571397</v>
      </c>
      <c r="N292" s="136">
        <v>1</v>
      </c>
      <c r="O292" s="32">
        <v>43475</v>
      </c>
      <c r="P292" s="98">
        <f t="shared" si="23"/>
        <v>1</v>
      </c>
      <c r="Q292">
        <v>0</v>
      </c>
      <c r="R292">
        <v>3.3</v>
      </c>
      <c r="S292">
        <v>0</v>
      </c>
      <c r="T292" s="112" t="s">
        <v>73</v>
      </c>
      <c r="U292" s="137" t="s">
        <v>874</v>
      </c>
      <c r="V292" s="137" t="s">
        <v>875</v>
      </c>
      <c r="W292" s="69">
        <v>77</v>
      </c>
      <c r="X292" s="136">
        <v>1</v>
      </c>
      <c r="Y292" s="136">
        <v>4</v>
      </c>
      <c r="Z292" s="314"/>
      <c r="AA292" s="319">
        <v>0.55000000000000004</v>
      </c>
      <c r="AB292" s="315" t="s">
        <v>5176</v>
      </c>
      <c r="AC292" s="319">
        <v>0</v>
      </c>
      <c r="AD292" s="320">
        <v>0</v>
      </c>
      <c r="AE292" s="319">
        <v>1</v>
      </c>
      <c r="AF292" s="320">
        <v>2.5000000000000001E-2</v>
      </c>
      <c r="AG292" s="319">
        <v>0</v>
      </c>
      <c r="AH292" s="320">
        <v>0</v>
      </c>
      <c r="AI292" s="319">
        <v>0</v>
      </c>
      <c r="AJ292" s="320">
        <v>0</v>
      </c>
      <c r="AK292" s="320">
        <v>0.05</v>
      </c>
      <c r="AL292" s="319">
        <v>5</v>
      </c>
      <c r="AM292" s="319">
        <v>5</v>
      </c>
      <c r="AN292" s="319">
        <v>2</v>
      </c>
      <c r="AO292" s="319">
        <v>0.4</v>
      </c>
      <c r="AP292">
        <v>4</v>
      </c>
      <c r="AQ292">
        <v>4</v>
      </c>
      <c r="AR292" s="136"/>
      <c r="AT292" s="69">
        <v>2.3148</v>
      </c>
      <c r="AU292" s="69">
        <v>2.3148</v>
      </c>
      <c r="AV292" s="69">
        <v>2.3148</v>
      </c>
      <c r="AW292" s="69">
        <v>0.23150000000000001</v>
      </c>
      <c r="BB292" s="69"/>
    </row>
    <row r="293" spans="1:54" customFormat="1" ht="40" customHeight="1">
      <c r="A293" s="313">
        <v>292</v>
      </c>
      <c r="B293" s="136" t="s">
        <v>589</v>
      </c>
      <c r="C293" s="136" t="s">
        <v>45</v>
      </c>
      <c r="D293" s="31">
        <f t="shared" si="20"/>
        <v>4</v>
      </c>
      <c r="E293" s="137" t="s">
        <v>833</v>
      </c>
      <c r="F293" s="31">
        <f t="shared" si="21"/>
        <v>3</v>
      </c>
      <c r="G293" s="137" t="s">
        <v>876</v>
      </c>
      <c r="H293" s="138">
        <v>269</v>
      </c>
      <c r="I293" s="158">
        <f t="shared" si="22"/>
        <v>0.30378169509538722</v>
      </c>
      <c r="J293" s="95">
        <v>8.8330542880043998E-10</v>
      </c>
      <c r="K293" s="137">
        <v>0.607563389307469</v>
      </c>
      <c r="L293" s="137">
        <v>0.75</v>
      </c>
      <c r="M293" s="137">
        <v>0.39390847326867401</v>
      </c>
      <c r="N293" s="136">
        <v>0</v>
      </c>
      <c r="O293" s="32">
        <v>43470</v>
      </c>
      <c r="P293" s="98">
        <f t="shared" si="23"/>
        <v>0</v>
      </c>
      <c r="Q293">
        <v>5.0999999999999996</v>
      </c>
      <c r="R293">
        <v>1.65</v>
      </c>
      <c r="S293">
        <v>0</v>
      </c>
      <c r="T293" s="112" t="s">
        <v>48</v>
      </c>
      <c r="U293" s="137" t="s">
        <v>877</v>
      </c>
      <c r="V293" s="137" t="s">
        <v>878</v>
      </c>
      <c r="W293" s="69">
        <v>105</v>
      </c>
      <c r="X293" s="136">
        <v>2</v>
      </c>
      <c r="Y293" s="136">
        <v>18</v>
      </c>
      <c r="Z293" s="314"/>
      <c r="AA293" s="319">
        <v>0.59450000000000003</v>
      </c>
      <c r="AB293" s="315" t="s">
        <v>5193</v>
      </c>
      <c r="AC293" s="319">
        <v>2</v>
      </c>
      <c r="AD293" s="320">
        <v>3.2258064516128997E-2</v>
      </c>
      <c r="AE293" s="319">
        <v>2</v>
      </c>
      <c r="AF293" s="320">
        <v>3.2258064516128997E-2</v>
      </c>
      <c r="AG293" s="319">
        <v>1</v>
      </c>
      <c r="AH293" s="320">
        <v>1.6129032258064498E-2</v>
      </c>
      <c r="AI293" s="319">
        <v>2</v>
      </c>
      <c r="AJ293" s="320">
        <v>3.2258064516128997E-2</v>
      </c>
      <c r="AK293" s="320">
        <v>0</v>
      </c>
      <c r="AL293" s="319">
        <v>6.75</v>
      </c>
      <c r="AM293" s="319">
        <v>5</v>
      </c>
      <c r="AN293" s="319">
        <v>2</v>
      </c>
      <c r="AO293" s="319">
        <v>0.45833333333333298</v>
      </c>
      <c r="AP293">
        <v>18</v>
      </c>
      <c r="AR293" s="136"/>
      <c r="AS293">
        <v>18</v>
      </c>
      <c r="AT293" s="69">
        <v>6.3414000000000001</v>
      </c>
      <c r="AU293" s="69">
        <v>2.3148</v>
      </c>
      <c r="AV293" s="69">
        <v>2.3148</v>
      </c>
      <c r="AW293" s="69">
        <v>0.36570000000000003</v>
      </c>
      <c r="BB293" s="69"/>
    </row>
    <row r="294" spans="1:54" customFormat="1" ht="40" customHeight="1">
      <c r="A294" s="313">
        <v>293</v>
      </c>
      <c r="B294" s="136" t="s">
        <v>589</v>
      </c>
      <c r="C294" s="136" t="s">
        <v>45</v>
      </c>
      <c r="D294" s="31">
        <f t="shared" si="20"/>
        <v>4</v>
      </c>
      <c r="E294" s="137" t="s">
        <v>833</v>
      </c>
      <c r="F294" s="31">
        <f t="shared" si="21"/>
        <v>3</v>
      </c>
      <c r="G294" s="137" t="s">
        <v>879</v>
      </c>
      <c r="H294" s="138">
        <v>270</v>
      </c>
      <c r="I294" s="158">
        <f t="shared" si="22"/>
        <v>0.31809550346929327</v>
      </c>
      <c r="J294" s="95">
        <v>4.6852655088969197E-10</v>
      </c>
      <c r="K294" s="137">
        <v>0.63619100647005999</v>
      </c>
      <c r="L294" s="137">
        <v>0.75</v>
      </c>
      <c r="M294" s="137">
        <v>0.46547751617515098</v>
      </c>
      <c r="N294" s="136">
        <v>0</v>
      </c>
      <c r="O294" s="32">
        <v>43468</v>
      </c>
      <c r="P294" s="98">
        <f t="shared" si="23"/>
        <v>0</v>
      </c>
      <c r="Q294">
        <v>5.0999999999999996</v>
      </c>
      <c r="R294">
        <v>1.65</v>
      </c>
      <c r="S294">
        <v>0</v>
      </c>
      <c r="T294" s="112" t="s">
        <v>48</v>
      </c>
      <c r="U294" s="137" t="s">
        <v>880</v>
      </c>
      <c r="V294" s="137" t="s">
        <v>881</v>
      </c>
      <c r="W294" s="69">
        <v>103</v>
      </c>
      <c r="X294" s="136">
        <v>1</v>
      </c>
      <c r="Y294" s="136">
        <v>14</v>
      </c>
      <c r="Z294" s="314"/>
      <c r="AA294" s="319">
        <v>0.59450000000000003</v>
      </c>
      <c r="AB294" s="315" t="s">
        <v>5165</v>
      </c>
      <c r="AC294" s="319">
        <v>3</v>
      </c>
      <c r="AD294" s="320">
        <v>4.9180327868852403E-2</v>
      </c>
      <c r="AE294" s="319">
        <v>2</v>
      </c>
      <c r="AF294" s="320">
        <v>3.2786885245901599E-2</v>
      </c>
      <c r="AG294" s="319">
        <v>1</v>
      </c>
      <c r="AH294" s="320">
        <v>1.63934426229508E-2</v>
      </c>
      <c r="AI294" s="319">
        <v>2</v>
      </c>
      <c r="AJ294" s="320">
        <v>3.2786885245901599E-2</v>
      </c>
      <c r="AK294" s="320">
        <v>0</v>
      </c>
      <c r="AL294" s="319">
        <v>6.75</v>
      </c>
      <c r="AM294" s="319">
        <v>5</v>
      </c>
      <c r="AN294" s="319">
        <v>2</v>
      </c>
      <c r="AO294" s="319">
        <v>0.45833333333333298</v>
      </c>
      <c r="AP294">
        <v>14</v>
      </c>
      <c r="AR294" s="136"/>
      <c r="AS294">
        <v>14</v>
      </c>
      <c r="AT294" s="69">
        <v>6.3414000000000001</v>
      </c>
      <c r="AU294" s="69">
        <v>2.3148</v>
      </c>
      <c r="AV294" s="69">
        <v>2.3148</v>
      </c>
      <c r="AW294" s="69">
        <v>0.36570000000000003</v>
      </c>
      <c r="BB294" s="69"/>
    </row>
    <row r="295" spans="1:54" customFormat="1" ht="40" customHeight="1">
      <c r="A295" s="313">
        <v>294</v>
      </c>
      <c r="B295" s="136" t="s">
        <v>589</v>
      </c>
      <c r="C295" s="136" t="s">
        <v>45</v>
      </c>
      <c r="D295" s="31">
        <f t="shared" si="20"/>
        <v>4</v>
      </c>
      <c r="E295" s="137" t="s">
        <v>833</v>
      </c>
      <c r="F295" s="31">
        <f t="shared" si="21"/>
        <v>3</v>
      </c>
      <c r="G295" s="137" t="s">
        <v>879</v>
      </c>
      <c r="H295" s="138">
        <v>274</v>
      </c>
      <c r="I295" s="158">
        <f t="shared" si="22"/>
        <v>0.3332142857656572</v>
      </c>
      <c r="J295" s="95">
        <v>1.02743369367886E-10</v>
      </c>
      <c r="K295" s="137">
        <v>0.66642857142857104</v>
      </c>
      <c r="L295" s="137">
        <v>0.82499999999999996</v>
      </c>
      <c r="M295" s="137">
        <v>0.42857142857142899</v>
      </c>
      <c r="N295" s="136">
        <v>0</v>
      </c>
      <c r="O295" s="32">
        <v>43467</v>
      </c>
      <c r="P295" s="98">
        <f t="shared" si="23"/>
        <v>0</v>
      </c>
      <c r="Q295">
        <v>5.0999999999999996</v>
      </c>
      <c r="R295">
        <v>1.65</v>
      </c>
      <c r="S295">
        <v>0</v>
      </c>
      <c r="T295" s="112" t="s">
        <v>48</v>
      </c>
      <c r="U295" s="137" t="s">
        <v>882</v>
      </c>
      <c r="V295" s="137" t="s">
        <v>881</v>
      </c>
      <c r="W295" s="69">
        <v>103</v>
      </c>
      <c r="X295" s="136">
        <v>1</v>
      </c>
      <c r="Y295" s="136">
        <v>16</v>
      </c>
      <c r="Z295" s="314"/>
      <c r="AA295" s="319">
        <v>0.58399999999999996</v>
      </c>
      <c r="AB295" s="315" t="s">
        <v>5165</v>
      </c>
      <c r="AC295" s="319">
        <v>3</v>
      </c>
      <c r="AD295" s="320">
        <v>4.9180327868852403E-2</v>
      </c>
      <c r="AE295" s="319">
        <v>2</v>
      </c>
      <c r="AF295" s="320">
        <v>3.2786885245901599E-2</v>
      </c>
      <c r="AG295" s="319">
        <v>1</v>
      </c>
      <c r="AH295" s="320">
        <v>1.63934426229508E-2</v>
      </c>
      <c r="AI295" s="319">
        <v>2</v>
      </c>
      <c r="AJ295" s="320">
        <v>3.2786885245901599E-2</v>
      </c>
      <c r="AK295" s="320">
        <v>0</v>
      </c>
      <c r="AL295" s="319">
        <v>6.75</v>
      </c>
      <c r="AM295" s="319">
        <v>5</v>
      </c>
      <c r="AN295" s="319">
        <v>4.6666666666666599</v>
      </c>
      <c r="AO295" s="319">
        <v>0.54722222222222205</v>
      </c>
      <c r="AP295">
        <v>16</v>
      </c>
      <c r="AR295" s="136"/>
      <c r="AS295">
        <v>16</v>
      </c>
      <c r="AT295" s="69">
        <v>6.3414000000000001</v>
      </c>
      <c r="AU295" s="69">
        <v>2.3148</v>
      </c>
      <c r="AV295" s="69">
        <v>8.1305999999999994</v>
      </c>
      <c r="AW295" s="69">
        <v>0.55959999999999999</v>
      </c>
      <c r="BB295" s="69"/>
    </row>
    <row r="296" spans="1:54" customFormat="1" ht="40" customHeight="1">
      <c r="A296" s="313">
        <v>295</v>
      </c>
      <c r="B296" s="136" t="s">
        <v>589</v>
      </c>
      <c r="C296" s="136" t="s">
        <v>45</v>
      </c>
      <c r="D296" s="31">
        <f t="shared" si="20"/>
        <v>4</v>
      </c>
      <c r="E296" s="137" t="s">
        <v>833</v>
      </c>
      <c r="F296" s="31">
        <f t="shared" si="21"/>
        <v>3</v>
      </c>
      <c r="G296" s="137" t="s">
        <v>883</v>
      </c>
      <c r="H296" s="138">
        <v>262</v>
      </c>
      <c r="I296" s="158">
        <f t="shared" si="22"/>
        <v>0.33456003345590596</v>
      </c>
      <c r="J296" s="95">
        <v>2.6565594168914701E-10</v>
      </c>
      <c r="K296" s="137">
        <v>0.66912006664615598</v>
      </c>
      <c r="L296" s="137">
        <v>0.68181818181818199</v>
      </c>
      <c r="M296" s="137">
        <v>0.65007289388811795</v>
      </c>
      <c r="N296" s="136">
        <v>0</v>
      </c>
      <c r="O296" s="32">
        <v>43467</v>
      </c>
      <c r="P296" s="98">
        <f t="shared" si="23"/>
        <v>1</v>
      </c>
      <c r="Q296">
        <v>0</v>
      </c>
      <c r="R296">
        <v>3.3</v>
      </c>
      <c r="S296">
        <v>0</v>
      </c>
      <c r="T296" s="112" t="s">
        <v>73</v>
      </c>
      <c r="U296" s="137" t="s">
        <v>884</v>
      </c>
      <c r="V296" s="137" t="s">
        <v>885</v>
      </c>
      <c r="W296" s="69">
        <v>64</v>
      </c>
      <c r="X296" s="136">
        <v>3</v>
      </c>
      <c r="Y296" s="136">
        <v>6</v>
      </c>
      <c r="Z296" s="314"/>
      <c r="AA296" s="319">
        <v>0.54500000000000004</v>
      </c>
      <c r="AB296" s="315" t="s">
        <v>5168</v>
      </c>
      <c r="AC296" s="319">
        <v>0</v>
      </c>
      <c r="AD296" s="320">
        <v>0</v>
      </c>
      <c r="AE296" s="319">
        <v>0</v>
      </c>
      <c r="AF296" s="320">
        <v>0</v>
      </c>
      <c r="AG296" s="319">
        <v>2</v>
      </c>
      <c r="AH296" s="320">
        <v>5.7142857142857099E-2</v>
      </c>
      <c r="AI296" s="319">
        <v>0</v>
      </c>
      <c r="AJ296" s="320">
        <v>0</v>
      </c>
      <c r="AK296" s="320">
        <v>0</v>
      </c>
      <c r="AL296" s="319">
        <v>6.75</v>
      </c>
      <c r="AM296" s="319">
        <v>5</v>
      </c>
      <c r="AN296" s="319">
        <v>2</v>
      </c>
      <c r="AO296" s="319">
        <v>0.45833333333333298</v>
      </c>
      <c r="AP296">
        <v>6</v>
      </c>
      <c r="AQ296">
        <v>6</v>
      </c>
      <c r="AR296" s="136"/>
      <c r="AT296" s="69">
        <v>6.3414000000000001</v>
      </c>
      <c r="AU296" s="69">
        <v>2.3148</v>
      </c>
      <c r="AV296" s="69">
        <v>2.3148</v>
      </c>
      <c r="AW296" s="69">
        <v>0.36570000000000003</v>
      </c>
      <c r="BB296" s="69"/>
    </row>
    <row r="297" spans="1:54" customFormat="1" ht="40" customHeight="1">
      <c r="A297" s="313">
        <v>296</v>
      </c>
      <c r="B297" s="136" t="s">
        <v>589</v>
      </c>
      <c r="C297" s="136" t="s">
        <v>45</v>
      </c>
      <c r="D297" s="31">
        <f t="shared" si="20"/>
        <v>4</v>
      </c>
      <c r="E297" s="137" t="s">
        <v>833</v>
      </c>
      <c r="F297" s="31">
        <f t="shared" si="21"/>
        <v>3</v>
      </c>
      <c r="G297" s="137" t="s">
        <v>886</v>
      </c>
      <c r="H297" s="138">
        <v>408</v>
      </c>
      <c r="I297" s="158">
        <f t="shared" si="22"/>
        <v>0.30046003018455208</v>
      </c>
      <c r="J297" s="95">
        <v>2.2204460492503101E-16</v>
      </c>
      <c r="K297" s="137">
        <v>0.60092006036910395</v>
      </c>
      <c r="L297" s="137">
        <v>0.75</v>
      </c>
      <c r="M297" s="137">
        <v>0.37730015092276098</v>
      </c>
      <c r="N297" s="136">
        <v>0</v>
      </c>
      <c r="O297" s="32">
        <v>43464</v>
      </c>
      <c r="P297" s="98">
        <f t="shared" si="23"/>
        <v>0</v>
      </c>
      <c r="Q297">
        <v>5.0999999999999996</v>
      </c>
      <c r="R297">
        <v>3.3</v>
      </c>
      <c r="S297">
        <v>0</v>
      </c>
      <c r="T297" s="112" t="s">
        <v>48</v>
      </c>
      <c r="U297" s="137" t="s">
        <v>887</v>
      </c>
      <c r="V297" s="137" t="s">
        <v>881</v>
      </c>
      <c r="W297" s="69">
        <v>103</v>
      </c>
      <c r="X297" s="136">
        <v>3</v>
      </c>
      <c r="Y297" s="136">
        <v>19</v>
      </c>
      <c r="Z297" s="314"/>
      <c r="AA297" s="319">
        <v>0.63239999999999996</v>
      </c>
      <c r="AB297" s="315" t="s">
        <v>5165</v>
      </c>
      <c r="AC297" s="319">
        <v>3</v>
      </c>
      <c r="AD297" s="320">
        <v>4.9180327868852403E-2</v>
      </c>
      <c r="AE297" s="319">
        <v>2</v>
      </c>
      <c r="AF297" s="320">
        <v>3.2786885245901599E-2</v>
      </c>
      <c r="AG297" s="319">
        <v>1</v>
      </c>
      <c r="AH297" s="320">
        <v>1.63934426229508E-2</v>
      </c>
      <c r="AI297" s="319">
        <v>2</v>
      </c>
      <c r="AJ297" s="320">
        <v>3.2786885245901599E-2</v>
      </c>
      <c r="AK297" s="320">
        <v>0</v>
      </c>
      <c r="AL297" s="319">
        <v>9.0357142857142794</v>
      </c>
      <c r="AM297" s="319">
        <v>5</v>
      </c>
      <c r="AN297" s="319">
        <v>7.3333333333333304</v>
      </c>
      <c r="AO297" s="319">
        <v>0.71230158730158699</v>
      </c>
      <c r="AP297">
        <v>19</v>
      </c>
      <c r="AR297" s="136"/>
      <c r="AS297">
        <v>19</v>
      </c>
      <c r="AT297" s="69">
        <v>9.4480000000000004</v>
      </c>
      <c r="AU297" s="69">
        <v>2.3148</v>
      </c>
      <c r="AV297" s="69">
        <v>9.8416999999999994</v>
      </c>
      <c r="AW297" s="69">
        <v>0.72019999999999995</v>
      </c>
      <c r="BB297" s="69"/>
    </row>
    <row r="298" spans="1:54" customFormat="1" ht="40" customHeight="1">
      <c r="A298" s="313">
        <v>297</v>
      </c>
      <c r="B298" s="136" t="s">
        <v>589</v>
      </c>
      <c r="C298" s="136" t="s">
        <v>45</v>
      </c>
      <c r="D298" s="31">
        <f t="shared" si="20"/>
        <v>4</v>
      </c>
      <c r="E298" s="137" t="s">
        <v>833</v>
      </c>
      <c r="F298" s="31">
        <f t="shared" si="21"/>
        <v>3</v>
      </c>
      <c r="G298" s="137" t="s">
        <v>879</v>
      </c>
      <c r="H298" s="138">
        <v>173</v>
      </c>
      <c r="I298" s="158">
        <f t="shared" si="22"/>
        <v>0.30719812830827187</v>
      </c>
      <c r="J298" s="95">
        <v>2.2923661247009602E-6</v>
      </c>
      <c r="K298" s="137">
        <v>0.61439396425041903</v>
      </c>
      <c r="L298" s="137">
        <v>0.75</v>
      </c>
      <c r="M298" s="137">
        <v>0.41098491062604903</v>
      </c>
      <c r="N298" s="136">
        <v>0</v>
      </c>
      <c r="O298" s="32">
        <v>43464</v>
      </c>
      <c r="P298" s="98">
        <f t="shared" si="23"/>
        <v>0</v>
      </c>
      <c r="Q298">
        <v>5.0999999999999996</v>
      </c>
      <c r="R298">
        <v>0</v>
      </c>
      <c r="S298">
        <v>0</v>
      </c>
      <c r="T298" s="112" t="s">
        <v>48</v>
      </c>
      <c r="U298" s="137" t="s">
        <v>888</v>
      </c>
      <c r="V298" s="137" t="s">
        <v>889</v>
      </c>
      <c r="W298" s="69">
        <v>107</v>
      </c>
      <c r="X298" s="136">
        <v>1</v>
      </c>
      <c r="Y298" s="136">
        <v>17</v>
      </c>
      <c r="Z298" s="314"/>
      <c r="AA298" s="319">
        <v>0.54</v>
      </c>
      <c r="AB298" s="315" t="s">
        <v>5165</v>
      </c>
      <c r="AC298" s="319">
        <v>3</v>
      </c>
      <c r="AD298" s="320">
        <v>4.7619047619047603E-2</v>
      </c>
      <c r="AE298" s="319">
        <v>2</v>
      </c>
      <c r="AF298" s="320">
        <v>3.1746031746031703E-2</v>
      </c>
      <c r="AG298" s="319">
        <v>1</v>
      </c>
      <c r="AH298" s="320">
        <v>1.5873015873015799E-2</v>
      </c>
      <c r="AI298" s="319">
        <v>2</v>
      </c>
      <c r="AJ298" s="320">
        <v>3.1746031746031703E-2</v>
      </c>
      <c r="AK298" s="320">
        <v>0</v>
      </c>
      <c r="AL298" s="319">
        <v>6.75</v>
      </c>
      <c r="AM298" s="319">
        <v>5</v>
      </c>
      <c r="AN298" s="319">
        <v>4.6666666666666599</v>
      </c>
      <c r="AO298" s="319">
        <v>0.54722222222222205</v>
      </c>
      <c r="AP298">
        <v>17</v>
      </c>
      <c r="AR298" s="136"/>
      <c r="AS298">
        <v>17</v>
      </c>
      <c r="AT298" s="69">
        <v>6.3414000000000001</v>
      </c>
      <c r="AU298" s="69">
        <v>2.3148</v>
      </c>
      <c r="AV298" s="69">
        <v>8.1305999999999994</v>
      </c>
      <c r="AW298" s="69">
        <v>0.55959999999999999</v>
      </c>
      <c r="BB298" s="69"/>
    </row>
    <row r="299" spans="1:54" customFormat="1" ht="40" customHeight="1">
      <c r="A299" s="313">
        <v>298</v>
      </c>
      <c r="B299" s="136" t="s">
        <v>589</v>
      </c>
      <c r="C299" s="136" t="s">
        <v>45</v>
      </c>
      <c r="D299" s="31">
        <f t="shared" si="20"/>
        <v>4</v>
      </c>
      <c r="E299" s="137" t="s">
        <v>833</v>
      </c>
      <c r="F299" s="31">
        <f t="shared" si="21"/>
        <v>3</v>
      </c>
      <c r="G299" s="137" t="s">
        <v>886</v>
      </c>
      <c r="H299" s="138">
        <v>229</v>
      </c>
      <c r="I299" s="158">
        <f t="shared" si="22"/>
        <v>0.2659210187642187</v>
      </c>
      <c r="J299" s="95">
        <v>1.11872444641392E-9</v>
      </c>
      <c r="K299" s="137">
        <v>0.53184203640971295</v>
      </c>
      <c r="L299" s="137">
        <v>0.75</v>
      </c>
      <c r="M299" s="137">
        <v>0.20460509102428301</v>
      </c>
      <c r="N299" s="136">
        <v>0</v>
      </c>
      <c r="O299" s="32">
        <v>43464</v>
      </c>
      <c r="P299" s="98">
        <f t="shared" si="23"/>
        <v>0</v>
      </c>
      <c r="Q299">
        <v>5.0999999999999996</v>
      </c>
      <c r="R299">
        <v>1.65</v>
      </c>
      <c r="S299">
        <v>0</v>
      </c>
      <c r="T299" s="112" t="s">
        <v>48</v>
      </c>
      <c r="U299" s="137" t="s">
        <v>890</v>
      </c>
      <c r="V299" s="137" t="s">
        <v>891</v>
      </c>
      <c r="W299" s="69">
        <v>105</v>
      </c>
      <c r="X299" s="136">
        <v>3</v>
      </c>
      <c r="Y299" s="136">
        <v>31</v>
      </c>
      <c r="Z299" s="314"/>
      <c r="AA299" s="319">
        <v>0.54</v>
      </c>
      <c r="AB299" s="315" t="s">
        <v>5165</v>
      </c>
      <c r="AC299" s="319">
        <v>3</v>
      </c>
      <c r="AD299" s="320">
        <v>4.8387096774193498E-2</v>
      </c>
      <c r="AE299" s="319">
        <v>2</v>
      </c>
      <c r="AF299" s="320">
        <v>3.2258064516128997E-2</v>
      </c>
      <c r="AG299" s="319">
        <v>1</v>
      </c>
      <c r="AH299" s="320">
        <v>1.6129032258064498E-2</v>
      </c>
      <c r="AI299" s="319">
        <v>2</v>
      </c>
      <c r="AJ299" s="320">
        <v>3.2258064516128997E-2</v>
      </c>
      <c r="AK299" s="320">
        <v>0</v>
      </c>
      <c r="AL299" s="319">
        <v>6.75</v>
      </c>
      <c r="AM299" s="319">
        <v>5</v>
      </c>
      <c r="AN299" s="319">
        <v>7.3333333333333304</v>
      </c>
      <c r="AO299" s="319">
        <v>0.63611111111111096</v>
      </c>
      <c r="AP299">
        <v>31</v>
      </c>
      <c r="AR299" s="136"/>
      <c r="AS299">
        <v>31</v>
      </c>
      <c r="AT299" s="69">
        <v>6.3414000000000001</v>
      </c>
      <c r="AU299" s="69">
        <v>2.3148</v>
      </c>
      <c r="AV299" s="69">
        <v>9.8416999999999994</v>
      </c>
      <c r="AW299" s="69">
        <v>0.61660000000000004</v>
      </c>
      <c r="BB299" s="69"/>
    </row>
    <row r="300" spans="1:54" customFormat="1" ht="40" customHeight="1">
      <c r="A300" s="313">
        <v>299</v>
      </c>
      <c r="B300" s="136" t="s">
        <v>589</v>
      </c>
      <c r="C300" s="136" t="s">
        <v>45</v>
      </c>
      <c r="D300" s="31">
        <f t="shared" si="20"/>
        <v>4</v>
      </c>
      <c r="E300" s="137" t="s">
        <v>833</v>
      </c>
      <c r="F300" s="31">
        <f t="shared" si="21"/>
        <v>3</v>
      </c>
      <c r="G300" s="137" t="s">
        <v>879</v>
      </c>
      <c r="H300" s="138">
        <v>151</v>
      </c>
      <c r="I300" s="158">
        <f t="shared" si="22"/>
        <v>0.31040449038373308</v>
      </c>
      <c r="J300" s="95">
        <v>6.4150165170471203E-3</v>
      </c>
      <c r="K300" s="137">
        <v>0.61439396425041903</v>
      </c>
      <c r="L300" s="137">
        <v>0.75</v>
      </c>
      <c r="M300" s="137">
        <v>0.41098491062604903</v>
      </c>
      <c r="N300" s="136">
        <v>0</v>
      </c>
      <c r="O300" s="32">
        <v>43464</v>
      </c>
      <c r="P300" s="98">
        <f t="shared" si="23"/>
        <v>0</v>
      </c>
      <c r="Q300">
        <v>5.0999999999999996</v>
      </c>
      <c r="R300">
        <v>0</v>
      </c>
      <c r="S300">
        <v>0</v>
      </c>
      <c r="T300" s="112" t="s">
        <v>48</v>
      </c>
      <c r="U300" s="137" t="s">
        <v>892</v>
      </c>
      <c r="V300" s="137" t="s">
        <v>893</v>
      </c>
      <c r="W300" s="69">
        <v>108</v>
      </c>
      <c r="X300" s="136">
        <v>1</v>
      </c>
      <c r="Y300" s="136">
        <v>17</v>
      </c>
      <c r="Z300" s="314"/>
      <c r="AA300" s="319">
        <v>0.54</v>
      </c>
      <c r="AB300" s="315" t="s">
        <v>5165</v>
      </c>
      <c r="AC300" s="319">
        <v>3</v>
      </c>
      <c r="AD300" s="320">
        <v>4.6875E-2</v>
      </c>
      <c r="AE300" s="319">
        <v>2</v>
      </c>
      <c r="AF300" s="320">
        <v>3.125E-2</v>
      </c>
      <c r="AG300" s="319">
        <v>1</v>
      </c>
      <c r="AH300" s="320">
        <v>1.5625E-2</v>
      </c>
      <c r="AI300" s="319">
        <v>2</v>
      </c>
      <c r="AJ300" s="320">
        <v>3.125E-2</v>
      </c>
      <c r="AK300" s="320">
        <v>0</v>
      </c>
      <c r="AL300" s="319">
        <v>6.75</v>
      </c>
      <c r="AM300" s="319">
        <v>5</v>
      </c>
      <c r="AN300" s="319">
        <v>4.6666666666666599</v>
      </c>
      <c r="AO300" s="319">
        <v>0.54722222222222205</v>
      </c>
      <c r="AP300">
        <v>17</v>
      </c>
      <c r="AR300" s="136"/>
      <c r="AS300">
        <v>17</v>
      </c>
      <c r="AT300" s="69">
        <v>6.3414000000000001</v>
      </c>
      <c r="AU300" s="69">
        <v>2.3148</v>
      </c>
      <c r="AV300" s="69">
        <v>8.1305999999999994</v>
      </c>
      <c r="AW300" s="69">
        <v>0.55959999999999999</v>
      </c>
      <c r="BB300" s="69"/>
    </row>
    <row r="301" spans="1:54" customFormat="1" ht="40" customHeight="1">
      <c r="A301" s="313">
        <v>300</v>
      </c>
      <c r="B301" s="136" t="s">
        <v>589</v>
      </c>
      <c r="C301" s="136" t="s">
        <v>45</v>
      </c>
      <c r="D301" s="31">
        <f t="shared" si="20"/>
        <v>4</v>
      </c>
      <c r="E301" s="137" t="s">
        <v>80</v>
      </c>
      <c r="F301" s="31">
        <f t="shared" si="21"/>
        <v>4</v>
      </c>
      <c r="G301" s="137" t="s">
        <v>180</v>
      </c>
      <c r="H301" s="138">
        <v>91</v>
      </c>
      <c r="I301" s="158">
        <f t="shared" si="22"/>
        <v>0.87364997737066807</v>
      </c>
      <c r="J301" s="95">
        <v>0.96658566902705001</v>
      </c>
      <c r="K301" s="137">
        <v>0.78071428571428603</v>
      </c>
      <c r="L301" s="137">
        <v>0.82499999999999996</v>
      </c>
      <c r="M301" s="137">
        <v>0.71428571428571397</v>
      </c>
      <c r="N301" s="136">
        <v>0</v>
      </c>
      <c r="O301" s="32">
        <v>43463</v>
      </c>
      <c r="P301" s="98">
        <f t="shared" si="23"/>
        <v>0</v>
      </c>
      <c r="Q301">
        <v>5.0999999999999996</v>
      </c>
      <c r="R301">
        <v>0</v>
      </c>
      <c r="S301">
        <v>0</v>
      </c>
      <c r="T301" s="112" t="s">
        <v>48</v>
      </c>
      <c r="U301" s="137" t="s">
        <v>894</v>
      </c>
      <c r="V301" s="137" t="s">
        <v>895</v>
      </c>
      <c r="W301" s="69">
        <v>95</v>
      </c>
      <c r="X301" s="136">
        <v>1</v>
      </c>
      <c r="Y301" s="136">
        <v>4</v>
      </c>
      <c r="Z301" s="314"/>
      <c r="AA301" s="319">
        <v>0.64895000000000003</v>
      </c>
      <c r="AB301" s="315" t="s">
        <v>5168</v>
      </c>
      <c r="AC301" s="319">
        <v>0</v>
      </c>
      <c r="AD301" s="320">
        <v>0</v>
      </c>
      <c r="AE301" s="319">
        <v>0</v>
      </c>
      <c r="AF301" s="320">
        <v>0</v>
      </c>
      <c r="AG301" s="319">
        <v>1</v>
      </c>
      <c r="AH301" s="320">
        <v>1.8181818181818101E-2</v>
      </c>
      <c r="AI301" s="319">
        <v>0</v>
      </c>
      <c r="AJ301" s="320">
        <v>0</v>
      </c>
      <c r="AK301" s="320">
        <v>3.6363636363636362E-2</v>
      </c>
      <c r="AL301" s="319">
        <v>10</v>
      </c>
      <c r="AM301" s="319">
        <v>5</v>
      </c>
      <c r="AN301" s="319">
        <v>7.3333333333333304</v>
      </c>
      <c r="AO301" s="319">
        <v>0.74444444444444402</v>
      </c>
      <c r="AP301">
        <v>4</v>
      </c>
      <c r="AQ301">
        <v>4</v>
      </c>
      <c r="AR301" s="136"/>
      <c r="AT301" s="69">
        <v>9.8994999999999997</v>
      </c>
      <c r="AU301" s="69">
        <v>2.3148</v>
      </c>
      <c r="AV301" s="69">
        <v>9.8416999999999994</v>
      </c>
      <c r="AW301" s="69">
        <v>0.73519999999999996</v>
      </c>
      <c r="BB301" s="69"/>
    </row>
    <row r="302" spans="1:54" customFormat="1" ht="40" customHeight="1">
      <c r="A302" s="313">
        <v>301</v>
      </c>
      <c r="B302" s="136" t="s">
        <v>589</v>
      </c>
      <c r="C302" s="136" t="s">
        <v>45</v>
      </c>
      <c r="D302" s="31">
        <f t="shared" si="20"/>
        <v>4</v>
      </c>
      <c r="E302" s="137" t="s">
        <v>833</v>
      </c>
      <c r="F302" s="31">
        <f t="shared" si="21"/>
        <v>3</v>
      </c>
      <c r="G302" s="137" t="s">
        <v>896</v>
      </c>
      <c r="H302" s="138">
        <v>124</v>
      </c>
      <c r="I302" s="158">
        <f t="shared" si="22"/>
        <v>0.58175238995576306</v>
      </c>
      <c r="J302" s="95">
        <v>0.42779049419724002</v>
      </c>
      <c r="K302" s="137">
        <v>0.73571428571428599</v>
      </c>
      <c r="L302" s="137">
        <v>0.75</v>
      </c>
      <c r="M302" s="137">
        <v>0.71428571428571397</v>
      </c>
      <c r="N302" s="136">
        <v>0</v>
      </c>
      <c r="O302" s="32">
        <v>43463</v>
      </c>
      <c r="P302" s="98">
        <f t="shared" si="23"/>
        <v>0</v>
      </c>
      <c r="Q302">
        <v>5.0999999999999996</v>
      </c>
      <c r="R302">
        <v>0</v>
      </c>
      <c r="S302">
        <v>0</v>
      </c>
      <c r="T302" s="112" t="s">
        <v>48</v>
      </c>
      <c r="U302" s="137" t="s">
        <v>897</v>
      </c>
      <c r="V302" s="137" t="s">
        <v>898</v>
      </c>
      <c r="W302" s="69">
        <v>49</v>
      </c>
      <c r="X302" s="136">
        <v>1</v>
      </c>
      <c r="Y302" s="136">
        <v>4</v>
      </c>
      <c r="Z302" s="314"/>
      <c r="AA302" s="319">
        <v>0.5</v>
      </c>
      <c r="AB302" s="315" t="s">
        <v>5168</v>
      </c>
      <c r="AC302" s="319">
        <v>0</v>
      </c>
      <c r="AD302" s="320">
        <v>0</v>
      </c>
      <c r="AE302" s="319">
        <v>0</v>
      </c>
      <c r="AF302" s="320">
        <v>0</v>
      </c>
      <c r="AG302" s="319">
        <v>1</v>
      </c>
      <c r="AH302" s="320">
        <v>3.4482758620689599E-2</v>
      </c>
      <c r="AI302" s="319">
        <v>0</v>
      </c>
      <c r="AJ302" s="320">
        <v>0</v>
      </c>
      <c r="AK302" s="320">
        <v>6.8965517241379309E-2</v>
      </c>
      <c r="AL302" s="319">
        <v>6.75</v>
      </c>
      <c r="AM302" s="319">
        <v>5</v>
      </c>
      <c r="AN302" s="319">
        <v>2</v>
      </c>
      <c r="AO302" s="319">
        <v>0.45833333333333298</v>
      </c>
      <c r="AP302">
        <v>4</v>
      </c>
      <c r="AQ302">
        <v>4</v>
      </c>
      <c r="AR302" s="136"/>
      <c r="AT302" s="69">
        <v>6.3414000000000001</v>
      </c>
      <c r="AU302" s="69">
        <v>2.3148</v>
      </c>
      <c r="AV302" s="69">
        <v>2.3148</v>
      </c>
      <c r="AW302" s="69">
        <v>0.36570000000000003</v>
      </c>
      <c r="BB302" s="69"/>
    </row>
    <row r="303" spans="1:54" customFormat="1" ht="40" customHeight="1">
      <c r="A303" s="313">
        <v>302</v>
      </c>
      <c r="B303" s="136" t="s">
        <v>589</v>
      </c>
      <c r="C303" s="136" t="s">
        <v>45</v>
      </c>
      <c r="D303" s="31">
        <f t="shared" si="20"/>
        <v>4</v>
      </c>
      <c r="E303" s="137" t="s">
        <v>833</v>
      </c>
      <c r="F303" s="31">
        <f t="shared" si="21"/>
        <v>3</v>
      </c>
      <c r="G303" s="137" t="s">
        <v>899</v>
      </c>
      <c r="H303" s="138">
        <v>237</v>
      </c>
      <c r="I303" s="158">
        <f t="shared" si="22"/>
        <v>0.36533322840959448</v>
      </c>
      <c r="J303" s="95">
        <v>3.5861262013993998E-2</v>
      </c>
      <c r="K303" s="137">
        <v>0.69480519480519498</v>
      </c>
      <c r="L303" s="137">
        <v>0.68181818181818199</v>
      </c>
      <c r="M303" s="137">
        <v>0.71428571428571397</v>
      </c>
      <c r="N303" s="136">
        <v>0</v>
      </c>
      <c r="O303" s="32">
        <v>43463</v>
      </c>
      <c r="P303" s="98">
        <f t="shared" si="23"/>
        <v>1</v>
      </c>
      <c r="Q303">
        <v>0</v>
      </c>
      <c r="R303">
        <v>8.25</v>
      </c>
      <c r="S303">
        <v>1.87</v>
      </c>
      <c r="T303" s="112" t="s">
        <v>73</v>
      </c>
      <c r="U303" s="137" t="s">
        <v>900</v>
      </c>
      <c r="V303" s="137" t="s">
        <v>901</v>
      </c>
      <c r="W303" s="69">
        <v>67</v>
      </c>
      <c r="X303" s="136">
        <v>1</v>
      </c>
      <c r="Y303" s="136">
        <v>4</v>
      </c>
      <c r="Z303" s="314"/>
      <c r="AA303" s="319">
        <v>0.5</v>
      </c>
      <c r="AB303" s="315" t="s">
        <v>5176</v>
      </c>
      <c r="AC303" s="319">
        <v>1</v>
      </c>
      <c r="AD303" s="320">
        <v>2.7027027027027001E-2</v>
      </c>
      <c r="AE303" s="319">
        <v>2</v>
      </c>
      <c r="AF303" s="320">
        <v>5.4054054054054002E-2</v>
      </c>
      <c r="AG303" s="319">
        <v>1</v>
      </c>
      <c r="AH303" s="320">
        <v>2.7027027027027001E-2</v>
      </c>
      <c r="AI303" s="319">
        <v>0</v>
      </c>
      <c r="AJ303" s="320">
        <v>0</v>
      </c>
      <c r="AK303" s="320">
        <v>2.7027027027027029E-2</v>
      </c>
      <c r="AL303" s="319">
        <v>8.5</v>
      </c>
      <c r="AM303" s="319">
        <v>5</v>
      </c>
      <c r="AN303" s="319">
        <v>2</v>
      </c>
      <c r="AO303" s="319">
        <v>0.51666666666666605</v>
      </c>
      <c r="AP303">
        <v>4</v>
      </c>
      <c r="AR303" s="136"/>
      <c r="AT303" s="69">
        <v>9.0888000000000009</v>
      </c>
      <c r="AU303" s="69">
        <v>2.3148</v>
      </c>
      <c r="AV303" s="69">
        <v>2.3148</v>
      </c>
      <c r="AW303" s="69">
        <v>0.45729999999999998</v>
      </c>
      <c r="BB303" s="69"/>
    </row>
    <row r="304" spans="1:54" customFormat="1" ht="40" customHeight="1">
      <c r="A304" s="313">
        <v>303</v>
      </c>
      <c r="B304" s="136" t="s">
        <v>589</v>
      </c>
      <c r="C304" s="136" t="s">
        <v>45</v>
      </c>
      <c r="D304" s="31">
        <f t="shared" si="20"/>
        <v>4</v>
      </c>
      <c r="E304" s="137" t="s">
        <v>833</v>
      </c>
      <c r="F304" s="31">
        <f t="shared" si="21"/>
        <v>3</v>
      </c>
      <c r="G304" s="137" t="s">
        <v>902</v>
      </c>
      <c r="H304" s="138">
        <v>285</v>
      </c>
      <c r="I304" s="158">
        <f t="shared" si="22"/>
        <v>0.30978474624964453</v>
      </c>
      <c r="J304" s="95">
        <v>1.1701750679549099E-13</v>
      </c>
      <c r="K304" s="137">
        <v>0.61956949249917204</v>
      </c>
      <c r="L304" s="137">
        <v>0.68181818181818199</v>
      </c>
      <c r="M304" s="137">
        <v>0.526196458520657</v>
      </c>
      <c r="N304" s="136">
        <v>0</v>
      </c>
      <c r="O304" s="32">
        <v>43463</v>
      </c>
      <c r="P304" s="98">
        <f t="shared" si="23"/>
        <v>0</v>
      </c>
      <c r="Q304">
        <v>7.65</v>
      </c>
      <c r="R304">
        <v>0</v>
      </c>
      <c r="S304">
        <v>0</v>
      </c>
      <c r="T304" s="112" t="s">
        <v>48</v>
      </c>
      <c r="U304" s="137" t="s">
        <v>903</v>
      </c>
      <c r="V304" s="137" t="s">
        <v>889</v>
      </c>
      <c r="W304" s="69">
        <v>107</v>
      </c>
      <c r="X304" s="136">
        <v>4</v>
      </c>
      <c r="Y304" s="136">
        <v>11</v>
      </c>
      <c r="Z304" s="314"/>
      <c r="AA304" s="319">
        <v>0.45909090909090899</v>
      </c>
      <c r="AB304" s="315" t="s">
        <v>5165</v>
      </c>
      <c r="AC304" s="319">
        <v>3</v>
      </c>
      <c r="AD304" s="320">
        <v>4.7619047619047603E-2</v>
      </c>
      <c r="AE304" s="319">
        <v>2</v>
      </c>
      <c r="AF304" s="320">
        <v>3.1746031746031703E-2</v>
      </c>
      <c r="AG304" s="319">
        <v>1</v>
      </c>
      <c r="AH304" s="320">
        <v>1.5873015873015799E-2</v>
      </c>
      <c r="AI304" s="319">
        <v>2</v>
      </c>
      <c r="AJ304" s="320">
        <v>3.1746031746031703E-2</v>
      </c>
      <c r="AK304" s="320">
        <v>0</v>
      </c>
      <c r="AL304" s="319">
        <v>8.5</v>
      </c>
      <c r="AM304" s="319">
        <v>8.3333333333333304</v>
      </c>
      <c r="AN304" s="319">
        <v>7.3333333333333304</v>
      </c>
      <c r="AO304" s="319">
        <v>0.80555555555555503</v>
      </c>
      <c r="AP304">
        <v>11</v>
      </c>
      <c r="AR304" s="136"/>
      <c r="AS304">
        <v>11</v>
      </c>
      <c r="AT304" s="69">
        <v>9.0888000000000009</v>
      </c>
      <c r="AU304" s="69">
        <v>8.9379000000000008</v>
      </c>
      <c r="AV304" s="69">
        <v>9.8416999999999994</v>
      </c>
      <c r="AW304" s="69">
        <v>0.92889999999999995</v>
      </c>
      <c r="BB304" s="69"/>
    </row>
    <row r="305" spans="1:54" customFormat="1" ht="40" customHeight="1">
      <c r="A305" s="313">
        <v>304</v>
      </c>
      <c r="B305" s="136" t="s">
        <v>589</v>
      </c>
      <c r="C305" s="136" t="s">
        <v>45</v>
      </c>
      <c r="D305" s="31">
        <f t="shared" si="20"/>
        <v>4</v>
      </c>
      <c r="E305" s="137" t="s">
        <v>833</v>
      </c>
      <c r="F305" s="31">
        <f t="shared" si="21"/>
        <v>3</v>
      </c>
      <c r="G305" s="137" t="s">
        <v>904</v>
      </c>
      <c r="H305" s="138">
        <v>258</v>
      </c>
      <c r="I305" s="158">
        <f t="shared" si="22"/>
        <v>0.78674243656729548</v>
      </c>
      <c r="J305" s="95">
        <v>0.99999999979326304</v>
      </c>
      <c r="K305" s="137">
        <v>0.57348487334132803</v>
      </c>
      <c r="L305" s="137">
        <v>0.68181818181818199</v>
      </c>
      <c r="M305" s="137">
        <v>0.41098491062604903</v>
      </c>
      <c r="N305" s="136">
        <v>0</v>
      </c>
      <c r="O305" s="32">
        <v>43462</v>
      </c>
      <c r="P305" s="98">
        <f t="shared" si="23"/>
        <v>0</v>
      </c>
      <c r="Q305">
        <v>2.5499999999999998</v>
      </c>
      <c r="R305">
        <v>1.65</v>
      </c>
      <c r="S305">
        <v>0</v>
      </c>
      <c r="T305" s="112" t="s">
        <v>48</v>
      </c>
      <c r="U305" s="137" t="s">
        <v>905</v>
      </c>
      <c r="V305" s="137" t="s">
        <v>906</v>
      </c>
      <c r="W305" s="69">
        <v>111</v>
      </c>
      <c r="X305" s="136">
        <v>2</v>
      </c>
      <c r="Y305" s="136">
        <v>17</v>
      </c>
      <c r="Z305" s="314"/>
      <c r="AA305" s="319">
        <v>0.66549999999999998</v>
      </c>
      <c r="AB305" s="315" t="s">
        <v>5176</v>
      </c>
      <c r="AC305" s="319">
        <v>1</v>
      </c>
      <c r="AD305" s="320">
        <v>1.53846153846153E-2</v>
      </c>
      <c r="AE305" s="319">
        <v>3</v>
      </c>
      <c r="AF305" s="320">
        <v>4.6153846153846101E-2</v>
      </c>
      <c r="AG305" s="319">
        <v>1</v>
      </c>
      <c r="AH305" s="320">
        <v>1.53846153846153E-2</v>
      </c>
      <c r="AI305" s="319">
        <v>2</v>
      </c>
      <c r="AJ305" s="320">
        <v>3.0769230769230702E-2</v>
      </c>
      <c r="AK305" s="320">
        <v>1.5384615384615391E-2</v>
      </c>
      <c r="AL305" s="319">
        <v>7.2857142857142803</v>
      </c>
      <c r="AM305" s="319">
        <v>6.2</v>
      </c>
      <c r="AN305" s="319">
        <v>2</v>
      </c>
      <c r="AO305" s="319">
        <v>0.51619047619047598</v>
      </c>
      <c r="AP305">
        <v>17</v>
      </c>
      <c r="AR305" s="136"/>
      <c r="AS305">
        <v>17</v>
      </c>
      <c r="AT305" s="69">
        <v>7.4837999999999996</v>
      </c>
      <c r="AU305" s="69">
        <v>5</v>
      </c>
      <c r="AV305" s="69">
        <v>2.3148</v>
      </c>
      <c r="AW305" s="69">
        <v>0.49330000000000002</v>
      </c>
      <c r="BB305" s="69"/>
    </row>
    <row r="306" spans="1:54" customFormat="1" ht="40" customHeight="1">
      <c r="A306" s="313">
        <v>305</v>
      </c>
      <c r="B306" s="136" t="s">
        <v>589</v>
      </c>
      <c r="C306" s="136" t="s">
        <v>45</v>
      </c>
      <c r="D306" s="31">
        <f t="shared" si="20"/>
        <v>4</v>
      </c>
      <c r="E306" s="137" t="s">
        <v>46</v>
      </c>
      <c r="F306" s="31">
        <f t="shared" si="21"/>
        <v>6</v>
      </c>
      <c r="G306" s="137" t="s">
        <v>907</v>
      </c>
      <c r="H306" s="138">
        <v>180</v>
      </c>
      <c r="I306" s="158">
        <f t="shared" si="22"/>
        <v>0.39642857143014604</v>
      </c>
      <c r="J306" s="95">
        <v>3.14903658704679E-12</v>
      </c>
      <c r="K306" s="137">
        <v>0.79285714285714304</v>
      </c>
      <c r="L306" s="137">
        <v>0.75</v>
      </c>
      <c r="M306" s="137">
        <v>0.85714285714285698</v>
      </c>
      <c r="N306" s="136">
        <v>1</v>
      </c>
      <c r="O306" s="32">
        <v>43429</v>
      </c>
      <c r="P306" s="98">
        <f t="shared" si="23"/>
        <v>0</v>
      </c>
      <c r="Q306">
        <v>2.5499999999999998</v>
      </c>
      <c r="R306">
        <v>0</v>
      </c>
      <c r="S306">
        <v>0</v>
      </c>
      <c r="T306" s="112" t="s">
        <v>48</v>
      </c>
      <c r="U306" s="137" t="s">
        <v>908</v>
      </c>
      <c r="V306" s="137" t="s">
        <v>909</v>
      </c>
      <c r="W306" s="69">
        <v>72</v>
      </c>
      <c r="X306" s="136">
        <v>1</v>
      </c>
      <c r="Y306" s="136">
        <v>1</v>
      </c>
      <c r="Z306" s="314"/>
      <c r="AA306" s="319">
        <v>0.5</v>
      </c>
      <c r="AB306" s="315" t="s">
        <v>5176</v>
      </c>
      <c r="AC306" s="319">
        <v>1</v>
      </c>
      <c r="AD306" s="320">
        <v>2.3255813953488299E-2</v>
      </c>
      <c r="AE306" s="319">
        <v>4</v>
      </c>
      <c r="AF306" s="320">
        <v>9.3023255813953501E-2</v>
      </c>
      <c r="AG306" s="319">
        <v>0</v>
      </c>
      <c r="AH306" s="320">
        <v>0</v>
      </c>
      <c r="AI306" s="319">
        <v>0</v>
      </c>
      <c r="AJ306" s="320">
        <v>0</v>
      </c>
      <c r="AK306" s="320">
        <v>2.3255813953488368E-2</v>
      </c>
      <c r="AL306" s="319">
        <v>7.2857142857142803</v>
      </c>
      <c r="AM306" s="319">
        <v>5</v>
      </c>
      <c r="AN306" s="319">
        <v>2</v>
      </c>
      <c r="AO306" s="319">
        <v>0.476190476190476</v>
      </c>
      <c r="AP306">
        <v>1</v>
      </c>
      <c r="AQ306">
        <v>1</v>
      </c>
      <c r="AR306" s="136"/>
      <c r="AT306" s="69">
        <v>7.4837999999999996</v>
      </c>
      <c r="AU306" s="69">
        <v>2.3148</v>
      </c>
      <c r="AV306" s="69">
        <v>2.3148</v>
      </c>
      <c r="AW306" s="69">
        <v>0.40379999999999999</v>
      </c>
      <c r="BB306" s="69"/>
    </row>
    <row r="307" spans="1:54" customFormat="1" ht="40" customHeight="1">
      <c r="A307" s="313">
        <v>306</v>
      </c>
      <c r="B307" s="136" t="s">
        <v>589</v>
      </c>
      <c r="C307" s="136" t="s">
        <v>45</v>
      </c>
      <c r="D307" s="31">
        <f t="shared" si="20"/>
        <v>4</v>
      </c>
      <c r="E307" s="137" t="s">
        <v>80</v>
      </c>
      <c r="F307" s="31">
        <f t="shared" si="21"/>
        <v>4</v>
      </c>
      <c r="G307" s="137" t="s">
        <v>439</v>
      </c>
      <c r="H307" s="138">
        <v>145</v>
      </c>
      <c r="I307" s="158">
        <f t="shared" si="22"/>
        <v>0.38461537443987298</v>
      </c>
      <c r="J307" s="95">
        <v>4.29524439229389E-5</v>
      </c>
      <c r="K307" s="137">
        <v>0.76918779643582302</v>
      </c>
      <c r="L307" s="137">
        <v>0.75</v>
      </c>
      <c r="M307" s="137">
        <v>0.79796949108955795</v>
      </c>
      <c r="N307" s="136">
        <v>0</v>
      </c>
      <c r="O307" s="32">
        <v>43423</v>
      </c>
      <c r="P307" s="98">
        <f t="shared" si="23"/>
        <v>0</v>
      </c>
      <c r="Q307">
        <v>5.0999999999999996</v>
      </c>
      <c r="R307">
        <v>0</v>
      </c>
      <c r="S307">
        <v>0</v>
      </c>
      <c r="T307" s="112" t="s">
        <v>48</v>
      </c>
      <c r="U307" s="137" t="s">
        <v>910</v>
      </c>
      <c r="V307" s="137" t="s">
        <v>911</v>
      </c>
      <c r="W307" s="69">
        <v>44</v>
      </c>
      <c r="X307" s="136">
        <v>1</v>
      </c>
      <c r="Y307" s="136">
        <v>2</v>
      </c>
      <c r="Z307" s="314"/>
      <c r="AA307" s="319">
        <v>0.70884499999999995</v>
      </c>
      <c r="AB307" s="315" t="s">
        <v>5165</v>
      </c>
      <c r="AC307" s="319">
        <v>1</v>
      </c>
      <c r="AD307" s="320">
        <v>3.7037037037037E-2</v>
      </c>
      <c r="AE307" s="319">
        <v>0</v>
      </c>
      <c r="AF307" s="320">
        <v>0</v>
      </c>
      <c r="AG307" s="319">
        <v>0</v>
      </c>
      <c r="AH307" s="320">
        <v>0</v>
      </c>
      <c r="AI307" s="319">
        <v>0</v>
      </c>
      <c r="AJ307" s="320">
        <v>0</v>
      </c>
      <c r="AK307" s="320">
        <v>0</v>
      </c>
      <c r="AL307" s="319">
        <v>6.75</v>
      </c>
      <c r="AM307" s="319">
        <v>6.2</v>
      </c>
      <c r="AN307" s="319">
        <v>10</v>
      </c>
      <c r="AO307" s="319">
        <v>0.76500000000000001</v>
      </c>
      <c r="AP307">
        <v>2</v>
      </c>
      <c r="AR307" s="136"/>
      <c r="AS307">
        <v>2</v>
      </c>
      <c r="AT307" s="69">
        <v>6.3414000000000001</v>
      </c>
      <c r="AU307" s="69">
        <v>5</v>
      </c>
      <c r="AV307" s="69">
        <v>9.9888999999999992</v>
      </c>
      <c r="AW307" s="69">
        <v>0.71099999999999997</v>
      </c>
      <c r="BB307" s="69"/>
    </row>
    <row r="308" spans="1:54" customFormat="1" ht="40" customHeight="1">
      <c r="A308" s="313">
        <v>307</v>
      </c>
      <c r="B308" s="136" t="s">
        <v>589</v>
      </c>
      <c r="C308" s="136" t="s">
        <v>45</v>
      </c>
      <c r="D308" s="31">
        <f t="shared" si="20"/>
        <v>4</v>
      </c>
      <c r="E308" s="137" t="s">
        <v>46</v>
      </c>
      <c r="F308" s="31">
        <f t="shared" si="21"/>
        <v>6</v>
      </c>
      <c r="G308" s="137" t="s">
        <v>912</v>
      </c>
      <c r="H308" s="138">
        <v>222</v>
      </c>
      <c r="I308" s="158">
        <f t="shared" si="22"/>
        <v>0.23280287442625258</v>
      </c>
      <c r="J308" s="95">
        <v>1.4700582517956901E-7</v>
      </c>
      <c r="K308" s="137">
        <v>0.46560560184667998</v>
      </c>
      <c r="L308" s="137">
        <v>0.465690992294366</v>
      </c>
      <c r="M308" s="137">
        <v>0.46547751617515098</v>
      </c>
      <c r="N308" s="136">
        <v>1</v>
      </c>
      <c r="O308" s="32">
        <v>43423</v>
      </c>
      <c r="P308" s="98">
        <f t="shared" si="23"/>
        <v>0</v>
      </c>
      <c r="Q308">
        <v>5.0999999999999996</v>
      </c>
      <c r="R308">
        <v>0</v>
      </c>
      <c r="S308">
        <v>0</v>
      </c>
      <c r="T308" s="112" t="s">
        <v>48</v>
      </c>
      <c r="U308" s="137" t="s">
        <v>913</v>
      </c>
      <c r="V308" s="137" t="s">
        <v>914</v>
      </c>
      <c r="W308" s="69">
        <v>78</v>
      </c>
      <c r="X308" s="136">
        <v>1</v>
      </c>
      <c r="Y308" s="136">
        <v>14</v>
      </c>
      <c r="Z308" s="314"/>
      <c r="AA308" s="319">
        <v>1.1267055348483401E-3</v>
      </c>
      <c r="AB308" s="315" t="s">
        <v>5176</v>
      </c>
      <c r="AC308" s="319">
        <v>1</v>
      </c>
      <c r="AD308" s="320">
        <v>2.2222222222222199E-2</v>
      </c>
      <c r="AE308" s="319">
        <v>4</v>
      </c>
      <c r="AF308" s="320">
        <v>8.8888888888888906E-2</v>
      </c>
      <c r="AG308" s="319">
        <v>0</v>
      </c>
      <c r="AH308" s="320">
        <v>0</v>
      </c>
      <c r="AI308" s="319">
        <v>0</v>
      </c>
      <c r="AJ308" s="320">
        <v>0</v>
      </c>
      <c r="AK308" s="320">
        <v>4.4444444444444453E-2</v>
      </c>
      <c r="AL308" s="319">
        <v>6.75</v>
      </c>
      <c r="AM308" s="319">
        <v>5</v>
      </c>
      <c r="AN308" s="319">
        <v>2</v>
      </c>
      <c r="AO308" s="319">
        <v>0.45833333333333298</v>
      </c>
      <c r="AP308">
        <v>14</v>
      </c>
      <c r="AQ308">
        <v>14</v>
      </c>
      <c r="AR308" s="136"/>
      <c r="AT308" s="69">
        <v>6.3414000000000001</v>
      </c>
      <c r="AU308" s="69">
        <v>2.3148</v>
      </c>
      <c r="AV308" s="69">
        <v>2.3148</v>
      </c>
      <c r="AW308" s="69">
        <v>0.36570000000000003</v>
      </c>
      <c r="BB308" s="69"/>
    </row>
    <row r="309" spans="1:54" customFormat="1" ht="40" customHeight="1">
      <c r="A309" s="313">
        <v>308</v>
      </c>
      <c r="B309" s="136" t="s">
        <v>589</v>
      </c>
      <c r="C309" s="136" t="s">
        <v>45</v>
      </c>
      <c r="D309" s="31">
        <f t="shared" si="20"/>
        <v>4</v>
      </c>
      <c r="E309" s="137" t="s">
        <v>46</v>
      </c>
      <c r="F309" s="31">
        <f t="shared" si="21"/>
        <v>6</v>
      </c>
      <c r="G309" s="137" t="s">
        <v>915</v>
      </c>
      <c r="H309" s="138">
        <v>117</v>
      </c>
      <c r="I309" s="158">
        <f t="shared" si="22"/>
        <v>0.36414198178364465</v>
      </c>
      <c r="J309" s="95">
        <v>5.2580405572877404E-6</v>
      </c>
      <c r="K309" s="137">
        <v>0.72827870552673202</v>
      </c>
      <c r="L309" s="137">
        <v>0.68181818181818199</v>
      </c>
      <c r="M309" s="137">
        <v>0.79796949108955795</v>
      </c>
      <c r="N309" s="136">
        <v>1</v>
      </c>
      <c r="O309" s="32">
        <v>43410</v>
      </c>
      <c r="P309" s="98">
        <f t="shared" si="23"/>
        <v>1</v>
      </c>
      <c r="Q309">
        <v>2.5499999999999998</v>
      </c>
      <c r="R309">
        <v>3.3</v>
      </c>
      <c r="S309">
        <v>0</v>
      </c>
      <c r="T309" s="112" t="s">
        <v>73</v>
      </c>
      <c r="U309" s="137" t="s">
        <v>916</v>
      </c>
      <c r="V309" s="137" t="s">
        <v>917</v>
      </c>
      <c r="W309" s="69">
        <v>225</v>
      </c>
      <c r="X309" s="136">
        <v>1</v>
      </c>
      <c r="Y309" s="136">
        <v>2</v>
      </c>
      <c r="Z309" s="314"/>
      <c r="AA309" s="319">
        <v>0.55000000000000004</v>
      </c>
      <c r="AB309" s="315" t="s">
        <v>5165</v>
      </c>
      <c r="AC309" s="319">
        <v>3</v>
      </c>
      <c r="AD309" s="320">
        <v>2.3622047244094401E-2</v>
      </c>
      <c r="AE309" s="319">
        <v>2</v>
      </c>
      <c r="AF309" s="320">
        <v>1.5748031496062902E-2</v>
      </c>
      <c r="AG309" s="319">
        <v>2</v>
      </c>
      <c r="AH309" s="320">
        <v>1.5748031496062902E-2</v>
      </c>
      <c r="AI309" s="319">
        <v>0</v>
      </c>
      <c r="AJ309" s="320">
        <v>0</v>
      </c>
      <c r="AK309" s="320">
        <v>1.5748031496062988E-2</v>
      </c>
      <c r="AL309" s="319">
        <v>5</v>
      </c>
      <c r="AM309" s="319">
        <v>8.3333333333333304</v>
      </c>
      <c r="AN309" s="319">
        <v>2</v>
      </c>
      <c r="AO309" s="319">
        <v>0.51111111111111096</v>
      </c>
      <c r="AP309">
        <v>2</v>
      </c>
      <c r="AR309" s="136">
        <v>2</v>
      </c>
      <c r="AT309" s="69">
        <v>2.3148</v>
      </c>
      <c r="AU309" s="69">
        <v>8.9379000000000008</v>
      </c>
      <c r="AV309" s="69">
        <v>2.3148</v>
      </c>
      <c r="AW309" s="69">
        <v>0.45219999999999999</v>
      </c>
      <c r="BB309" s="69"/>
    </row>
    <row r="310" spans="1:54" customFormat="1" ht="40" customHeight="1">
      <c r="A310" s="313">
        <v>309</v>
      </c>
      <c r="B310" s="136" t="s">
        <v>589</v>
      </c>
      <c r="C310" s="136" t="s">
        <v>45</v>
      </c>
      <c r="D310" s="31">
        <f t="shared" si="20"/>
        <v>4</v>
      </c>
      <c r="E310" s="137" t="s">
        <v>46</v>
      </c>
      <c r="F310" s="31">
        <f t="shared" si="21"/>
        <v>6</v>
      </c>
      <c r="G310" s="137" t="s">
        <v>918</v>
      </c>
      <c r="H310" s="138">
        <v>122</v>
      </c>
      <c r="I310" s="158">
        <f t="shared" si="22"/>
        <v>0.46185658060513801</v>
      </c>
      <c r="J310" s="95">
        <v>0.25459309456411999</v>
      </c>
      <c r="K310" s="137">
        <v>0.66912006664615598</v>
      </c>
      <c r="L310" s="137">
        <v>0.68181818181818199</v>
      </c>
      <c r="M310" s="137">
        <v>0.65007289388811795</v>
      </c>
      <c r="N310" s="136">
        <v>1</v>
      </c>
      <c r="O310" s="32">
        <v>43403</v>
      </c>
      <c r="P310" s="98">
        <f t="shared" si="23"/>
        <v>0</v>
      </c>
      <c r="Q310">
        <v>2.5499999999999998</v>
      </c>
      <c r="R310">
        <v>0</v>
      </c>
      <c r="S310">
        <v>0</v>
      </c>
      <c r="T310" s="112" t="s">
        <v>48</v>
      </c>
      <c r="U310" s="137" t="s">
        <v>919</v>
      </c>
      <c r="V310" s="137" t="s">
        <v>920</v>
      </c>
      <c r="W310" s="69">
        <v>323</v>
      </c>
      <c r="X310" s="136">
        <v>2</v>
      </c>
      <c r="Y310" s="136">
        <v>6</v>
      </c>
      <c r="Z310" s="314"/>
      <c r="AA310" s="319">
        <v>0.5</v>
      </c>
      <c r="AB310" s="315" t="s">
        <v>5165</v>
      </c>
      <c r="AC310" s="319">
        <v>4</v>
      </c>
      <c r="AD310" s="320">
        <v>2.1276595744680799E-2</v>
      </c>
      <c r="AE310" s="319">
        <v>3</v>
      </c>
      <c r="AF310" s="320">
        <v>1.5957446808510599E-2</v>
      </c>
      <c r="AG310" s="319">
        <v>2</v>
      </c>
      <c r="AH310" s="320">
        <v>1.0638297872340399E-2</v>
      </c>
      <c r="AI310" s="319">
        <v>0</v>
      </c>
      <c r="AJ310" s="320">
        <v>0</v>
      </c>
      <c r="AK310" s="320">
        <v>1.5957446808510641E-2</v>
      </c>
      <c r="AL310" s="319">
        <v>5</v>
      </c>
      <c r="AM310" s="319">
        <v>5</v>
      </c>
      <c r="AN310" s="319">
        <v>2</v>
      </c>
      <c r="AO310" s="319">
        <v>0.4</v>
      </c>
      <c r="AP310">
        <v>6</v>
      </c>
      <c r="AR310" s="136">
        <v>6</v>
      </c>
      <c r="AT310" s="69">
        <v>2.3148</v>
      </c>
      <c r="AU310" s="69">
        <v>2.3148</v>
      </c>
      <c r="AV310" s="69">
        <v>2.3148</v>
      </c>
      <c r="AW310" s="69">
        <v>0.23150000000000001</v>
      </c>
      <c r="BB310" s="69"/>
    </row>
    <row r="311" spans="1:54" customFormat="1" ht="40" customHeight="1">
      <c r="A311" s="313">
        <v>310</v>
      </c>
      <c r="B311" s="136" t="s">
        <v>589</v>
      </c>
      <c r="C311" s="136" t="s">
        <v>45</v>
      </c>
      <c r="D311" s="31">
        <f t="shared" si="20"/>
        <v>4</v>
      </c>
      <c r="E311" s="137" t="s">
        <v>46</v>
      </c>
      <c r="F311" s="31">
        <f t="shared" si="21"/>
        <v>6</v>
      </c>
      <c r="G311" s="137" t="s">
        <v>921</v>
      </c>
      <c r="H311" s="138">
        <v>348</v>
      </c>
      <c r="I311" s="158">
        <f t="shared" si="22"/>
        <v>0.35663175297653826</v>
      </c>
      <c r="J311" s="95">
        <v>2.2174883070972502E-2</v>
      </c>
      <c r="K311" s="137">
        <v>0.69108862288210404</v>
      </c>
      <c r="L311" s="137">
        <v>0.61983471074380103</v>
      </c>
      <c r="M311" s="137">
        <v>0.79796949108955795</v>
      </c>
      <c r="N311" s="136">
        <v>1</v>
      </c>
      <c r="O311" s="32">
        <v>43403</v>
      </c>
      <c r="P311" s="98">
        <f t="shared" si="23"/>
        <v>0</v>
      </c>
      <c r="Q311">
        <v>12.75</v>
      </c>
      <c r="R311">
        <v>1.65</v>
      </c>
      <c r="S311">
        <v>5.61</v>
      </c>
      <c r="T311" s="112" t="s">
        <v>48</v>
      </c>
      <c r="U311" s="137" t="s">
        <v>922</v>
      </c>
      <c r="V311" s="137" t="s">
        <v>923</v>
      </c>
      <c r="W311" s="69">
        <v>132</v>
      </c>
      <c r="X311" s="136">
        <v>1</v>
      </c>
      <c r="Y311" s="136">
        <v>2</v>
      </c>
      <c r="Z311" s="314"/>
      <c r="AA311" s="319">
        <v>0.46363636363636301</v>
      </c>
      <c r="AB311" s="315" t="s">
        <v>5176</v>
      </c>
      <c r="AC311" s="319">
        <v>0</v>
      </c>
      <c r="AD311" s="320">
        <v>0</v>
      </c>
      <c r="AE311" s="319">
        <v>4</v>
      </c>
      <c r="AF311" s="320">
        <v>5.4054054054054002E-2</v>
      </c>
      <c r="AG311" s="319">
        <v>1</v>
      </c>
      <c r="AH311" s="320">
        <v>1.35135135135135E-2</v>
      </c>
      <c r="AI311" s="319">
        <v>0</v>
      </c>
      <c r="AJ311" s="320">
        <v>0</v>
      </c>
      <c r="AK311" s="320">
        <v>2.7397260273972601E-2</v>
      </c>
      <c r="AL311" s="319">
        <v>6.75</v>
      </c>
      <c r="AM311" s="319">
        <v>6.2</v>
      </c>
      <c r="AN311" s="319">
        <v>6.1666666666666599</v>
      </c>
      <c r="AO311" s="319">
        <v>0.63722222222222202</v>
      </c>
      <c r="AP311">
        <v>2</v>
      </c>
      <c r="AR311" s="136"/>
      <c r="AS311">
        <v>2</v>
      </c>
      <c r="AT311" s="69">
        <v>6.3414000000000001</v>
      </c>
      <c r="AU311" s="69">
        <v>5</v>
      </c>
      <c r="AV311" s="69">
        <v>9.5120000000000005</v>
      </c>
      <c r="AW311" s="69">
        <v>0.69510000000000005</v>
      </c>
      <c r="BB311" s="69"/>
    </row>
    <row r="312" spans="1:54" customFormat="1" ht="40" customHeight="1">
      <c r="A312" s="313">
        <v>311</v>
      </c>
      <c r="B312" s="136" t="s">
        <v>589</v>
      </c>
      <c r="C312" s="136" t="s">
        <v>45</v>
      </c>
      <c r="D312" s="31">
        <f t="shared" si="20"/>
        <v>4</v>
      </c>
      <c r="E312" s="137" t="s">
        <v>46</v>
      </c>
      <c r="F312" s="31">
        <f t="shared" si="21"/>
        <v>6</v>
      </c>
      <c r="G312" s="137" t="s">
        <v>305</v>
      </c>
      <c r="H312" s="138">
        <v>161</v>
      </c>
      <c r="I312" s="158">
        <f t="shared" si="22"/>
        <v>0.42500018599174311</v>
      </c>
      <c r="J312" s="95">
        <v>3.7198348623590499E-7</v>
      </c>
      <c r="K312" s="137">
        <v>0.85</v>
      </c>
      <c r="L312" s="137">
        <v>0.75</v>
      </c>
      <c r="M312" s="137">
        <v>1</v>
      </c>
      <c r="N312" s="136">
        <v>1</v>
      </c>
      <c r="O312" s="32">
        <v>43391</v>
      </c>
      <c r="P312" s="98">
        <f t="shared" si="23"/>
        <v>0</v>
      </c>
      <c r="Q312">
        <v>2.5499999999999998</v>
      </c>
      <c r="R312">
        <v>0</v>
      </c>
      <c r="S312">
        <v>0</v>
      </c>
      <c r="T312" s="112" t="s">
        <v>48</v>
      </c>
      <c r="U312" s="137" t="s">
        <v>924</v>
      </c>
      <c r="V312" s="137" t="s">
        <v>925</v>
      </c>
      <c r="W312" s="69">
        <v>118</v>
      </c>
      <c r="X312" s="136">
        <v>1</v>
      </c>
      <c r="Y312" s="136">
        <v>0</v>
      </c>
      <c r="Z312" s="314"/>
      <c r="AA312" s="319">
        <v>0.5</v>
      </c>
      <c r="AB312" s="315" t="s">
        <v>5168</v>
      </c>
      <c r="AC312" s="319">
        <v>2</v>
      </c>
      <c r="AD312" s="320">
        <v>3.125E-2</v>
      </c>
      <c r="AE312" s="319">
        <v>1</v>
      </c>
      <c r="AF312" s="320">
        <v>1.5625E-2</v>
      </c>
      <c r="AG312" s="319">
        <v>3</v>
      </c>
      <c r="AH312" s="320">
        <v>4.6875E-2</v>
      </c>
      <c r="AI312" s="319">
        <v>0</v>
      </c>
      <c r="AJ312" s="320">
        <v>0</v>
      </c>
      <c r="AK312" s="320">
        <v>3.125E-2</v>
      </c>
      <c r="AL312" s="319">
        <v>8.5</v>
      </c>
      <c r="AM312" s="319">
        <v>5</v>
      </c>
      <c r="AN312" s="319">
        <v>3.5</v>
      </c>
      <c r="AO312" s="319">
        <v>0.56666666666666599</v>
      </c>
      <c r="AP312">
        <v>0</v>
      </c>
      <c r="AR312" s="136">
        <v>0</v>
      </c>
      <c r="AT312" s="69">
        <v>9.0888000000000009</v>
      </c>
      <c r="AU312" s="69">
        <v>2.3148</v>
      </c>
      <c r="AV312" s="69">
        <v>5.7443999999999997</v>
      </c>
      <c r="AW312" s="69">
        <v>0.5716</v>
      </c>
      <c r="BB312" s="69"/>
    </row>
    <row r="313" spans="1:54" customFormat="1" ht="40" customHeight="1">
      <c r="A313" s="313">
        <v>312</v>
      </c>
      <c r="B313" s="136" t="s">
        <v>589</v>
      </c>
      <c r="C313" s="136" t="s">
        <v>45</v>
      </c>
      <c r="D313" s="31">
        <f t="shared" si="20"/>
        <v>4</v>
      </c>
      <c r="E313" s="137" t="s">
        <v>46</v>
      </c>
      <c r="F313" s="31">
        <f t="shared" si="21"/>
        <v>6</v>
      </c>
      <c r="G313" s="137" t="s">
        <v>926</v>
      </c>
      <c r="H313" s="138">
        <v>114</v>
      </c>
      <c r="I313" s="158">
        <f t="shared" si="22"/>
        <v>0.39648668245383389</v>
      </c>
      <c r="J313" s="95">
        <v>1.1622205052475001E-4</v>
      </c>
      <c r="K313" s="137">
        <v>0.79285714285714304</v>
      </c>
      <c r="L313" s="137">
        <v>0.75</v>
      </c>
      <c r="M313" s="137">
        <v>0.85714285714285698</v>
      </c>
      <c r="N313" s="136">
        <v>0</v>
      </c>
      <c r="O313" s="32">
        <v>43391</v>
      </c>
      <c r="P313" s="98">
        <f t="shared" si="23"/>
        <v>0</v>
      </c>
      <c r="Q313">
        <v>2.5499999999999998</v>
      </c>
      <c r="R313">
        <v>0</v>
      </c>
      <c r="S313">
        <v>0</v>
      </c>
      <c r="T313" s="112" t="s">
        <v>48</v>
      </c>
      <c r="U313" s="137" t="s">
        <v>927</v>
      </c>
      <c r="V313" s="137" t="s">
        <v>928</v>
      </c>
      <c r="W313" s="69">
        <v>65</v>
      </c>
      <c r="X313" s="136">
        <v>1</v>
      </c>
      <c r="Y313" s="136">
        <v>1</v>
      </c>
      <c r="Z313" s="314"/>
      <c r="AA313" s="319">
        <v>0.5</v>
      </c>
      <c r="AB313" s="315" t="s">
        <v>5194</v>
      </c>
      <c r="AC313" s="319">
        <v>0</v>
      </c>
      <c r="AD313" s="320">
        <v>0</v>
      </c>
      <c r="AE313" s="319">
        <v>1</v>
      </c>
      <c r="AF313" s="320">
        <v>2.77777777777777E-2</v>
      </c>
      <c r="AG313" s="319">
        <v>0</v>
      </c>
      <c r="AH313" s="320">
        <v>0</v>
      </c>
      <c r="AI313" s="319">
        <v>1</v>
      </c>
      <c r="AJ313" s="320">
        <v>2.77777777777777E-2</v>
      </c>
      <c r="AK313" s="320">
        <v>0</v>
      </c>
      <c r="AL313" s="319">
        <v>8.5</v>
      </c>
      <c r="AM313" s="319">
        <v>5</v>
      </c>
      <c r="AN313" s="319">
        <v>3.5</v>
      </c>
      <c r="AO313" s="319">
        <v>0.56666666666666599</v>
      </c>
      <c r="AP313">
        <v>1</v>
      </c>
      <c r="AR313" s="136"/>
      <c r="AS313">
        <v>1</v>
      </c>
      <c r="AT313" s="69">
        <v>9.0888000000000009</v>
      </c>
      <c r="AU313" s="69">
        <v>2.3148</v>
      </c>
      <c r="AV313" s="69">
        <v>5.7443999999999997</v>
      </c>
      <c r="AW313" s="69">
        <v>0.5716</v>
      </c>
      <c r="BB313" s="69"/>
    </row>
    <row r="314" spans="1:54" customFormat="1" ht="40" customHeight="1">
      <c r="A314" s="313">
        <v>313</v>
      </c>
      <c r="B314" s="136" t="s">
        <v>589</v>
      </c>
      <c r="C314" s="136" t="s">
        <v>45</v>
      </c>
      <c r="D314" s="31">
        <f t="shared" si="20"/>
        <v>4</v>
      </c>
      <c r="E314" s="137" t="s">
        <v>46</v>
      </c>
      <c r="F314" s="31">
        <f t="shared" si="21"/>
        <v>6</v>
      </c>
      <c r="G314" s="137" t="s">
        <v>929</v>
      </c>
      <c r="H314" s="138">
        <v>60</v>
      </c>
      <c r="I314" s="158">
        <f t="shared" si="22"/>
        <v>0.36848106567795103</v>
      </c>
      <c r="J314" s="95">
        <v>1.4737444355890099E-2</v>
      </c>
      <c r="K314" s="137">
        <v>0.72222468700001197</v>
      </c>
      <c r="L314" s="137">
        <v>0.75</v>
      </c>
      <c r="M314" s="137">
        <v>0.68056171750003003</v>
      </c>
      <c r="N314" s="136">
        <v>0</v>
      </c>
      <c r="O314" s="32">
        <v>43390</v>
      </c>
      <c r="P314" s="98">
        <f t="shared" si="23"/>
        <v>0</v>
      </c>
      <c r="Q314">
        <v>5.0999999999999996</v>
      </c>
      <c r="R314">
        <v>1.65</v>
      </c>
      <c r="S314">
        <v>0</v>
      </c>
      <c r="T314" s="112" t="s">
        <v>48</v>
      </c>
      <c r="U314" s="137" t="s">
        <v>930</v>
      </c>
      <c r="V314" s="137" t="s">
        <v>931</v>
      </c>
      <c r="W314" s="69">
        <v>87</v>
      </c>
      <c r="X314" s="136">
        <v>1</v>
      </c>
      <c r="Y314" s="136">
        <v>5</v>
      </c>
      <c r="Z314" s="314"/>
      <c r="AA314" s="319">
        <v>0.5</v>
      </c>
      <c r="AB314" s="315" t="s">
        <v>5165</v>
      </c>
      <c r="AC314" s="319">
        <v>4</v>
      </c>
      <c r="AD314" s="320">
        <v>8.1632653061224497E-2</v>
      </c>
      <c r="AE314" s="319">
        <v>3</v>
      </c>
      <c r="AF314" s="320">
        <v>6.1224489795918297E-2</v>
      </c>
      <c r="AG314" s="319">
        <v>1</v>
      </c>
      <c r="AH314" s="320">
        <v>2.04081632653061E-2</v>
      </c>
      <c r="AI314" s="319">
        <v>2</v>
      </c>
      <c r="AJ314" s="320">
        <v>4.08163265306122E-2</v>
      </c>
      <c r="AK314" s="320">
        <v>0</v>
      </c>
      <c r="AL314" s="319">
        <v>6.75</v>
      </c>
      <c r="AM314" s="319">
        <v>5</v>
      </c>
      <c r="AN314" s="319">
        <v>2</v>
      </c>
      <c r="AO314" s="319">
        <v>0.45833333333333298</v>
      </c>
      <c r="AP314">
        <v>5</v>
      </c>
      <c r="AR314" s="136"/>
      <c r="AS314">
        <v>5</v>
      </c>
      <c r="AT314" s="69">
        <v>6.3414000000000001</v>
      </c>
      <c r="AU314" s="69">
        <v>2.3148</v>
      </c>
      <c r="AV314" s="69">
        <v>2.3148</v>
      </c>
      <c r="AW314" s="69">
        <v>0.36570000000000003</v>
      </c>
      <c r="BB314" s="69"/>
    </row>
    <row r="315" spans="1:54" customFormat="1" ht="40" customHeight="1">
      <c r="A315" s="313">
        <v>314</v>
      </c>
      <c r="B315" s="136" t="s">
        <v>589</v>
      </c>
      <c r="C315" s="136" t="s">
        <v>45</v>
      </c>
      <c r="D315" s="31">
        <f t="shared" si="20"/>
        <v>4</v>
      </c>
      <c r="E315" s="137" t="s">
        <v>80</v>
      </c>
      <c r="F315" s="31">
        <f t="shared" si="21"/>
        <v>4</v>
      </c>
      <c r="G315" s="137" t="s">
        <v>932</v>
      </c>
      <c r="H315" s="138">
        <v>92</v>
      </c>
      <c r="I315" s="158">
        <f t="shared" si="22"/>
        <v>0.40915120195738408</v>
      </c>
      <c r="J315" s="95">
        <v>4.11460747894521E-3</v>
      </c>
      <c r="K315" s="137">
        <v>0.81418779643582295</v>
      </c>
      <c r="L315" s="137">
        <v>0.82499999999999996</v>
      </c>
      <c r="M315" s="137">
        <v>0.79796949108955795</v>
      </c>
      <c r="N315" s="136">
        <v>1</v>
      </c>
      <c r="O315" s="32">
        <v>43390</v>
      </c>
      <c r="P315" s="98">
        <f t="shared" si="23"/>
        <v>0</v>
      </c>
      <c r="Q315">
        <v>5.0999999999999996</v>
      </c>
      <c r="R315">
        <v>0</v>
      </c>
      <c r="S315">
        <v>0</v>
      </c>
      <c r="T315" s="112" t="s">
        <v>48</v>
      </c>
      <c r="U315" s="137" t="s">
        <v>933</v>
      </c>
      <c r="V315" s="137" t="s">
        <v>934</v>
      </c>
      <c r="W315" s="69">
        <v>123</v>
      </c>
      <c r="X315" s="136">
        <v>1</v>
      </c>
      <c r="Y315" s="136">
        <v>2</v>
      </c>
      <c r="Z315" s="314"/>
      <c r="AA315" s="319">
        <v>0.64895000000000003</v>
      </c>
      <c r="AB315" s="315" t="s">
        <v>5168</v>
      </c>
      <c r="AC315" s="319">
        <v>2</v>
      </c>
      <c r="AD315" s="320">
        <v>2.9850746268656699E-2</v>
      </c>
      <c r="AE315" s="319">
        <v>1</v>
      </c>
      <c r="AF315" s="320">
        <v>1.4925373134328301E-2</v>
      </c>
      <c r="AG315" s="319">
        <v>3</v>
      </c>
      <c r="AH315" s="320">
        <v>4.4776119402985003E-2</v>
      </c>
      <c r="AI315" s="319">
        <v>0</v>
      </c>
      <c r="AJ315" s="320">
        <v>0</v>
      </c>
      <c r="AK315" s="320">
        <v>2.9850746268656719E-2</v>
      </c>
      <c r="AL315" s="319">
        <v>6.75</v>
      </c>
      <c r="AM315" s="319">
        <v>6.2</v>
      </c>
      <c r="AN315" s="319">
        <v>7.3333333333333304</v>
      </c>
      <c r="AO315" s="319">
        <v>0.676111111111111</v>
      </c>
      <c r="AP315">
        <v>2</v>
      </c>
      <c r="AR315" s="136">
        <v>2</v>
      </c>
      <c r="AT315" s="69">
        <v>6.3414000000000001</v>
      </c>
      <c r="AU315" s="69">
        <v>5</v>
      </c>
      <c r="AV315" s="69">
        <v>9.8416999999999994</v>
      </c>
      <c r="AW315" s="69">
        <v>0.70609999999999995</v>
      </c>
      <c r="BB315" s="69"/>
    </row>
    <row r="316" spans="1:54" customFormat="1" ht="40" customHeight="1">
      <c r="A316" s="313">
        <v>315</v>
      </c>
      <c r="B316" s="136" t="s">
        <v>589</v>
      </c>
      <c r="C316" s="136" t="s">
        <v>45</v>
      </c>
      <c r="D316" s="31">
        <f t="shared" si="20"/>
        <v>4</v>
      </c>
      <c r="E316" s="137" t="s">
        <v>80</v>
      </c>
      <c r="F316" s="31">
        <f t="shared" si="21"/>
        <v>4</v>
      </c>
      <c r="G316" s="137" t="s">
        <v>935</v>
      </c>
      <c r="H316" s="138">
        <v>74</v>
      </c>
      <c r="I316" s="158">
        <f t="shared" si="22"/>
        <v>0.37751583155512136</v>
      </c>
      <c r="J316" s="95">
        <v>2.5055549957020401E-6</v>
      </c>
      <c r="K316" s="137">
        <v>0.75502915755524702</v>
      </c>
      <c r="L316" s="137">
        <v>0.82499999999999996</v>
      </c>
      <c r="M316" s="137">
        <v>0.65007289388811795</v>
      </c>
      <c r="N316" s="136">
        <v>1</v>
      </c>
      <c r="O316" s="32">
        <v>43389</v>
      </c>
      <c r="P316" s="98">
        <f t="shared" si="23"/>
        <v>0</v>
      </c>
      <c r="Q316">
        <v>12.75</v>
      </c>
      <c r="R316">
        <v>0</v>
      </c>
      <c r="S316">
        <v>0</v>
      </c>
      <c r="T316" s="112" t="s">
        <v>48</v>
      </c>
      <c r="U316" s="137" t="s">
        <v>936</v>
      </c>
      <c r="V316" s="137" t="s">
        <v>937</v>
      </c>
      <c r="W316" s="69">
        <v>244</v>
      </c>
      <c r="X316" s="136">
        <v>1</v>
      </c>
      <c r="Y316" s="136">
        <v>6</v>
      </c>
      <c r="Z316" s="314"/>
      <c r="AA316" s="319">
        <v>0.64895000000000003</v>
      </c>
      <c r="AB316" s="315" t="s">
        <v>5167</v>
      </c>
      <c r="AC316" s="319">
        <v>2</v>
      </c>
      <c r="AD316" s="320">
        <v>1.6E-2</v>
      </c>
      <c r="AE316" s="319">
        <v>2</v>
      </c>
      <c r="AF316" s="320">
        <v>1.6E-2</v>
      </c>
      <c r="AG316" s="319">
        <v>1</v>
      </c>
      <c r="AH316" s="320">
        <v>8.0000000000000002E-3</v>
      </c>
      <c r="AI316" s="319">
        <v>3</v>
      </c>
      <c r="AJ316" s="320">
        <v>2.4E-2</v>
      </c>
      <c r="AK316" s="320">
        <v>8.0000000000000002E-3</v>
      </c>
      <c r="AL316" s="319">
        <v>6.75</v>
      </c>
      <c r="AM316" s="319">
        <v>6.2</v>
      </c>
      <c r="AN316" s="319">
        <v>7.3333333333333304</v>
      </c>
      <c r="AO316" s="319">
        <v>0.676111111111111</v>
      </c>
      <c r="AP316">
        <v>6</v>
      </c>
      <c r="AR316" s="136">
        <v>6</v>
      </c>
      <c r="AT316" s="69">
        <v>6.3414000000000001</v>
      </c>
      <c r="AU316" s="69">
        <v>5</v>
      </c>
      <c r="AV316" s="69">
        <v>9.8416999999999994</v>
      </c>
      <c r="AW316" s="69">
        <v>0.70609999999999995</v>
      </c>
      <c r="BB316" s="69"/>
    </row>
    <row r="317" spans="1:54" customFormat="1" ht="40" customHeight="1">
      <c r="A317" s="313">
        <v>316</v>
      </c>
      <c r="B317" s="136" t="s">
        <v>589</v>
      </c>
      <c r="C317" s="136" t="s">
        <v>45</v>
      </c>
      <c r="D317" s="31">
        <f t="shared" si="20"/>
        <v>4</v>
      </c>
      <c r="E317" s="137" t="s">
        <v>80</v>
      </c>
      <c r="F317" s="31">
        <f t="shared" si="21"/>
        <v>4</v>
      </c>
      <c r="G317" s="137" t="s">
        <v>938</v>
      </c>
      <c r="H317" s="138">
        <v>68</v>
      </c>
      <c r="I317" s="158">
        <f t="shared" si="22"/>
        <v>0.31958199096767681</v>
      </c>
      <c r="J317" s="95">
        <v>4.6653390722628502E-5</v>
      </c>
      <c r="K317" s="137">
        <v>0.63911732854463099</v>
      </c>
      <c r="L317" s="137">
        <v>0.56348610067618299</v>
      </c>
      <c r="M317" s="137">
        <v>0.75256417034730305</v>
      </c>
      <c r="N317" s="136">
        <v>1</v>
      </c>
      <c r="O317" s="32">
        <v>43387</v>
      </c>
      <c r="P317" s="98">
        <f t="shared" si="23"/>
        <v>0</v>
      </c>
      <c r="Q317">
        <v>0</v>
      </c>
      <c r="R317">
        <v>0</v>
      </c>
      <c r="S317">
        <v>0</v>
      </c>
      <c r="T317" s="112" t="s">
        <v>48</v>
      </c>
      <c r="U317" s="137" t="s">
        <v>939</v>
      </c>
      <c r="V317" s="137" t="s">
        <v>940</v>
      </c>
      <c r="W317" s="69">
        <v>54</v>
      </c>
      <c r="X317" s="136">
        <v>1</v>
      </c>
      <c r="Y317" s="136">
        <v>3</v>
      </c>
      <c r="Z317" s="314"/>
      <c r="AA317" s="319">
        <v>0.45909090909090899</v>
      </c>
      <c r="AB317" s="315" t="s">
        <v>5165</v>
      </c>
      <c r="AC317" s="319">
        <v>3</v>
      </c>
      <c r="AD317" s="320">
        <v>9.375E-2</v>
      </c>
      <c r="AE317" s="319">
        <v>1</v>
      </c>
      <c r="AF317" s="320">
        <v>3.125E-2</v>
      </c>
      <c r="AG317" s="319">
        <v>1</v>
      </c>
      <c r="AH317" s="320">
        <v>3.125E-2</v>
      </c>
      <c r="AI317" s="319">
        <v>1</v>
      </c>
      <c r="AJ317" s="320">
        <v>3.125E-2</v>
      </c>
      <c r="AK317" s="320">
        <v>0</v>
      </c>
      <c r="AL317" s="319">
        <v>5</v>
      </c>
      <c r="AM317" s="319">
        <v>5</v>
      </c>
      <c r="AN317" s="319">
        <v>4.6666666666666599</v>
      </c>
      <c r="AO317" s="319">
        <v>0.48888888888888798</v>
      </c>
      <c r="AP317">
        <v>3</v>
      </c>
      <c r="AR317" s="136"/>
      <c r="AS317">
        <v>3</v>
      </c>
      <c r="AT317" s="69">
        <v>2.3148</v>
      </c>
      <c r="AU317" s="69">
        <v>2.3148</v>
      </c>
      <c r="AV317" s="69">
        <v>8.1305999999999994</v>
      </c>
      <c r="AW317" s="69">
        <v>0.42530000000000001</v>
      </c>
      <c r="BB317" s="69"/>
    </row>
    <row r="318" spans="1:54" customFormat="1" ht="40" customHeight="1">
      <c r="A318" s="313">
        <v>317</v>
      </c>
      <c r="B318" s="136" t="s">
        <v>589</v>
      </c>
      <c r="C318" s="136" t="s">
        <v>45</v>
      </c>
      <c r="D318" s="31">
        <f t="shared" si="20"/>
        <v>4</v>
      </c>
      <c r="E318" s="137" t="s">
        <v>80</v>
      </c>
      <c r="F318" s="31">
        <f t="shared" si="21"/>
        <v>4</v>
      </c>
      <c r="G318" s="137" t="s">
        <v>159</v>
      </c>
      <c r="H318" s="138">
        <v>47</v>
      </c>
      <c r="I318" s="158">
        <f t="shared" si="22"/>
        <v>0.38164890667595619</v>
      </c>
      <c r="J318" s="95">
        <v>5.3268655796665398E-2</v>
      </c>
      <c r="K318" s="137">
        <v>0.71002915755524698</v>
      </c>
      <c r="L318" s="137">
        <v>0.75</v>
      </c>
      <c r="M318" s="137">
        <v>0.65007289388811795</v>
      </c>
      <c r="N318" s="136">
        <v>1</v>
      </c>
      <c r="O318" s="32">
        <v>43384</v>
      </c>
      <c r="P318" s="98">
        <f t="shared" si="23"/>
        <v>0</v>
      </c>
      <c r="Q318">
        <v>10.199999999999999</v>
      </c>
      <c r="R318">
        <v>0</v>
      </c>
      <c r="S318">
        <v>0</v>
      </c>
      <c r="T318" s="112" t="s">
        <v>48</v>
      </c>
      <c r="U318" s="137" t="s">
        <v>941</v>
      </c>
      <c r="V318" s="137" t="s">
        <v>942</v>
      </c>
      <c r="W318" s="69">
        <v>48</v>
      </c>
      <c r="X318" s="136">
        <v>2</v>
      </c>
      <c r="Y318" s="136">
        <v>6</v>
      </c>
      <c r="Z318" s="314"/>
      <c r="AA318" s="319">
        <v>0.66549999999999998</v>
      </c>
      <c r="AB318" s="315" t="s">
        <v>5165</v>
      </c>
      <c r="AC318" s="319">
        <v>3</v>
      </c>
      <c r="AD318" s="320">
        <v>0.107142857142857</v>
      </c>
      <c r="AE318" s="319">
        <v>1</v>
      </c>
      <c r="AF318" s="320">
        <v>3.5714285714285698E-2</v>
      </c>
      <c r="AG318" s="319">
        <v>1</v>
      </c>
      <c r="AH318" s="320">
        <v>3.5714285714285698E-2</v>
      </c>
      <c r="AI318" s="319">
        <v>1</v>
      </c>
      <c r="AJ318" s="320">
        <v>3.5714285714285698E-2</v>
      </c>
      <c r="AK318" s="320">
        <v>0</v>
      </c>
      <c r="AL318" s="319">
        <v>6.75</v>
      </c>
      <c r="AM318" s="319">
        <v>7.4</v>
      </c>
      <c r="AN318" s="319">
        <v>4.6666666666666599</v>
      </c>
      <c r="AO318" s="319">
        <v>0.62722222222222201</v>
      </c>
      <c r="AP318">
        <v>6</v>
      </c>
      <c r="AR318" s="136"/>
      <c r="AS318">
        <v>6</v>
      </c>
      <c r="AT318" s="69">
        <v>6.3414000000000001</v>
      </c>
      <c r="AU318" s="69">
        <v>7.6852</v>
      </c>
      <c r="AV318" s="69">
        <v>8.1305999999999994</v>
      </c>
      <c r="AW318" s="69">
        <v>0.73860000000000003</v>
      </c>
      <c r="BB318" s="69"/>
    </row>
    <row r="319" spans="1:54" customFormat="1" ht="40" customHeight="1">
      <c r="A319" s="313">
        <v>318</v>
      </c>
      <c r="B319" s="136" t="s">
        <v>589</v>
      </c>
      <c r="C319" s="136" t="s">
        <v>45</v>
      </c>
      <c r="D319" s="31">
        <f t="shared" si="20"/>
        <v>4</v>
      </c>
      <c r="E319" s="137" t="s">
        <v>80</v>
      </c>
      <c r="F319" s="31">
        <f t="shared" si="21"/>
        <v>4</v>
      </c>
      <c r="G319" s="137" t="s">
        <v>938</v>
      </c>
      <c r="H319" s="138">
        <v>59</v>
      </c>
      <c r="I319" s="158">
        <f t="shared" si="22"/>
        <v>0.31909190115203923</v>
      </c>
      <c r="J319" s="95">
        <v>5.2146464174040996E-4</v>
      </c>
      <c r="K319" s="137">
        <v>0.63766233766233804</v>
      </c>
      <c r="L319" s="137">
        <v>0.68181818181818199</v>
      </c>
      <c r="M319" s="137">
        <v>0.57142857142857095</v>
      </c>
      <c r="N319" s="136">
        <v>1</v>
      </c>
      <c r="O319" s="32">
        <v>43373</v>
      </c>
      <c r="P319" s="98">
        <f t="shared" si="23"/>
        <v>0</v>
      </c>
      <c r="Q319">
        <v>5.0999999999999996</v>
      </c>
      <c r="R319">
        <v>0</v>
      </c>
      <c r="S319">
        <v>0</v>
      </c>
      <c r="T319" s="112" t="s">
        <v>48</v>
      </c>
      <c r="U319" s="137" t="s">
        <v>943</v>
      </c>
      <c r="V319" s="137" t="s">
        <v>940</v>
      </c>
      <c r="W319" s="69">
        <v>54</v>
      </c>
      <c r="X319" s="136">
        <v>1</v>
      </c>
      <c r="Y319" s="136">
        <v>9</v>
      </c>
      <c r="Z319" s="314"/>
      <c r="AA319" s="319">
        <v>0.5</v>
      </c>
      <c r="AB319" s="315" t="s">
        <v>5165</v>
      </c>
      <c r="AC319" s="319">
        <v>3</v>
      </c>
      <c r="AD319" s="320">
        <v>9.375E-2</v>
      </c>
      <c r="AE319" s="319">
        <v>1</v>
      </c>
      <c r="AF319" s="320">
        <v>3.125E-2</v>
      </c>
      <c r="AG319" s="319">
        <v>1</v>
      </c>
      <c r="AH319" s="320">
        <v>3.125E-2</v>
      </c>
      <c r="AI319" s="319">
        <v>1</v>
      </c>
      <c r="AJ319" s="320">
        <v>3.125E-2</v>
      </c>
      <c r="AK319" s="320">
        <v>0</v>
      </c>
      <c r="AL319" s="319">
        <v>5</v>
      </c>
      <c r="AM319" s="319">
        <v>5</v>
      </c>
      <c r="AN319" s="319">
        <v>4.6666666666666599</v>
      </c>
      <c r="AO319" s="319">
        <v>0.48888888888888798</v>
      </c>
      <c r="AP319">
        <v>9</v>
      </c>
      <c r="AR319" s="136"/>
      <c r="AS319">
        <v>9</v>
      </c>
      <c r="AT319" s="69">
        <v>2.3148</v>
      </c>
      <c r="AU319" s="69">
        <v>2.3148</v>
      </c>
      <c r="AV319" s="69">
        <v>8.1305999999999994</v>
      </c>
      <c r="AW319" s="69">
        <v>0.42530000000000001</v>
      </c>
      <c r="BB319" s="69"/>
    </row>
    <row r="320" spans="1:54" customFormat="1" ht="40" customHeight="1">
      <c r="A320" s="313">
        <v>319</v>
      </c>
      <c r="B320" s="136" t="s">
        <v>589</v>
      </c>
      <c r="C320" s="136" t="s">
        <v>45</v>
      </c>
      <c r="D320" s="31">
        <f t="shared" si="20"/>
        <v>4</v>
      </c>
      <c r="E320" s="137" t="s">
        <v>80</v>
      </c>
      <c r="F320" s="31">
        <f t="shared" si="21"/>
        <v>4</v>
      </c>
      <c r="G320" s="137" t="s">
        <v>944</v>
      </c>
      <c r="H320" s="138">
        <v>182</v>
      </c>
      <c r="I320" s="158">
        <f t="shared" si="22"/>
        <v>0.33731561782865743</v>
      </c>
      <c r="J320" s="95">
        <v>4.62419071474559E-2</v>
      </c>
      <c r="K320" s="137">
        <v>0.62838932850985896</v>
      </c>
      <c r="L320" s="137">
        <v>0.68181818181818199</v>
      </c>
      <c r="M320" s="137">
        <v>0.54824604854737402</v>
      </c>
      <c r="N320" s="136">
        <v>1</v>
      </c>
      <c r="O320" s="32">
        <v>43371</v>
      </c>
      <c r="P320" s="98">
        <f t="shared" si="23"/>
        <v>0</v>
      </c>
      <c r="Q320">
        <v>2.5499999999999998</v>
      </c>
      <c r="R320">
        <v>0</v>
      </c>
      <c r="S320">
        <v>0</v>
      </c>
      <c r="T320" s="112" t="s">
        <v>48</v>
      </c>
      <c r="U320" s="137" t="s">
        <v>945</v>
      </c>
      <c r="V320" s="137" t="s">
        <v>946</v>
      </c>
      <c r="W320" s="69">
        <v>124</v>
      </c>
      <c r="X320" s="136">
        <v>1</v>
      </c>
      <c r="Y320" s="136">
        <v>10</v>
      </c>
      <c r="Z320" s="314"/>
      <c r="AA320" s="319">
        <v>0.5</v>
      </c>
      <c r="AB320" s="315" t="s">
        <v>5176</v>
      </c>
      <c r="AC320" s="319">
        <v>2</v>
      </c>
      <c r="AD320" s="320">
        <v>2.8169014084507001E-2</v>
      </c>
      <c r="AE320" s="319">
        <v>5</v>
      </c>
      <c r="AF320" s="320">
        <v>7.0422535211267595E-2</v>
      </c>
      <c r="AG320" s="319">
        <v>0</v>
      </c>
      <c r="AH320" s="320">
        <v>0</v>
      </c>
      <c r="AI320" s="319">
        <v>0</v>
      </c>
      <c r="AJ320" s="320">
        <v>0</v>
      </c>
      <c r="AK320" s="320">
        <v>4.2253521126760563E-2</v>
      </c>
      <c r="AL320" s="319">
        <v>5</v>
      </c>
      <c r="AM320" s="319">
        <v>5</v>
      </c>
      <c r="AN320" s="319">
        <v>4.6666666666666599</v>
      </c>
      <c r="AO320" s="319">
        <v>0.48888888888888798</v>
      </c>
      <c r="AP320">
        <v>10</v>
      </c>
      <c r="AR320" s="136">
        <v>10</v>
      </c>
      <c r="AS320">
        <v>10</v>
      </c>
      <c r="AT320" s="69">
        <v>2.3148</v>
      </c>
      <c r="AU320" s="69">
        <v>2.3148</v>
      </c>
      <c r="AV320" s="69">
        <v>8.1305999999999994</v>
      </c>
      <c r="AW320" s="69">
        <v>0.42530000000000001</v>
      </c>
      <c r="BB320" s="69"/>
    </row>
    <row r="321" spans="1:54" customFormat="1" ht="40" customHeight="1">
      <c r="A321" s="313">
        <v>320</v>
      </c>
      <c r="B321" s="136" t="s">
        <v>589</v>
      </c>
      <c r="C321" s="136" t="s">
        <v>59</v>
      </c>
      <c r="D321" s="31">
        <f t="shared" si="20"/>
        <v>5</v>
      </c>
      <c r="E321" s="137" t="s">
        <v>46</v>
      </c>
      <c r="F321" s="31">
        <f t="shared" si="21"/>
        <v>6</v>
      </c>
      <c r="G321" s="137" t="s">
        <v>947</v>
      </c>
      <c r="H321" s="138">
        <v>104</v>
      </c>
      <c r="I321" s="158">
        <f t="shared" si="22"/>
        <v>0.54350957437160252</v>
      </c>
      <c r="J321" s="95">
        <v>0.43496781246536198</v>
      </c>
      <c r="K321" s="137">
        <v>0.65205133627784295</v>
      </c>
      <c r="L321" s="137">
        <v>0.75</v>
      </c>
      <c r="M321" s="137">
        <v>0.50512834069460699</v>
      </c>
      <c r="N321" s="136">
        <v>1</v>
      </c>
      <c r="O321" s="32">
        <v>43370</v>
      </c>
      <c r="P321" s="98">
        <f t="shared" si="23"/>
        <v>0</v>
      </c>
      <c r="Q321">
        <v>0</v>
      </c>
      <c r="R321">
        <v>0</v>
      </c>
      <c r="S321">
        <v>0</v>
      </c>
      <c r="T321" s="112" t="s">
        <v>48</v>
      </c>
      <c r="U321" s="137" t="s">
        <v>948</v>
      </c>
      <c r="V321" s="137" t="s">
        <v>949</v>
      </c>
      <c r="W321" s="69">
        <v>85</v>
      </c>
      <c r="X321" s="136">
        <v>2</v>
      </c>
      <c r="Y321" s="136">
        <v>12</v>
      </c>
      <c r="Z321" s="314"/>
      <c r="AA321" s="319">
        <v>0.55000000000000004</v>
      </c>
      <c r="AB321" s="315" t="s">
        <v>5176</v>
      </c>
      <c r="AC321" s="319">
        <v>0</v>
      </c>
      <c r="AD321" s="320">
        <v>0</v>
      </c>
      <c r="AE321" s="319">
        <v>3</v>
      </c>
      <c r="AF321" s="320">
        <v>6.8181818181818094E-2</v>
      </c>
      <c r="AG321" s="319">
        <v>2</v>
      </c>
      <c r="AH321" s="320">
        <v>4.54545454545454E-2</v>
      </c>
      <c r="AI321" s="319">
        <v>0</v>
      </c>
      <c r="AJ321" s="320">
        <v>0</v>
      </c>
      <c r="AK321" s="320">
        <v>4.5454545454545463E-2</v>
      </c>
      <c r="AL321" s="319">
        <v>5</v>
      </c>
      <c r="AM321" s="319">
        <v>5</v>
      </c>
      <c r="AN321" s="319">
        <v>3.5</v>
      </c>
      <c r="AO321" s="319">
        <v>0.45</v>
      </c>
      <c r="AP321">
        <v>12</v>
      </c>
      <c r="AQ321">
        <v>12</v>
      </c>
      <c r="AR321" s="136"/>
      <c r="AT321" s="69">
        <v>2.3148</v>
      </c>
      <c r="AU321" s="69">
        <v>2.3148</v>
      </c>
      <c r="AV321" s="69">
        <v>5.7443999999999997</v>
      </c>
      <c r="AW321" s="69">
        <v>0.3458</v>
      </c>
      <c r="BB321" s="69"/>
    </row>
    <row r="322" spans="1:54" customFormat="1" ht="40" customHeight="1">
      <c r="A322" s="313">
        <v>321</v>
      </c>
      <c r="B322" s="136" t="s">
        <v>589</v>
      </c>
      <c r="C322" s="136" t="s">
        <v>45</v>
      </c>
      <c r="D322" s="31">
        <f t="shared" ref="D322:D385" si="24">IF(C322="投诉",4,IF(C322="建议",1,IF(C322="举报",2,IF(C322="求助",3,5))))</f>
        <v>4</v>
      </c>
      <c r="E322" s="137" t="s">
        <v>46</v>
      </c>
      <c r="F322" s="31">
        <f t="shared" ref="F322:F385" si="25">IF(E322="12345app",1,IF(E322="e福州app",2,IF(E322="qq",3,IF(E322="电话",4,IF(E322="短信",5,IF(E322="网站",6,IF(E322="微博",7,IF(E322="微信",8,9))))))))</f>
        <v>6</v>
      </c>
      <c r="G322" s="137" t="s">
        <v>950</v>
      </c>
      <c r="H322" s="138">
        <v>143</v>
      </c>
      <c r="I322" s="158">
        <f t="shared" ref="I322:I385" si="26">(J322+K322)/2</f>
        <v>0.32879832663529274</v>
      </c>
      <c r="J322" s="95">
        <v>3.1719642905248002E-4</v>
      </c>
      <c r="K322" s="137">
        <v>0.65727945684153299</v>
      </c>
      <c r="L322" s="137">
        <v>0.56348610067618299</v>
      </c>
      <c r="M322" s="137">
        <v>0.79796949108955795</v>
      </c>
      <c r="N322" s="136">
        <v>1</v>
      </c>
      <c r="O322" s="32">
        <v>43368</v>
      </c>
      <c r="P322" s="98">
        <f t="shared" ref="P322:P385" si="27">IF(T322="利己",0,IF(T322="生态",2,1))</f>
        <v>0</v>
      </c>
      <c r="Q322">
        <v>5.0999999999999996</v>
      </c>
      <c r="R322">
        <v>4.95</v>
      </c>
      <c r="S322">
        <v>0</v>
      </c>
      <c r="T322" s="112" t="s">
        <v>48</v>
      </c>
      <c r="U322" s="137" t="s">
        <v>951</v>
      </c>
      <c r="V322" s="137" t="s">
        <v>952</v>
      </c>
      <c r="W322" s="69">
        <v>186</v>
      </c>
      <c r="X322" s="136">
        <v>2</v>
      </c>
      <c r="Y322" s="136">
        <v>2</v>
      </c>
      <c r="Z322" s="314"/>
      <c r="AA322" s="319">
        <v>2.7382887602325101E-2</v>
      </c>
      <c r="AB322" s="315" t="s">
        <v>5169</v>
      </c>
      <c r="AC322" s="319">
        <v>3</v>
      </c>
      <c r="AD322" s="320">
        <v>2.9126213592233E-2</v>
      </c>
      <c r="AE322" s="319">
        <v>1</v>
      </c>
      <c r="AF322" s="320">
        <v>9.7087378640776708E-3</v>
      </c>
      <c r="AG322" s="319">
        <v>3</v>
      </c>
      <c r="AH322" s="320">
        <v>2.9126213592233E-2</v>
      </c>
      <c r="AI322" s="319">
        <v>0</v>
      </c>
      <c r="AJ322" s="320">
        <v>0</v>
      </c>
      <c r="AK322" s="320">
        <v>2.9126213592233011E-2</v>
      </c>
      <c r="AL322" s="319">
        <v>5</v>
      </c>
      <c r="AM322" s="319">
        <v>5</v>
      </c>
      <c r="AN322" s="319">
        <v>7.3333333333333304</v>
      </c>
      <c r="AO322" s="319">
        <v>0.57777777777777695</v>
      </c>
      <c r="AP322">
        <v>2</v>
      </c>
      <c r="AR322" s="136">
        <v>2</v>
      </c>
      <c r="AT322" s="69">
        <v>2.3148</v>
      </c>
      <c r="AU322" s="69">
        <v>2.3148</v>
      </c>
      <c r="AV322" s="69">
        <v>9.8416999999999994</v>
      </c>
      <c r="AW322" s="69">
        <v>0.4824</v>
      </c>
      <c r="BB322" s="69"/>
    </row>
    <row r="323" spans="1:54" customFormat="1" ht="40" customHeight="1">
      <c r="A323" s="313">
        <v>322</v>
      </c>
      <c r="B323" s="136" t="s">
        <v>589</v>
      </c>
      <c r="C323" s="136" t="s">
        <v>45</v>
      </c>
      <c r="D323" s="31">
        <f t="shared" si="24"/>
        <v>4</v>
      </c>
      <c r="E323" s="137" t="s">
        <v>80</v>
      </c>
      <c r="F323" s="31">
        <f t="shared" si="25"/>
        <v>4</v>
      </c>
      <c r="G323" s="137" t="s">
        <v>180</v>
      </c>
      <c r="H323" s="138">
        <v>74</v>
      </c>
      <c r="I323" s="158">
        <f t="shared" si="26"/>
        <v>0.32976984196353348</v>
      </c>
      <c r="J323" s="95">
        <v>1.45719676648004E-4</v>
      </c>
      <c r="K323" s="137">
        <v>0.65939396425041896</v>
      </c>
      <c r="L323" s="137">
        <v>0.82499999999999996</v>
      </c>
      <c r="M323" s="137">
        <v>0.41098491062604903</v>
      </c>
      <c r="N323" s="136">
        <v>1</v>
      </c>
      <c r="O323" s="32">
        <v>43365</v>
      </c>
      <c r="P323" s="98">
        <f t="shared" si="27"/>
        <v>0</v>
      </c>
      <c r="Q323">
        <v>10.199999999999999</v>
      </c>
      <c r="R323">
        <v>0</v>
      </c>
      <c r="S323">
        <v>0</v>
      </c>
      <c r="T323" s="112" t="s">
        <v>48</v>
      </c>
      <c r="U323" s="137" t="s">
        <v>953</v>
      </c>
      <c r="V323" s="137" t="s">
        <v>954</v>
      </c>
      <c r="W323" s="69">
        <v>43</v>
      </c>
      <c r="X323" s="136">
        <v>3</v>
      </c>
      <c r="Y323" s="136">
        <v>17</v>
      </c>
      <c r="Z323" s="314"/>
      <c r="AA323" s="319">
        <v>0.54500000000000004</v>
      </c>
      <c r="AB323" s="315" t="s">
        <v>5181</v>
      </c>
      <c r="AC323" s="319">
        <v>1</v>
      </c>
      <c r="AD323" s="320">
        <v>0.04</v>
      </c>
      <c r="AE323" s="319">
        <v>1</v>
      </c>
      <c r="AF323" s="320">
        <v>0.04</v>
      </c>
      <c r="AG323" s="319">
        <v>1</v>
      </c>
      <c r="AH323" s="320">
        <v>0.04</v>
      </c>
      <c r="AI323" s="319">
        <v>1</v>
      </c>
      <c r="AJ323" s="320">
        <v>0.04</v>
      </c>
      <c r="AK323" s="320">
        <v>0</v>
      </c>
      <c r="AL323" s="319">
        <v>6.75</v>
      </c>
      <c r="AM323" s="319">
        <v>5</v>
      </c>
      <c r="AN323" s="319">
        <v>7.3333333333333304</v>
      </c>
      <c r="AO323" s="319">
        <v>0.63611111111111096</v>
      </c>
      <c r="AP323">
        <v>17</v>
      </c>
      <c r="AQ323">
        <v>17</v>
      </c>
      <c r="AR323" s="136"/>
      <c r="AT323" s="69">
        <v>6.3414000000000001</v>
      </c>
      <c r="AU323" s="69">
        <v>2.3148</v>
      </c>
      <c r="AV323" s="69">
        <v>9.8416999999999994</v>
      </c>
      <c r="AW323" s="69">
        <v>0.61660000000000004</v>
      </c>
      <c r="BB323" s="69"/>
    </row>
    <row r="324" spans="1:54" customFormat="1" ht="40" customHeight="1">
      <c r="A324" s="313">
        <v>323</v>
      </c>
      <c r="B324" s="136" t="s">
        <v>589</v>
      </c>
      <c r="C324" s="136" t="s">
        <v>45</v>
      </c>
      <c r="D324" s="31">
        <f t="shared" si="24"/>
        <v>4</v>
      </c>
      <c r="E324" s="137" t="s">
        <v>80</v>
      </c>
      <c r="F324" s="31">
        <f t="shared" si="25"/>
        <v>4</v>
      </c>
      <c r="G324" s="137" t="s">
        <v>938</v>
      </c>
      <c r="H324" s="138">
        <v>41</v>
      </c>
      <c r="I324" s="158">
        <f t="shared" si="26"/>
        <v>0.37365369339127324</v>
      </c>
      <c r="J324" s="95">
        <v>1.39317939109005E-2</v>
      </c>
      <c r="K324" s="137">
        <v>0.733375592871646</v>
      </c>
      <c r="L324" s="137">
        <v>0.82499999999999996</v>
      </c>
      <c r="M324" s="137">
        <v>0.59593898217911601</v>
      </c>
      <c r="N324" s="136">
        <v>1</v>
      </c>
      <c r="O324" s="32">
        <v>43365</v>
      </c>
      <c r="P324" s="98">
        <f t="shared" si="27"/>
        <v>0</v>
      </c>
      <c r="Q324">
        <v>2.5499999999999998</v>
      </c>
      <c r="R324">
        <v>0</v>
      </c>
      <c r="S324">
        <v>0</v>
      </c>
      <c r="T324" s="112" t="s">
        <v>48</v>
      </c>
      <c r="U324" s="137" t="s">
        <v>955</v>
      </c>
      <c r="V324" s="137" t="s">
        <v>956</v>
      </c>
      <c r="W324" s="69">
        <v>90</v>
      </c>
      <c r="X324" s="136">
        <v>2</v>
      </c>
      <c r="Y324" s="136">
        <v>8</v>
      </c>
      <c r="Z324" s="314"/>
      <c r="AA324" s="319">
        <v>0.55000000000000004</v>
      </c>
      <c r="AB324" s="315" t="s">
        <v>5176</v>
      </c>
      <c r="AC324" s="319">
        <v>2</v>
      </c>
      <c r="AD324" s="320">
        <v>3.7735849056603703E-2</v>
      </c>
      <c r="AE324" s="319">
        <v>5</v>
      </c>
      <c r="AF324" s="320">
        <v>9.4339622641509399E-2</v>
      </c>
      <c r="AG324" s="319">
        <v>0</v>
      </c>
      <c r="AH324" s="320">
        <v>0</v>
      </c>
      <c r="AI324" s="319">
        <v>0</v>
      </c>
      <c r="AJ324" s="320">
        <v>0</v>
      </c>
      <c r="AK324" s="320">
        <v>5.6603773584905662E-2</v>
      </c>
      <c r="AL324" s="319">
        <v>5</v>
      </c>
      <c r="AM324" s="319">
        <v>5</v>
      </c>
      <c r="AN324" s="319">
        <v>2</v>
      </c>
      <c r="AO324" s="319">
        <v>0.4</v>
      </c>
      <c r="AP324">
        <v>8</v>
      </c>
      <c r="AR324" s="136"/>
      <c r="AS324">
        <v>8</v>
      </c>
      <c r="AT324" s="69">
        <v>2.3148</v>
      </c>
      <c r="AU324" s="69">
        <v>2.3148</v>
      </c>
      <c r="AV324" s="69">
        <v>2.3148</v>
      </c>
      <c r="AW324" s="69">
        <v>0.23150000000000001</v>
      </c>
      <c r="BB324" s="69"/>
    </row>
    <row r="325" spans="1:54" customFormat="1" ht="40" customHeight="1">
      <c r="A325" s="313">
        <v>324</v>
      </c>
      <c r="B325" s="136" t="s">
        <v>589</v>
      </c>
      <c r="C325" s="136" t="s">
        <v>45</v>
      </c>
      <c r="D325" s="31">
        <f t="shared" si="24"/>
        <v>4</v>
      </c>
      <c r="E325" s="137" t="s">
        <v>80</v>
      </c>
      <c r="F325" s="31">
        <f t="shared" si="25"/>
        <v>4</v>
      </c>
      <c r="G325" s="137" t="s">
        <v>180</v>
      </c>
      <c r="H325" s="138">
        <v>44</v>
      </c>
      <c r="I325" s="158">
        <f t="shared" si="26"/>
        <v>0.39903782579081215</v>
      </c>
      <c r="J325" s="95">
        <v>4.3046494026377301E-2</v>
      </c>
      <c r="K325" s="137">
        <v>0.75502915755524702</v>
      </c>
      <c r="L325" s="137">
        <v>0.82499999999999996</v>
      </c>
      <c r="M325" s="137">
        <v>0.65007289388811795</v>
      </c>
      <c r="N325" s="136">
        <v>1</v>
      </c>
      <c r="O325" s="32">
        <v>43362</v>
      </c>
      <c r="P325" s="98">
        <f t="shared" si="27"/>
        <v>0</v>
      </c>
      <c r="Q325">
        <v>7.65</v>
      </c>
      <c r="R325">
        <v>0</v>
      </c>
      <c r="S325">
        <v>0</v>
      </c>
      <c r="T325" s="112" t="s">
        <v>48</v>
      </c>
      <c r="U325" s="137" t="s">
        <v>957</v>
      </c>
      <c r="V325" s="137" t="s">
        <v>940</v>
      </c>
      <c r="W325" s="69">
        <v>54</v>
      </c>
      <c r="X325" s="136">
        <v>2</v>
      </c>
      <c r="Y325" s="136">
        <v>6</v>
      </c>
      <c r="Z325" s="314"/>
      <c r="AA325" s="319">
        <v>0.5</v>
      </c>
      <c r="AB325" s="315" t="s">
        <v>5165</v>
      </c>
      <c r="AC325" s="319">
        <v>3</v>
      </c>
      <c r="AD325" s="320">
        <v>9.375E-2</v>
      </c>
      <c r="AE325" s="319">
        <v>1</v>
      </c>
      <c r="AF325" s="320">
        <v>3.125E-2</v>
      </c>
      <c r="AG325" s="319">
        <v>1</v>
      </c>
      <c r="AH325" s="320">
        <v>3.125E-2</v>
      </c>
      <c r="AI325" s="319">
        <v>1</v>
      </c>
      <c r="AJ325" s="320">
        <v>3.125E-2</v>
      </c>
      <c r="AK325" s="320">
        <v>0</v>
      </c>
      <c r="AL325" s="319">
        <v>6.75</v>
      </c>
      <c r="AM325" s="319">
        <v>5</v>
      </c>
      <c r="AN325" s="319">
        <v>2</v>
      </c>
      <c r="AO325" s="319">
        <v>0.45833333333333298</v>
      </c>
      <c r="AP325">
        <v>6</v>
      </c>
      <c r="AR325" s="136"/>
      <c r="AS325">
        <v>6</v>
      </c>
      <c r="AT325" s="69">
        <v>6.3414000000000001</v>
      </c>
      <c r="AU325" s="69">
        <v>2.3148</v>
      </c>
      <c r="AV325" s="69">
        <v>2.3148</v>
      </c>
      <c r="AW325" s="69">
        <v>0.36570000000000003</v>
      </c>
      <c r="BB325" s="69"/>
    </row>
    <row r="326" spans="1:54" customFormat="1" ht="40" customHeight="1">
      <c r="A326" s="313">
        <v>325</v>
      </c>
      <c r="B326" s="136" t="s">
        <v>589</v>
      </c>
      <c r="C326" s="136" t="s">
        <v>45</v>
      </c>
      <c r="D326" s="31">
        <f t="shared" si="24"/>
        <v>4</v>
      </c>
      <c r="E326" s="137" t="s">
        <v>46</v>
      </c>
      <c r="F326" s="31">
        <f t="shared" si="25"/>
        <v>6</v>
      </c>
      <c r="G326" s="137" t="s">
        <v>958</v>
      </c>
      <c r="H326" s="138">
        <v>50</v>
      </c>
      <c r="I326" s="158">
        <f t="shared" si="26"/>
        <v>0.36428118952893918</v>
      </c>
      <c r="J326" s="95">
        <v>2.8367353114633299E-4</v>
      </c>
      <c r="K326" s="137">
        <v>0.72827870552673202</v>
      </c>
      <c r="L326" s="137">
        <v>0.68181818181818199</v>
      </c>
      <c r="M326" s="137">
        <v>0.79796949108955795</v>
      </c>
      <c r="N326" s="136">
        <v>1</v>
      </c>
      <c r="O326" s="32">
        <v>43361</v>
      </c>
      <c r="P326" s="98">
        <f t="shared" si="27"/>
        <v>0</v>
      </c>
      <c r="Q326">
        <v>2.5499999999999998</v>
      </c>
      <c r="R326">
        <v>0</v>
      </c>
      <c r="S326">
        <v>0</v>
      </c>
      <c r="T326" s="112" t="s">
        <v>48</v>
      </c>
      <c r="U326" s="137" t="s">
        <v>959</v>
      </c>
      <c r="V326" s="137" t="s">
        <v>960</v>
      </c>
      <c r="W326" s="69">
        <v>67</v>
      </c>
      <c r="X326" s="136">
        <v>1</v>
      </c>
      <c r="Y326" s="136">
        <v>2</v>
      </c>
      <c r="Z326" s="314"/>
      <c r="AA326" s="319">
        <v>0.60499999999999998</v>
      </c>
      <c r="AB326" s="315" t="s">
        <v>5178</v>
      </c>
      <c r="AC326" s="319">
        <v>2</v>
      </c>
      <c r="AD326" s="320">
        <v>5.4054054054054002E-2</v>
      </c>
      <c r="AE326" s="319">
        <v>2</v>
      </c>
      <c r="AF326" s="320">
        <v>5.4054054054054002E-2</v>
      </c>
      <c r="AG326" s="319">
        <v>1</v>
      </c>
      <c r="AH326" s="320">
        <v>2.7027027027027001E-2</v>
      </c>
      <c r="AI326" s="319">
        <v>0</v>
      </c>
      <c r="AJ326" s="320">
        <v>0</v>
      </c>
      <c r="AK326" s="320">
        <v>0</v>
      </c>
      <c r="AL326" s="319">
        <v>5</v>
      </c>
      <c r="AM326" s="319">
        <v>7.4</v>
      </c>
      <c r="AN326" s="319">
        <v>4.6666666666666599</v>
      </c>
      <c r="AO326" s="319">
        <v>0.568888888888888</v>
      </c>
      <c r="AP326">
        <v>2</v>
      </c>
      <c r="AQ326">
        <v>2</v>
      </c>
      <c r="AR326" s="136"/>
      <c r="AT326" s="69">
        <v>2.3148</v>
      </c>
      <c r="AU326" s="69">
        <v>7.6852</v>
      </c>
      <c r="AV326" s="69">
        <v>8.1305999999999994</v>
      </c>
      <c r="AW326" s="69">
        <v>0.60440000000000005</v>
      </c>
      <c r="BB326" s="69"/>
    </row>
    <row r="327" spans="1:54" customFormat="1" ht="40" customHeight="1">
      <c r="A327" s="313">
        <v>326</v>
      </c>
      <c r="B327" s="136" t="s">
        <v>589</v>
      </c>
      <c r="C327" s="136" t="s">
        <v>45</v>
      </c>
      <c r="D327" s="31">
        <f t="shared" si="24"/>
        <v>4</v>
      </c>
      <c r="E327" s="137" t="s">
        <v>80</v>
      </c>
      <c r="F327" s="31">
        <f t="shared" si="25"/>
        <v>4</v>
      </c>
      <c r="G327" s="137" t="s">
        <v>961</v>
      </c>
      <c r="H327" s="138">
        <v>79</v>
      </c>
      <c r="I327" s="158">
        <f t="shared" si="26"/>
        <v>0.37213149893876968</v>
      </c>
      <c r="J327" s="95">
        <v>4.4878708123030598E-4</v>
      </c>
      <c r="K327" s="137">
        <v>0.74381421079630905</v>
      </c>
      <c r="L327" s="137">
        <v>0.82499999999999996</v>
      </c>
      <c r="M327" s="137">
        <v>0.62203552699077302</v>
      </c>
      <c r="N327" s="136">
        <v>1</v>
      </c>
      <c r="O327" s="32">
        <v>43355</v>
      </c>
      <c r="P327" s="98">
        <f t="shared" si="27"/>
        <v>0</v>
      </c>
      <c r="Q327">
        <v>0</v>
      </c>
      <c r="R327">
        <v>0</v>
      </c>
      <c r="S327">
        <v>0</v>
      </c>
      <c r="T327" s="112" t="s">
        <v>48</v>
      </c>
      <c r="U327" s="137" t="s">
        <v>962</v>
      </c>
      <c r="V327" s="137" t="s">
        <v>963</v>
      </c>
      <c r="W327" s="69">
        <v>107</v>
      </c>
      <c r="X327" s="136">
        <v>3</v>
      </c>
      <c r="Y327" s="136">
        <v>7</v>
      </c>
      <c r="Z327" s="314"/>
      <c r="AA327" s="319">
        <v>0.45909090909090899</v>
      </c>
      <c r="AB327" s="315" t="s">
        <v>5179</v>
      </c>
      <c r="AC327" s="319">
        <v>2</v>
      </c>
      <c r="AD327" s="320">
        <v>3.2258064516128997E-2</v>
      </c>
      <c r="AE327" s="319">
        <v>2</v>
      </c>
      <c r="AF327" s="320">
        <v>3.2258064516128997E-2</v>
      </c>
      <c r="AG327" s="319">
        <v>2</v>
      </c>
      <c r="AH327" s="320">
        <v>3.2258064516128997E-2</v>
      </c>
      <c r="AI327" s="319">
        <v>0</v>
      </c>
      <c r="AJ327" s="320">
        <v>0</v>
      </c>
      <c r="AK327" s="320">
        <v>6.4516129032258063E-2</v>
      </c>
      <c r="AL327" s="319">
        <v>5</v>
      </c>
      <c r="AM327" s="319">
        <v>5</v>
      </c>
      <c r="AN327" s="319">
        <v>4.6666666666666599</v>
      </c>
      <c r="AO327" s="319">
        <v>0.48888888888888798</v>
      </c>
      <c r="AP327">
        <v>7</v>
      </c>
      <c r="AR327" s="136"/>
      <c r="AS327">
        <v>7</v>
      </c>
      <c r="AT327" s="69">
        <v>2.3148</v>
      </c>
      <c r="AU327" s="69">
        <v>2.3148</v>
      </c>
      <c r="AV327" s="69">
        <v>8.1305999999999994</v>
      </c>
      <c r="AW327" s="69">
        <v>0.42530000000000001</v>
      </c>
      <c r="BB327" s="69"/>
    </row>
    <row r="328" spans="1:54" customFormat="1" ht="40" customHeight="1">
      <c r="A328" s="313">
        <v>327</v>
      </c>
      <c r="B328" s="136" t="s">
        <v>589</v>
      </c>
      <c r="C328" s="136" t="s">
        <v>45</v>
      </c>
      <c r="D328" s="31">
        <f t="shared" si="24"/>
        <v>4</v>
      </c>
      <c r="E328" s="137" t="s">
        <v>80</v>
      </c>
      <c r="F328" s="31">
        <f t="shared" si="25"/>
        <v>4</v>
      </c>
      <c r="G328" s="137" t="s">
        <v>964</v>
      </c>
      <c r="H328" s="138">
        <v>46</v>
      </c>
      <c r="I328" s="158">
        <f t="shared" si="26"/>
        <v>0.39906454053819584</v>
      </c>
      <c r="J328" s="95">
        <v>2.1034129374707402E-3</v>
      </c>
      <c r="K328" s="137">
        <v>0.79602566813892095</v>
      </c>
      <c r="L328" s="137">
        <v>0.82499999999999996</v>
      </c>
      <c r="M328" s="137">
        <v>0.75256417034730305</v>
      </c>
      <c r="N328" s="136">
        <v>1</v>
      </c>
      <c r="O328" s="32">
        <v>43354</v>
      </c>
      <c r="P328" s="98">
        <f t="shared" si="27"/>
        <v>0</v>
      </c>
      <c r="Q328">
        <v>5.0999999999999996</v>
      </c>
      <c r="R328">
        <v>0</v>
      </c>
      <c r="S328">
        <v>0</v>
      </c>
      <c r="T328" s="112" t="s">
        <v>48</v>
      </c>
      <c r="U328" s="137" t="s">
        <v>965</v>
      </c>
      <c r="V328" s="137" t="s">
        <v>940</v>
      </c>
      <c r="W328" s="69">
        <v>54</v>
      </c>
      <c r="X328" s="136">
        <v>1</v>
      </c>
      <c r="Y328" s="136">
        <v>3</v>
      </c>
      <c r="Z328" s="314"/>
      <c r="AA328" s="319">
        <v>0.54500000000000004</v>
      </c>
      <c r="AB328" s="315" t="s">
        <v>5165</v>
      </c>
      <c r="AC328" s="319">
        <v>3</v>
      </c>
      <c r="AD328" s="320">
        <v>9.375E-2</v>
      </c>
      <c r="AE328" s="319">
        <v>1</v>
      </c>
      <c r="AF328" s="320">
        <v>3.125E-2</v>
      </c>
      <c r="AG328" s="319">
        <v>1</v>
      </c>
      <c r="AH328" s="320">
        <v>3.125E-2</v>
      </c>
      <c r="AI328" s="319">
        <v>1</v>
      </c>
      <c r="AJ328" s="320">
        <v>3.125E-2</v>
      </c>
      <c r="AK328" s="320">
        <v>0</v>
      </c>
      <c r="AL328" s="319">
        <v>6.75</v>
      </c>
      <c r="AM328" s="319">
        <v>5</v>
      </c>
      <c r="AN328" s="319">
        <v>7.3333333333333304</v>
      </c>
      <c r="AO328" s="319">
        <v>0.63611111111111096</v>
      </c>
      <c r="AP328">
        <v>3</v>
      </c>
      <c r="AR328" s="136"/>
      <c r="AS328">
        <v>3</v>
      </c>
      <c r="AT328" s="69">
        <v>6.3414000000000001</v>
      </c>
      <c r="AU328" s="69">
        <v>2.3148</v>
      </c>
      <c r="AV328" s="69">
        <v>9.8416999999999994</v>
      </c>
      <c r="AW328" s="69">
        <v>0.61660000000000004</v>
      </c>
      <c r="BB328" s="69"/>
    </row>
    <row r="329" spans="1:54" customFormat="1" ht="40" customHeight="1">
      <c r="A329" s="313">
        <v>328</v>
      </c>
      <c r="B329" s="136" t="s">
        <v>589</v>
      </c>
      <c r="C329" s="136" t="s">
        <v>45</v>
      </c>
      <c r="D329" s="31">
        <f t="shared" si="24"/>
        <v>4</v>
      </c>
      <c r="E329" s="137" t="s">
        <v>80</v>
      </c>
      <c r="F329" s="31">
        <f t="shared" si="25"/>
        <v>4</v>
      </c>
      <c r="G329" s="137" t="s">
        <v>966</v>
      </c>
      <c r="H329" s="138">
        <v>162</v>
      </c>
      <c r="I329" s="158">
        <f t="shared" si="26"/>
        <v>0.39642857742307169</v>
      </c>
      <c r="J329" s="95">
        <v>1.1989000348045E-8</v>
      </c>
      <c r="K329" s="137">
        <v>0.79285714285714304</v>
      </c>
      <c r="L329" s="137">
        <v>0.75</v>
      </c>
      <c r="M329" s="137">
        <v>0.85714285714285698</v>
      </c>
      <c r="N329" s="136">
        <v>1</v>
      </c>
      <c r="O329" s="32">
        <v>43353</v>
      </c>
      <c r="P329" s="98">
        <f t="shared" si="27"/>
        <v>0</v>
      </c>
      <c r="Q329">
        <v>7.65</v>
      </c>
      <c r="R329">
        <v>0</v>
      </c>
      <c r="S329">
        <v>0</v>
      </c>
      <c r="T329" s="112" t="s">
        <v>48</v>
      </c>
      <c r="U329" s="137" t="s">
        <v>967</v>
      </c>
      <c r="V329" s="137" t="s">
        <v>968</v>
      </c>
      <c r="W329" s="69">
        <v>163</v>
      </c>
      <c r="X329" s="136">
        <v>1</v>
      </c>
      <c r="Y329" s="136">
        <v>1</v>
      </c>
      <c r="Z329" s="314"/>
      <c r="AA329" s="319">
        <v>0.5</v>
      </c>
      <c r="AB329" s="315" t="s">
        <v>5168</v>
      </c>
      <c r="AC329" s="319">
        <v>3</v>
      </c>
      <c r="AD329" s="320">
        <v>3.2258064516128997E-2</v>
      </c>
      <c r="AE329" s="319">
        <v>3</v>
      </c>
      <c r="AF329" s="320">
        <v>3.2258064516128997E-2</v>
      </c>
      <c r="AG329" s="319">
        <v>6</v>
      </c>
      <c r="AH329" s="320">
        <v>6.4516129032257993E-2</v>
      </c>
      <c r="AI329" s="319">
        <v>0</v>
      </c>
      <c r="AJ329" s="320">
        <v>0</v>
      </c>
      <c r="AK329" s="320">
        <v>3.2258064516129031E-2</v>
      </c>
      <c r="AL329" s="319">
        <v>6.75</v>
      </c>
      <c r="AM329" s="319">
        <v>5</v>
      </c>
      <c r="AN329" s="319">
        <v>6.1666666666666599</v>
      </c>
      <c r="AO329" s="319">
        <v>0.59722222222222199</v>
      </c>
      <c r="AP329">
        <v>1</v>
      </c>
      <c r="AR329" s="136">
        <v>1</v>
      </c>
      <c r="AT329" s="69">
        <v>6.3414000000000001</v>
      </c>
      <c r="AU329" s="69">
        <v>2.3148</v>
      </c>
      <c r="AV329" s="69">
        <v>9.5120000000000005</v>
      </c>
      <c r="AW329" s="69">
        <v>0.60560000000000003</v>
      </c>
      <c r="BB329" s="69"/>
    </row>
    <row r="330" spans="1:54" customFormat="1" ht="40" customHeight="1">
      <c r="A330" s="313">
        <v>329</v>
      </c>
      <c r="B330" s="136" t="s">
        <v>589</v>
      </c>
      <c r="C330" s="136" t="s">
        <v>45</v>
      </c>
      <c r="D330" s="31">
        <f t="shared" si="24"/>
        <v>4</v>
      </c>
      <c r="E330" s="137" t="s">
        <v>46</v>
      </c>
      <c r="F330" s="31">
        <f t="shared" si="25"/>
        <v>6</v>
      </c>
      <c r="G330" s="137" t="s">
        <v>969</v>
      </c>
      <c r="H330" s="138">
        <v>543</v>
      </c>
      <c r="I330" s="158">
        <f t="shared" si="26"/>
        <v>0.71675885469398448</v>
      </c>
      <c r="J330" s="95">
        <v>0.99999407158943299</v>
      </c>
      <c r="K330" s="137">
        <v>0.43352363779853598</v>
      </c>
      <c r="L330" s="137">
        <v>0.28915746707214901</v>
      </c>
      <c r="M330" s="137">
        <v>0.65007289388811795</v>
      </c>
      <c r="N330" s="136">
        <v>0</v>
      </c>
      <c r="O330" s="32">
        <v>43349</v>
      </c>
      <c r="P330" s="98">
        <f t="shared" si="27"/>
        <v>1</v>
      </c>
      <c r="Q330">
        <v>2.5499999999999998</v>
      </c>
      <c r="R330">
        <v>4.95</v>
      </c>
      <c r="S330">
        <v>3.74</v>
      </c>
      <c r="T330" s="112" t="s">
        <v>73</v>
      </c>
      <c r="U330" s="137" t="s">
        <v>970</v>
      </c>
      <c r="V330" s="137" t="s">
        <v>971</v>
      </c>
      <c r="W330" s="69">
        <v>121</v>
      </c>
      <c r="X330" s="136">
        <v>1</v>
      </c>
      <c r="Y330" s="136">
        <v>6</v>
      </c>
      <c r="Z330" s="314"/>
      <c r="AA330" s="319">
        <v>7.6001927846781604E-5</v>
      </c>
      <c r="AB330" s="315" t="s">
        <v>5169</v>
      </c>
      <c r="AC330" s="319">
        <v>3</v>
      </c>
      <c r="AD330" s="320">
        <v>4.4117647058823498E-2</v>
      </c>
      <c r="AE330" s="319">
        <v>0</v>
      </c>
      <c r="AF330" s="320">
        <v>0</v>
      </c>
      <c r="AG330" s="319">
        <v>3</v>
      </c>
      <c r="AH330" s="320">
        <v>4.4117647058823498E-2</v>
      </c>
      <c r="AI330" s="319">
        <v>0</v>
      </c>
      <c r="AJ330" s="320">
        <v>0</v>
      </c>
      <c r="AK330" s="320">
        <v>0</v>
      </c>
      <c r="AL330" s="319">
        <v>5</v>
      </c>
      <c r="AM330" s="319">
        <v>7.4</v>
      </c>
      <c r="AN330" s="319">
        <v>7.3333333333333304</v>
      </c>
      <c r="AO330" s="319">
        <v>0.65777777777777702</v>
      </c>
      <c r="AP330">
        <v>6</v>
      </c>
      <c r="AR330" s="136"/>
      <c r="AS330">
        <v>6</v>
      </c>
      <c r="AT330" s="69">
        <v>2.3148</v>
      </c>
      <c r="AU330" s="69">
        <v>7.6852</v>
      </c>
      <c r="AV330" s="69">
        <v>9.8416999999999994</v>
      </c>
      <c r="AW330" s="69">
        <v>0.66139999999999999</v>
      </c>
      <c r="BB330" s="69"/>
    </row>
    <row r="331" spans="1:54" customFormat="1" ht="40" customHeight="1">
      <c r="A331" s="313">
        <v>330</v>
      </c>
      <c r="B331" s="136" t="s">
        <v>589</v>
      </c>
      <c r="C331" s="136" t="s">
        <v>45</v>
      </c>
      <c r="D331" s="31">
        <f t="shared" si="24"/>
        <v>4</v>
      </c>
      <c r="E331" s="137" t="s">
        <v>80</v>
      </c>
      <c r="F331" s="31">
        <f t="shared" si="25"/>
        <v>4</v>
      </c>
      <c r="G331" s="137" t="s">
        <v>972</v>
      </c>
      <c r="H331" s="138">
        <v>136</v>
      </c>
      <c r="I331" s="158">
        <f t="shared" si="26"/>
        <v>0.39642857854716523</v>
      </c>
      <c r="J331" s="95">
        <v>1.42371874289893E-8</v>
      </c>
      <c r="K331" s="137">
        <v>0.79285714285714304</v>
      </c>
      <c r="L331" s="137">
        <v>0.75</v>
      </c>
      <c r="M331" s="137">
        <v>0.85714285714285698</v>
      </c>
      <c r="N331" s="136">
        <v>0</v>
      </c>
      <c r="O331" s="32">
        <v>43346</v>
      </c>
      <c r="P331" s="98">
        <f t="shared" si="27"/>
        <v>1</v>
      </c>
      <c r="Q331">
        <v>0</v>
      </c>
      <c r="R331">
        <v>0</v>
      </c>
      <c r="S331">
        <v>0</v>
      </c>
      <c r="T331" s="112" t="s">
        <v>73</v>
      </c>
      <c r="U331" s="137" t="s">
        <v>973</v>
      </c>
      <c r="V331" s="137" t="s">
        <v>974</v>
      </c>
      <c r="W331" s="69">
        <v>98</v>
      </c>
      <c r="X331" s="136">
        <v>1</v>
      </c>
      <c r="Y331" s="136">
        <v>1</v>
      </c>
      <c r="Z331" s="314"/>
      <c r="AA331" s="319">
        <v>0.54500000000000004</v>
      </c>
      <c r="AB331" s="315" t="s">
        <v>5165</v>
      </c>
      <c r="AC331" s="319">
        <v>2</v>
      </c>
      <c r="AD331" s="320">
        <v>3.7037037037037E-2</v>
      </c>
      <c r="AE331" s="319">
        <v>1</v>
      </c>
      <c r="AF331" s="320">
        <v>1.85185185185185E-2</v>
      </c>
      <c r="AG331" s="319">
        <v>1</v>
      </c>
      <c r="AH331" s="320">
        <v>1.85185185185185E-2</v>
      </c>
      <c r="AI331" s="319">
        <v>0</v>
      </c>
      <c r="AJ331" s="320">
        <v>0</v>
      </c>
      <c r="AK331" s="320">
        <v>0</v>
      </c>
      <c r="AL331" s="319">
        <v>5</v>
      </c>
      <c r="AM331" s="319">
        <v>5</v>
      </c>
      <c r="AN331" s="319">
        <v>4.6666666666666599</v>
      </c>
      <c r="AO331" s="319">
        <v>0.48888888888888798</v>
      </c>
      <c r="AP331">
        <v>1</v>
      </c>
      <c r="AR331" s="136"/>
      <c r="AT331" s="69">
        <v>2.3148</v>
      </c>
      <c r="AU331" s="69">
        <v>2.3148</v>
      </c>
      <c r="AV331" s="69">
        <v>8.1305999999999994</v>
      </c>
      <c r="AW331" s="69">
        <v>0.42530000000000001</v>
      </c>
      <c r="BB331" s="69"/>
    </row>
    <row r="332" spans="1:54" customFormat="1" ht="40" customHeight="1">
      <c r="A332" s="313">
        <v>331</v>
      </c>
      <c r="B332" s="136" t="s">
        <v>589</v>
      </c>
      <c r="C332" s="136" t="s">
        <v>45</v>
      </c>
      <c r="D332" s="31">
        <f t="shared" si="24"/>
        <v>4</v>
      </c>
      <c r="E332" s="137" t="s">
        <v>46</v>
      </c>
      <c r="F332" s="31">
        <f t="shared" si="25"/>
        <v>6</v>
      </c>
      <c r="G332" s="137" t="s">
        <v>975</v>
      </c>
      <c r="H332" s="138">
        <v>304</v>
      </c>
      <c r="I332" s="158">
        <f t="shared" si="26"/>
        <v>0.30513820966074462</v>
      </c>
      <c r="J332" s="95">
        <v>3.5622615968122801E-12</v>
      </c>
      <c r="K332" s="137">
        <v>0.61027641931792698</v>
      </c>
      <c r="L332" s="137">
        <v>0.61983471074380203</v>
      </c>
      <c r="M332" s="137">
        <v>0.59593898217911601</v>
      </c>
      <c r="N332" s="136">
        <v>1</v>
      </c>
      <c r="O332" s="32">
        <v>43342</v>
      </c>
      <c r="P332" s="98">
        <f t="shared" si="27"/>
        <v>0</v>
      </c>
      <c r="Q332">
        <v>5.0999999999999996</v>
      </c>
      <c r="R332">
        <v>0</v>
      </c>
      <c r="S332">
        <v>0</v>
      </c>
      <c r="T332" s="112" t="s">
        <v>48</v>
      </c>
      <c r="U332" s="137" t="s">
        <v>976</v>
      </c>
      <c r="V332" s="137" t="s">
        <v>977</v>
      </c>
      <c r="W332" s="69">
        <v>136</v>
      </c>
      <c r="X332" s="136">
        <v>3</v>
      </c>
      <c r="Y332" s="136">
        <v>8</v>
      </c>
      <c r="Z332" s="314"/>
      <c r="AA332" s="319">
        <v>0.63922999999999996</v>
      </c>
      <c r="AB332" s="315" t="s">
        <v>5176</v>
      </c>
      <c r="AC332" s="319">
        <v>0</v>
      </c>
      <c r="AD332" s="320">
        <v>0</v>
      </c>
      <c r="AE332" s="319">
        <v>3</v>
      </c>
      <c r="AF332" s="320">
        <v>3.7499999999999999E-2</v>
      </c>
      <c r="AG332" s="319">
        <v>0</v>
      </c>
      <c r="AH332" s="320">
        <v>0</v>
      </c>
      <c r="AI332" s="319">
        <v>0</v>
      </c>
      <c r="AJ332" s="320">
        <v>0</v>
      </c>
      <c r="AK332" s="320">
        <v>2.5000000000000001E-2</v>
      </c>
      <c r="AL332" s="319">
        <v>5</v>
      </c>
      <c r="AM332" s="319">
        <v>8.6</v>
      </c>
      <c r="AN332" s="319">
        <v>10</v>
      </c>
      <c r="AO332" s="319">
        <v>0.78666666666666596</v>
      </c>
      <c r="AP332">
        <v>8</v>
      </c>
      <c r="AQ332">
        <v>8</v>
      </c>
      <c r="AR332" s="136"/>
      <c r="AT332" s="69">
        <v>2.3148</v>
      </c>
      <c r="AU332" s="69">
        <v>9.1683000000000003</v>
      </c>
      <c r="AV332" s="69">
        <v>9.9920000000000009</v>
      </c>
      <c r="AW332" s="69">
        <v>0.71579999999999999</v>
      </c>
      <c r="BB332" s="69"/>
    </row>
    <row r="333" spans="1:54" customFormat="1" ht="40" customHeight="1">
      <c r="A333" s="313">
        <v>332</v>
      </c>
      <c r="B333" s="136" t="s">
        <v>589</v>
      </c>
      <c r="C333" s="136" t="s">
        <v>45</v>
      </c>
      <c r="D333" s="31">
        <f t="shared" si="24"/>
        <v>4</v>
      </c>
      <c r="E333" s="137" t="s">
        <v>46</v>
      </c>
      <c r="F333" s="31">
        <f t="shared" si="25"/>
        <v>6</v>
      </c>
      <c r="G333" s="137" t="s">
        <v>975</v>
      </c>
      <c r="H333" s="138">
        <v>257</v>
      </c>
      <c r="I333" s="158">
        <f t="shared" si="26"/>
        <v>0.29559962329025063</v>
      </c>
      <c r="J333" s="95">
        <v>7.1527028744355903E-10</v>
      </c>
      <c r="K333" s="137">
        <v>0.59119924586523098</v>
      </c>
      <c r="L333" s="137">
        <v>0.61983471074380203</v>
      </c>
      <c r="M333" s="137">
        <v>0.54824604854737402</v>
      </c>
      <c r="N333" s="136">
        <v>1</v>
      </c>
      <c r="O333" s="32">
        <v>43340</v>
      </c>
      <c r="P333" s="98">
        <f t="shared" si="27"/>
        <v>0</v>
      </c>
      <c r="Q333">
        <v>5.0999999999999996</v>
      </c>
      <c r="R333">
        <v>0</v>
      </c>
      <c r="S333">
        <v>0</v>
      </c>
      <c r="T333" s="112" t="s">
        <v>48</v>
      </c>
      <c r="U333" s="137" t="s">
        <v>978</v>
      </c>
      <c r="V333" s="137" t="s">
        <v>977</v>
      </c>
      <c r="W333" s="69">
        <v>136</v>
      </c>
      <c r="X333" s="136">
        <v>3</v>
      </c>
      <c r="Y333" s="136">
        <v>10</v>
      </c>
      <c r="Z333" s="314"/>
      <c r="AA333" s="319">
        <v>0.64895000000000003</v>
      </c>
      <c r="AB333" s="315" t="s">
        <v>5176</v>
      </c>
      <c r="AC333" s="319">
        <v>0</v>
      </c>
      <c r="AD333" s="320">
        <v>0</v>
      </c>
      <c r="AE333" s="319">
        <v>3</v>
      </c>
      <c r="AF333" s="320">
        <v>3.7499999999999999E-2</v>
      </c>
      <c r="AG333" s="319">
        <v>0</v>
      </c>
      <c r="AH333" s="320">
        <v>0</v>
      </c>
      <c r="AI333" s="319">
        <v>0</v>
      </c>
      <c r="AJ333" s="320">
        <v>0</v>
      </c>
      <c r="AK333" s="320">
        <v>2.5000000000000001E-2</v>
      </c>
      <c r="AL333" s="319">
        <v>5</v>
      </c>
      <c r="AM333" s="319">
        <v>7.4</v>
      </c>
      <c r="AN333" s="319">
        <v>6.1666666666666599</v>
      </c>
      <c r="AO333" s="319">
        <v>0.61888888888888804</v>
      </c>
      <c r="AP333">
        <v>10</v>
      </c>
      <c r="AQ333">
        <v>10</v>
      </c>
      <c r="AR333" s="136"/>
      <c r="AT333" s="69">
        <v>2.3148</v>
      </c>
      <c r="AU333" s="69">
        <v>7.6852</v>
      </c>
      <c r="AV333" s="69">
        <v>9.5120000000000005</v>
      </c>
      <c r="AW333" s="69">
        <v>0.65039999999999998</v>
      </c>
      <c r="BB333" s="69"/>
    </row>
    <row r="334" spans="1:54" customFormat="1" ht="40" customHeight="1">
      <c r="A334" s="313">
        <v>333</v>
      </c>
      <c r="B334" s="136" t="s">
        <v>589</v>
      </c>
      <c r="C334" s="136" t="s">
        <v>45</v>
      </c>
      <c r="D334" s="31">
        <f t="shared" si="24"/>
        <v>4</v>
      </c>
      <c r="E334" s="137" t="s">
        <v>80</v>
      </c>
      <c r="F334" s="31">
        <f t="shared" si="25"/>
        <v>4</v>
      </c>
      <c r="G334" s="137" t="s">
        <v>305</v>
      </c>
      <c r="H334" s="138">
        <v>54</v>
      </c>
      <c r="I334" s="158">
        <f t="shared" si="26"/>
        <v>0.372685699717626</v>
      </c>
      <c r="J334" s="95">
        <v>1.5571886389429399E-3</v>
      </c>
      <c r="K334" s="137">
        <v>0.74381421079630905</v>
      </c>
      <c r="L334" s="137">
        <v>0.82499999999999996</v>
      </c>
      <c r="M334" s="137">
        <v>0.62203552699077302</v>
      </c>
      <c r="N334" s="136">
        <v>1</v>
      </c>
      <c r="O334" s="32">
        <v>43333</v>
      </c>
      <c r="P334" s="98">
        <f t="shared" si="27"/>
        <v>0</v>
      </c>
      <c r="Q334">
        <v>7.65</v>
      </c>
      <c r="R334">
        <v>0</v>
      </c>
      <c r="S334">
        <v>0</v>
      </c>
      <c r="T334" s="112" t="s">
        <v>48</v>
      </c>
      <c r="U334" s="137" t="s">
        <v>979</v>
      </c>
      <c r="V334" s="137" t="s">
        <v>980</v>
      </c>
      <c r="W334" s="69">
        <v>36</v>
      </c>
      <c r="X334" s="136">
        <v>2</v>
      </c>
      <c r="Y334" s="136">
        <v>7</v>
      </c>
      <c r="Z334" s="314"/>
      <c r="AA334" s="319">
        <v>0.54500000000000004</v>
      </c>
      <c r="AB334" s="315" t="s">
        <v>5165</v>
      </c>
      <c r="AC334" s="319">
        <v>2</v>
      </c>
      <c r="AD334" s="320">
        <v>8.6956521739130405E-2</v>
      </c>
      <c r="AE334" s="319">
        <v>1</v>
      </c>
      <c r="AF334" s="320">
        <v>4.3478260869565202E-2</v>
      </c>
      <c r="AG334" s="319">
        <v>0</v>
      </c>
      <c r="AH334" s="320">
        <v>0</v>
      </c>
      <c r="AI334" s="319">
        <v>0</v>
      </c>
      <c r="AJ334" s="320">
        <v>0</v>
      </c>
      <c r="AK334" s="320">
        <v>0</v>
      </c>
      <c r="AL334" s="319">
        <v>6.75</v>
      </c>
      <c r="AM334" s="319">
        <v>5</v>
      </c>
      <c r="AN334" s="319">
        <v>7.3333333333333304</v>
      </c>
      <c r="AO334" s="319">
        <v>0.63611111111111096</v>
      </c>
      <c r="AP334">
        <v>7</v>
      </c>
      <c r="AR334" s="136"/>
      <c r="AS334">
        <v>7</v>
      </c>
      <c r="AT334" s="69">
        <v>6.3414000000000001</v>
      </c>
      <c r="AU334" s="69">
        <v>2.3148</v>
      </c>
      <c r="AV334" s="69">
        <v>9.8416999999999994</v>
      </c>
      <c r="AW334" s="69">
        <v>0.61660000000000004</v>
      </c>
      <c r="BB334" s="69"/>
    </row>
    <row r="335" spans="1:54" customFormat="1" ht="40" customHeight="1">
      <c r="A335" s="313">
        <v>334</v>
      </c>
      <c r="B335" s="136" t="s">
        <v>589</v>
      </c>
      <c r="C335" s="136" t="s">
        <v>45</v>
      </c>
      <c r="D335" s="31">
        <f t="shared" si="24"/>
        <v>4</v>
      </c>
      <c r="E335" s="137" t="s">
        <v>80</v>
      </c>
      <c r="F335" s="31">
        <f t="shared" si="25"/>
        <v>4</v>
      </c>
      <c r="G335" s="137" t="s">
        <v>305</v>
      </c>
      <c r="H335" s="138">
        <v>99</v>
      </c>
      <c r="I335" s="158">
        <f t="shared" si="26"/>
        <v>0.594238175869372</v>
      </c>
      <c r="J335" s="95">
        <v>0.444662140942435</v>
      </c>
      <c r="K335" s="137">
        <v>0.74381421079630905</v>
      </c>
      <c r="L335" s="137">
        <v>0.82499999999999996</v>
      </c>
      <c r="M335" s="137">
        <v>0.62203552699077302</v>
      </c>
      <c r="N335" s="136">
        <v>1</v>
      </c>
      <c r="O335" s="32">
        <v>43333</v>
      </c>
      <c r="P335" s="98">
        <f t="shared" si="27"/>
        <v>0</v>
      </c>
      <c r="Q335">
        <v>7.65</v>
      </c>
      <c r="R335">
        <v>0</v>
      </c>
      <c r="S335">
        <v>0</v>
      </c>
      <c r="T335" s="112" t="s">
        <v>48</v>
      </c>
      <c r="U335" s="137" t="s">
        <v>981</v>
      </c>
      <c r="V335" s="137" t="s">
        <v>980</v>
      </c>
      <c r="W335" s="69">
        <v>36</v>
      </c>
      <c r="X335" s="136">
        <v>2</v>
      </c>
      <c r="Y335" s="136">
        <v>7</v>
      </c>
      <c r="Z335" s="314"/>
      <c r="AA335" s="319">
        <v>0.54500000000000004</v>
      </c>
      <c r="AB335" s="315" t="s">
        <v>5165</v>
      </c>
      <c r="AC335" s="319">
        <v>2</v>
      </c>
      <c r="AD335" s="320">
        <v>8.6956521739130405E-2</v>
      </c>
      <c r="AE335" s="319">
        <v>1</v>
      </c>
      <c r="AF335" s="320">
        <v>4.3478260869565202E-2</v>
      </c>
      <c r="AG335" s="319">
        <v>0</v>
      </c>
      <c r="AH335" s="320">
        <v>0</v>
      </c>
      <c r="AI335" s="319">
        <v>0</v>
      </c>
      <c r="AJ335" s="320">
        <v>0</v>
      </c>
      <c r="AK335" s="320">
        <v>0</v>
      </c>
      <c r="AL335" s="319">
        <v>6.75</v>
      </c>
      <c r="AM335" s="319">
        <v>5</v>
      </c>
      <c r="AN335" s="319">
        <v>4.6666666666666599</v>
      </c>
      <c r="AO335" s="319">
        <v>0.54722222222222205</v>
      </c>
      <c r="AP335">
        <v>7</v>
      </c>
      <c r="AR335" s="136"/>
      <c r="AS335">
        <v>7</v>
      </c>
      <c r="AT335" s="69">
        <v>6.3414000000000001</v>
      </c>
      <c r="AU335" s="69">
        <v>2.3148</v>
      </c>
      <c r="AV335" s="69">
        <v>8.1305999999999994</v>
      </c>
      <c r="AW335" s="69">
        <v>0.55959999999999999</v>
      </c>
      <c r="BB335" s="69"/>
    </row>
    <row r="336" spans="1:54" customFormat="1" ht="40" customHeight="1">
      <c r="A336" s="313">
        <v>335</v>
      </c>
      <c r="B336" s="136" t="s">
        <v>589</v>
      </c>
      <c r="C336" s="136" t="s">
        <v>45</v>
      </c>
      <c r="D336" s="31">
        <f t="shared" si="24"/>
        <v>4</v>
      </c>
      <c r="E336" s="137" t="s">
        <v>80</v>
      </c>
      <c r="F336" s="31">
        <f t="shared" si="25"/>
        <v>4</v>
      </c>
      <c r="G336" s="137" t="s">
        <v>982</v>
      </c>
      <c r="H336" s="138">
        <v>79</v>
      </c>
      <c r="I336" s="158">
        <f t="shared" si="26"/>
        <v>0.3497952557458695</v>
      </c>
      <c r="J336" s="95">
        <v>7.7630069542999902E-4</v>
      </c>
      <c r="K336" s="137">
        <v>0.69881421079630901</v>
      </c>
      <c r="L336" s="137">
        <v>0.75</v>
      </c>
      <c r="M336" s="137">
        <v>0.62203552699077302</v>
      </c>
      <c r="N336" s="136">
        <v>1</v>
      </c>
      <c r="O336" s="32">
        <v>43333</v>
      </c>
      <c r="P336" s="98">
        <f t="shared" si="27"/>
        <v>0</v>
      </c>
      <c r="Q336">
        <v>7.65</v>
      </c>
      <c r="R336">
        <v>0</v>
      </c>
      <c r="S336">
        <v>0</v>
      </c>
      <c r="T336" s="112" t="s">
        <v>48</v>
      </c>
      <c r="U336" s="137" t="s">
        <v>983</v>
      </c>
      <c r="V336" s="137" t="s">
        <v>980</v>
      </c>
      <c r="W336" s="69">
        <v>36</v>
      </c>
      <c r="X336" s="136">
        <v>2</v>
      </c>
      <c r="Y336" s="136">
        <v>7</v>
      </c>
      <c r="Z336" s="314"/>
      <c r="AA336" s="319">
        <v>0.5</v>
      </c>
      <c r="AB336" s="315" t="s">
        <v>5165</v>
      </c>
      <c r="AC336" s="319">
        <v>2</v>
      </c>
      <c r="AD336" s="320">
        <v>8.6956521739130405E-2</v>
      </c>
      <c r="AE336" s="319">
        <v>1</v>
      </c>
      <c r="AF336" s="320">
        <v>4.3478260869565202E-2</v>
      </c>
      <c r="AG336" s="319">
        <v>0</v>
      </c>
      <c r="AH336" s="320">
        <v>0</v>
      </c>
      <c r="AI336" s="319">
        <v>0</v>
      </c>
      <c r="AJ336" s="320">
        <v>0</v>
      </c>
      <c r="AK336" s="320">
        <v>0</v>
      </c>
      <c r="AL336" s="319">
        <v>6.75</v>
      </c>
      <c r="AM336" s="319">
        <v>6.2</v>
      </c>
      <c r="AN336" s="319">
        <v>7.3333333333333304</v>
      </c>
      <c r="AO336" s="319">
        <v>0.676111111111111</v>
      </c>
      <c r="AP336">
        <v>7</v>
      </c>
      <c r="AR336" s="136"/>
      <c r="AS336">
        <v>7</v>
      </c>
      <c r="AT336" s="69">
        <v>6.3414000000000001</v>
      </c>
      <c r="AU336" s="69">
        <v>5</v>
      </c>
      <c r="AV336" s="69">
        <v>9.8416999999999994</v>
      </c>
      <c r="AW336" s="69">
        <v>0.70609999999999995</v>
      </c>
      <c r="BB336" s="69"/>
    </row>
    <row r="337" spans="1:54" customFormat="1" ht="40" customHeight="1">
      <c r="A337" s="313">
        <v>336</v>
      </c>
      <c r="B337" s="136" t="s">
        <v>589</v>
      </c>
      <c r="C337" s="136" t="s">
        <v>45</v>
      </c>
      <c r="D337" s="31">
        <f t="shared" si="24"/>
        <v>4</v>
      </c>
      <c r="E337" s="137" t="s">
        <v>80</v>
      </c>
      <c r="F337" s="31">
        <f t="shared" si="25"/>
        <v>4</v>
      </c>
      <c r="G337" s="137" t="s">
        <v>159</v>
      </c>
      <c r="H337" s="138">
        <v>68</v>
      </c>
      <c r="I337" s="158">
        <f t="shared" si="26"/>
        <v>0.37754140061402686</v>
      </c>
      <c r="J337" s="95">
        <v>5.3643672806691397E-5</v>
      </c>
      <c r="K337" s="137">
        <v>0.75502915755524702</v>
      </c>
      <c r="L337" s="137">
        <v>0.82499999999999996</v>
      </c>
      <c r="M337" s="137">
        <v>0.65007289388811795</v>
      </c>
      <c r="N337" s="136">
        <v>1</v>
      </c>
      <c r="O337" s="32">
        <v>43330</v>
      </c>
      <c r="P337" s="98">
        <f t="shared" si="27"/>
        <v>0</v>
      </c>
      <c r="Q337">
        <v>5.0999999999999996</v>
      </c>
      <c r="R337">
        <v>0</v>
      </c>
      <c r="S337">
        <v>0</v>
      </c>
      <c r="T337" s="112" t="s">
        <v>48</v>
      </c>
      <c r="U337" s="137" t="s">
        <v>984</v>
      </c>
      <c r="V337" s="137" t="s">
        <v>985</v>
      </c>
      <c r="W337" s="69">
        <v>53</v>
      </c>
      <c r="X337" s="136">
        <v>3</v>
      </c>
      <c r="Y337" s="136">
        <v>6</v>
      </c>
      <c r="Z337" s="314"/>
      <c r="AA337" s="319">
        <v>0.54500000000000004</v>
      </c>
      <c r="AB337" s="315" t="s">
        <v>5165</v>
      </c>
      <c r="AC337" s="319">
        <v>2</v>
      </c>
      <c r="AD337" s="320">
        <v>6.0606060606060601E-2</v>
      </c>
      <c r="AE337" s="319">
        <v>1</v>
      </c>
      <c r="AF337" s="320">
        <v>3.03030303030303E-2</v>
      </c>
      <c r="AG337" s="319">
        <v>0</v>
      </c>
      <c r="AH337" s="320">
        <v>0</v>
      </c>
      <c r="AI337" s="319">
        <v>1</v>
      </c>
      <c r="AJ337" s="320">
        <v>3.03030303030303E-2</v>
      </c>
      <c r="AK337" s="320">
        <v>0</v>
      </c>
      <c r="AL337" s="319">
        <v>6.75</v>
      </c>
      <c r="AM337" s="319">
        <v>5</v>
      </c>
      <c r="AN337" s="319">
        <v>4.6666666666666599</v>
      </c>
      <c r="AO337" s="319">
        <v>0.54722222222222205</v>
      </c>
      <c r="AP337">
        <v>6</v>
      </c>
      <c r="AR337" s="136"/>
      <c r="AS337">
        <v>6</v>
      </c>
      <c r="AT337" s="69">
        <v>6.3414000000000001</v>
      </c>
      <c r="AU337" s="69">
        <v>2.3148</v>
      </c>
      <c r="AV337" s="69">
        <v>8.1305999999999994</v>
      </c>
      <c r="AW337" s="69">
        <v>0.55959999999999999</v>
      </c>
      <c r="BB337" s="69"/>
    </row>
    <row r="338" spans="1:54" customFormat="1" ht="40" customHeight="1">
      <c r="A338" s="313">
        <v>337</v>
      </c>
      <c r="B338" s="136" t="s">
        <v>589</v>
      </c>
      <c r="C338" s="136" t="s">
        <v>45</v>
      </c>
      <c r="D338" s="31">
        <f t="shared" si="24"/>
        <v>4</v>
      </c>
      <c r="E338" s="137" t="s">
        <v>80</v>
      </c>
      <c r="F338" s="31">
        <f t="shared" si="25"/>
        <v>4</v>
      </c>
      <c r="G338" s="137" t="s">
        <v>986</v>
      </c>
      <c r="H338" s="138">
        <v>55</v>
      </c>
      <c r="I338" s="158">
        <f t="shared" si="26"/>
        <v>0.39831570175970149</v>
      </c>
      <c r="J338" s="95">
        <v>1.5917117805116999E-2</v>
      </c>
      <c r="K338" s="137">
        <v>0.78071428571428603</v>
      </c>
      <c r="L338" s="137">
        <v>0.82499999999999996</v>
      </c>
      <c r="M338" s="137">
        <v>0.71428571428571397</v>
      </c>
      <c r="N338" s="136">
        <v>1</v>
      </c>
      <c r="O338" s="32">
        <v>43323</v>
      </c>
      <c r="P338" s="98">
        <f t="shared" si="27"/>
        <v>0</v>
      </c>
      <c r="Q338">
        <v>5.0999999999999996</v>
      </c>
      <c r="R338">
        <v>0</v>
      </c>
      <c r="S338">
        <v>0</v>
      </c>
      <c r="T338" s="112" t="s">
        <v>48</v>
      </c>
      <c r="U338" s="137" t="s">
        <v>987</v>
      </c>
      <c r="V338" s="137" t="s">
        <v>988</v>
      </c>
      <c r="W338" s="69">
        <v>47</v>
      </c>
      <c r="X338" s="136">
        <v>1</v>
      </c>
      <c r="Y338" s="136">
        <v>4</v>
      </c>
      <c r="Z338" s="314"/>
      <c r="AA338" s="319">
        <v>0.55000000000000004</v>
      </c>
      <c r="AB338" s="315" t="s">
        <v>5181</v>
      </c>
      <c r="AC338" s="319">
        <v>1</v>
      </c>
      <c r="AD338" s="320">
        <v>3.5714285714285698E-2</v>
      </c>
      <c r="AE338" s="319">
        <v>1</v>
      </c>
      <c r="AF338" s="320">
        <v>3.5714285714285698E-2</v>
      </c>
      <c r="AG338" s="319">
        <v>1</v>
      </c>
      <c r="AH338" s="320">
        <v>3.5714285714285698E-2</v>
      </c>
      <c r="AI338" s="319">
        <v>1</v>
      </c>
      <c r="AJ338" s="320">
        <v>3.5714285714285698E-2</v>
      </c>
      <c r="AK338" s="320">
        <v>0</v>
      </c>
      <c r="AL338" s="319">
        <v>6.75</v>
      </c>
      <c r="AM338" s="319">
        <v>6.2</v>
      </c>
      <c r="AN338" s="319">
        <v>4.6666666666666599</v>
      </c>
      <c r="AO338" s="319">
        <v>0.58722222222222198</v>
      </c>
      <c r="AP338">
        <v>4</v>
      </c>
      <c r="AR338" s="136"/>
      <c r="AS338">
        <v>4</v>
      </c>
      <c r="AT338" s="69">
        <v>6.3414000000000001</v>
      </c>
      <c r="AU338" s="69">
        <v>5</v>
      </c>
      <c r="AV338" s="69">
        <v>8.1305999999999994</v>
      </c>
      <c r="AW338" s="69">
        <v>0.64910000000000001</v>
      </c>
      <c r="BB338" s="69"/>
    </row>
    <row r="339" spans="1:54" customFormat="1" ht="40" customHeight="1">
      <c r="A339" s="313">
        <v>338</v>
      </c>
      <c r="B339" s="136" t="s">
        <v>589</v>
      </c>
      <c r="C339" s="136" t="s">
        <v>45</v>
      </c>
      <c r="D339" s="31">
        <f t="shared" si="24"/>
        <v>4</v>
      </c>
      <c r="E339" s="137" t="s">
        <v>80</v>
      </c>
      <c r="F339" s="31">
        <f t="shared" si="25"/>
        <v>4</v>
      </c>
      <c r="G339" s="137" t="s">
        <v>293</v>
      </c>
      <c r="H339" s="138">
        <v>53</v>
      </c>
      <c r="I339" s="158">
        <f t="shared" si="26"/>
        <v>0.41249300856895077</v>
      </c>
      <c r="J339" s="95">
        <v>4.4271731423615499E-2</v>
      </c>
      <c r="K339" s="137">
        <v>0.78071428571428603</v>
      </c>
      <c r="L339" s="137">
        <v>0.82499999999999996</v>
      </c>
      <c r="M339" s="137">
        <v>0.71428571428571397</v>
      </c>
      <c r="N339" s="136">
        <v>1</v>
      </c>
      <c r="O339" s="32">
        <v>43321</v>
      </c>
      <c r="P339" s="98">
        <f t="shared" si="27"/>
        <v>0</v>
      </c>
      <c r="Q339">
        <v>5.0999999999999996</v>
      </c>
      <c r="R339">
        <v>0</v>
      </c>
      <c r="S339">
        <v>0</v>
      </c>
      <c r="T339" s="112" t="s">
        <v>48</v>
      </c>
      <c r="U339" s="137" t="s">
        <v>989</v>
      </c>
      <c r="V339" s="137" t="s">
        <v>990</v>
      </c>
      <c r="W339" s="69">
        <v>140</v>
      </c>
      <c r="X339" s="136">
        <v>1</v>
      </c>
      <c r="Y339" s="136">
        <v>4</v>
      </c>
      <c r="Z339" s="314"/>
      <c r="AA339" s="319">
        <v>0.66549999999999998</v>
      </c>
      <c r="AB339" s="315" t="s">
        <v>5193</v>
      </c>
      <c r="AC339" s="319">
        <v>2</v>
      </c>
      <c r="AD339" s="320">
        <v>2.6666666666666599E-2</v>
      </c>
      <c r="AE339" s="319">
        <v>2</v>
      </c>
      <c r="AF339" s="320">
        <v>2.6666666666666599E-2</v>
      </c>
      <c r="AG339" s="319">
        <v>1</v>
      </c>
      <c r="AH339" s="320">
        <v>1.3333333333333299E-2</v>
      </c>
      <c r="AI339" s="319">
        <v>2</v>
      </c>
      <c r="AJ339" s="320">
        <v>2.6666666666666599E-2</v>
      </c>
      <c r="AK339" s="320">
        <v>0</v>
      </c>
      <c r="AL339" s="319">
        <v>6.75</v>
      </c>
      <c r="AM339" s="319">
        <v>6.2</v>
      </c>
      <c r="AN339" s="319">
        <v>4.6666666666666599</v>
      </c>
      <c r="AO339" s="319">
        <v>0.58722222222222198</v>
      </c>
      <c r="AP339">
        <v>4</v>
      </c>
      <c r="AR339" s="136"/>
      <c r="AS339">
        <v>4</v>
      </c>
      <c r="AT339" s="69">
        <v>6.3414000000000001</v>
      </c>
      <c r="AU339" s="69">
        <v>5</v>
      </c>
      <c r="AV339" s="69">
        <v>8.1305999999999994</v>
      </c>
      <c r="AW339" s="69">
        <v>0.64910000000000001</v>
      </c>
      <c r="BB339" s="69"/>
    </row>
    <row r="340" spans="1:54" customFormat="1" ht="40" customHeight="1">
      <c r="A340" s="313">
        <v>339</v>
      </c>
      <c r="B340" s="136" t="s">
        <v>589</v>
      </c>
      <c r="C340" s="136" t="s">
        <v>45</v>
      </c>
      <c r="D340" s="31">
        <f t="shared" si="24"/>
        <v>4</v>
      </c>
      <c r="E340" s="137" t="s">
        <v>80</v>
      </c>
      <c r="F340" s="31">
        <f t="shared" si="25"/>
        <v>4</v>
      </c>
      <c r="G340" s="137" t="s">
        <v>180</v>
      </c>
      <c r="H340" s="138">
        <v>68</v>
      </c>
      <c r="I340" s="158">
        <f t="shared" si="26"/>
        <v>0.4297723403114162</v>
      </c>
      <c r="J340" s="95">
        <v>4.5356884187009401E-2</v>
      </c>
      <c r="K340" s="137">
        <v>0.81418779643582295</v>
      </c>
      <c r="L340" s="137">
        <v>0.82499999999999996</v>
      </c>
      <c r="M340" s="137">
        <v>0.79796949108955795</v>
      </c>
      <c r="N340" s="136">
        <v>1</v>
      </c>
      <c r="O340" s="32">
        <v>43318</v>
      </c>
      <c r="P340" s="98">
        <f t="shared" si="27"/>
        <v>0</v>
      </c>
      <c r="Q340">
        <v>5.0999999999999996</v>
      </c>
      <c r="R340">
        <v>0</v>
      </c>
      <c r="S340">
        <v>0</v>
      </c>
      <c r="T340" s="112" t="s">
        <v>48</v>
      </c>
      <c r="U340" s="137" t="s">
        <v>991</v>
      </c>
      <c r="V340" s="137" t="s">
        <v>992</v>
      </c>
      <c r="W340" s="69">
        <v>114</v>
      </c>
      <c r="X340" s="136">
        <v>1</v>
      </c>
      <c r="Y340" s="136">
        <v>2</v>
      </c>
      <c r="Z340" s="314"/>
      <c r="AA340" s="319">
        <v>0.64895000000000003</v>
      </c>
      <c r="AB340" s="315" t="s">
        <v>5169</v>
      </c>
      <c r="AC340" s="319">
        <v>3</v>
      </c>
      <c r="AD340" s="320">
        <v>4.6875E-2</v>
      </c>
      <c r="AE340" s="319">
        <v>2</v>
      </c>
      <c r="AF340" s="320">
        <v>3.125E-2</v>
      </c>
      <c r="AG340" s="319">
        <v>3</v>
      </c>
      <c r="AH340" s="320">
        <v>4.6875E-2</v>
      </c>
      <c r="AI340" s="319">
        <v>0</v>
      </c>
      <c r="AJ340" s="320">
        <v>0</v>
      </c>
      <c r="AK340" s="320">
        <v>3.125E-2</v>
      </c>
      <c r="AL340" s="319">
        <v>5</v>
      </c>
      <c r="AM340" s="319">
        <v>5</v>
      </c>
      <c r="AN340" s="319">
        <v>7.3333333333333304</v>
      </c>
      <c r="AO340" s="319">
        <v>0.57777777777777695</v>
      </c>
      <c r="AP340">
        <v>2</v>
      </c>
      <c r="AR340" s="136"/>
      <c r="AS340">
        <v>2</v>
      </c>
      <c r="AT340" s="69">
        <v>2.3148</v>
      </c>
      <c r="AU340" s="69">
        <v>2.3148</v>
      </c>
      <c r="AV340" s="69">
        <v>9.8416999999999994</v>
      </c>
      <c r="AW340" s="69">
        <v>0.4824</v>
      </c>
      <c r="BB340" s="69"/>
    </row>
    <row r="341" spans="1:54" customFormat="1" ht="40" customHeight="1">
      <c r="A341" s="313">
        <v>340</v>
      </c>
      <c r="B341" s="136" t="s">
        <v>589</v>
      </c>
      <c r="C341" s="136" t="s">
        <v>45</v>
      </c>
      <c r="D341" s="31">
        <f t="shared" si="24"/>
        <v>4</v>
      </c>
      <c r="E341" s="137" t="s">
        <v>80</v>
      </c>
      <c r="F341" s="31">
        <f t="shared" si="25"/>
        <v>4</v>
      </c>
      <c r="G341" s="137" t="s">
        <v>993</v>
      </c>
      <c r="H341" s="138">
        <v>50</v>
      </c>
      <c r="I341" s="158">
        <f t="shared" si="26"/>
        <v>0.40745367740155958</v>
      </c>
      <c r="J341" s="95">
        <v>7.1955836729620205E-4</v>
      </c>
      <c r="K341" s="137">
        <v>0.81418779643582295</v>
      </c>
      <c r="L341" s="137">
        <v>0.82499999999999996</v>
      </c>
      <c r="M341" s="137">
        <v>0.79796949108955795</v>
      </c>
      <c r="N341" s="136">
        <v>1</v>
      </c>
      <c r="O341" s="32">
        <v>43311</v>
      </c>
      <c r="P341" s="98">
        <f t="shared" si="27"/>
        <v>0</v>
      </c>
      <c r="Q341">
        <v>0</v>
      </c>
      <c r="R341">
        <v>0</v>
      </c>
      <c r="S341">
        <v>0</v>
      </c>
      <c r="T341" s="112" t="s">
        <v>48</v>
      </c>
      <c r="U341" s="137" t="s">
        <v>994</v>
      </c>
      <c r="V341" s="137" t="s">
        <v>995</v>
      </c>
      <c r="W341" s="69">
        <v>35</v>
      </c>
      <c r="X341" s="136">
        <v>1</v>
      </c>
      <c r="Y341" s="136">
        <v>2</v>
      </c>
      <c r="Z341" s="314"/>
      <c r="AA341" s="319">
        <v>0.54500000000000004</v>
      </c>
      <c r="AB341" s="315" t="s">
        <v>5177</v>
      </c>
      <c r="AC341" s="319">
        <v>0</v>
      </c>
      <c r="AD341" s="320">
        <v>0</v>
      </c>
      <c r="AE341" s="319">
        <v>1</v>
      </c>
      <c r="AF341" s="320">
        <v>4.7619047619047603E-2</v>
      </c>
      <c r="AG341" s="319">
        <v>1</v>
      </c>
      <c r="AH341" s="320">
        <v>4.7619047619047603E-2</v>
      </c>
      <c r="AI341" s="319">
        <v>0</v>
      </c>
      <c r="AJ341" s="320">
        <v>0</v>
      </c>
      <c r="AK341" s="320">
        <v>0</v>
      </c>
      <c r="AL341" s="319">
        <v>5</v>
      </c>
      <c r="AM341" s="319">
        <v>5</v>
      </c>
      <c r="AN341" s="319">
        <v>4.6666666666666599</v>
      </c>
      <c r="AO341" s="319">
        <v>0.48888888888888798</v>
      </c>
      <c r="AP341">
        <v>2</v>
      </c>
      <c r="AR341" s="136"/>
      <c r="AS341">
        <v>2</v>
      </c>
      <c r="AT341" s="69">
        <v>2.3148</v>
      </c>
      <c r="AU341" s="69">
        <v>2.3148</v>
      </c>
      <c r="AV341" s="69">
        <v>8.1305999999999994</v>
      </c>
      <c r="AW341" s="69">
        <v>0.42530000000000001</v>
      </c>
      <c r="BB341" s="69"/>
    </row>
    <row r="342" spans="1:54" customFormat="1" ht="40" customHeight="1">
      <c r="A342" s="313">
        <v>341</v>
      </c>
      <c r="B342" s="136" t="s">
        <v>589</v>
      </c>
      <c r="C342" s="136" t="s">
        <v>45</v>
      </c>
      <c r="D342" s="31">
        <f t="shared" si="24"/>
        <v>4</v>
      </c>
      <c r="E342" s="137" t="s">
        <v>80</v>
      </c>
      <c r="F342" s="31">
        <f t="shared" si="25"/>
        <v>4</v>
      </c>
      <c r="G342" s="137" t="s">
        <v>996</v>
      </c>
      <c r="H342" s="138">
        <v>104</v>
      </c>
      <c r="I342" s="158">
        <f t="shared" si="26"/>
        <v>0.38369039575650671</v>
      </c>
      <c r="J342" s="95">
        <v>1.5610451300140899E-4</v>
      </c>
      <c r="K342" s="137">
        <v>0.76722468700001201</v>
      </c>
      <c r="L342" s="137">
        <v>0.82499999999999996</v>
      </c>
      <c r="M342" s="137">
        <v>0.68056171750003003</v>
      </c>
      <c r="N342" s="136">
        <v>1</v>
      </c>
      <c r="O342" s="32">
        <v>43282</v>
      </c>
      <c r="P342" s="98">
        <f t="shared" si="27"/>
        <v>0</v>
      </c>
      <c r="Q342">
        <v>2.5499999999999998</v>
      </c>
      <c r="R342">
        <v>1.65</v>
      </c>
      <c r="S342">
        <v>0</v>
      </c>
      <c r="T342" s="112" t="s">
        <v>48</v>
      </c>
      <c r="U342" s="137" t="s">
        <v>997</v>
      </c>
      <c r="V342" s="137" t="s">
        <v>998</v>
      </c>
      <c r="W342" s="69">
        <v>107</v>
      </c>
      <c r="X342" s="136">
        <v>1</v>
      </c>
      <c r="Y342" s="136">
        <v>5</v>
      </c>
      <c r="Z342" s="314"/>
      <c r="AA342" s="319">
        <v>0.54500000000000004</v>
      </c>
      <c r="AB342" s="315" t="s">
        <v>5169</v>
      </c>
      <c r="AC342" s="319">
        <v>3</v>
      </c>
      <c r="AD342" s="320">
        <v>5.1724137931034399E-2</v>
      </c>
      <c r="AE342" s="319">
        <v>2</v>
      </c>
      <c r="AF342" s="320">
        <v>3.4482758620689599E-2</v>
      </c>
      <c r="AG342" s="319">
        <v>3</v>
      </c>
      <c r="AH342" s="320">
        <v>5.1724137931034399E-2</v>
      </c>
      <c r="AI342" s="319">
        <v>0</v>
      </c>
      <c r="AJ342" s="320">
        <v>0</v>
      </c>
      <c r="AK342" s="320">
        <v>1.7241379310344831E-2</v>
      </c>
      <c r="AL342" s="319">
        <v>5</v>
      </c>
      <c r="AM342" s="319">
        <v>5</v>
      </c>
      <c r="AN342" s="319">
        <v>7.3333333333333304</v>
      </c>
      <c r="AO342" s="319">
        <v>0.57777777777777695</v>
      </c>
      <c r="AP342">
        <v>5</v>
      </c>
      <c r="AQ342">
        <v>5</v>
      </c>
      <c r="AR342" s="136"/>
      <c r="AT342" s="69">
        <v>2.3148</v>
      </c>
      <c r="AU342" s="69">
        <v>2.3148</v>
      </c>
      <c r="AV342" s="69">
        <v>9.8416999999999994</v>
      </c>
      <c r="AW342" s="69">
        <v>0.4824</v>
      </c>
      <c r="BB342" s="69"/>
    </row>
    <row r="343" spans="1:54" customFormat="1" ht="40" customHeight="1">
      <c r="A343" s="313">
        <v>342</v>
      </c>
      <c r="B343" s="136" t="s">
        <v>589</v>
      </c>
      <c r="C343" s="136" t="s">
        <v>59</v>
      </c>
      <c r="D343" s="31">
        <f t="shared" si="24"/>
        <v>5</v>
      </c>
      <c r="E343" s="137" t="s">
        <v>46</v>
      </c>
      <c r="F343" s="31">
        <f t="shared" si="25"/>
        <v>6</v>
      </c>
      <c r="G343" s="137" t="s">
        <v>999</v>
      </c>
      <c r="H343" s="138">
        <v>111</v>
      </c>
      <c r="I343" s="158">
        <f t="shared" si="26"/>
        <v>0.31955996339692744</v>
      </c>
      <c r="J343" s="95">
        <v>2.5982492238840702E-6</v>
      </c>
      <c r="K343" s="137">
        <v>0.63911732854463099</v>
      </c>
      <c r="L343" s="137">
        <v>0.56348610067618299</v>
      </c>
      <c r="M343" s="137">
        <v>0.75256417034730305</v>
      </c>
      <c r="N343" s="136">
        <v>0</v>
      </c>
      <c r="O343" s="32">
        <v>43281</v>
      </c>
      <c r="P343" s="98">
        <f t="shared" si="27"/>
        <v>1</v>
      </c>
      <c r="Q343">
        <v>0</v>
      </c>
      <c r="R343">
        <v>0</v>
      </c>
      <c r="S343">
        <v>0</v>
      </c>
      <c r="T343" s="112" t="s">
        <v>73</v>
      </c>
      <c r="U343" s="137" t="s">
        <v>1000</v>
      </c>
      <c r="V343" s="137" t="s">
        <v>1001</v>
      </c>
      <c r="W343" s="69">
        <v>118</v>
      </c>
      <c r="X343" s="136">
        <v>3</v>
      </c>
      <c r="Y343" s="136">
        <v>3</v>
      </c>
      <c r="Z343" s="314"/>
      <c r="AA343" s="319">
        <v>0.60499999999999998</v>
      </c>
      <c r="AB343" s="315" t="s">
        <v>5165</v>
      </c>
      <c r="AC343" s="319">
        <v>3</v>
      </c>
      <c r="AD343" s="320">
        <v>4.54545454545454E-2</v>
      </c>
      <c r="AE343" s="319">
        <v>2</v>
      </c>
      <c r="AF343" s="320">
        <v>3.03030303030303E-2</v>
      </c>
      <c r="AG343" s="319">
        <v>1</v>
      </c>
      <c r="AH343" s="320">
        <v>1.51515151515151E-2</v>
      </c>
      <c r="AI343" s="319">
        <v>0</v>
      </c>
      <c r="AJ343" s="320">
        <v>0</v>
      </c>
      <c r="AK343" s="320">
        <v>0</v>
      </c>
      <c r="AL343" s="319">
        <v>5</v>
      </c>
      <c r="AM343" s="319">
        <v>5</v>
      </c>
      <c r="AN343" s="319">
        <v>8.8333333333333304</v>
      </c>
      <c r="AO343" s="319">
        <v>0.62777777777777699</v>
      </c>
      <c r="AP343">
        <v>3</v>
      </c>
      <c r="AQ343">
        <v>3</v>
      </c>
      <c r="AR343" s="136"/>
      <c r="AT343" s="69">
        <v>2.3148</v>
      </c>
      <c r="AU343" s="69">
        <v>2.3148</v>
      </c>
      <c r="AV343" s="69">
        <v>9.9641999999999999</v>
      </c>
      <c r="AW343" s="69">
        <v>0.48649999999999999</v>
      </c>
      <c r="BB343" s="69"/>
    </row>
    <row r="344" spans="1:54" customFormat="1" ht="40" customHeight="1">
      <c r="A344" s="313">
        <v>343</v>
      </c>
      <c r="B344" s="136" t="s">
        <v>589</v>
      </c>
      <c r="C344" s="136" t="s">
        <v>45</v>
      </c>
      <c r="D344" s="31">
        <f t="shared" si="24"/>
        <v>4</v>
      </c>
      <c r="E344" s="137" t="s">
        <v>46</v>
      </c>
      <c r="F344" s="31">
        <f t="shared" si="25"/>
        <v>6</v>
      </c>
      <c r="G344" s="137" t="s">
        <v>1002</v>
      </c>
      <c r="H344" s="138">
        <v>402</v>
      </c>
      <c r="I344" s="158">
        <f t="shared" si="26"/>
        <v>0.88200646689824258</v>
      </c>
      <c r="J344" s="95">
        <v>0.99678824679647304</v>
      </c>
      <c r="K344" s="137">
        <v>0.76722468700001201</v>
      </c>
      <c r="L344" s="137">
        <v>0.82499999999999996</v>
      </c>
      <c r="M344" s="137">
        <v>0.68056171750003003</v>
      </c>
      <c r="N344" s="136">
        <v>0</v>
      </c>
      <c r="O344" s="32">
        <v>43280</v>
      </c>
      <c r="P344" s="98">
        <f t="shared" si="27"/>
        <v>0</v>
      </c>
      <c r="Q344">
        <v>5.0999999999999996</v>
      </c>
      <c r="R344">
        <v>3.3</v>
      </c>
      <c r="S344">
        <v>0</v>
      </c>
      <c r="T344" s="112" t="s">
        <v>48</v>
      </c>
      <c r="U344" s="137" t="s">
        <v>1003</v>
      </c>
      <c r="V344" s="137" t="s">
        <v>1004</v>
      </c>
      <c r="W344" s="69">
        <v>314</v>
      </c>
      <c r="X344" s="136">
        <v>2</v>
      </c>
      <c r="Y344" s="136">
        <v>5</v>
      </c>
      <c r="Z344" s="314"/>
      <c r="AA344" s="319">
        <v>0.54500000000000004</v>
      </c>
      <c r="AB344" s="315" t="s">
        <v>5176</v>
      </c>
      <c r="AC344" s="319">
        <v>4</v>
      </c>
      <c r="AD344" s="320">
        <v>2.2471910112359501E-2</v>
      </c>
      <c r="AE344" s="319">
        <v>6</v>
      </c>
      <c r="AF344" s="320">
        <v>3.3707865168539297E-2</v>
      </c>
      <c r="AG344" s="319">
        <v>5</v>
      </c>
      <c r="AH344" s="320">
        <v>2.8089887640449399E-2</v>
      </c>
      <c r="AI344" s="319">
        <v>0</v>
      </c>
      <c r="AJ344" s="320">
        <v>0</v>
      </c>
      <c r="AK344" s="320">
        <v>2.8089887640449441E-2</v>
      </c>
      <c r="AL344" s="319">
        <v>6.75</v>
      </c>
      <c r="AM344" s="319">
        <v>6.2</v>
      </c>
      <c r="AN344" s="319">
        <v>4.6666666666666599</v>
      </c>
      <c r="AO344" s="319">
        <v>0.58722222222222198</v>
      </c>
      <c r="AP344">
        <v>5</v>
      </c>
      <c r="AR344" s="136">
        <v>5</v>
      </c>
      <c r="AT344" s="69">
        <v>6.3414000000000001</v>
      </c>
      <c r="AU344" s="69">
        <v>5</v>
      </c>
      <c r="AV344" s="69">
        <v>8.1305999999999994</v>
      </c>
      <c r="AW344" s="69">
        <v>0.64910000000000001</v>
      </c>
      <c r="BB344" s="69"/>
    </row>
    <row r="345" spans="1:54" customFormat="1" ht="40" customHeight="1">
      <c r="A345" s="313">
        <v>344</v>
      </c>
      <c r="B345" s="136" t="s">
        <v>589</v>
      </c>
      <c r="C345" s="136" t="s">
        <v>45</v>
      </c>
      <c r="D345" s="31">
        <f t="shared" si="24"/>
        <v>4</v>
      </c>
      <c r="E345" s="137" t="s">
        <v>80</v>
      </c>
      <c r="F345" s="31">
        <f t="shared" si="25"/>
        <v>4</v>
      </c>
      <c r="G345" s="137" t="s">
        <v>1005</v>
      </c>
      <c r="H345" s="138">
        <v>98</v>
      </c>
      <c r="I345" s="158">
        <f t="shared" si="26"/>
        <v>0.38361334286305793</v>
      </c>
      <c r="J345" s="95">
        <v>1.9987261038467699E-6</v>
      </c>
      <c r="K345" s="137">
        <v>0.76722468700001201</v>
      </c>
      <c r="L345" s="137">
        <v>0.82499999999999996</v>
      </c>
      <c r="M345" s="137">
        <v>0.68056171750003003</v>
      </c>
      <c r="N345" s="136">
        <v>1</v>
      </c>
      <c r="O345" s="32">
        <v>43271</v>
      </c>
      <c r="P345" s="98">
        <f t="shared" si="27"/>
        <v>0</v>
      </c>
      <c r="Q345">
        <v>0</v>
      </c>
      <c r="R345">
        <v>0</v>
      </c>
      <c r="S345">
        <v>0</v>
      </c>
      <c r="T345" s="112" t="s">
        <v>48</v>
      </c>
      <c r="U345" s="137" t="s">
        <v>1006</v>
      </c>
      <c r="V345" s="137" t="s">
        <v>1007</v>
      </c>
      <c r="W345" s="69">
        <v>117</v>
      </c>
      <c r="X345" s="136">
        <v>2</v>
      </c>
      <c r="Y345" s="136">
        <v>5</v>
      </c>
      <c r="Z345" s="314"/>
      <c r="AA345" s="319">
        <v>0.59450000000000003</v>
      </c>
      <c r="AB345" s="315" t="s">
        <v>5169</v>
      </c>
      <c r="AC345" s="319">
        <v>3</v>
      </c>
      <c r="AD345" s="320">
        <v>4.7619047619047603E-2</v>
      </c>
      <c r="AE345" s="319">
        <v>2</v>
      </c>
      <c r="AF345" s="320">
        <v>3.1746031746031703E-2</v>
      </c>
      <c r="AG345" s="319">
        <v>3</v>
      </c>
      <c r="AH345" s="320">
        <v>4.7619047619047603E-2</v>
      </c>
      <c r="AI345" s="319">
        <v>0</v>
      </c>
      <c r="AJ345" s="320">
        <v>0</v>
      </c>
      <c r="AK345" s="320">
        <v>0</v>
      </c>
      <c r="AL345" s="319">
        <v>5</v>
      </c>
      <c r="AM345" s="319">
        <v>6.2</v>
      </c>
      <c r="AN345" s="319">
        <v>4.6666666666666599</v>
      </c>
      <c r="AO345" s="319">
        <v>0.52888888888888796</v>
      </c>
      <c r="AP345">
        <v>5</v>
      </c>
      <c r="AR345" s="136"/>
      <c r="AS345">
        <v>5</v>
      </c>
      <c r="AT345" s="69">
        <v>2.3148</v>
      </c>
      <c r="AU345" s="69">
        <v>5</v>
      </c>
      <c r="AV345" s="69">
        <v>8.1305999999999994</v>
      </c>
      <c r="AW345" s="69">
        <v>0.51480000000000004</v>
      </c>
      <c r="BB345" s="69"/>
    </row>
    <row r="346" spans="1:54" customFormat="1" ht="40" customHeight="1">
      <c r="A346" s="313">
        <v>345</v>
      </c>
      <c r="B346" s="136" t="s">
        <v>589</v>
      </c>
      <c r="C346" s="136" t="s">
        <v>45</v>
      </c>
      <c r="D346" s="31">
        <f t="shared" si="24"/>
        <v>4</v>
      </c>
      <c r="E346" s="137" t="s">
        <v>80</v>
      </c>
      <c r="F346" s="31">
        <f t="shared" si="25"/>
        <v>4</v>
      </c>
      <c r="G346" s="137" t="s">
        <v>200</v>
      </c>
      <c r="H346" s="138">
        <v>75</v>
      </c>
      <c r="I346" s="158">
        <f t="shared" si="26"/>
        <v>0.3689413712293183</v>
      </c>
      <c r="J346" s="95">
        <v>2.1684567443506198E-3</v>
      </c>
      <c r="K346" s="137">
        <v>0.73571428571428599</v>
      </c>
      <c r="L346" s="137">
        <v>0.75</v>
      </c>
      <c r="M346" s="137">
        <v>0.71428571428571397</v>
      </c>
      <c r="N346" s="136">
        <v>1</v>
      </c>
      <c r="O346" s="32">
        <v>43268</v>
      </c>
      <c r="P346" s="98">
        <f t="shared" si="27"/>
        <v>0</v>
      </c>
      <c r="Q346">
        <v>7.65</v>
      </c>
      <c r="R346">
        <v>0</v>
      </c>
      <c r="S346">
        <v>0</v>
      </c>
      <c r="T346" s="112" t="s">
        <v>48</v>
      </c>
      <c r="U346" s="137" t="s">
        <v>1008</v>
      </c>
      <c r="V346" s="137" t="s">
        <v>1009</v>
      </c>
      <c r="W346" s="69">
        <v>134</v>
      </c>
      <c r="X346" s="136">
        <v>1</v>
      </c>
      <c r="Y346" s="136">
        <v>4</v>
      </c>
      <c r="Z346" s="314"/>
      <c r="AA346" s="319">
        <v>0.54500000000000004</v>
      </c>
      <c r="AB346" s="315" t="s">
        <v>5193</v>
      </c>
      <c r="AC346" s="319">
        <v>2</v>
      </c>
      <c r="AD346" s="320">
        <v>2.8985507246376802E-2</v>
      </c>
      <c r="AE346" s="319">
        <v>2</v>
      </c>
      <c r="AF346" s="320">
        <v>2.8985507246376802E-2</v>
      </c>
      <c r="AG346" s="319">
        <v>1</v>
      </c>
      <c r="AH346" s="320">
        <v>1.4492753623188401E-2</v>
      </c>
      <c r="AI346" s="319">
        <v>2</v>
      </c>
      <c r="AJ346" s="320">
        <v>2.8985507246376802E-2</v>
      </c>
      <c r="AK346" s="320">
        <v>0</v>
      </c>
      <c r="AL346" s="319">
        <v>6.75</v>
      </c>
      <c r="AM346" s="319">
        <v>5</v>
      </c>
      <c r="AN346" s="319">
        <v>7.3333333333333304</v>
      </c>
      <c r="AO346" s="319">
        <v>0.63611111111111096</v>
      </c>
      <c r="AP346">
        <v>4</v>
      </c>
      <c r="AR346" s="136"/>
      <c r="AS346">
        <v>4</v>
      </c>
      <c r="AT346" s="69">
        <v>6.3414000000000001</v>
      </c>
      <c r="AU346" s="69">
        <v>2.3148</v>
      </c>
      <c r="AV346" s="69">
        <v>9.8416999999999994</v>
      </c>
      <c r="AW346" s="69">
        <v>0.61660000000000004</v>
      </c>
      <c r="BB346" s="69"/>
    </row>
    <row r="347" spans="1:54" customFormat="1" ht="40" customHeight="1">
      <c r="A347" s="313">
        <v>346</v>
      </c>
      <c r="B347" s="136" t="s">
        <v>589</v>
      </c>
      <c r="C347" s="136" t="s">
        <v>45</v>
      </c>
      <c r="D347" s="31">
        <f t="shared" si="24"/>
        <v>4</v>
      </c>
      <c r="E347" s="137" t="s">
        <v>46</v>
      </c>
      <c r="F347" s="31">
        <f t="shared" si="25"/>
        <v>6</v>
      </c>
      <c r="G347" s="137" t="s">
        <v>1010</v>
      </c>
      <c r="H347" s="138">
        <v>19</v>
      </c>
      <c r="I347" s="158">
        <f t="shared" si="26"/>
        <v>0.41883019832783552</v>
      </c>
      <c r="J347" s="95">
        <v>8.6634728516749998E-2</v>
      </c>
      <c r="K347" s="137">
        <v>0.75102566813892102</v>
      </c>
      <c r="L347" s="137">
        <v>0.75</v>
      </c>
      <c r="M347" s="137">
        <v>0.75256417034730305</v>
      </c>
      <c r="N347" s="136">
        <v>0</v>
      </c>
      <c r="O347" s="32">
        <v>43267</v>
      </c>
      <c r="P347" s="98">
        <f t="shared" si="27"/>
        <v>0</v>
      </c>
      <c r="Q347">
        <v>0</v>
      </c>
      <c r="R347">
        <v>0</v>
      </c>
      <c r="S347">
        <v>0</v>
      </c>
      <c r="T347" s="112" t="s">
        <v>48</v>
      </c>
      <c r="U347" s="137" t="s">
        <v>1011</v>
      </c>
      <c r="V347" s="137" t="s">
        <v>1012</v>
      </c>
      <c r="W347" s="69">
        <v>86</v>
      </c>
      <c r="X347" s="136">
        <v>1</v>
      </c>
      <c r="Y347" s="136">
        <v>3</v>
      </c>
      <c r="Z347" s="314"/>
      <c r="AA347" s="319">
        <v>0.5</v>
      </c>
      <c r="AB347" s="315" t="s">
        <v>5176</v>
      </c>
      <c r="AC347" s="319">
        <v>2</v>
      </c>
      <c r="AD347" s="320">
        <v>3.7735849056603703E-2</v>
      </c>
      <c r="AE347" s="319">
        <v>5</v>
      </c>
      <c r="AF347" s="320">
        <v>9.4339622641509399E-2</v>
      </c>
      <c r="AG347" s="319">
        <v>1</v>
      </c>
      <c r="AH347" s="320">
        <v>1.8867924528301799E-2</v>
      </c>
      <c r="AI347" s="319">
        <v>0</v>
      </c>
      <c r="AJ347" s="320">
        <v>0</v>
      </c>
      <c r="AK347" s="320">
        <v>3.7735849056603772E-2</v>
      </c>
      <c r="AL347" s="319">
        <v>5</v>
      </c>
      <c r="AM347" s="319">
        <v>5</v>
      </c>
      <c r="AN347" s="319">
        <v>4.6666666666666599</v>
      </c>
      <c r="AO347" s="319">
        <v>0.48888888888888798</v>
      </c>
      <c r="AP347">
        <v>3</v>
      </c>
      <c r="AR347" s="136">
        <v>3</v>
      </c>
      <c r="AT347" s="69">
        <v>2.3148</v>
      </c>
      <c r="AU347" s="69">
        <v>2.3148</v>
      </c>
      <c r="AV347" s="69">
        <v>8.1305999999999994</v>
      </c>
      <c r="AW347" s="69">
        <v>0.42530000000000001</v>
      </c>
      <c r="BB347" s="69"/>
    </row>
    <row r="348" spans="1:54" customFormat="1" ht="40" customHeight="1">
      <c r="A348" s="313">
        <v>347</v>
      </c>
      <c r="B348" s="136" t="s">
        <v>589</v>
      </c>
      <c r="C348" s="136" t="s">
        <v>45</v>
      </c>
      <c r="D348" s="31">
        <f t="shared" si="24"/>
        <v>4</v>
      </c>
      <c r="E348" s="137" t="s">
        <v>80</v>
      </c>
      <c r="F348" s="31">
        <f t="shared" si="25"/>
        <v>4</v>
      </c>
      <c r="G348" s="137" t="s">
        <v>439</v>
      </c>
      <c r="H348" s="138">
        <v>94</v>
      </c>
      <c r="I348" s="158">
        <f t="shared" si="26"/>
        <v>0.34065843586577788</v>
      </c>
      <c r="J348" s="95">
        <v>1.2756406347902399E-6</v>
      </c>
      <c r="K348" s="137">
        <v>0.68131559609092096</v>
      </c>
      <c r="L348" s="137">
        <v>0.68181818181818199</v>
      </c>
      <c r="M348" s="137">
        <v>0.68056171750003003</v>
      </c>
      <c r="N348" s="136">
        <v>1</v>
      </c>
      <c r="O348" s="32">
        <v>43267</v>
      </c>
      <c r="P348" s="98">
        <f t="shared" si="27"/>
        <v>0</v>
      </c>
      <c r="Q348">
        <v>2.5499999999999998</v>
      </c>
      <c r="R348">
        <v>0</v>
      </c>
      <c r="S348">
        <v>0</v>
      </c>
      <c r="T348" s="112" t="s">
        <v>48</v>
      </c>
      <c r="U348" s="137" t="s">
        <v>1013</v>
      </c>
      <c r="V348" s="137" t="s">
        <v>1014</v>
      </c>
      <c r="W348" s="69">
        <v>101</v>
      </c>
      <c r="X348" s="136">
        <v>1</v>
      </c>
      <c r="Y348" s="136">
        <v>5</v>
      </c>
      <c r="Z348" s="314"/>
      <c r="AA348" s="319">
        <v>0.54500000000000004</v>
      </c>
      <c r="AB348" s="315" t="s">
        <v>5165</v>
      </c>
      <c r="AC348" s="319">
        <v>2</v>
      </c>
      <c r="AD348" s="320">
        <v>3.38983050847457E-2</v>
      </c>
      <c r="AE348" s="319">
        <v>1</v>
      </c>
      <c r="AF348" s="320">
        <v>1.6949152542372801E-2</v>
      </c>
      <c r="AG348" s="319">
        <v>1</v>
      </c>
      <c r="AH348" s="320">
        <v>1.6949152542372801E-2</v>
      </c>
      <c r="AI348" s="319">
        <v>1</v>
      </c>
      <c r="AJ348" s="320">
        <v>1.6949152542372801E-2</v>
      </c>
      <c r="AK348" s="320">
        <v>1.6949152542372881E-2</v>
      </c>
      <c r="AL348" s="319">
        <v>6.75</v>
      </c>
      <c r="AM348" s="319">
        <v>5</v>
      </c>
      <c r="AN348" s="319">
        <v>8.8333333333333304</v>
      </c>
      <c r="AO348" s="319">
        <v>0.68611111111111101</v>
      </c>
      <c r="AP348">
        <v>5</v>
      </c>
      <c r="AQ348">
        <v>5</v>
      </c>
      <c r="AR348" s="136"/>
      <c r="AT348" s="69">
        <v>6.3414000000000001</v>
      </c>
      <c r="AU348" s="69">
        <v>2.3148</v>
      </c>
      <c r="AV348" s="69">
        <v>9.9641999999999999</v>
      </c>
      <c r="AW348" s="69">
        <v>0.62070000000000003</v>
      </c>
      <c r="BB348" s="69"/>
    </row>
    <row r="349" spans="1:54" customFormat="1" ht="40" customHeight="1">
      <c r="A349" s="313">
        <v>348</v>
      </c>
      <c r="B349" s="136" t="s">
        <v>589</v>
      </c>
      <c r="C349" s="136" t="s">
        <v>45</v>
      </c>
      <c r="D349" s="31">
        <f t="shared" si="24"/>
        <v>4</v>
      </c>
      <c r="E349" s="137" t="s">
        <v>80</v>
      </c>
      <c r="F349" s="31">
        <f t="shared" si="25"/>
        <v>4</v>
      </c>
      <c r="G349" s="137" t="s">
        <v>932</v>
      </c>
      <c r="H349" s="138">
        <v>49</v>
      </c>
      <c r="I349" s="158">
        <f t="shared" si="26"/>
        <v>0.39366610044257033</v>
      </c>
      <c r="J349" s="95">
        <v>1.81444044493176E-2</v>
      </c>
      <c r="K349" s="137">
        <v>0.76918779643582302</v>
      </c>
      <c r="L349" s="137">
        <v>0.75</v>
      </c>
      <c r="M349" s="137">
        <v>0.79796949108955795</v>
      </c>
      <c r="N349" s="136">
        <v>1</v>
      </c>
      <c r="O349" s="32">
        <v>43262</v>
      </c>
      <c r="P349" s="98">
        <f t="shared" si="27"/>
        <v>0</v>
      </c>
      <c r="Q349">
        <v>5.0999999999999996</v>
      </c>
      <c r="R349">
        <v>0</v>
      </c>
      <c r="S349">
        <v>0</v>
      </c>
      <c r="T349" s="112" t="s">
        <v>48</v>
      </c>
      <c r="U349" s="137" t="s">
        <v>1015</v>
      </c>
      <c r="V349" s="137" t="s">
        <v>1016</v>
      </c>
      <c r="W349" s="69">
        <v>151</v>
      </c>
      <c r="X349" s="136">
        <v>1</v>
      </c>
      <c r="Y349" s="136">
        <v>2</v>
      </c>
      <c r="Z349" s="314"/>
      <c r="AA349" s="319">
        <v>0.60499999999999998</v>
      </c>
      <c r="AB349" s="315" t="s">
        <v>5193</v>
      </c>
      <c r="AC349" s="319">
        <v>2</v>
      </c>
      <c r="AD349" s="320">
        <v>2.4691358024691301E-2</v>
      </c>
      <c r="AE349" s="319">
        <v>2</v>
      </c>
      <c r="AF349" s="320">
        <v>2.4691358024691301E-2</v>
      </c>
      <c r="AG349" s="319">
        <v>1</v>
      </c>
      <c r="AH349" s="320">
        <v>1.23456790123456E-2</v>
      </c>
      <c r="AI349" s="319">
        <v>2</v>
      </c>
      <c r="AJ349" s="320">
        <v>2.4691358024691301E-2</v>
      </c>
      <c r="AK349" s="320">
        <v>0</v>
      </c>
      <c r="AL349" s="319">
        <v>6.75</v>
      </c>
      <c r="AM349" s="319">
        <v>7.4</v>
      </c>
      <c r="AN349" s="319">
        <v>2</v>
      </c>
      <c r="AO349" s="319">
        <v>0.538333333333333</v>
      </c>
      <c r="AP349">
        <v>2</v>
      </c>
      <c r="AR349" s="136"/>
      <c r="AS349">
        <v>2</v>
      </c>
      <c r="AT349" s="69">
        <v>6.3414000000000001</v>
      </c>
      <c r="AU349" s="69">
        <v>7.6852</v>
      </c>
      <c r="AV349" s="69">
        <v>2.3148</v>
      </c>
      <c r="AW349" s="69">
        <v>0.54469999999999996</v>
      </c>
      <c r="BB349" s="69"/>
    </row>
    <row r="350" spans="1:54" customFormat="1" ht="40" customHeight="1">
      <c r="A350" s="313">
        <v>349</v>
      </c>
      <c r="B350" s="136" t="s">
        <v>589</v>
      </c>
      <c r="C350" s="136" t="s">
        <v>45</v>
      </c>
      <c r="D350" s="31">
        <f t="shared" si="24"/>
        <v>4</v>
      </c>
      <c r="E350" s="137" t="s">
        <v>80</v>
      </c>
      <c r="F350" s="31">
        <f t="shared" si="25"/>
        <v>4</v>
      </c>
      <c r="G350" s="137" t="s">
        <v>159</v>
      </c>
      <c r="H350" s="138">
        <v>125</v>
      </c>
      <c r="I350" s="158">
        <f t="shared" si="26"/>
        <v>0.36191024885680273</v>
      </c>
      <c r="J350" s="95">
        <v>2.49069142176484E-4</v>
      </c>
      <c r="K350" s="137">
        <v>0.72357142857142898</v>
      </c>
      <c r="L350" s="137">
        <v>0.82499999999999996</v>
      </c>
      <c r="M350" s="137">
        <v>0.57142857142857095</v>
      </c>
      <c r="N350" s="136">
        <v>1</v>
      </c>
      <c r="O350" s="32">
        <v>43253</v>
      </c>
      <c r="P350" s="98">
        <f t="shared" si="27"/>
        <v>0</v>
      </c>
      <c r="Q350">
        <v>5.0999999999999996</v>
      </c>
      <c r="R350">
        <v>1.65</v>
      </c>
      <c r="S350">
        <v>0</v>
      </c>
      <c r="T350" s="112" t="s">
        <v>48</v>
      </c>
      <c r="U350" s="137" t="s">
        <v>1017</v>
      </c>
      <c r="V350" s="137" t="s">
        <v>1018</v>
      </c>
      <c r="W350" s="69">
        <v>34</v>
      </c>
      <c r="X350" s="136">
        <v>3</v>
      </c>
      <c r="Y350" s="136">
        <v>9</v>
      </c>
      <c r="Z350" s="314"/>
      <c r="AA350" s="319">
        <v>0.54500000000000004</v>
      </c>
      <c r="AB350" s="315" t="s">
        <v>5165</v>
      </c>
      <c r="AC350" s="319">
        <v>1</v>
      </c>
      <c r="AD350" s="320">
        <v>0.05</v>
      </c>
      <c r="AE350" s="319">
        <v>0</v>
      </c>
      <c r="AF350" s="320">
        <v>0</v>
      </c>
      <c r="AG350" s="319">
        <v>0</v>
      </c>
      <c r="AH350" s="320">
        <v>0</v>
      </c>
      <c r="AI350" s="319">
        <v>0</v>
      </c>
      <c r="AJ350" s="320">
        <v>0</v>
      </c>
      <c r="AK350" s="320">
        <v>0</v>
      </c>
      <c r="AL350" s="319">
        <v>5</v>
      </c>
      <c r="AM350" s="319">
        <v>5</v>
      </c>
      <c r="AN350" s="319">
        <v>7.3333333333333304</v>
      </c>
      <c r="AO350" s="319">
        <v>0.57777777777777695</v>
      </c>
      <c r="AP350">
        <v>9</v>
      </c>
      <c r="AR350" s="136"/>
      <c r="AS350">
        <v>9</v>
      </c>
      <c r="AT350" s="69">
        <v>2.3148</v>
      </c>
      <c r="AU350" s="69">
        <v>2.3148</v>
      </c>
      <c r="AV350" s="69">
        <v>9.8416999999999994</v>
      </c>
      <c r="AW350" s="69">
        <v>0.4824</v>
      </c>
      <c r="BB350" s="69"/>
    </row>
    <row r="351" spans="1:54" customFormat="1" ht="40" customHeight="1">
      <c r="A351" s="313">
        <v>350</v>
      </c>
      <c r="B351" s="136" t="s">
        <v>589</v>
      </c>
      <c r="C351" s="136" t="s">
        <v>45</v>
      </c>
      <c r="D351" s="31">
        <f t="shared" si="24"/>
        <v>4</v>
      </c>
      <c r="E351" s="137" t="s">
        <v>80</v>
      </c>
      <c r="F351" s="31">
        <f t="shared" si="25"/>
        <v>4</v>
      </c>
      <c r="G351" s="137" t="s">
        <v>1005</v>
      </c>
      <c r="H351" s="138">
        <v>83</v>
      </c>
      <c r="I351" s="158">
        <f t="shared" si="26"/>
        <v>0.33454143228050948</v>
      </c>
      <c r="J351" s="95">
        <v>2.6542931324479201E-3</v>
      </c>
      <c r="K351" s="137">
        <v>0.66642857142857104</v>
      </c>
      <c r="L351" s="137">
        <v>0.82499999999999996</v>
      </c>
      <c r="M351" s="137">
        <v>0.42857142857142899</v>
      </c>
      <c r="N351" s="136">
        <v>1</v>
      </c>
      <c r="O351" s="32">
        <v>43250</v>
      </c>
      <c r="P351" s="98">
        <f t="shared" si="27"/>
        <v>0</v>
      </c>
      <c r="Q351">
        <v>0</v>
      </c>
      <c r="R351">
        <v>0</v>
      </c>
      <c r="S351">
        <v>0</v>
      </c>
      <c r="T351" s="112" t="s">
        <v>48</v>
      </c>
      <c r="U351" s="137" t="s">
        <v>1019</v>
      </c>
      <c r="V351" s="137" t="s">
        <v>1020</v>
      </c>
      <c r="W351" s="69">
        <v>121</v>
      </c>
      <c r="X351" s="136">
        <v>3</v>
      </c>
      <c r="Y351" s="136">
        <v>16</v>
      </c>
      <c r="Z351" s="314"/>
      <c r="AA351" s="319">
        <v>0.59450000000000003</v>
      </c>
      <c r="AB351" s="315" t="s">
        <v>5168</v>
      </c>
      <c r="AC351" s="319">
        <v>2</v>
      </c>
      <c r="AD351" s="320">
        <v>3.03030303030303E-2</v>
      </c>
      <c r="AE351" s="319">
        <v>1</v>
      </c>
      <c r="AF351" s="320">
        <v>1.51515151515151E-2</v>
      </c>
      <c r="AG351" s="319">
        <v>4</v>
      </c>
      <c r="AH351" s="320">
        <v>6.0606060606060601E-2</v>
      </c>
      <c r="AI351" s="319">
        <v>0</v>
      </c>
      <c r="AJ351" s="320">
        <v>0</v>
      </c>
      <c r="AK351" s="320">
        <v>0</v>
      </c>
      <c r="AL351" s="319">
        <v>5</v>
      </c>
      <c r="AM351" s="319">
        <v>6.2</v>
      </c>
      <c r="AN351" s="319">
        <v>4.6666666666666599</v>
      </c>
      <c r="AO351" s="319">
        <v>0.52888888888888796</v>
      </c>
      <c r="AP351">
        <v>16</v>
      </c>
      <c r="AQ351">
        <v>16</v>
      </c>
      <c r="AR351" s="136"/>
      <c r="AT351" s="69">
        <v>2.3148</v>
      </c>
      <c r="AU351" s="69">
        <v>5</v>
      </c>
      <c r="AV351" s="69">
        <v>8.1305999999999994</v>
      </c>
      <c r="AW351" s="69">
        <v>0.51480000000000004</v>
      </c>
      <c r="BB351" s="69"/>
    </row>
    <row r="352" spans="1:54" customFormat="1" ht="40" customHeight="1">
      <c r="A352" s="313">
        <v>351</v>
      </c>
      <c r="B352" s="136" t="s">
        <v>589</v>
      </c>
      <c r="C352" s="136" t="s">
        <v>45</v>
      </c>
      <c r="D352" s="31">
        <f t="shared" si="24"/>
        <v>4</v>
      </c>
      <c r="E352" s="137" t="s">
        <v>80</v>
      </c>
      <c r="F352" s="31">
        <f t="shared" si="25"/>
        <v>4</v>
      </c>
      <c r="G352" s="137" t="s">
        <v>439</v>
      </c>
      <c r="H352" s="138">
        <v>36</v>
      </c>
      <c r="I352" s="158">
        <f t="shared" si="26"/>
        <v>0.37017988602210694</v>
      </c>
      <c r="J352" s="95">
        <v>4.6454863299278896E-3</v>
      </c>
      <c r="K352" s="137">
        <v>0.73571428571428599</v>
      </c>
      <c r="L352" s="137">
        <v>0.75</v>
      </c>
      <c r="M352" s="137">
        <v>0.71428571428571397</v>
      </c>
      <c r="N352" s="136">
        <v>1</v>
      </c>
      <c r="O352" s="32">
        <v>43246</v>
      </c>
      <c r="P352" s="98">
        <f t="shared" si="27"/>
        <v>0</v>
      </c>
      <c r="Q352">
        <v>5.0999999999999996</v>
      </c>
      <c r="R352">
        <v>0</v>
      </c>
      <c r="S352">
        <v>0</v>
      </c>
      <c r="T352" s="112" t="s">
        <v>48</v>
      </c>
      <c r="U352" s="137" t="s">
        <v>1021</v>
      </c>
      <c r="V352" s="137" t="s">
        <v>1022</v>
      </c>
      <c r="W352" s="69">
        <v>65</v>
      </c>
      <c r="X352" s="136">
        <v>1</v>
      </c>
      <c r="Y352" s="136">
        <v>4</v>
      </c>
      <c r="Z352" s="314"/>
      <c r="AA352" s="319">
        <v>0.5</v>
      </c>
      <c r="AB352" s="315" t="s">
        <v>5176</v>
      </c>
      <c r="AC352" s="319">
        <v>1</v>
      </c>
      <c r="AD352" s="320">
        <v>2.77777777777777E-2</v>
      </c>
      <c r="AE352" s="319">
        <v>2</v>
      </c>
      <c r="AF352" s="320">
        <v>5.5555555555555497E-2</v>
      </c>
      <c r="AG352" s="319">
        <v>0</v>
      </c>
      <c r="AH352" s="320">
        <v>0</v>
      </c>
      <c r="AI352" s="319">
        <v>1</v>
      </c>
      <c r="AJ352" s="320">
        <v>2.77777777777777E-2</v>
      </c>
      <c r="AK352" s="320">
        <v>2.777777777777778E-2</v>
      </c>
      <c r="AL352" s="319">
        <v>6.75</v>
      </c>
      <c r="AM352" s="319">
        <v>5</v>
      </c>
      <c r="AN352" s="319">
        <v>7.3333333333333304</v>
      </c>
      <c r="AO352" s="319">
        <v>0.63611111111111096</v>
      </c>
      <c r="AP352">
        <v>4</v>
      </c>
      <c r="AR352" s="136"/>
      <c r="AS352">
        <v>4</v>
      </c>
      <c r="AT352" s="69">
        <v>6.3414000000000001</v>
      </c>
      <c r="AU352" s="69">
        <v>2.3148</v>
      </c>
      <c r="AV352" s="69">
        <v>9.8416999999999994</v>
      </c>
      <c r="AW352" s="69">
        <v>0.61660000000000004</v>
      </c>
      <c r="BB352" s="69"/>
    </row>
    <row r="353" spans="1:54" customFormat="1" ht="40" customHeight="1">
      <c r="A353" s="313">
        <v>352</v>
      </c>
      <c r="B353" s="136" t="s">
        <v>589</v>
      </c>
      <c r="C353" s="136" t="s">
        <v>45</v>
      </c>
      <c r="D353" s="31">
        <f t="shared" si="24"/>
        <v>4</v>
      </c>
      <c r="E353" s="137" t="s">
        <v>46</v>
      </c>
      <c r="F353" s="31">
        <f t="shared" si="25"/>
        <v>6</v>
      </c>
      <c r="G353" s="137" t="s">
        <v>1023</v>
      </c>
      <c r="H353" s="138">
        <v>145</v>
      </c>
      <c r="I353" s="158">
        <f t="shared" si="26"/>
        <v>0.38514236216487108</v>
      </c>
      <c r="J353" s="95">
        <v>1.0969278939191301E-3</v>
      </c>
      <c r="K353" s="137">
        <v>0.76918779643582302</v>
      </c>
      <c r="L353" s="137">
        <v>0.75</v>
      </c>
      <c r="M353" s="137">
        <v>0.79796949108955795</v>
      </c>
      <c r="N353" s="136">
        <v>0</v>
      </c>
      <c r="O353" s="32">
        <v>43234</v>
      </c>
      <c r="P353" s="98">
        <f t="shared" si="27"/>
        <v>0</v>
      </c>
      <c r="Q353">
        <v>2.5499999999999998</v>
      </c>
      <c r="R353">
        <v>1.65</v>
      </c>
      <c r="S353">
        <v>0</v>
      </c>
      <c r="T353" s="112" t="s">
        <v>48</v>
      </c>
      <c r="U353" s="137" t="s">
        <v>1024</v>
      </c>
      <c r="V353" s="137" t="s">
        <v>1025</v>
      </c>
      <c r="W353" s="69">
        <v>121</v>
      </c>
      <c r="X353" s="136">
        <v>1</v>
      </c>
      <c r="Y353" s="136">
        <v>2</v>
      </c>
      <c r="Z353" s="314"/>
      <c r="AA353" s="319">
        <v>0.68564000000000003</v>
      </c>
      <c r="AB353" s="315" t="s">
        <v>5193</v>
      </c>
      <c r="AC353" s="319">
        <v>2</v>
      </c>
      <c r="AD353" s="320">
        <v>2.94117647058823E-2</v>
      </c>
      <c r="AE353" s="319">
        <v>2</v>
      </c>
      <c r="AF353" s="320">
        <v>2.94117647058823E-2</v>
      </c>
      <c r="AG353" s="319">
        <v>1</v>
      </c>
      <c r="AH353" s="320">
        <v>1.47058823529411E-2</v>
      </c>
      <c r="AI353" s="319">
        <v>2</v>
      </c>
      <c r="AJ353" s="320">
        <v>2.94117647058823E-2</v>
      </c>
      <c r="AK353" s="320">
        <v>1.470588235294118E-2</v>
      </c>
      <c r="AL353" s="319">
        <v>5</v>
      </c>
      <c r="AM353" s="319">
        <v>5</v>
      </c>
      <c r="AN353" s="319">
        <v>6.1666666666666599</v>
      </c>
      <c r="AO353" s="319">
        <v>0.53888888888888797</v>
      </c>
      <c r="AP353">
        <v>2</v>
      </c>
      <c r="AR353" s="136"/>
      <c r="AS353">
        <v>2</v>
      </c>
      <c r="AT353" s="69">
        <v>2.3148</v>
      </c>
      <c r="AU353" s="69">
        <v>2.3148</v>
      </c>
      <c r="AV353" s="69">
        <v>9.5120000000000005</v>
      </c>
      <c r="AW353" s="69">
        <v>0.47139999999999999</v>
      </c>
      <c r="BB353" s="69"/>
    </row>
    <row r="354" spans="1:54" customFormat="1" ht="40" customHeight="1">
      <c r="A354" s="313">
        <v>353</v>
      </c>
      <c r="B354" s="136" t="s">
        <v>589</v>
      </c>
      <c r="C354" s="136" t="s">
        <v>45</v>
      </c>
      <c r="D354" s="31">
        <f t="shared" si="24"/>
        <v>4</v>
      </c>
      <c r="E354" s="137" t="s">
        <v>80</v>
      </c>
      <c r="F354" s="31">
        <f t="shared" si="25"/>
        <v>4</v>
      </c>
      <c r="G354" s="137" t="s">
        <v>1026</v>
      </c>
      <c r="H354" s="138">
        <v>50</v>
      </c>
      <c r="I354" s="158">
        <f t="shared" si="26"/>
        <v>0.47018753247253597</v>
      </c>
      <c r="J354" s="95">
        <v>0.20466077923078599</v>
      </c>
      <c r="K354" s="137">
        <v>0.73571428571428599</v>
      </c>
      <c r="L354" s="137">
        <v>0.75</v>
      </c>
      <c r="M354" s="137">
        <v>0.71428571428571397</v>
      </c>
      <c r="N354" s="136">
        <v>1</v>
      </c>
      <c r="O354" s="32">
        <v>43231</v>
      </c>
      <c r="P354" s="98">
        <f t="shared" si="27"/>
        <v>0</v>
      </c>
      <c r="Q354">
        <v>5.0999999999999996</v>
      </c>
      <c r="R354">
        <v>0</v>
      </c>
      <c r="S354">
        <v>0</v>
      </c>
      <c r="T354" s="112" t="s">
        <v>48</v>
      </c>
      <c r="U354" s="137" t="s">
        <v>1027</v>
      </c>
      <c r="V354" s="137" t="s">
        <v>1028</v>
      </c>
      <c r="W354" s="69">
        <v>141</v>
      </c>
      <c r="X354" s="136">
        <v>1</v>
      </c>
      <c r="Y354" s="136">
        <v>4</v>
      </c>
      <c r="Z354" s="314"/>
      <c r="AA354" s="319">
        <v>0.59450000000000003</v>
      </c>
      <c r="AB354" s="315" t="s">
        <v>5166</v>
      </c>
      <c r="AC354" s="319">
        <v>2</v>
      </c>
      <c r="AD354" s="320">
        <v>2.7397260273972601E-2</v>
      </c>
      <c r="AE354" s="319">
        <v>1</v>
      </c>
      <c r="AF354" s="320">
        <v>1.3698630136986301E-2</v>
      </c>
      <c r="AG354" s="319">
        <v>1</v>
      </c>
      <c r="AH354" s="320">
        <v>1.3698630136986301E-2</v>
      </c>
      <c r="AI354" s="319">
        <v>2</v>
      </c>
      <c r="AJ354" s="320">
        <v>2.7397260273972601E-2</v>
      </c>
      <c r="AK354" s="320">
        <v>1.3698630136986301E-2</v>
      </c>
      <c r="AL354" s="319">
        <v>6.75</v>
      </c>
      <c r="AM354" s="319">
        <v>6.2</v>
      </c>
      <c r="AN354" s="319">
        <v>4.6666666666666599</v>
      </c>
      <c r="AO354" s="319">
        <v>0.58722222222222198</v>
      </c>
      <c r="AP354">
        <v>4</v>
      </c>
      <c r="AR354" s="136"/>
      <c r="AS354">
        <v>4</v>
      </c>
      <c r="AT354" s="69">
        <v>6.3414000000000001</v>
      </c>
      <c r="AU354" s="69">
        <v>5</v>
      </c>
      <c r="AV354" s="69">
        <v>8.1305999999999994</v>
      </c>
      <c r="AW354" s="69">
        <v>0.64910000000000001</v>
      </c>
      <c r="BB354" s="69"/>
    </row>
    <row r="355" spans="1:54" customFormat="1" ht="40" customHeight="1">
      <c r="A355" s="313">
        <v>354</v>
      </c>
      <c r="B355" s="136" t="s">
        <v>589</v>
      </c>
      <c r="C355" s="136" t="s">
        <v>45</v>
      </c>
      <c r="D355" s="31">
        <f t="shared" si="24"/>
        <v>4</v>
      </c>
      <c r="E355" s="137" t="s">
        <v>80</v>
      </c>
      <c r="F355" s="31">
        <f t="shared" si="25"/>
        <v>4</v>
      </c>
      <c r="G355" s="137" t="s">
        <v>159</v>
      </c>
      <c r="H355" s="138">
        <v>62</v>
      </c>
      <c r="I355" s="158">
        <f t="shared" si="26"/>
        <v>0.47332577446102503</v>
      </c>
      <c r="J355" s="95">
        <v>0.165937263207764</v>
      </c>
      <c r="K355" s="137">
        <v>0.78071428571428603</v>
      </c>
      <c r="L355" s="137">
        <v>0.82499999999999996</v>
      </c>
      <c r="M355" s="137">
        <v>0.71428571428571397</v>
      </c>
      <c r="N355" s="136">
        <v>1</v>
      </c>
      <c r="O355" s="32">
        <v>43231</v>
      </c>
      <c r="P355" s="98">
        <f t="shared" si="27"/>
        <v>0</v>
      </c>
      <c r="Q355">
        <v>7.65</v>
      </c>
      <c r="R355">
        <v>0</v>
      </c>
      <c r="S355">
        <v>0</v>
      </c>
      <c r="T355" s="112" t="s">
        <v>48</v>
      </c>
      <c r="U355" s="137" t="s">
        <v>1029</v>
      </c>
      <c r="V355" s="137" t="s">
        <v>1030</v>
      </c>
      <c r="W355" s="69">
        <v>121</v>
      </c>
      <c r="X355" s="136">
        <v>1</v>
      </c>
      <c r="Y355" s="136">
        <v>4</v>
      </c>
      <c r="Z355" s="314"/>
      <c r="AA355" s="319">
        <v>0.60499999999999998</v>
      </c>
      <c r="AB355" s="315" t="s">
        <v>5165</v>
      </c>
      <c r="AC355" s="319">
        <v>3</v>
      </c>
      <c r="AD355" s="320">
        <v>4.6875E-2</v>
      </c>
      <c r="AE355" s="319">
        <v>2</v>
      </c>
      <c r="AF355" s="320">
        <v>3.125E-2</v>
      </c>
      <c r="AG355" s="319">
        <v>1</v>
      </c>
      <c r="AH355" s="320">
        <v>1.5625E-2</v>
      </c>
      <c r="AI355" s="319">
        <v>2</v>
      </c>
      <c r="AJ355" s="320">
        <v>3.125E-2</v>
      </c>
      <c r="AK355" s="320">
        <v>1.5625E-2</v>
      </c>
      <c r="AL355" s="319">
        <v>5</v>
      </c>
      <c r="AM355" s="319">
        <v>5</v>
      </c>
      <c r="AN355" s="319">
        <v>2</v>
      </c>
      <c r="AO355" s="319">
        <v>0.4</v>
      </c>
      <c r="AP355">
        <v>4</v>
      </c>
      <c r="AR355" s="136"/>
      <c r="AS355">
        <v>4</v>
      </c>
      <c r="AT355" s="69">
        <v>2.3148</v>
      </c>
      <c r="AU355" s="69">
        <v>2.3148</v>
      </c>
      <c r="AV355" s="69">
        <v>2.3148</v>
      </c>
      <c r="AW355" s="69">
        <v>0.23150000000000001</v>
      </c>
      <c r="BB355" s="69"/>
    </row>
    <row r="356" spans="1:54" customFormat="1" ht="40" customHeight="1">
      <c r="A356" s="313">
        <v>355</v>
      </c>
      <c r="B356" s="136" t="s">
        <v>589</v>
      </c>
      <c r="C356" s="136" t="s">
        <v>45</v>
      </c>
      <c r="D356" s="31">
        <f t="shared" si="24"/>
        <v>4</v>
      </c>
      <c r="E356" s="137" t="s">
        <v>46</v>
      </c>
      <c r="F356" s="31">
        <f t="shared" si="25"/>
        <v>6</v>
      </c>
      <c r="G356" s="137" t="s">
        <v>1031</v>
      </c>
      <c r="H356" s="138">
        <v>85</v>
      </c>
      <c r="I356" s="158">
        <f t="shared" si="26"/>
        <v>0.3023615961529475</v>
      </c>
      <c r="J356" s="95">
        <v>1.663784670071E-3</v>
      </c>
      <c r="K356" s="137">
        <v>0.603059407635824</v>
      </c>
      <c r="L356" s="137">
        <v>0.68181818181818199</v>
      </c>
      <c r="M356" s="137">
        <v>0.48492124636228701</v>
      </c>
      <c r="N356" s="136">
        <v>1</v>
      </c>
      <c r="O356" s="32">
        <v>43223</v>
      </c>
      <c r="P356" s="98">
        <f t="shared" si="27"/>
        <v>0</v>
      </c>
      <c r="Q356">
        <v>2.5499999999999998</v>
      </c>
      <c r="R356">
        <v>0</v>
      </c>
      <c r="S356">
        <v>0</v>
      </c>
      <c r="T356" s="112" t="s">
        <v>48</v>
      </c>
      <c r="U356" s="137" t="s">
        <v>1032</v>
      </c>
      <c r="V356" s="137" t="s">
        <v>1033</v>
      </c>
      <c r="W356" s="69">
        <v>120</v>
      </c>
      <c r="X356" s="136">
        <v>1</v>
      </c>
      <c r="Y356" s="136">
        <v>13</v>
      </c>
      <c r="Z356" s="314"/>
      <c r="AA356" s="319">
        <v>0.60499999999999998</v>
      </c>
      <c r="AB356" s="315" t="s">
        <v>5193</v>
      </c>
      <c r="AC356" s="319">
        <v>2</v>
      </c>
      <c r="AD356" s="320">
        <v>2.94117647058823E-2</v>
      </c>
      <c r="AE356" s="319">
        <v>2</v>
      </c>
      <c r="AF356" s="320">
        <v>2.94117647058823E-2</v>
      </c>
      <c r="AG356" s="319">
        <v>1</v>
      </c>
      <c r="AH356" s="320">
        <v>1.47058823529411E-2</v>
      </c>
      <c r="AI356" s="319">
        <v>2</v>
      </c>
      <c r="AJ356" s="320">
        <v>2.94117647058823E-2</v>
      </c>
      <c r="AK356" s="320">
        <v>1.470588235294118E-2</v>
      </c>
      <c r="AL356" s="319">
        <v>6.75</v>
      </c>
      <c r="AM356" s="319">
        <v>5</v>
      </c>
      <c r="AN356" s="319">
        <v>2</v>
      </c>
      <c r="AO356" s="319">
        <v>0.45833333333333298</v>
      </c>
      <c r="AP356">
        <v>13</v>
      </c>
      <c r="AR356" s="136"/>
      <c r="AS356">
        <v>13</v>
      </c>
      <c r="AT356" s="69">
        <v>6.3414000000000001</v>
      </c>
      <c r="AU356" s="69">
        <v>2.3148</v>
      </c>
      <c r="AV356" s="69">
        <v>2.3148</v>
      </c>
      <c r="AW356" s="69">
        <v>0.36570000000000003</v>
      </c>
      <c r="BB356" s="69"/>
    </row>
    <row r="357" spans="1:54" customFormat="1" ht="40" customHeight="1">
      <c r="A357" s="313">
        <v>356</v>
      </c>
      <c r="B357" s="136" t="s">
        <v>589</v>
      </c>
      <c r="C357" s="136" t="s">
        <v>45</v>
      </c>
      <c r="D357" s="31">
        <f t="shared" si="24"/>
        <v>4</v>
      </c>
      <c r="E357" s="137" t="s">
        <v>80</v>
      </c>
      <c r="F357" s="31">
        <f t="shared" si="25"/>
        <v>4</v>
      </c>
      <c r="G357" s="137" t="s">
        <v>1034</v>
      </c>
      <c r="H357" s="138">
        <v>37</v>
      </c>
      <c r="I357" s="158">
        <f t="shared" si="26"/>
        <v>0.49464919146830999</v>
      </c>
      <c r="J357" s="95">
        <v>0.20858409722233401</v>
      </c>
      <c r="K357" s="137">
        <v>0.78071428571428603</v>
      </c>
      <c r="L357" s="137">
        <v>0.82499999999999996</v>
      </c>
      <c r="M357" s="137">
        <v>0.71428571428571397</v>
      </c>
      <c r="N357" s="136">
        <v>1</v>
      </c>
      <c r="O357" s="32">
        <v>43216</v>
      </c>
      <c r="P357" s="98">
        <f t="shared" si="27"/>
        <v>0</v>
      </c>
      <c r="Q357">
        <v>10.199999999999999</v>
      </c>
      <c r="R357">
        <v>0</v>
      </c>
      <c r="S357">
        <v>0</v>
      </c>
      <c r="T357" s="112" t="s">
        <v>48</v>
      </c>
      <c r="U357" s="137" t="s">
        <v>1035</v>
      </c>
      <c r="V357" s="137" t="s">
        <v>1036</v>
      </c>
      <c r="W357" s="69">
        <v>139</v>
      </c>
      <c r="X357" s="136">
        <v>1</v>
      </c>
      <c r="Y357" s="136">
        <v>4</v>
      </c>
      <c r="Z357" s="314"/>
      <c r="AA357" s="319">
        <v>0.60499999999999998</v>
      </c>
      <c r="AB357" s="315" t="s">
        <v>5193</v>
      </c>
      <c r="AC357" s="319">
        <v>2</v>
      </c>
      <c r="AD357" s="320">
        <v>2.5641025641025599E-2</v>
      </c>
      <c r="AE357" s="319">
        <v>2</v>
      </c>
      <c r="AF357" s="320">
        <v>2.5641025641025599E-2</v>
      </c>
      <c r="AG357" s="319">
        <v>1</v>
      </c>
      <c r="AH357" s="320">
        <v>1.2820512820512799E-2</v>
      </c>
      <c r="AI357" s="319">
        <v>2</v>
      </c>
      <c r="AJ357" s="320">
        <v>2.5641025641025599E-2</v>
      </c>
      <c r="AK357" s="320">
        <v>1.282051282051282E-2</v>
      </c>
      <c r="AL357" s="319">
        <v>6.75</v>
      </c>
      <c r="AM357" s="319">
        <v>5</v>
      </c>
      <c r="AN357" s="319">
        <v>4.6666666666666599</v>
      </c>
      <c r="AO357" s="319">
        <v>0.54722222222222205</v>
      </c>
      <c r="AP357">
        <v>4</v>
      </c>
      <c r="AR357" s="136"/>
      <c r="AS357">
        <v>4</v>
      </c>
      <c r="AT357" s="69">
        <v>6.3414000000000001</v>
      </c>
      <c r="AU357" s="69">
        <v>2.3148</v>
      </c>
      <c r="AV357" s="69">
        <v>8.1305999999999994</v>
      </c>
      <c r="AW357" s="69">
        <v>0.55959999999999999</v>
      </c>
      <c r="BB357" s="69"/>
    </row>
    <row r="358" spans="1:54" customFormat="1" ht="40" customHeight="1">
      <c r="A358" s="313">
        <v>357</v>
      </c>
      <c r="B358" s="136" t="s">
        <v>589</v>
      </c>
      <c r="C358" s="136" t="s">
        <v>45</v>
      </c>
      <c r="D358" s="31">
        <f t="shared" si="24"/>
        <v>4</v>
      </c>
      <c r="E358" s="137" t="s">
        <v>80</v>
      </c>
      <c r="F358" s="31">
        <f t="shared" si="25"/>
        <v>4</v>
      </c>
      <c r="G358" s="137" t="s">
        <v>180</v>
      </c>
      <c r="H358" s="138">
        <v>57</v>
      </c>
      <c r="I358" s="158">
        <f t="shared" si="26"/>
        <v>0.50439716081840047</v>
      </c>
      <c r="J358" s="95">
        <v>0.21276865349787999</v>
      </c>
      <c r="K358" s="137">
        <v>0.79602566813892095</v>
      </c>
      <c r="L358" s="137">
        <v>0.82499999999999996</v>
      </c>
      <c r="M358" s="137">
        <v>0.75256417034730305</v>
      </c>
      <c r="N358" s="136">
        <v>1</v>
      </c>
      <c r="O358" s="32">
        <v>43213</v>
      </c>
      <c r="P358" s="98">
        <f t="shared" si="27"/>
        <v>0</v>
      </c>
      <c r="Q358">
        <v>5.0999999999999996</v>
      </c>
      <c r="R358">
        <v>0</v>
      </c>
      <c r="S358">
        <v>0</v>
      </c>
      <c r="T358" s="112" t="s">
        <v>48</v>
      </c>
      <c r="U358" s="137" t="s">
        <v>1037</v>
      </c>
      <c r="V358" s="137" t="s">
        <v>1038</v>
      </c>
      <c r="W358" s="69">
        <v>99</v>
      </c>
      <c r="X358" s="136">
        <v>1</v>
      </c>
      <c r="Y358" s="136">
        <v>3</v>
      </c>
      <c r="Z358" s="314"/>
      <c r="AA358" s="319">
        <v>0.5</v>
      </c>
      <c r="AB358" s="315" t="s">
        <v>5178</v>
      </c>
      <c r="AC358" s="319">
        <v>2</v>
      </c>
      <c r="AD358" s="320">
        <v>3.7735849056603703E-2</v>
      </c>
      <c r="AE358" s="319">
        <v>2</v>
      </c>
      <c r="AF358" s="320">
        <v>3.7735849056603703E-2</v>
      </c>
      <c r="AG358" s="319">
        <v>0</v>
      </c>
      <c r="AH358" s="320">
        <v>0</v>
      </c>
      <c r="AI358" s="319">
        <v>1</v>
      </c>
      <c r="AJ358" s="320">
        <v>1.8867924528301799E-2</v>
      </c>
      <c r="AK358" s="320">
        <v>1.886792452830189E-2</v>
      </c>
      <c r="AL358" s="319">
        <v>5</v>
      </c>
      <c r="AM358" s="319">
        <v>5</v>
      </c>
      <c r="AN358" s="319">
        <v>4.6666666666666599</v>
      </c>
      <c r="AO358" s="319">
        <v>0.48888888888888798</v>
      </c>
      <c r="AP358">
        <v>3</v>
      </c>
      <c r="AR358" s="136"/>
      <c r="AS358">
        <v>3</v>
      </c>
      <c r="AT358" s="69">
        <v>2.3148</v>
      </c>
      <c r="AU358" s="69">
        <v>2.3148</v>
      </c>
      <c r="AV358" s="69">
        <v>8.1305999999999994</v>
      </c>
      <c r="AW358" s="69">
        <v>0.42530000000000001</v>
      </c>
      <c r="BB358" s="69"/>
    </row>
    <row r="359" spans="1:54" customFormat="1" ht="40" customHeight="1">
      <c r="A359" s="313">
        <v>358</v>
      </c>
      <c r="B359" s="136" t="s">
        <v>589</v>
      </c>
      <c r="C359" s="136" t="s">
        <v>45</v>
      </c>
      <c r="D359" s="31">
        <f t="shared" si="24"/>
        <v>4</v>
      </c>
      <c r="E359" s="137" t="s">
        <v>80</v>
      </c>
      <c r="F359" s="31">
        <f t="shared" si="25"/>
        <v>4</v>
      </c>
      <c r="G359" s="137" t="s">
        <v>180</v>
      </c>
      <c r="H359" s="138">
        <v>50</v>
      </c>
      <c r="I359" s="158">
        <f t="shared" si="26"/>
        <v>0.48829555799062946</v>
      </c>
      <c r="J359" s="95">
        <v>0.18056544784233799</v>
      </c>
      <c r="K359" s="137">
        <v>0.79602566813892095</v>
      </c>
      <c r="L359" s="137">
        <v>0.82499999999999996</v>
      </c>
      <c r="M359" s="137">
        <v>0.75256417034730305</v>
      </c>
      <c r="N359" s="136">
        <v>1</v>
      </c>
      <c r="O359" s="32">
        <v>43213</v>
      </c>
      <c r="P359" s="98">
        <f t="shared" si="27"/>
        <v>0</v>
      </c>
      <c r="Q359">
        <v>5.0999999999999996</v>
      </c>
      <c r="R359">
        <v>0</v>
      </c>
      <c r="S359">
        <v>0</v>
      </c>
      <c r="T359" s="112" t="s">
        <v>48</v>
      </c>
      <c r="U359" s="137" t="s">
        <v>1039</v>
      </c>
      <c r="V359" s="137" t="s">
        <v>1040</v>
      </c>
      <c r="W359" s="69">
        <v>198</v>
      </c>
      <c r="X359" s="136">
        <v>1</v>
      </c>
      <c r="Y359" s="136">
        <v>3</v>
      </c>
      <c r="Z359" s="314"/>
      <c r="AA359" s="319">
        <v>0.60499999999999998</v>
      </c>
      <c r="AB359" s="315" t="s">
        <v>5166</v>
      </c>
      <c r="AC359" s="319">
        <v>2</v>
      </c>
      <c r="AD359" s="320">
        <v>1.8867924528301799E-2</v>
      </c>
      <c r="AE359" s="319">
        <v>1</v>
      </c>
      <c r="AF359" s="320">
        <v>9.4339622641509396E-3</v>
      </c>
      <c r="AG359" s="319">
        <v>1</v>
      </c>
      <c r="AH359" s="320">
        <v>9.4339622641509396E-3</v>
      </c>
      <c r="AI359" s="319">
        <v>2</v>
      </c>
      <c r="AJ359" s="320">
        <v>1.8867924528301799E-2</v>
      </c>
      <c r="AK359" s="320">
        <v>9.433962264150943E-3</v>
      </c>
      <c r="AL359" s="319">
        <v>6.75</v>
      </c>
      <c r="AM359" s="319">
        <v>5</v>
      </c>
      <c r="AN359" s="319">
        <v>4.6666666666666599</v>
      </c>
      <c r="AO359" s="319">
        <v>0.54722222222222205</v>
      </c>
      <c r="AP359">
        <v>3</v>
      </c>
      <c r="AR359" s="136"/>
      <c r="AS359">
        <v>3</v>
      </c>
      <c r="AT359" s="69">
        <v>6.3414000000000001</v>
      </c>
      <c r="AU359" s="69">
        <v>2.3148</v>
      </c>
      <c r="AV359" s="69">
        <v>8.1305999999999994</v>
      </c>
      <c r="AW359" s="69">
        <v>0.55959999999999999</v>
      </c>
      <c r="BB359" s="69"/>
    </row>
    <row r="360" spans="1:54" customFormat="1" ht="40" customHeight="1">
      <c r="A360" s="313">
        <v>359</v>
      </c>
      <c r="B360" s="136" t="s">
        <v>589</v>
      </c>
      <c r="C360" s="136" t="s">
        <v>45</v>
      </c>
      <c r="D360" s="31">
        <f t="shared" si="24"/>
        <v>4</v>
      </c>
      <c r="E360" s="137" t="s">
        <v>80</v>
      </c>
      <c r="F360" s="31">
        <f t="shared" si="25"/>
        <v>4</v>
      </c>
      <c r="G360" s="137" t="s">
        <v>1041</v>
      </c>
      <c r="H360" s="138">
        <v>78</v>
      </c>
      <c r="I360" s="158">
        <f t="shared" si="26"/>
        <v>0.40588973302987164</v>
      </c>
      <c r="J360" s="95">
        <v>1.8922323202600198E-2</v>
      </c>
      <c r="K360" s="137">
        <v>0.79285714285714304</v>
      </c>
      <c r="L360" s="137">
        <v>0.75</v>
      </c>
      <c r="M360" s="137">
        <v>0.85714285714285698</v>
      </c>
      <c r="N360" s="136">
        <v>1</v>
      </c>
      <c r="O360" s="32">
        <v>43193</v>
      </c>
      <c r="P360" s="98">
        <f t="shared" si="27"/>
        <v>0</v>
      </c>
      <c r="Q360">
        <v>10.199999999999999</v>
      </c>
      <c r="R360">
        <v>0</v>
      </c>
      <c r="S360">
        <v>0</v>
      </c>
      <c r="T360" s="112" t="s">
        <v>48</v>
      </c>
      <c r="U360" s="137" t="s">
        <v>1042</v>
      </c>
      <c r="V360" s="137" t="s">
        <v>1043</v>
      </c>
      <c r="W360" s="69">
        <v>151</v>
      </c>
      <c r="X360" s="136">
        <v>1</v>
      </c>
      <c r="Y360" s="136">
        <v>1</v>
      </c>
      <c r="Z360" s="314"/>
      <c r="AA360" s="319">
        <v>0.60499999999999998</v>
      </c>
      <c r="AB360" s="315" t="s">
        <v>5193</v>
      </c>
      <c r="AC360" s="319">
        <v>2</v>
      </c>
      <c r="AD360" s="320">
        <v>2.3809523809523801E-2</v>
      </c>
      <c r="AE360" s="319">
        <v>2</v>
      </c>
      <c r="AF360" s="320">
        <v>2.3809523809523801E-2</v>
      </c>
      <c r="AG360" s="319">
        <v>1</v>
      </c>
      <c r="AH360" s="320">
        <v>1.1904761904761901E-2</v>
      </c>
      <c r="AI360" s="319">
        <v>2</v>
      </c>
      <c r="AJ360" s="320">
        <v>2.3809523809523801E-2</v>
      </c>
      <c r="AK360" s="320">
        <v>1.1904761904761901E-2</v>
      </c>
      <c r="AL360" s="319">
        <v>6.75</v>
      </c>
      <c r="AM360" s="319">
        <v>6.2</v>
      </c>
      <c r="AN360" s="319">
        <v>4.6666666666666599</v>
      </c>
      <c r="AO360" s="319">
        <v>0.58722222222222198</v>
      </c>
      <c r="AP360">
        <v>1</v>
      </c>
      <c r="AR360" s="136"/>
      <c r="AS360">
        <v>1</v>
      </c>
      <c r="AT360" s="69">
        <v>6.3414000000000001</v>
      </c>
      <c r="AU360" s="69">
        <v>5</v>
      </c>
      <c r="AV360" s="69">
        <v>8.1305999999999994</v>
      </c>
      <c r="AW360" s="69">
        <v>0.64910000000000001</v>
      </c>
      <c r="BB360" s="69"/>
    </row>
    <row r="361" spans="1:54" customFormat="1" ht="40" customHeight="1">
      <c r="A361" s="313">
        <v>360</v>
      </c>
      <c r="B361" s="136" t="s">
        <v>589</v>
      </c>
      <c r="C361" s="136" t="s">
        <v>45</v>
      </c>
      <c r="D361" s="31">
        <f t="shared" si="24"/>
        <v>4</v>
      </c>
      <c r="E361" s="137" t="s">
        <v>46</v>
      </c>
      <c r="F361" s="31">
        <f t="shared" si="25"/>
        <v>6</v>
      </c>
      <c r="G361" s="137" t="s">
        <v>1044</v>
      </c>
      <c r="H361" s="138">
        <v>55</v>
      </c>
      <c r="I361" s="158">
        <f t="shared" si="26"/>
        <v>0.42494062286177064</v>
      </c>
      <c r="J361" s="95">
        <v>1.20241028663983E-2</v>
      </c>
      <c r="K361" s="137">
        <v>0.83785714285714297</v>
      </c>
      <c r="L361" s="137">
        <v>0.82499999999999996</v>
      </c>
      <c r="M361" s="137">
        <v>0.85714285714285698</v>
      </c>
      <c r="N361" s="136">
        <v>1</v>
      </c>
      <c r="O361" s="32">
        <v>43193</v>
      </c>
      <c r="P361" s="98">
        <f t="shared" si="27"/>
        <v>0</v>
      </c>
      <c r="Q361">
        <v>5.0999999999999996</v>
      </c>
      <c r="R361">
        <v>0</v>
      </c>
      <c r="S361">
        <v>0</v>
      </c>
      <c r="T361" s="112" t="s">
        <v>48</v>
      </c>
      <c r="U361" s="137" t="s">
        <v>1045</v>
      </c>
      <c r="V361" s="137" t="s">
        <v>1046</v>
      </c>
      <c r="W361" s="69">
        <v>154</v>
      </c>
      <c r="X361" s="136">
        <v>1</v>
      </c>
      <c r="Y361" s="136">
        <v>1</v>
      </c>
      <c r="Z361" s="314"/>
      <c r="AA361" s="319">
        <v>0.54500000000000004</v>
      </c>
      <c r="AB361" s="315" t="s">
        <v>5193</v>
      </c>
      <c r="AC361" s="319">
        <v>2</v>
      </c>
      <c r="AD361" s="320">
        <v>2.3255813953488299E-2</v>
      </c>
      <c r="AE361" s="319">
        <v>2</v>
      </c>
      <c r="AF361" s="320">
        <v>2.3255813953488299E-2</v>
      </c>
      <c r="AG361" s="319">
        <v>1</v>
      </c>
      <c r="AH361" s="320">
        <v>1.1627906976744099E-2</v>
      </c>
      <c r="AI361" s="319">
        <v>2</v>
      </c>
      <c r="AJ361" s="320">
        <v>2.3255813953488299E-2</v>
      </c>
      <c r="AK361" s="320">
        <v>1.1627906976744189E-2</v>
      </c>
      <c r="AL361" s="319">
        <v>6.75</v>
      </c>
      <c r="AM361" s="319">
        <v>5</v>
      </c>
      <c r="AN361" s="319">
        <v>7.3333333333333304</v>
      </c>
      <c r="AO361" s="319">
        <v>0.63611111111111096</v>
      </c>
      <c r="AP361">
        <v>1</v>
      </c>
      <c r="AR361" s="136"/>
      <c r="AS361">
        <v>1</v>
      </c>
      <c r="AT361" s="69">
        <v>6.3414000000000001</v>
      </c>
      <c r="AU361" s="69">
        <v>2.3148</v>
      </c>
      <c r="AV361" s="69">
        <v>9.8416999999999994</v>
      </c>
      <c r="AW361" s="69">
        <v>0.61660000000000004</v>
      </c>
      <c r="BB361" s="69"/>
    </row>
    <row r="362" spans="1:54" customFormat="1" ht="40" customHeight="1">
      <c r="A362" s="313">
        <v>361</v>
      </c>
      <c r="B362" s="136" t="s">
        <v>589</v>
      </c>
      <c r="C362" s="136" t="s">
        <v>45</v>
      </c>
      <c r="D362" s="31">
        <f t="shared" si="24"/>
        <v>4</v>
      </c>
      <c r="E362" s="137" t="s">
        <v>80</v>
      </c>
      <c r="F362" s="31">
        <f t="shared" si="25"/>
        <v>4</v>
      </c>
      <c r="G362" s="137" t="s">
        <v>1047</v>
      </c>
      <c r="H362" s="138">
        <v>60</v>
      </c>
      <c r="I362" s="158">
        <f t="shared" si="26"/>
        <v>0.44175499435476451</v>
      </c>
      <c r="J362" s="95">
        <v>0.15013439583788299</v>
      </c>
      <c r="K362" s="137">
        <v>0.733375592871646</v>
      </c>
      <c r="L362" s="137">
        <v>0.82499999999999996</v>
      </c>
      <c r="M362" s="137">
        <v>0.59593898217911601</v>
      </c>
      <c r="N362" s="136">
        <v>1</v>
      </c>
      <c r="O362" s="32">
        <v>43190</v>
      </c>
      <c r="P362" s="98">
        <f t="shared" si="27"/>
        <v>0</v>
      </c>
      <c r="Q362">
        <v>2.5499999999999998</v>
      </c>
      <c r="R362">
        <v>0</v>
      </c>
      <c r="S362">
        <v>0</v>
      </c>
      <c r="T362" s="112" t="s">
        <v>48</v>
      </c>
      <c r="U362" s="137" t="s">
        <v>1048</v>
      </c>
      <c r="V362" s="137" t="s">
        <v>1049</v>
      </c>
      <c r="W362" s="69">
        <v>121</v>
      </c>
      <c r="X362" s="136">
        <v>2</v>
      </c>
      <c r="Y362" s="136">
        <v>8</v>
      </c>
      <c r="Z362" s="314"/>
      <c r="AA362" s="319">
        <v>0.59450000000000003</v>
      </c>
      <c r="AB362" s="315" t="s">
        <v>5165</v>
      </c>
      <c r="AC362" s="319">
        <v>5</v>
      </c>
      <c r="AD362" s="320">
        <v>7.69230769230769E-2</v>
      </c>
      <c r="AE362" s="319">
        <v>0</v>
      </c>
      <c r="AF362" s="320">
        <v>0</v>
      </c>
      <c r="AG362" s="319">
        <v>1</v>
      </c>
      <c r="AH362" s="320">
        <v>1.53846153846153E-2</v>
      </c>
      <c r="AI362" s="319">
        <v>0</v>
      </c>
      <c r="AJ362" s="320">
        <v>0</v>
      </c>
      <c r="AK362" s="320">
        <v>0</v>
      </c>
      <c r="AL362" s="319">
        <v>6.75</v>
      </c>
      <c r="AM362" s="319">
        <v>5</v>
      </c>
      <c r="AN362" s="319">
        <v>7.3333333333333304</v>
      </c>
      <c r="AO362" s="319">
        <v>0.63611111111111096</v>
      </c>
      <c r="AP362">
        <v>8</v>
      </c>
      <c r="AQ362">
        <v>8</v>
      </c>
      <c r="AR362" s="136"/>
      <c r="AT362" s="69">
        <v>6.3414000000000001</v>
      </c>
      <c r="AU362" s="69">
        <v>2.3148</v>
      </c>
      <c r="AV362" s="69">
        <v>9.8416999999999994</v>
      </c>
      <c r="AW362" s="69">
        <v>0.61660000000000004</v>
      </c>
      <c r="BB362" s="69"/>
    </row>
    <row r="363" spans="1:54" customFormat="1" ht="40" customHeight="1">
      <c r="A363" s="313">
        <v>362</v>
      </c>
      <c r="B363" s="136" t="s">
        <v>589</v>
      </c>
      <c r="C363" s="136" t="s">
        <v>45</v>
      </c>
      <c r="D363" s="31">
        <f t="shared" si="24"/>
        <v>4</v>
      </c>
      <c r="E363" s="137" t="s">
        <v>80</v>
      </c>
      <c r="F363" s="31">
        <f t="shared" si="25"/>
        <v>4</v>
      </c>
      <c r="G363" s="137" t="s">
        <v>159</v>
      </c>
      <c r="H363" s="138">
        <v>51</v>
      </c>
      <c r="I363" s="158">
        <f t="shared" si="26"/>
        <v>0.56915364574582794</v>
      </c>
      <c r="J363" s="95">
        <v>0.40259300577737001</v>
      </c>
      <c r="K363" s="137">
        <v>0.73571428571428599</v>
      </c>
      <c r="L363" s="137">
        <v>0.75</v>
      </c>
      <c r="M363" s="137">
        <v>0.71428571428571397</v>
      </c>
      <c r="N363" s="136">
        <v>1</v>
      </c>
      <c r="O363" s="32">
        <v>43184</v>
      </c>
      <c r="P363" s="98">
        <f t="shared" si="27"/>
        <v>0</v>
      </c>
      <c r="Q363">
        <v>5.0999999999999996</v>
      </c>
      <c r="R363">
        <v>0</v>
      </c>
      <c r="S363">
        <v>0</v>
      </c>
      <c r="T363" s="112" t="s">
        <v>48</v>
      </c>
      <c r="U363" s="137" t="s">
        <v>1050</v>
      </c>
      <c r="V363" s="137" t="s">
        <v>1051</v>
      </c>
      <c r="W363" s="69">
        <v>168</v>
      </c>
      <c r="X363" s="136">
        <v>2</v>
      </c>
      <c r="Y363" s="136">
        <v>4</v>
      </c>
      <c r="Z363" s="314"/>
      <c r="AA363" s="319">
        <v>0.66549999999999998</v>
      </c>
      <c r="AB363" s="315" t="s">
        <v>5193</v>
      </c>
      <c r="AC363" s="319">
        <v>2</v>
      </c>
      <c r="AD363" s="320">
        <v>2.1505376344085999E-2</v>
      </c>
      <c r="AE363" s="319">
        <v>2</v>
      </c>
      <c r="AF363" s="320">
        <v>2.1505376344085999E-2</v>
      </c>
      <c r="AG363" s="319">
        <v>1</v>
      </c>
      <c r="AH363" s="320">
        <v>1.0752688172042999E-2</v>
      </c>
      <c r="AI363" s="319">
        <v>2</v>
      </c>
      <c r="AJ363" s="320">
        <v>2.1505376344085999E-2</v>
      </c>
      <c r="AK363" s="320">
        <v>1.075268817204301E-2</v>
      </c>
      <c r="AL363" s="319">
        <v>6.75</v>
      </c>
      <c r="AM363" s="319">
        <v>7.4</v>
      </c>
      <c r="AN363" s="319">
        <v>2</v>
      </c>
      <c r="AO363" s="319">
        <v>0.538333333333333</v>
      </c>
      <c r="AP363">
        <v>4</v>
      </c>
      <c r="AR363" s="136"/>
      <c r="AS363">
        <v>4</v>
      </c>
      <c r="AT363" s="69">
        <v>6.3414000000000001</v>
      </c>
      <c r="AU363" s="69">
        <v>7.6852</v>
      </c>
      <c r="AV363" s="69">
        <v>2.3148</v>
      </c>
      <c r="AW363" s="69">
        <v>0.54469999999999996</v>
      </c>
      <c r="BB363" s="69"/>
    </row>
    <row r="364" spans="1:54" customFormat="1" ht="40" customHeight="1">
      <c r="A364" s="313">
        <v>363</v>
      </c>
      <c r="B364" s="136" t="s">
        <v>589</v>
      </c>
      <c r="C364" s="136" t="s">
        <v>119</v>
      </c>
      <c r="D364" s="31">
        <f t="shared" si="24"/>
        <v>1</v>
      </c>
      <c r="E364" s="137" t="s">
        <v>46</v>
      </c>
      <c r="F364" s="31">
        <f t="shared" si="25"/>
        <v>6</v>
      </c>
      <c r="G364" s="137" t="s">
        <v>1052</v>
      </c>
      <c r="H364" s="138">
        <v>160</v>
      </c>
      <c r="I364" s="158">
        <f t="shared" si="26"/>
        <v>0.83048076205973143</v>
      </c>
      <c r="J364" s="95">
        <v>0.991663104700513</v>
      </c>
      <c r="K364" s="137">
        <v>0.66929841941894996</v>
      </c>
      <c r="L364" s="137">
        <v>0.75</v>
      </c>
      <c r="M364" s="137">
        <v>0.54824604854737402</v>
      </c>
      <c r="N364" s="136">
        <v>0</v>
      </c>
      <c r="O364" s="32">
        <v>43178</v>
      </c>
      <c r="P364" s="98">
        <f t="shared" si="27"/>
        <v>0</v>
      </c>
      <c r="Q364">
        <v>5.0999999999999996</v>
      </c>
      <c r="R364">
        <v>0</v>
      </c>
      <c r="S364">
        <v>0</v>
      </c>
      <c r="T364" s="112" t="s">
        <v>48</v>
      </c>
      <c r="U364" s="137" t="s">
        <v>1053</v>
      </c>
      <c r="V364" s="137" t="s">
        <v>1054</v>
      </c>
      <c r="W364" s="69">
        <v>41</v>
      </c>
      <c r="X364" s="136">
        <v>3</v>
      </c>
      <c r="Y364" s="136">
        <v>10</v>
      </c>
      <c r="Z364" s="314"/>
      <c r="AA364" s="319">
        <v>0.5</v>
      </c>
      <c r="AB364" s="315" t="s">
        <v>5169</v>
      </c>
      <c r="AC364" s="319">
        <v>1</v>
      </c>
      <c r="AD364" s="320">
        <v>4.54545454545454E-2</v>
      </c>
      <c r="AE364" s="319">
        <v>0</v>
      </c>
      <c r="AF364" s="320">
        <v>0</v>
      </c>
      <c r="AG364" s="319">
        <v>1</v>
      </c>
      <c r="AH364" s="320">
        <v>4.54545454545454E-2</v>
      </c>
      <c r="AI364" s="319">
        <v>0</v>
      </c>
      <c r="AJ364" s="320">
        <v>0</v>
      </c>
      <c r="AK364" s="320">
        <v>0</v>
      </c>
      <c r="AL364" s="319">
        <v>5</v>
      </c>
      <c r="AM364" s="319">
        <v>7.4</v>
      </c>
      <c r="AN364" s="319">
        <v>6.1666666666666599</v>
      </c>
      <c r="AO364" s="319">
        <v>0.61888888888888804</v>
      </c>
      <c r="AP364">
        <v>10</v>
      </c>
      <c r="AQ364">
        <v>10</v>
      </c>
      <c r="AR364" s="136"/>
      <c r="AT364" s="69">
        <v>2.3148</v>
      </c>
      <c r="AU364" s="69">
        <v>7.6852</v>
      </c>
      <c r="AV364" s="69">
        <v>9.5120000000000005</v>
      </c>
      <c r="AW364" s="69">
        <v>0.65039999999999998</v>
      </c>
      <c r="BB364" s="69"/>
    </row>
    <row r="365" spans="1:54" customFormat="1" ht="40" customHeight="1">
      <c r="A365" s="313">
        <v>364</v>
      </c>
      <c r="B365" s="136" t="s">
        <v>589</v>
      </c>
      <c r="C365" s="136" t="s">
        <v>45</v>
      </c>
      <c r="D365" s="31">
        <f t="shared" si="24"/>
        <v>4</v>
      </c>
      <c r="E365" s="137" t="s">
        <v>80</v>
      </c>
      <c r="F365" s="31">
        <f t="shared" si="25"/>
        <v>4</v>
      </c>
      <c r="G365" s="137" t="s">
        <v>159</v>
      </c>
      <c r="H365" s="138">
        <v>42</v>
      </c>
      <c r="I365" s="158">
        <f t="shared" si="26"/>
        <v>0.34902415847362295</v>
      </c>
      <c r="J365" s="95">
        <v>2.87498975282959E-2</v>
      </c>
      <c r="K365" s="137">
        <v>0.66929841941894996</v>
      </c>
      <c r="L365" s="137">
        <v>0.75</v>
      </c>
      <c r="M365" s="137">
        <v>0.54824604854737402</v>
      </c>
      <c r="N365" s="136">
        <v>1</v>
      </c>
      <c r="O365" s="32">
        <v>43079</v>
      </c>
      <c r="P365" s="98">
        <f t="shared" si="27"/>
        <v>0</v>
      </c>
      <c r="Q365">
        <v>5.0999999999999996</v>
      </c>
      <c r="R365">
        <v>0</v>
      </c>
      <c r="S365">
        <v>0</v>
      </c>
      <c r="T365" s="112" t="s">
        <v>48</v>
      </c>
      <c r="U365" s="137" t="s">
        <v>1055</v>
      </c>
      <c r="V365" s="137" t="s">
        <v>1056</v>
      </c>
      <c r="W365" s="69">
        <v>124</v>
      </c>
      <c r="X365" s="136">
        <v>1</v>
      </c>
      <c r="Y365" s="136">
        <v>10</v>
      </c>
      <c r="Z365" s="314"/>
      <c r="AA365" s="319">
        <v>0.66549999999999998</v>
      </c>
      <c r="AB365" s="315" t="s">
        <v>5193</v>
      </c>
      <c r="AC365" s="319">
        <v>2</v>
      </c>
      <c r="AD365" s="320">
        <v>2.8985507246376802E-2</v>
      </c>
      <c r="AE365" s="319">
        <v>2</v>
      </c>
      <c r="AF365" s="320">
        <v>2.8985507246376802E-2</v>
      </c>
      <c r="AG365" s="319">
        <v>1</v>
      </c>
      <c r="AH365" s="320">
        <v>1.4492753623188401E-2</v>
      </c>
      <c r="AI365" s="319">
        <v>2</v>
      </c>
      <c r="AJ365" s="320">
        <v>2.8985507246376802E-2</v>
      </c>
      <c r="AK365" s="320">
        <v>1.4492753623188409E-2</v>
      </c>
      <c r="AL365" s="319">
        <v>6.75</v>
      </c>
      <c r="AM365" s="319">
        <v>7.4</v>
      </c>
      <c r="AN365" s="319">
        <v>2</v>
      </c>
      <c r="AO365" s="319">
        <v>0.538333333333333</v>
      </c>
      <c r="AP365">
        <v>10</v>
      </c>
      <c r="AR365" s="136"/>
      <c r="AS365">
        <v>10</v>
      </c>
      <c r="AT365" s="69">
        <v>6.3414000000000001</v>
      </c>
      <c r="AU365" s="69">
        <v>7.6852</v>
      </c>
      <c r="AV365" s="69">
        <v>2.3148</v>
      </c>
      <c r="AW365" s="69">
        <v>0.54469999999999996</v>
      </c>
      <c r="BB365" s="69"/>
    </row>
    <row r="366" spans="1:54" customFormat="1" ht="40" customHeight="1">
      <c r="A366" s="313">
        <v>365</v>
      </c>
      <c r="B366" s="136" t="s">
        <v>589</v>
      </c>
      <c r="C366" s="136" t="s">
        <v>45</v>
      </c>
      <c r="D366" s="31">
        <f t="shared" si="24"/>
        <v>4</v>
      </c>
      <c r="E366" s="137" t="s">
        <v>80</v>
      </c>
      <c r="F366" s="31">
        <f t="shared" si="25"/>
        <v>4</v>
      </c>
      <c r="G366" s="137" t="s">
        <v>359</v>
      </c>
      <c r="H366" s="138">
        <v>95</v>
      </c>
      <c r="I366" s="158">
        <f t="shared" si="26"/>
        <v>0.37101507861029837</v>
      </c>
      <c r="J366" s="95">
        <v>1.9805470220584799E-2</v>
      </c>
      <c r="K366" s="137">
        <v>0.72222468700001197</v>
      </c>
      <c r="L366" s="137">
        <v>0.75</v>
      </c>
      <c r="M366" s="137">
        <v>0.68056171750003003</v>
      </c>
      <c r="N366" s="136">
        <v>1</v>
      </c>
      <c r="O366" s="32">
        <v>43076</v>
      </c>
      <c r="P366" s="98">
        <f t="shared" si="27"/>
        <v>0</v>
      </c>
      <c r="Q366">
        <v>7.65</v>
      </c>
      <c r="R366">
        <v>0</v>
      </c>
      <c r="S366">
        <v>0</v>
      </c>
      <c r="T366" s="112" t="s">
        <v>48</v>
      </c>
      <c r="U366" s="137" t="s">
        <v>1057</v>
      </c>
      <c r="V366" s="137" t="s">
        <v>1058</v>
      </c>
      <c r="W366" s="69">
        <v>125</v>
      </c>
      <c r="X366" s="136">
        <v>1</v>
      </c>
      <c r="Y366" s="136">
        <v>5</v>
      </c>
      <c r="Z366" s="314"/>
      <c r="AA366" s="319">
        <v>0.66549999999999998</v>
      </c>
      <c r="AB366" s="315" t="s">
        <v>5193</v>
      </c>
      <c r="AC366" s="319">
        <v>2</v>
      </c>
      <c r="AD366" s="320">
        <v>2.8571428571428501E-2</v>
      </c>
      <c r="AE366" s="319">
        <v>2</v>
      </c>
      <c r="AF366" s="320">
        <v>2.8571428571428501E-2</v>
      </c>
      <c r="AG366" s="319">
        <v>1</v>
      </c>
      <c r="AH366" s="320">
        <v>1.42857142857142E-2</v>
      </c>
      <c r="AI366" s="319">
        <v>2</v>
      </c>
      <c r="AJ366" s="320">
        <v>2.8571428571428501E-2</v>
      </c>
      <c r="AK366" s="320">
        <v>1.428571428571429E-2</v>
      </c>
      <c r="AL366" s="319">
        <v>6.75</v>
      </c>
      <c r="AM366" s="319">
        <v>6.2</v>
      </c>
      <c r="AN366" s="319">
        <v>4.6666666666666599</v>
      </c>
      <c r="AO366" s="319">
        <v>0.58722222222222198</v>
      </c>
      <c r="AP366">
        <v>5</v>
      </c>
      <c r="AR366" s="136"/>
      <c r="AS366">
        <v>5</v>
      </c>
      <c r="AT366" s="69">
        <v>6.3414000000000001</v>
      </c>
      <c r="AU366" s="69">
        <v>5</v>
      </c>
      <c r="AV366" s="69">
        <v>8.1305999999999994</v>
      </c>
      <c r="AW366" s="69">
        <v>0.64910000000000001</v>
      </c>
      <c r="BB366" s="69"/>
    </row>
    <row r="367" spans="1:54" customFormat="1" ht="40" customHeight="1">
      <c r="A367" s="313">
        <v>366</v>
      </c>
      <c r="B367" s="136" t="s">
        <v>589</v>
      </c>
      <c r="C367" s="136" t="s">
        <v>45</v>
      </c>
      <c r="D367" s="31">
        <f t="shared" si="24"/>
        <v>4</v>
      </c>
      <c r="E367" s="137" t="s">
        <v>80</v>
      </c>
      <c r="F367" s="31">
        <f t="shared" si="25"/>
        <v>4</v>
      </c>
      <c r="G367" s="137" t="s">
        <v>1059</v>
      </c>
      <c r="H367" s="138">
        <v>54</v>
      </c>
      <c r="I367" s="158">
        <f t="shared" si="26"/>
        <v>0.42854838980680349</v>
      </c>
      <c r="J367" s="95">
        <v>0.121382493899321</v>
      </c>
      <c r="K367" s="137">
        <v>0.73571428571428599</v>
      </c>
      <c r="L367" s="137">
        <v>0.75</v>
      </c>
      <c r="M367" s="137">
        <v>0.71428571428571397</v>
      </c>
      <c r="N367" s="136">
        <v>1</v>
      </c>
      <c r="O367" s="32">
        <v>43070</v>
      </c>
      <c r="P367" s="98">
        <f t="shared" si="27"/>
        <v>0</v>
      </c>
      <c r="Q367">
        <v>5.0999999999999996</v>
      </c>
      <c r="R367">
        <v>0</v>
      </c>
      <c r="S367">
        <v>0</v>
      </c>
      <c r="T367" s="112" t="s">
        <v>48</v>
      </c>
      <c r="U367" s="137" t="s">
        <v>1060</v>
      </c>
      <c r="V367" s="137" t="s">
        <v>1061</v>
      </c>
      <c r="W367" s="69">
        <v>55</v>
      </c>
      <c r="X367" s="136">
        <v>1</v>
      </c>
      <c r="Y367" s="136">
        <v>4</v>
      </c>
      <c r="Z367" s="314"/>
      <c r="AA367" s="319">
        <v>0.59450000000000003</v>
      </c>
      <c r="AB367" s="315" t="s">
        <v>5194</v>
      </c>
      <c r="AC367" s="319">
        <v>0</v>
      </c>
      <c r="AD367" s="320">
        <v>0</v>
      </c>
      <c r="AE367" s="319">
        <v>1</v>
      </c>
      <c r="AF367" s="320">
        <v>3.2258064516128997E-2</v>
      </c>
      <c r="AG367" s="319">
        <v>0</v>
      </c>
      <c r="AH367" s="320">
        <v>0</v>
      </c>
      <c r="AI367" s="319">
        <v>1</v>
      </c>
      <c r="AJ367" s="320">
        <v>3.2258064516128997E-2</v>
      </c>
      <c r="AK367" s="320">
        <v>0</v>
      </c>
      <c r="AL367" s="319">
        <v>6.75</v>
      </c>
      <c r="AM367" s="319">
        <v>6.2</v>
      </c>
      <c r="AN367" s="319">
        <v>4.6666666666666599</v>
      </c>
      <c r="AO367" s="319">
        <v>0.58722222222222198</v>
      </c>
      <c r="AP367">
        <v>4</v>
      </c>
      <c r="AR367" s="136"/>
      <c r="AS367">
        <v>4</v>
      </c>
      <c r="AT367" s="69">
        <v>6.3414000000000001</v>
      </c>
      <c r="AU367" s="69">
        <v>5</v>
      </c>
      <c r="AV367" s="69">
        <v>8.1305999999999994</v>
      </c>
      <c r="AW367" s="69">
        <v>0.64910000000000001</v>
      </c>
      <c r="BB367" s="69"/>
    </row>
    <row r="368" spans="1:54" customFormat="1" ht="40" customHeight="1">
      <c r="A368" s="313">
        <v>367</v>
      </c>
      <c r="B368" s="136" t="s">
        <v>589</v>
      </c>
      <c r="C368" s="136" t="s">
        <v>45</v>
      </c>
      <c r="D368" s="31">
        <f t="shared" si="24"/>
        <v>4</v>
      </c>
      <c r="E368" s="137" t="s">
        <v>46</v>
      </c>
      <c r="F368" s="31">
        <f t="shared" si="25"/>
        <v>6</v>
      </c>
      <c r="G368" s="137" t="s">
        <v>1062</v>
      </c>
      <c r="H368" s="138">
        <v>140</v>
      </c>
      <c r="I368" s="158">
        <f t="shared" si="26"/>
        <v>0.32622933037328156</v>
      </c>
      <c r="J368" s="95">
        <v>4.0732446872015999E-4</v>
      </c>
      <c r="K368" s="137">
        <v>0.65205133627784295</v>
      </c>
      <c r="L368" s="137">
        <v>0.75</v>
      </c>
      <c r="M368" s="137">
        <v>0.50512834069460699</v>
      </c>
      <c r="N368" s="136">
        <v>1</v>
      </c>
      <c r="O368" s="32">
        <v>43062</v>
      </c>
      <c r="P368" s="98">
        <f t="shared" si="27"/>
        <v>0</v>
      </c>
      <c r="Q368">
        <v>5.0999999999999996</v>
      </c>
      <c r="R368">
        <v>0</v>
      </c>
      <c r="S368">
        <v>0</v>
      </c>
      <c r="T368" s="112" t="s">
        <v>48</v>
      </c>
      <c r="U368" s="137" t="s">
        <v>1063</v>
      </c>
      <c r="V368" s="137" t="s">
        <v>889</v>
      </c>
      <c r="W368" s="69">
        <v>107</v>
      </c>
      <c r="X368" s="136">
        <v>1</v>
      </c>
      <c r="Y368" s="136">
        <v>12</v>
      </c>
      <c r="Z368" s="314"/>
      <c r="AA368" s="319">
        <v>0.60499999999999998</v>
      </c>
      <c r="AB368" s="315" t="s">
        <v>5165</v>
      </c>
      <c r="AC368" s="319">
        <v>3</v>
      </c>
      <c r="AD368" s="320">
        <v>4.7619047619047603E-2</v>
      </c>
      <c r="AE368" s="319">
        <v>2</v>
      </c>
      <c r="AF368" s="320">
        <v>3.1746031746031703E-2</v>
      </c>
      <c r="AG368" s="319">
        <v>1</v>
      </c>
      <c r="AH368" s="320">
        <v>1.5873015873015799E-2</v>
      </c>
      <c r="AI368" s="319">
        <v>2</v>
      </c>
      <c r="AJ368" s="320">
        <v>3.1746031746031703E-2</v>
      </c>
      <c r="AK368" s="320">
        <v>0</v>
      </c>
      <c r="AL368" s="319">
        <v>6.75</v>
      </c>
      <c r="AM368" s="319">
        <v>6.2</v>
      </c>
      <c r="AN368" s="319">
        <v>4.6666666666666599</v>
      </c>
      <c r="AO368" s="319">
        <v>0.58722222222222198</v>
      </c>
      <c r="AP368">
        <v>12</v>
      </c>
      <c r="AR368" s="136"/>
      <c r="AS368">
        <v>12</v>
      </c>
      <c r="AT368" s="69">
        <v>6.3414000000000001</v>
      </c>
      <c r="AU368" s="69">
        <v>5</v>
      </c>
      <c r="AV368" s="69">
        <v>8.1305999999999994</v>
      </c>
      <c r="AW368" s="69">
        <v>0.64910000000000001</v>
      </c>
      <c r="BB368" s="69"/>
    </row>
    <row r="369" spans="1:54" customFormat="1" ht="40" customHeight="1">
      <c r="A369" s="313">
        <v>368</v>
      </c>
      <c r="B369" s="136" t="s">
        <v>589</v>
      </c>
      <c r="C369" s="136" t="s">
        <v>45</v>
      </c>
      <c r="D369" s="31">
        <f t="shared" si="24"/>
        <v>4</v>
      </c>
      <c r="E369" s="137" t="s">
        <v>80</v>
      </c>
      <c r="F369" s="31">
        <f t="shared" si="25"/>
        <v>4</v>
      </c>
      <c r="G369" s="137" t="s">
        <v>1064</v>
      </c>
      <c r="H369" s="138">
        <v>155</v>
      </c>
      <c r="I369" s="158">
        <f t="shared" si="26"/>
        <v>0.38590155530859555</v>
      </c>
      <c r="J369" s="95">
        <v>4.5784236171790803E-3</v>
      </c>
      <c r="K369" s="137">
        <v>0.76722468700001201</v>
      </c>
      <c r="L369" s="137">
        <v>0.82499999999999996</v>
      </c>
      <c r="M369" s="137">
        <v>0.68056171750003003</v>
      </c>
      <c r="N369" s="136">
        <v>1</v>
      </c>
      <c r="O369" s="32">
        <v>43061</v>
      </c>
      <c r="P369" s="98">
        <f t="shared" si="27"/>
        <v>1</v>
      </c>
      <c r="Q369">
        <v>2.5499999999999998</v>
      </c>
      <c r="R369">
        <v>3.3</v>
      </c>
      <c r="S369">
        <v>0</v>
      </c>
      <c r="T369" s="112" t="s">
        <v>73</v>
      </c>
      <c r="U369" s="137" t="s">
        <v>1065</v>
      </c>
      <c r="V369" s="137" t="s">
        <v>1066</v>
      </c>
      <c r="W369" s="69">
        <v>140</v>
      </c>
      <c r="X369" s="136">
        <v>3</v>
      </c>
      <c r="Y369" s="136">
        <v>5</v>
      </c>
      <c r="Z369" s="314"/>
      <c r="AA369" s="319">
        <v>0.54500000000000004</v>
      </c>
      <c r="AB369" s="315" t="s">
        <v>5177</v>
      </c>
      <c r="AC369" s="319">
        <v>1</v>
      </c>
      <c r="AD369" s="320">
        <v>1.20481927710843E-2</v>
      </c>
      <c r="AE369" s="319">
        <v>2</v>
      </c>
      <c r="AF369" s="320">
        <v>2.40963855421686E-2</v>
      </c>
      <c r="AG369" s="319">
        <v>2</v>
      </c>
      <c r="AH369" s="320">
        <v>2.40963855421686E-2</v>
      </c>
      <c r="AI369" s="319">
        <v>0</v>
      </c>
      <c r="AJ369" s="320">
        <v>0</v>
      </c>
      <c r="AK369" s="320">
        <v>2.4096385542168679E-2</v>
      </c>
      <c r="AL369" s="319">
        <v>5</v>
      </c>
      <c r="AM369" s="319">
        <v>6.2</v>
      </c>
      <c r="AN369" s="319">
        <v>4.6666666666666599</v>
      </c>
      <c r="AO369" s="319">
        <v>0.52888888888888796</v>
      </c>
      <c r="AP369">
        <v>5</v>
      </c>
      <c r="AQ369">
        <v>5</v>
      </c>
      <c r="AR369" s="136"/>
      <c r="AT369" s="69">
        <v>2.3148</v>
      </c>
      <c r="AU369" s="69">
        <v>5</v>
      </c>
      <c r="AV369" s="69">
        <v>8.1305999999999994</v>
      </c>
      <c r="AW369" s="69">
        <v>0.51480000000000004</v>
      </c>
      <c r="BB369" s="69"/>
    </row>
    <row r="370" spans="1:54" customFormat="1" ht="40" customHeight="1">
      <c r="A370" s="313">
        <v>369</v>
      </c>
      <c r="B370" s="136" t="s">
        <v>589</v>
      </c>
      <c r="C370" s="136" t="s">
        <v>45</v>
      </c>
      <c r="D370" s="31">
        <f t="shared" si="24"/>
        <v>4</v>
      </c>
      <c r="E370" s="137" t="s">
        <v>80</v>
      </c>
      <c r="F370" s="31">
        <f t="shared" si="25"/>
        <v>4</v>
      </c>
      <c r="G370" s="137" t="s">
        <v>1067</v>
      </c>
      <c r="H370" s="138">
        <v>50</v>
      </c>
      <c r="I370" s="158">
        <f t="shared" si="26"/>
        <v>0.46511019794625602</v>
      </c>
      <c r="J370" s="95">
        <v>0.137363253035369</v>
      </c>
      <c r="K370" s="137">
        <v>0.79285714285714304</v>
      </c>
      <c r="L370" s="137">
        <v>0.75</v>
      </c>
      <c r="M370" s="137">
        <v>0.85714285714285698</v>
      </c>
      <c r="N370" s="136">
        <v>1</v>
      </c>
      <c r="O370" s="32">
        <v>43055</v>
      </c>
      <c r="P370" s="98">
        <f t="shared" si="27"/>
        <v>0</v>
      </c>
      <c r="Q370">
        <v>0</v>
      </c>
      <c r="R370">
        <v>0</v>
      </c>
      <c r="S370">
        <v>0</v>
      </c>
      <c r="T370" s="112" t="s">
        <v>48</v>
      </c>
      <c r="U370" s="137" t="s">
        <v>1068</v>
      </c>
      <c r="V370" s="137" t="s">
        <v>1069</v>
      </c>
      <c r="W370" s="69">
        <v>53</v>
      </c>
      <c r="X370" s="136">
        <v>1</v>
      </c>
      <c r="Y370" s="136">
        <v>1</v>
      </c>
      <c r="Z370" s="314"/>
      <c r="AA370" s="319">
        <v>0.60499999999999998</v>
      </c>
      <c r="AB370" s="315" t="s">
        <v>5165</v>
      </c>
      <c r="AC370" s="319">
        <v>3</v>
      </c>
      <c r="AD370" s="320">
        <v>9.375E-2</v>
      </c>
      <c r="AE370" s="319">
        <v>2</v>
      </c>
      <c r="AF370" s="320">
        <v>6.25E-2</v>
      </c>
      <c r="AG370" s="319">
        <v>1</v>
      </c>
      <c r="AH370" s="320">
        <v>3.125E-2</v>
      </c>
      <c r="AI370" s="319">
        <v>0</v>
      </c>
      <c r="AJ370" s="320">
        <v>0</v>
      </c>
      <c r="AK370" s="320">
        <v>3.125E-2</v>
      </c>
      <c r="AL370" s="319">
        <v>5</v>
      </c>
      <c r="AM370" s="319">
        <v>6.2</v>
      </c>
      <c r="AN370" s="319">
        <v>2</v>
      </c>
      <c r="AO370" s="319">
        <v>0.44</v>
      </c>
      <c r="AP370">
        <v>1</v>
      </c>
      <c r="AR370" s="136">
        <v>1</v>
      </c>
      <c r="AT370" s="69">
        <v>2.3148</v>
      </c>
      <c r="AU370" s="69">
        <v>5</v>
      </c>
      <c r="AV370" s="69">
        <v>2.3148</v>
      </c>
      <c r="AW370" s="69">
        <v>0.32100000000000001</v>
      </c>
      <c r="BB370" s="69"/>
    </row>
    <row r="371" spans="1:54" customFormat="1" ht="40" customHeight="1">
      <c r="A371" s="313">
        <v>370</v>
      </c>
      <c r="B371" s="136" t="s">
        <v>589</v>
      </c>
      <c r="C371" s="136" t="s">
        <v>59</v>
      </c>
      <c r="D371" s="31">
        <f t="shared" si="24"/>
        <v>5</v>
      </c>
      <c r="E371" s="137" t="s">
        <v>46</v>
      </c>
      <c r="F371" s="31">
        <f t="shared" si="25"/>
        <v>6</v>
      </c>
      <c r="G371" s="137" t="s">
        <v>1070</v>
      </c>
      <c r="H371" s="138">
        <v>91</v>
      </c>
      <c r="I371" s="158">
        <f t="shared" si="26"/>
        <v>0.845604122449506</v>
      </c>
      <c r="J371" s="95">
        <v>0.94018257676009098</v>
      </c>
      <c r="K371" s="137">
        <v>0.75102566813892102</v>
      </c>
      <c r="L371" s="137">
        <v>0.75</v>
      </c>
      <c r="M371" s="137">
        <v>0.75256417034730305</v>
      </c>
      <c r="N371" s="136">
        <v>1</v>
      </c>
      <c r="O371" s="32">
        <v>43031</v>
      </c>
      <c r="P371" s="98">
        <f t="shared" si="27"/>
        <v>1</v>
      </c>
      <c r="Q371">
        <v>0</v>
      </c>
      <c r="R371">
        <v>0</v>
      </c>
      <c r="S371">
        <v>0</v>
      </c>
      <c r="T371" s="112" t="s">
        <v>73</v>
      </c>
      <c r="U371" s="137" t="s">
        <v>1071</v>
      </c>
      <c r="V371" s="137" t="s">
        <v>1072</v>
      </c>
      <c r="W371" s="69">
        <v>28</v>
      </c>
      <c r="X371" s="136">
        <v>3</v>
      </c>
      <c r="Y371" s="136">
        <v>3</v>
      </c>
      <c r="Z371" s="314"/>
      <c r="AA371" s="319">
        <v>0.45909090909090899</v>
      </c>
      <c r="AB371" s="315" t="s">
        <v>5176</v>
      </c>
      <c r="AC371" s="319">
        <v>0</v>
      </c>
      <c r="AD371" s="320">
        <v>0</v>
      </c>
      <c r="AE371" s="319">
        <v>1</v>
      </c>
      <c r="AF371" s="320">
        <v>7.1428571428571397E-2</v>
      </c>
      <c r="AG371" s="319">
        <v>0</v>
      </c>
      <c r="AH371" s="320">
        <v>0</v>
      </c>
      <c r="AI371" s="319">
        <v>0</v>
      </c>
      <c r="AJ371" s="320">
        <v>0</v>
      </c>
      <c r="AK371" s="320">
        <v>0</v>
      </c>
      <c r="AL371" s="319">
        <v>5</v>
      </c>
      <c r="AM371" s="319">
        <v>5</v>
      </c>
      <c r="AN371" s="319">
        <v>2</v>
      </c>
      <c r="AO371" s="319">
        <v>0.4</v>
      </c>
      <c r="AP371">
        <v>3</v>
      </c>
      <c r="AQ371">
        <v>3</v>
      </c>
      <c r="AR371" s="136"/>
      <c r="AT371" s="69">
        <v>2.3148</v>
      </c>
      <c r="AU371" s="69">
        <v>2.3148</v>
      </c>
      <c r="AV371" s="69">
        <v>2.3148</v>
      </c>
      <c r="AW371" s="69">
        <v>0.23150000000000001</v>
      </c>
      <c r="BB371" s="69"/>
    </row>
    <row r="372" spans="1:54" customFormat="1" ht="40" customHeight="1">
      <c r="A372" s="313">
        <v>371</v>
      </c>
      <c r="B372" s="136" t="s">
        <v>589</v>
      </c>
      <c r="C372" s="136" t="s">
        <v>59</v>
      </c>
      <c r="D372" s="31">
        <f t="shared" si="24"/>
        <v>5</v>
      </c>
      <c r="E372" s="137" t="s">
        <v>46</v>
      </c>
      <c r="F372" s="31">
        <f t="shared" si="25"/>
        <v>6</v>
      </c>
      <c r="G372" s="137" t="s">
        <v>1073</v>
      </c>
      <c r="H372" s="138">
        <v>87</v>
      </c>
      <c r="I372" s="158">
        <f t="shared" si="26"/>
        <v>0.82838104160381398</v>
      </c>
      <c r="J372" s="95">
        <v>0.99914697104706096</v>
      </c>
      <c r="K372" s="137">
        <v>0.65761511216056701</v>
      </c>
      <c r="L372" s="137">
        <v>0.61983471074380203</v>
      </c>
      <c r="M372" s="137">
        <v>0.71428571428571397</v>
      </c>
      <c r="N372" s="136">
        <v>0</v>
      </c>
      <c r="O372" s="32">
        <v>43028</v>
      </c>
      <c r="P372" s="98">
        <f t="shared" si="27"/>
        <v>1</v>
      </c>
      <c r="Q372">
        <v>0</v>
      </c>
      <c r="R372">
        <v>0</v>
      </c>
      <c r="S372">
        <v>0</v>
      </c>
      <c r="T372" s="112" t="s">
        <v>73</v>
      </c>
      <c r="U372" s="137" t="s">
        <v>1074</v>
      </c>
      <c r="V372" s="137" t="s">
        <v>1075</v>
      </c>
      <c r="W372" s="69">
        <v>114</v>
      </c>
      <c r="X372" s="136">
        <v>3</v>
      </c>
      <c r="Y372" s="136">
        <v>4</v>
      </c>
      <c r="Z372" s="314"/>
      <c r="AA372" s="319">
        <v>0.5</v>
      </c>
      <c r="AB372" s="315" t="s">
        <v>5165</v>
      </c>
      <c r="AC372" s="319">
        <v>2</v>
      </c>
      <c r="AD372" s="320">
        <v>3.0769230769230702E-2</v>
      </c>
      <c r="AE372" s="319">
        <v>1</v>
      </c>
      <c r="AF372" s="320">
        <v>1.53846153846153E-2</v>
      </c>
      <c r="AG372" s="319">
        <v>0</v>
      </c>
      <c r="AH372" s="320">
        <v>0</v>
      </c>
      <c r="AI372" s="319">
        <v>1</v>
      </c>
      <c r="AJ372" s="320">
        <v>1.53846153846153E-2</v>
      </c>
      <c r="AK372" s="320">
        <v>0</v>
      </c>
      <c r="AL372" s="319">
        <v>5</v>
      </c>
      <c r="AM372" s="319">
        <v>5</v>
      </c>
      <c r="AN372" s="319">
        <v>2</v>
      </c>
      <c r="AO372" s="319">
        <v>0.4</v>
      </c>
      <c r="AP372">
        <v>4</v>
      </c>
      <c r="AR372" s="136">
        <v>4</v>
      </c>
      <c r="AT372" s="69">
        <v>2.3148</v>
      </c>
      <c r="AU372" s="69">
        <v>2.3148</v>
      </c>
      <c r="AV372" s="69">
        <v>2.3148</v>
      </c>
      <c r="AW372" s="69">
        <v>0.23150000000000001</v>
      </c>
      <c r="BB372" s="69"/>
    </row>
    <row r="373" spans="1:54" customFormat="1" ht="40" customHeight="1">
      <c r="A373" s="313">
        <v>372</v>
      </c>
      <c r="B373" s="136" t="s">
        <v>589</v>
      </c>
      <c r="C373" s="136" t="s">
        <v>45</v>
      </c>
      <c r="D373" s="31">
        <f t="shared" si="24"/>
        <v>4</v>
      </c>
      <c r="E373" s="137" t="s">
        <v>46</v>
      </c>
      <c r="F373" s="31">
        <f t="shared" si="25"/>
        <v>6</v>
      </c>
      <c r="G373" s="137" t="s">
        <v>1076</v>
      </c>
      <c r="H373" s="138">
        <v>205</v>
      </c>
      <c r="I373" s="158">
        <f t="shared" si="26"/>
        <v>0.37931450393768662</v>
      </c>
      <c r="J373" s="95">
        <v>7.6033397364522201E-3</v>
      </c>
      <c r="K373" s="137">
        <v>0.75102566813892102</v>
      </c>
      <c r="L373" s="137">
        <v>0.75</v>
      </c>
      <c r="M373" s="137">
        <v>0.75256417034730305</v>
      </c>
      <c r="N373" s="136">
        <v>1</v>
      </c>
      <c r="O373" s="32">
        <v>43018</v>
      </c>
      <c r="P373" s="98">
        <f t="shared" si="27"/>
        <v>0</v>
      </c>
      <c r="Q373">
        <v>2.5499999999999998</v>
      </c>
      <c r="R373">
        <v>0</v>
      </c>
      <c r="S373">
        <v>1.87</v>
      </c>
      <c r="T373" s="112" t="s">
        <v>48</v>
      </c>
      <c r="U373" s="137" t="s">
        <v>1077</v>
      </c>
      <c r="V373" s="137" t="s">
        <v>1078</v>
      </c>
      <c r="W373" s="69">
        <v>150</v>
      </c>
      <c r="X373" s="136">
        <v>3</v>
      </c>
      <c r="Y373" s="136">
        <v>3</v>
      </c>
      <c r="Z373" s="314"/>
      <c r="AA373" s="319">
        <v>0.5</v>
      </c>
      <c r="AB373" s="315" t="s">
        <v>5165</v>
      </c>
      <c r="AC373" s="319">
        <v>4</v>
      </c>
      <c r="AD373" s="320">
        <v>4.9382716049382699E-2</v>
      </c>
      <c r="AE373" s="319">
        <v>0</v>
      </c>
      <c r="AF373" s="320">
        <v>0</v>
      </c>
      <c r="AG373" s="319">
        <v>1</v>
      </c>
      <c r="AH373" s="320">
        <v>1.23456790123456E-2</v>
      </c>
      <c r="AI373" s="319">
        <v>0</v>
      </c>
      <c r="AJ373" s="320">
        <v>0</v>
      </c>
      <c r="AK373" s="320">
        <v>0</v>
      </c>
      <c r="AL373" s="319">
        <v>5</v>
      </c>
      <c r="AM373" s="319">
        <v>6.2</v>
      </c>
      <c r="AN373" s="319">
        <v>7.3333333333333304</v>
      </c>
      <c r="AO373" s="319">
        <v>0.61777777777777698</v>
      </c>
      <c r="AP373">
        <v>3</v>
      </c>
      <c r="AR373" s="136">
        <v>3</v>
      </c>
      <c r="AT373" s="69">
        <v>2.3148</v>
      </c>
      <c r="AU373" s="69">
        <v>5</v>
      </c>
      <c r="AV373" s="69">
        <v>9.8416999999999994</v>
      </c>
      <c r="AW373" s="69">
        <v>0.57189999999999996</v>
      </c>
      <c r="BB373" s="69"/>
    </row>
    <row r="374" spans="1:54" customFormat="1" ht="40" customHeight="1">
      <c r="A374" s="313">
        <v>373</v>
      </c>
      <c r="B374" s="136" t="s">
        <v>589</v>
      </c>
      <c r="C374" s="136" t="s">
        <v>45</v>
      </c>
      <c r="D374" s="31">
        <f t="shared" si="24"/>
        <v>4</v>
      </c>
      <c r="E374" s="137" t="s">
        <v>80</v>
      </c>
      <c r="F374" s="31">
        <f t="shared" si="25"/>
        <v>4</v>
      </c>
      <c r="G374" s="137" t="s">
        <v>1079</v>
      </c>
      <c r="H374" s="138">
        <v>56</v>
      </c>
      <c r="I374" s="158">
        <f t="shared" si="26"/>
        <v>0.76589638202421351</v>
      </c>
      <c r="J374" s="95">
        <v>0.91739879979800798</v>
      </c>
      <c r="K374" s="137">
        <v>0.61439396425041903</v>
      </c>
      <c r="L374" s="137">
        <v>0.75</v>
      </c>
      <c r="M374" s="137">
        <v>0.41098491062604903</v>
      </c>
      <c r="N374" s="136">
        <v>1</v>
      </c>
      <c r="O374" s="32">
        <v>43000</v>
      </c>
      <c r="P374" s="98">
        <f t="shared" si="27"/>
        <v>0</v>
      </c>
      <c r="Q374">
        <v>2.5499999999999998</v>
      </c>
      <c r="R374">
        <v>0</v>
      </c>
      <c r="S374">
        <v>0</v>
      </c>
      <c r="T374" s="112" t="s">
        <v>48</v>
      </c>
      <c r="U374" s="137" t="s">
        <v>1080</v>
      </c>
      <c r="V374" s="137" t="s">
        <v>1081</v>
      </c>
      <c r="W374" s="69">
        <v>39</v>
      </c>
      <c r="X374" s="136">
        <v>1</v>
      </c>
      <c r="Y374" s="136">
        <v>17</v>
      </c>
      <c r="Z374" s="314"/>
      <c r="AA374" s="319">
        <v>0.45454545454545398</v>
      </c>
      <c r="AB374" s="315" t="s">
        <v>5176</v>
      </c>
      <c r="AC374" s="319">
        <v>0</v>
      </c>
      <c r="AD374" s="320">
        <v>0</v>
      </c>
      <c r="AE374" s="319">
        <v>3</v>
      </c>
      <c r="AF374" s="320">
        <v>0.13043478260869501</v>
      </c>
      <c r="AG374" s="319">
        <v>0</v>
      </c>
      <c r="AH374" s="320">
        <v>0</v>
      </c>
      <c r="AI374" s="319">
        <v>0</v>
      </c>
      <c r="AJ374" s="320">
        <v>0</v>
      </c>
      <c r="AK374" s="320">
        <v>4.3478260869565223E-2</v>
      </c>
      <c r="AL374" s="319">
        <v>5</v>
      </c>
      <c r="AM374" s="319">
        <v>5</v>
      </c>
      <c r="AN374" s="319">
        <v>2</v>
      </c>
      <c r="AO374" s="319">
        <v>0.4</v>
      </c>
      <c r="AP374">
        <v>17</v>
      </c>
      <c r="AQ374">
        <v>17</v>
      </c>
      <c r="AR374" s="136"/>
      <c r="AT374" s="69">
        <v>2.3148</v>
      </c>
      <c r="AU374" s="69">
        <v>2.3148</v>
      </c>
      <c r="AV374" s="69">
        <v>2.3148</v>
      </c>
      <c r="AW374" s="69">
        <v>0.23150000000000001</v>
      </c>
      <c r="BB374" s="69"/>
    </row>
    <row r="375" spans="1:54" customFormat="1" ht="40" customHeight="1">
      <c r="A375" s="313">
        <v>374</v>
      </c>
      <c r="B375" s="136" t="s">
        <v>589</v>
      </c>
      <c r="C375" s="136" t="s">
        <v>45</v>
      </c>
      <c r="D375" s="31">
        <f t="shared" si="24"/>
        <v>4</v>
      </c>
      <c r="E375" s="137" t="s">
        <v>519</v>
      </c>
      <c r="F375" s="31">
        <f t="shared" si="25"/>
        <v>5</v>
      </c>
      <c r="G375" s="137" t="s">
        <v>520</v>
      </c>
      <c r="H375" s="138">
        <v>50</v>
      </c>
      <c r="I375" s="158">
        <f t="shared" si="26"/>
        <v>0.87960259452324507</v>
      </c>
      <c r="J375" s="95">
        <v>0.99001739261066701</v>
      </c>
      <c r="K375" s="137">
        <v>0.76918779643582302</v>
      </c>
      <c r="L375" s="137">
        <v>0.75</v>
      </c>
      <c r="M375" s="137">
        <v>0.79796949108955795</v>
      </c>
      <c r="N375" s="136">
        <v>1</v>
      </c>
      <c r="O375" s="32">
        <v>42998</v>
      </c>
      <c r="P375" s="98">
        <f t="shared" si="27"/>
        <v>2</v>
      </c>
      <c r="Q375">
        <v>0</v>
      </c>
      <c r="R375">
        <v>1.65</v>
      </c>
      <c r="S375">
        <v>1.87</v>
      </c>
      <c r="T375" s="112" t="s">
        <v>64</v>
      </c>
      <c r="U375" s="137" t="s">
        <v>1082</v>
      </c>
      <c r="V375" s="137" t="s">
        <v>1083</v>
      </c>
      <c r="W375" s="69">
        <v>55</v>
      </c>
      <c r="X375" s="136">
        <v>2</v>
      </c>
      <c r="Y375" s="136">
        <v>2</v>
      </c>
      <c r="Z375" s="314"/>
      <c r="AA375" s="319">
        <v>0.45909090909090899</v>
      </c>
      <c r="AB375" s="315" t="s">
        <v>5165</v>
      </c>
      <c r="AC375" s="319">
        <v>2</v>
      </c>
      <c r="AD375" s="320">
        <v>6.8965517241379296E-2</v>
      </c>
      <c r="AE375" s="319">
        <v>0</v>
      </c>
      <c r="AF375" s="320">
        <v>0</v>
      </c>
      <c r="AG375" s="319">
        <v>1</v>
      </c>
      <c r="AH375" s="320">
        <v>3.4482758620689599E-2</v>
      </c>
      <c r="AI375" s="319">
        <v>0</v>
      </c>
      <c r="AJ375" s="320">
        <v>0</v>
      </c>
      <c r="AK375" s="320">
        <v>0</v>
      </c>
      <c r="AL375" s="319">
        <v>5</v>
      </c>
      <c r="AM375" s="319">
        <v>5</v>
      </c>
      <c r="AN375" s="319">
        <v>2</v>
      </c>
      <c r="AO375" s="319">
        <v>0.4</v>
      </c>
      <c r="AP375">
        <v>2</v>
      </c>
      <c r="AR375" s="136">
        <v>2</v>
      </c>
      <c r="AT375" s="69">
        <v>2.3148</v>
      </c>
      <c r="AU375" s="69">
        <v>2.3148</v>
      </c>
      <c r="AV375" s="69">
        <v>2.3148</v>
      </c>
      <c r="AW375" s="69">
        <v>0.23150000000000001</v>
      </c>
      <c r="BB375" s="69"/>
    </row>
    <row r="376" spans="1:54" customFormat="1" ht="40" customHeight="1">
      <c r="A376" s="313">
        <v>375</v>
      </c>
      <c r="B376" s="136" t="s">
        <v>589</v>
      </c>
      <c r="C376" s="136" t="s">
        <v>45</v>
      </c>
      <c r="D376" s="31">
        <f t="shared" si="24"/>
        <v>4</v>
      </c>
      <c r="E376" s="137" t="s">
        <v>80</v>
      </c>
      <c r="F376" s="31">
        <f t="shared" si="25"/>
        <v>4</v>
      </c>
      <c r="G376" s="137" t="s">
        <v>1084</v>
      </c>
      <c r="H376" s="138">
        <v>161</v>
      </c>
      <c r="I376" s="158">
        <f t="shared" si="26"/>
        <v>0.31983691201113351</v>
      </c>
      <c r="J376" s="95">
        <v>6.5352923054580198E-3</v>
      </c>
      <c r="K376" s="137">
        <v>0.63313853171680901</v>
      </c>
      <c r="L376" s="137">
        <v>0.82499999999999996</v>
      </c>
      <c r="M376" s="137">
        <v>0.34534632929202302</v>
      </c>
      <c r="N376" s="136">
        <v>1</v>
      </c>
      <c r="O376" s="32">
        <v>42997</v>
      </c>
      <c r="P376" s="98">
        <f t="shared" si="27"/>
        <v>0</v>
      </c>
      <c r="Q376">
        <v>0</v>
      </c>
      <c r="R376">
        <v>0</v>
      </c>
      <c r="S376">
        <v>0</v>
      </c>
      <c r="T376" s="112" t="s">
        <v>48</v>
      </c>
      <c r="U376" s="137" t="s">
        <v>1085</v>
      </c>
      <c r="V376" s="137" t="s">
        <v>1086</v>
      </c>
      <c r="W376" s="69">
        <v>120</v>
      </c>
      <c r="X376" s="136">
        <v>2</v>
      </c>
      <c r="Y376" s="136">
        <v>21</v>
      </c>
      <c r="Z376" s="314"/>
      <c r="AA376" s="319">
        <v>0.5</v>
      </c>
      <c r="AB376" s="315" t="s">
        <v>5165</v>
      </c>
      <c r="AC376" s="319">
        <v>2</v>
      </c>
      <c r="AD376" s="320">
        <v>3.1746031746031703E-2</v>
      </c>
      <c r="AE376" s="319">
        <v>0</v>
      </c>
      <c r="AF376" s="320">
        <v>0</v>
      </c>
      <c r="AG376" s="319">
        <v>1</v>
      </c>
      <c r="AH376" s="320">
        <v>1.5873015873015799E-2</v>
      </c>
      <c r="AI376" s="319">
        <v>0</v>
      </c>
      <c r="AJ376" s="320">
        <v>0</v>
      </c>
      <c r="AK376" s="320">
        <v>0</v>
      </c>
      <c r="AL376" s="319">
        <v>5</v>
      </c>
      <c r="AM376" s="319">
        <v>6.2</v>
      </c>
      <c r="AN376" s="319">
        <v>4.6666666666666599</v>
      </c>
      <c r="AO376" s="319">
        <v>0.52888888888888796</v>
      </c>
      <c r="AP376">
        <v>21</v>
      </c>
      <c r="AQ376">
        <v>21</v>
      </c>
      <c r="AR376" s="136"/>
      <c r="AT376" s="69">
        <v>2.3148</v>
      </c>
      <c r="AU376" s="69">
        <v>5</v>
      </c>
      <c r="AV376" s="69">
        <v>8.1305999999999994</v>
      </c>
      <c r="AW376" s="69">
        <v>0.51480000000000004</v>
      </c>
      <c r="BB376" s="69"/>
    </row>
    <row r="377" spans="1:54" customFormat="1" ht="40" customHeight="1">
      <c r="A377" s="313">
        <v>376</v>
      </c>
      <c r="B377" s="136" t="s">
        <v>589</v>
      </c>
      <c r="C377" s="136" t="s">
        <v>45</v>
      </c>
      <c r="D377" s="31">
        <f t="shared" si="24"/>
        <v>4</v>
      </c>
      <c r="E377" s="137" t="s">
        <v>80</v>
      </c>
      <c r="F377" s="31">
        <f t="shared" si="25"/>
        <v>4</v>
      </c>
      <c r="G377" s="137" t="s">
        <v>1087</v>
      </c>
      <c r="H377" s="138">
        <v>116</v>
      </c>
      <c r="I377" s="158">
        <f t="shared" si="26"/>
        <v>0.32603704526381627</v>
      </c>
      <c r="J377" s="95">
        <v>2.2754249789591602E-5</v>
      </c>
      <c r="K377" s="137">
        <v>0.65205133627784295</v>
      </c>
      <c r="L377" s="137">
        <v>0.75</v>
      </c>
      <c r="M377" s="137">
        <v>0.50512834069460699</v>
      </c>
      <c r="N377" s="136">
        <v>1</v>
      </c>
      <c r="O377" s="32">
        <v>42984</v>
      </c>
      <c r="P377" s="98">
        <f t="shared" si="27"/>
        <v>0</v>
      </c>
      <c r="Q377">
        <v>5.0999999999999996</v>
      </c>
      <c r="R377">
        <v>0</v>
      </c>
      <c r="S377">
        <v>0</v>
      </c>
      <c r="T377" s="112" t="s">
        <v>48</v>
      </c>
      <c r="U377" s="137" t="s">
        <v>1088</v>
      </c>
      <c r="V377" s="137" t="s">
        <v>1089</v>
      </c>
      <c r="W377" s="69">
        <v>39</v>
      </c>
      <c r="X377" s="136">
        <v>1</v>
      </c>
      <c r="Y377" s="136">
        <v>12</v>
      </c>
      <c r="Z377" s="314"/>
      <c r="AA377" s="319">
        <v>0.58399999999999996</v>
      </c>
      <c r="AB377" s="315" t="s">
        <v>5176</v>
      </c>
      <c r="AC377" s="319">
        <v>0</v>
      </c>
      <c r="AD377" s="320">
        <v>0</v>
      </c>
      <c r="AE377" s="319">
        <v>2</v>
      </c>
      <c r="AF377" s="320">
        <v>9.5238095238095205E-2</v>
      </c>
      <c r="AG377" s="319">
        <v>0</v>
      </c>
      <c r="AH377" s="320">
        <v>0</v>
      </c>
      <c r="AI377" s="319">
        <v>0</v>
      </c>
      <c r="AJ377" s="320">
        <v>0</v>
      </c>
      <c r="AK377" s="320">
        <v>4.7619047619047623E-2</v>
      </c>
      <c r="AL377" s="319">
        <v>5</v>
      </c>
      <c r="AM377" s="319">
        <v>6.2</v>
      </c>
      <c r="AN377" s="319">
        <v>7.3333333333333304</v>
      </c>
      <c r="AO377" s="319">
        <v>0.61777777777777698</v>
      </c>
      <c r="AP377">
        <v>12</v>
      </c>
      <c r="AQ377">
        <v>12</v>
      </c>
      <c r="AR377" s="136"/>
      <c r="AT377" s="69">
        <v>2.3148</v>
      </c>
      <c r="AU377" s="69">
        <v>5</v>
      </c>
      <c r="AV377" s="69">
        <v>9.8416999999999994</v>
      </c>
      <c r="AW377" s="69">
        <v>0.57189999999999996</v>
      </c>
      <c r="BB377" s="69"/>
    </row>
    <row r="378" spans="1:54" customFormat="1" ht="40" customHeight="1">
      <c r="A378" s="313">
        <v>377</v>
      </c>
      <c r="B378" s="136" t="s">
        <v>589</v>
      </c>
      <c r="C378" s="136" t="s">
        <v>45</v>
      </c>
      <c r="D378" s="31">
        <f t="shared" si="24"/>
        <v>4</v>
      </c>
      <c r="E378" s="137" t="s">
        <v>80</v>
      </c>
      <c r="F378" s="31">
        <f t="shared" si="25"/>
        <v>4</v>
      </c>
      <c r="G378" s="137" t="s">
        <v>1087</v>
      </c>
      <c r="H378" s="138">
        <v>38</v>
      </c>
      <c r="I378" s="158">
        <f t="shared" si="26"/>
        <v>0.47927363296554354</v>
      </c>
      <c r="J378" s="95">
        <v>0.16569012307394401</v>
      </c>
      <c r="K378" s="137">
        <v>0.79285714285714304</v>
      </c>
      <c r="L378" s="137">
        <v>0.75</v>
      </c>
      <c r="M378" s="137">
        <v>0.85714285714285698</v>
      </c>
      <c r="N378" s="136">
        <v>1</v>
      </c>
      <c r="O378" s="32">
        <v>42981</v>
      </c>
      <c r="P378" s="98">
        <f t="shared" si="27"/>
        <v>0</v>
      </c>
      <c r="Q378">
        <v>0</v>
      </c>
      <c r="R378">
        <v>0</v>
      </c>
      <c r="S378">
        <v>0</v>
      </c>
      <c r="T378" s="112" t="s">
        <v>48</v>
      </c>
      <c r="U378" s="137" t="s">
        <v>1090</v>
      </c>
      <c r="V378" s="137" t="s">
        <v>1091</v>
      </c>
      <c r="W378" s="69">
        <v>60</v>
      </c>
      <c r="X378" s="136">
        <v>1</v>
      </c>
      <c r="Y378" s="136">
        <v>1</v>
      </c>
      <c r="Z378" s="314"/>
      <c r="AA378" s="319">
        <v>0.59450000000000003</v>
      </c>
      <c r="AB378" s="315" t="s">
        <v>5177</v>
      </c>
      <c r="AC378" s="319">
        <v>0</v>
      </c>
      <c r="AD378" s="320">
        <v>0</v>
      </c>
      <c r="AE378" s="319">
        <v>2</v>
      </c>
      <c r="AF378" s="320">
        <v>5.7142857142857099E-2</v>
      </c>
      <c r="AG378" s="319">
        <v>2</v>
      </c>
      <c r="AH378" s="320">
        <v>5.7142857142857099E-2</v>
      </c>
      <c r="AI378" s="319">
        <v>0</v>
      </c>
      <c r="AJ378" s="320">
        <v>0</v>
      </c>
      <c r="AK378" s="320">
        <v>2.8571428571428571E-2</v>
      </c>
      <c r="AL378" s="319">
        <v>5</v>
      </c>
      <c r="AM378" s="319">
        <v>6.2</v>
      </c>
      <c r="AN378" s="319">
        <v>7.3333333333333304</v>
      </c>
      <c r="AO378" s="319">
        <v>0.61777777777777698</v>
      </c>
      <c r="AP378">
        <v>1</v>
      </c>
      <c r="AQ378">
        <v>1</v>
      </c>
      <c r="AR378" s="136"/>
      <c r="AT378" s="69">
        <v>2.3148</v>
      </c>
      <c r="AU378" s="69">
        <v>5</v>
      </c>
      <c r="AV378" s="69">
        <v>9.8416999999999994</v>
      </c>
      <c r="AW378" s="69">
        <v>0.57189999999999996</v>
      </c>
      <c r="BB378" s="69"/>
    </row>
    <row r="379" spans="1:54" customFormat="1" ht="40" customHeight="1">
      <c r="A379" s="313">
        <v>378</v>
      </c>
      <c r="B379" s="136" t="s">
        <v>589</v>
      </c>
      <c r="C379" s="136" t="s">
        <v>45</v>
      </c>
      <c r="D379" s="31">
        <f t="shared" si="24"/>
        <v>4</v>
      </c>
      <c r="E379" s="137" t="s">
        <v>46</v>
      </c>
      <c r="F379" s="31">
        <f t="shared" si="25"/>
        <v>6</v>
      </c>
      <c r="G379" s="137" t="s">
        <v>1092</v>
      </c>
      <c r="H379" s="138">
        <v>203</v>
      </c>
      <c r="I379" s="158">
        <f t="shared" si="26"/>
        <v>0.40454545456564933</v>
      </c>
      <c r="J379" s="95">
        <v>4.0389691591258302E-11</v>
      </c>
      <c r="K379" s="137">
        <v>0.80909090909090897</v>
      </c>
      <c r="L379" s="137">
        <v>0.68181818181818199</v>
      </c>
      <c r="M379" s="137">
        <v>1</v>
      </c>
      <c r="N379" s="136">
        <v>1</v>
      </c>
      <c r="O379" s="32">
        <v>42969</v>
      </c>
      <c r="P379" s="98">
        <f t="shared" si="27"/>
        <v>0</v>
      </c>
      <c r="Q379">
        <v>0</v>
      </c>
      <c r="R379">
        <v>0</v>
      </c>
      <c r="S379">
        <v>0</v>
      </c>
      <c r="T379" s="112" t="s">
        <v>48</v>
      </c>
      <c r="U379" s="137" t="s">
        <v>1093</v>
      </c>
      <c r="V379" s="137" t="s">
        <v>1094</v>
      </c>
      <c r="W379" s="69">
        <v>57</v>
      </c>
      <c r="X379" s="136">
        <v>1</v>
      </c>
      <c r="Y379" s="136">
        <v>0</v>
      </c>
      <c r="Z379" s="314"/>
      <c r="AA379" s="319">
        <v>0.55000000000000004</v>
      </c>
      <c r="AB379" s="315" t="s">
        <v>5177</v>
      </c>
      <c r="AC379" s="319">
        <v>0</v>
      </c>
      <c r="AD379" s="320">
        <v>0</v>
      </c>
      <c r="AE379" s="319">
        <v>2</v>
      </c>
      <c r="AF379" s="320">
        <v>5.8823529411764698E-2</v>
      </c>
      <c r="AG379" s="319">
        <v>2</v>
      </c>
      <c r="AH379" s="320">
        <v>5.8823529411764698E-2</v>
      </c>
      <c r="AI379" s="319">
        <v>0</v>
      </c>
      <c r="AJ379" s="320">
        <v>0</v>
      </c>
      <c r="AK379" s="320">
        <v>2.9411764705882349E-2</v>
      </c>
      <c r="AL379" s="319">
        <v>5</v>
      </c>
      <c r="AM379" s="319">
        <v>5</v>
      </c>
      <c r="AN379" s="319">
        <v>2</v>
      </c>
      <c r="AO379" s="319">
        <v>0.4</v>
      </c>
      <c r="AP379">
        <v>0</v>
      </c>
      <c r="AR379" s="136">
        <v>0</v>
      </c>
      <c r="AT379" s="69">
        <v>2.3148</v>
      </c>
      <c r="AU379" s="69">
        <v>2.3148</v>
      </c>
      <c r="AV379" s="69">
        <v>2.3148</v>
      </c>
      <c r="AW379" s="69">
        <v>0.23150000000000001</v>
      </c>
      <c r="BB379" s="69"/>
    </row>
    <row r="380" spans="1:54" customFormat="1" ht="40" customHeight="1">
      <c r="A380" s="313">
        <v>379</v>
      </c>
      <c r="B380" s="136" t="s">
        <v>589</v>
      </c>
      <c r="C380" s="136" t="s">
        <v>59</v>
      </c>
      <c r="D380" s="31">
        <f t="shared" si="24"/>
        <v>5</v>
      </c>
      <c r="E380" s="137" t="s">
        <v>46</v>
      </c>
      <c r="F380" s="31">
        <f t="shared" si="25"/>
        <v>6</v>
      </c>
      <c r="G380" s="137" t="s">
        <v>1095</v>
      </c>
      <c r="H380" s="138">
        <v>174</v>
      </c>
      <c r="I380" s="158">
        <f t="shared" si="26"/>
        <v>0.80332068185029648</v>
      </c>
      <c r="J380" s="95">
        <v>0.81378422084345003</v>
      </c>
      <c r="K380" s="137">
        <v>0.79285714285714304</v>
      </c>
      <c r="L380" s="137">
        <v>0.75</v>
      </c>
      <c r="M380" s="137">
        <v>0.85714285714285698</v>
      </c>
      <c r="N380" s="136">
        <v>1</v>
      </c>
      <c r="O380" s="32">
        <v>42968</v>
      </c>
      <c r="P380" s="98">
        <f t="shared" si="27"/>
        <v>1</v>
      </c>
      <c r="Q380">
        <v>0</v>
      </c>
      <c r="R380">
        <v>3.3</v>
      </c>
      <c r="S380">
        <v>1.87</v>
      </c>
      <c r="T380" s="112" t="s">
        <v>73</v>
      </c>
      <c r="U380" s="137" t="s">
        <v>1096</v>
      </c>
      <c r="V380" s="137" t="s">
        <v>1097</v>
      </c>
      <c r="W380" s="69">
        <v>65</v>
      </c>
      <c r="X380" s="136">
        <v>1</v>
      </c>
      <c r="Y380" s="136">
        <v>1</v>
      </c>
      <c r="Z380" s="314"/>
      <c r="AA380" s="319">
        <v>0.60499999999999998</v>
      </c>
      <c r="AB380" s="315" t="s">
        <v>5177</v>
      </c>
      <c r="AC380" s="319">
        <v>0</v>
      </c>
      <c r="AD380" s="320">
        <v>0</v>
      </c>
      <c r="AE380" s="319">
        <v>2</v>
      </c>
      <c r="AF380" s="320">
        <v>5.2631578947368397E-2</v>
      </c>
      <c r="AG380" s="319">
        <v>2</v>
      </c>
      <c r="AH380" s="320">
        <v>5.2631578947368397E-2</v>
      </c>
      <c r="AI380" s="319">
        <v>0</v>
      </c>
      <c r="AJ380" s="320">
        <v>0</v>
      </c>
      <c r="AK380" s="320">
        <v>2.6315789473684209E-2</v>
      </c>
      <c r="AL380" s="319">
        <v>5</v>
      </c>
      <c r="AM380" s="319">
        <v>6.2</v>
      </c>
      <c r="AN380" s="319">
        <v>2</v>
      </c>
      <c r="AO380" s="319">
        <v>0.44</v>
      </c>
      <c r="AP380">
        <v>1</v>
      </c>
      <c r="AR380" s="136">
        <v>1</v>
      </c>
      <c r="AT380" s="69">
        <v>2.3148</v>
      </c>
      <c r="AU380" s="69">
        <v>5</v>
      </c>
      <c r="AV380" s="69">
        <v>2.3148</v>
      </c>
      <c r="AW380" s="69">
        <v>0.32100000000000001</v>
      </c>
      <c r="BB380" s="69"/>
    </row>
    <row r="381" spans="1:54" customFormat="1" ht="40" customHeight="1">
      <c r="A381" s="313">
        <v>380</v>
      </c>
      <c r="B381" s="136" t="s">
        <v>589</v>
      </c>
      <c r="C381" s="136" t="s">
        <v>59</v>
      </c>
      <c r="D381" s="31">
        <f t="shared" si="24"/>
        <v>5</v>
      </c>
      <c r="E381" s="137" t="s">
        <v>46</v>
      </c>
      <c r="F381" s="31">
        <f t="shared" si="25"/>
        <v>6</v>
      </c>
      <c r="G381" s="137" t="s">
        <v>1098</v>
      </c>
      <c r="H381" s="138">
        <v>92</v>
      </c>
      <c r="I381" s="158">
        <f t="shared" si="26"/>
        <v>0.87216442029430108</v>
      </c>
      <c r="J381" s="95">
        <v>0.99238078864055002</v>
      </c>
      <c r="K381" s="137">
        <v>0.75194805194805203</v>
      </c>
      <c r="L381" s="137">
        <v>0.68181818181818199</v>
      </c>
      <c r="M381" s="137">
        <v>0.85714285714285698</v>
      </c>
      <c r="N381" s="136">
        <v>1</v>
      </c>
      <c r="O381" s="32">
        <v>42949</v>
      </c>
      <c r="P381" s="98">
        <f t="shared" si="27"/>
        <v>0</v>
      </c>
      <c r="Q381">
        <v>5.0999999999999996</v>
      </c>
      <c r="R381">
        <v>0</v>
      </c>
      <c r="S381">
        <v>1.87</v>
      </c>
      <c r="T381" s="112" t="s">
        <v>48</v>
      </c>
      <c r="U381" s="137" t="s">
        <v>1099</v>
      </c>
      <c r="V381" s="137" t="s">
        <v>1100</v>
      </c>
      <c r="W381" s="69">
        <v>95</v>
      </c>
      <c r="X381" s="136">
        <v>1</v>
      </c>
      <c r="Y381" s="136">
        <v>1</v>
      </c>
      <c r="Z381" s="314"/>
      <c r="AA381" s="319">
        <v>0.5</v>
      </c>
      <c r="AB381" s="315" t="s">
        <v>5169</v>
      </c>
      <c r="AC381" s="319">
        <v>1</v>
      </c>
      <c r="AD381" s="320">
        <v>1.7543859649122799E-2</v>
      </c>
      <c r="AE381" s="319">
        <v>0</v>
      </c>
      <c r="AF381" s="320">
        <v>0</v>
      </c>
      <c r="AG381" s="319">
        <v>1</v>
      </c>
      <c r="AH381" s="320">
        <v>1.7543859649122799E-2</v>
      </c>
      <c r="AI381" s="319">
        <v>0</v>
      </c>
      <c r="AJ381" s="320">
        <v>0</v>
      </c>
      <c r="AK381" s="320">
        <v>0</v>
      </c>
      <c r="AL381" s="319">
        <v>5</v>
      </c>
      <c r="AM381" s="319">
        <v>5</v>
      </c>
      <c r="AN381" s="319">
        <v>2</v>
      </c>
      <c r="AO381" s="319">
        <v>0.4</v>
      </c>
      <c r="AP381">
        <v>1</v>
      </c>
      <c r="AR381" s="136">
        <v>1</v>
      </c>
      <c r="AT381" s="69">
        <v>2.3148</v>
      </c>
      <c r="AU381" s="69">
        <v>2.3148</v>
      </c>
      <c r="AV381" s="69">
        <v>2.3148</v>
      </c>
      <c r="AW381" s="69">
        <v>0.23150000000000001</v>
      </c>
      <c r="BB381" s="69"/>
    </row>
    <row r="382" spans="1:54" customFormat="1" ht="40" customHeight="1">
      <c r="A382" s="313">
        <v>381</v>
      </c>
      <c r="B382" s="136" t="s">
        <v>589</v>
      </c>
      <c r="C382" s="136" t="s">
        <v>45</v>
      </c>
      <c r="D382" s="31">
        <f t="shared" si="24"/>
        <v>4</v>
      </c>
      <c r="E382" s="137" t="s">
        <v>46</v>
      </c>
      <c r="F382" s="31">
        <f t="shared" si="25"/>
        <v>6</v>
      </c>
      <c r="G382" s="137" t="s">
        <v>589</v>
      </c>
      <c r="H382" s="138">
        <v>59</v>
      </c>
      <c r="I382" s="158">
        <f t="shared" si="26"/>
        <v>0.80664130364340259</v>
      </c>
      <c r="J382" s="95">
        <v>0.99101086905304203</v>
      </c>
      <c r="K382" s="137">
        <v>0.62227173823376303</v>
      </c>
      <c r="L382" s="137">
        <v>0.465690992294366</v>
      </c>
      <c r="M382" s="137">
        <v>0.85714285714285698</v>
      </c>
      <c r="N382" s="136">
        <v>1</v>
      </c>
      <c r="O382" s="32">
        <v>42921</v>
      </c>
      <c r="P382" s="98">
        <f t="shared" si="27"/>
        <v>0</v>
      </c>
      <c r="Q382">
        <v>0</v>
      </c>
      <c r="R382">
        <v>0</v>
      </c>
      <c r="S382">
        <v>0</v>
      </c>
      <c r="T382" s="112" t="s">
        <v>48</v>
      </c>
      <c r="U382" s="137" t="s">
        <v>1101</v>
      </c>
      <c r="V382" s="137" t="s">
        <v>1102</v>
      </c>
      <c r="W382" s="69">
        <v>126</v>
      </c>
      <c r="X382" s="136">
        <v>1</v>
      </c>
      <c r="Y382" s="136">
        <v>1</v>
      </c>
      <c r="Z382" s="314"/>
      <c r="AA382" s="319">
        <v>1.00736013888038E-2</v>
      </c>
      <c r="AB382" s="315" t="s">
        <v>5168</v>
      </c>
      <c r="AC382" s="319">
        <v>1</v>
      </c>
      <c r="AD382" s="320">
        <v>1.38888888888888E-2</v>
      </c>
      <c r="AE382" s="319">
        <v>0</v>
      </c>
      <c r="AF382" s="320">
        <v>0</v>
      </c>
      <c r="AG382" s="319">
        <v>2</v>
      </c>
      <c r="AH382" s="320">
        <v>2.77777777777777E-2</v>
      </c>
      <c r="AI382" s="319">
        <v>0</v>
      </c>
      <c r="AJ382" s="320">
        <v>0</v>
      </c>
      <c r="AK382" s="320">
        <v>0</v>
      </c>
      <c r="AL382" s="319">
        <v>5</v>
      </c>
      <c r="AM382" s="319">
        <v>5</v>
      </c>
      <c r="AN382" s="319">
        <v>2</v>
      </c>
      <c r="AO382" s="319">
        <v>0.4</v>
      </c>
      <c r="AP382">
        <v>1</v>
      </c>
      <c r="AR382" s="136">
        <v>1</v>
      </c>
      <c r="AT382" s="69">
        <v>2.3148</v>
      </c>
      <c r="AU382" s="69">
        <v>2.3148</v>
      </c>
      <c r="AV382" s="69">
        <v>2.3148</v>
      </c>
      <c r="AW382" s="69">
        <v>0.23150000000000001</v>
      </c>
      <c r="BB382" s="69"/>
    </row>
    <row r="383" spans="1:54" customFormat="1" ht="40" customHeight="1">
      <c r="A383" s="313">
        <v>382</v>
      </c>
      <c r="B383" s="136" t="s">
        <v>589</v>
      </c>
      <c r="C383" s="136" t="s">
        <v>45</v>
      </c>
      <c r="D383" s="31">
        <f t="shared" si="24"/>
        <v>4</v>
      </c>
      <c r="E383" s="137" t="s">
        <v>46</v>
      </c>
      <c r="F383" s="31">
        <f t="shared" si="25"/>
        <v>6</v>
      </c>
      <c r="G383" s="137" t="s">
        <v>1103</v>
      </c>
      <c r="H383" s="138">
        <v>205</v>
      </c>
      <c r="I383" s="158">
        <f t="shared" si="26"/>
        <v>0.34940770051697173</v>
      </c>
      <c r="J383" s="95">
        <v>1.19023763445192E-6</v>
      </c>
      <c r="K383" s="137">
        <v>0.69881421079630901</v>
      </c>
      <c r="L383" s="137">
        <v>0.75</v>
      </c>
      <c r="M383" s="137">
        <v>0.62203552699077302</v>
      </c>
      <c r="N383" s="136">
        <v>1</v>
      </c>
      <c r="O383" s="32">
        <v>42913</v>
      </c>
      <c r="P383" s="98">
        <f t="shared" si="27"/>
        <v>0</v>
      </c>
      <c r="Q383">
        <v>5.0999999999999996</v>
      </c>
      <c r="R383">
        <v>0</v>
      </c>
      <c r="S383">
        <v>0</v>
      </c>
      <c r="T383" s="112" t="s">
        <v>48</v>
      </c>
      <c r="U383" s="137" t="s">
        <v>1104</v>
      </c>
      <c r="V383" s="137" t="s">
        <v>1105</v>
      </c>
      <c r="W383" s="69">
        <v>47</v>
      </c>
      <c r="X383" s="136">
        <v>1</v>
      </c>
      <c r="Y383" s="136">
        <v>7</v>
      </c>
      <c r="Z383" s="314"/>
      <c r="AA383" s="319">
        <v>0.5</v>
      </c>
      <c r="AB383" s="315" t="s">
        <v>5168</v>
      </c>
      <c r="AC383" s="319">
        <v>0</v>
      </c>
      <c r="AD383" s="320">
        <v>0</v>
      </c>
      <c r="AE383" s="319">
        <v>0</v>
      </c>
      <c r="AF383" s="320">
        <v>0</v>
      </c>
      <c r="AG383" s="319">
        <v>1</v>
      </c>
      <c r="AH383" s="320">
        <v>3.8461538461538401E-2</v>
      </c>
      <c r="AI383" s="319">
        <v>0</v>
      </c>
      <c r="AJ383" s="320">
        <v>0</v>
      </c>
      <c r="AK383" s="320">
        <v>0</v>
      </c>
      <c r="AL383" s="319">
        <v>5</v>
      </c>
      <c r="AM383" s="319">
        <v>5</v>
      </c>
      <c r="AN383" s="319">
        <v>2</v>
      </c>
      <c r="AO383" s="319">
        <v>0.4</v>
      </c>
      <c r="AP383">
        <v>7</v>
      </c>
      <c r="AR383" s="136">
        <v>7</v>
      </c>
      <c r="AT383" s="69">
        <v>2.3148</v>
      </c>
      <c r="AU383" s="69">
        <v>2.3148</v>
      </c>
      <c r="AV383" s="69">
        <v>2.3148</v>
      </c>
      <c r="AW383" s="69">
        <v>0.23150000000000001</v>
      </c>
      <c r="BB383" s="69"/>
    </row>
    <row r="384" spans="1:54" customFormat="1" ht="40" customHeight="1">
      <c r="A384" s="313">
        <v>383</v>
      </c>
      <c r="B384" s="136" t="s">
        <v>589</v>
      </c>
      <c r="C384" s="136" t="s">
        <v>45</v>
      </c>
      <c r="D384" s="31">
        <f t="shared" si="24"/>
        <v>4</v>
      </c>
      <c r="E384" s="137" t="s">
        <v>46</v>
      </c>
      <c r="F384" s="31">
        <f t="shared" si="25"/>
        <v>6</v>
      </c>
      <c r="G384" s="137" t="s">
        <v>1106</v>
      </c>
      <c r="H384" s="138">
        <v>136</v>
      </c>
      <c r="I384" s="158">
        <f t="shared" si="26"/>
        <v>0.86547272406205</v>
      </c>
      <c r="J384" s="95">
        <v>0.99756985525245401</v>
      </c>
      <c r="K384" s="137">
        <v>0.733375592871646</v>
      </c>
      <c r="L384" s="137">
        <v>0.82499999999999996</v>
      </c>
      <c r="M384" s="137">
        <v>0.59593898217911601</v>
      </c>
      <c r="N384" s="136">
        <v>1</v>
      </c>
      <c r="O384" s="32">
        <v>42880</v>
      </c>
      <c r="P384" s="98">
        <f t="shared" si="27"/>
        <v>0</v>
      </c>
      <c r="Q384">
        <v>7.65</v>
      </c>
      <c r="R384">
        <v>3.3</v>
      </c>
      <c r="S384">
        <v>0</v>
      </c>
      <c r="T384" s="112" t="s">
        <v>48</v>
      </c>
      <c r="U384" s="137" t="s">
        <v>1107</v>
      </c>
      <c r="V384" s="137" t="s">
        <v>1108</v>
      </c>
      <c r="W384" s="69">
        <v>107</v>
      </c>
      <c r="X384" s="136">
        <v>1</v>
      </c>
      <c r="Y384" s="136">
        <v>8</v>
      </c>
      <c r="Z384" s="314"/>
      <c r="AA384" s="319">
        <v>0.64895000000000003</v>
      </c>
      <c r="AB384" s="315" t="s">
        <v>5177</v>
      </c>
      <c r="AC384" s="319">
        <v>0</v>
      </c>
      <c r="AD384" s="320">
        <v>0</v>
      </c>
      <c r="AE384" s="319">
        <v>1</v>
      </c>
      <c r="AF384" s="320">
        <v>1.5873015873015799E-2</v>
      </c>
      <c r="AG384" s="319">
        <v>1</v>
      </c>
      <c r="AH384" s="320">
        <v>1.5873015873015799E-2</v>
      </c>
      <c r="AI384" s="319">
        <v>0</v>
      </c>
      <c r="AJ384" s="320">
        <v>0</v>
      </c>
      <c r="AK384" s="320">
        <v>0</v>
      </c>
      <c r="AL384" s="319">
        <v>5</v>
      </c>
      <c r="AM384" s="319">
        <v>8.3333333333333304</v>
      </c>
      <c r="AN384" s="319">
        <v>4.6666666666666599</v>
      </c>
      <c r="AO384" s="319">
        <v>0.6</v>
      </c>
      <c r="AP384">
        <v>8</v>
      </c>
      <c r="AR384" s="136">
        <v>8</v>
      </c>
      <c r="AT384" s="69">
        <v>2.3148</v>
      </c>
      <c r="AU384" s="69">
        <v>8.9379000000000008</v>
      </c>
      <c r="AV384" s="69">
        <v>8.1305999999999994</v>
      </c>
      <c r="AW384" s="69">
        <v>0.64610000000000001</v>
      </c>
      <c r="BB384" s="69"/>
    </row>
    <row r="385" spans="1:54" customFormat="1" ht="40" customHeight="1">
      <c r="A385" s="313">
        <v>384</v>
      </c>
      <c r="B385" s="136" t="s">
        <v>589</v>
      </c>
      <c r="C385" s="136" t="s">
        <v>45</v>
      </c>
      <c r="D385" s="31">
        <f t="shared" si="24"/>
        <v>4</v>
      </c>
      <c r="E385" s="137" t="s">
        <v>46</v>
      </c>
      <c r="F385" s="31">
        <f t="shared" si="25"/>
        <v>6</v>
      </c>
      <c r="G385" s="137" t="s">
        <v>1109</v>
      </c>
      <c r="H385" s="138">
        <v>97</v>
      </c>
      <c r="I385" s="158">
        <f t="shared" si="26"/>
        <v>0.39250720993592791</v>
      </c>
      <c r="J385" s="95">
        <v>4.12002090755468E-2</v>
      </c>
      <c r="K385" s="137">
        <v>0.74381421079630905</v>
      </c>
      <c r="L385" s="137">
        <v>0.82499999999999996</v>
      </c>
      <c r="M385" s="137">
        <v>0.62203552699077302</v>
      </c>
      <c r="N385" s="136">
        <v>1</v>
      </c>
      <c r="O385" s="32">
        <v>42879</v>
      </c>
      <c r="P385" s="98">
        <f t="shared" si="27"/>
        <v>0</v>
      </c>
      <c r="Q385">
        <v>2.5499999999999998</v>
      </c>
      <c r="R385">
        <v>1.65</v>
      </c>
      <c r="S385">
        <v>0</v>
      </c>
      <c r="T385" s="112" t="s">
        <v>48</v>
      </c>
      <c r="U385" s="137" t="s">
        <v>1110</v>
      </c>
      <c r="V385" s="137" t="s">
        <v>1111</v>
      </c>
      <c r="W385" s="69">
        <v>115</v>
      </c>
      <c r="X385" s="136">
        <v>1</v>
      </c>
      <c r="Y385" s="136">
        <v>7</v>
      </c>
      <c r="Z385" s="314"/>
      <c r="AA385" s="319">
        <v>0.58399999999999996</v>
      </c>
      <c r="AB385" s="315" t="s">
        <v>5165</v>
      </c>
      <c r="AC385" s="319">
        <v>2</v>
      </c>
      <c r="AD385" s="320">
        <v>3.2786885245901599E-2</v>
      </c>
      <c r="AE385" s="319">
        <v>0</v>
      </c>
      <c r="AF385" s="320">
        <v>0</v>
      </c>
      <c r="AG385" s="319">
        <v>1</v>
      </c>
      <c r="AH385" s="320">
        <v>1.63934426229508E-2</v>
      </c>
      <c r="AI385" s="319">
        <v>0</v>
      </c>
      <c r="AJ385" s="320">
        <v>0</v>
      </c>
      <c r="AK385" s="320">
        <v>0</v>
      </c>
      <c r="AL385" s="319">
        <v>5</v>
      </c>
      <c r="AM385" s="319">
        <v>6.2</v>
      </c>
      <c r="AN385" s="319">
        <v>3.5</v>
      </c>
      <c r="AO385" s="319">
        <v>0.49</v>
      </c>
      <c r="AP385">
        <v>7</v>
      </c>
      <c r="AR385" s="136">
        <v>7</v>
      </c>
      <c r="AT385" s="69">
        <v>2.3148</v>
      </c>
      <c r="AU385" s="69">
        <v>5</v>
      </c>
      <c r="AV385" s="69">
        <v>5.7443999999999997</v>
      </c>
      <c r="AW385" s="69">
        <v>0.43530000000000002</v>
      </c>
      <c r="BB385" s="69"/>
    </row>
    <row r="386" spans="1:54" customFormat="1" ht="40" customHeight="1">
      <c r="A386" s="313">
        <v>385</v>
      </c>
      <c r="B386" s="136" t="s">
        <v>589</v>
      </c>
      <c r="C386" s="136" t="s">
        <v>45</v>
      </c>
      <c r="D386" s="31">
        <f t="shared" ref="D386:D449" si="28">IF(C386="投诉",4,IF(C386="建议",1,IF(C386="举报",2,IF(C386="求助",3,5))))</f>
        <v>4</v>
      </c>
      <c r="E386" s="137" t="s">
        <v>46</v>
      </c>
      <c r="F386" s="31">
        <f t="shared" ref="F386:F449" si="29">IF(E386="12345app",1,IF(E386="e福州app",2,IF(E386="qq",3,IF(E386="电话",4,IF(E386="短信",5,IF(E386="网站",6,IF(E386="微博",7,IF(E386="微信",8,9))))))))</f>
        <v>6</v>
      </c>
      <c r="G386" s="137" t="s">
        <v>1112</v>
      </c>
      <c r="H386" s="138">
        <v>115</v>
      </c>
      <c r="I386" s="158">
        <f t="shared" ref="I386:I449" si="30">(J386+K386)/2</f>
        <v>0.29127215204927609</v>
      </c>
      <c r="J386" s="95">
        <v>1.64894244008229E-4</v>
      </c>
      <c r="K386" s="137">
        <v>0.58237940985454395</v>
      </c>
      <c r="L386" s="137">
        <v>0.61983471074380103</v>
      </c>
      <c r="M386" s="137">
        <v>0.526196458520657</v>
      </c>
      <c r="N386" s="136">
        <v>1</v>
      </c>
      <c r="O386" s="32">
        <v>42875</v>
      </c>
      <c r="P386" s="98">
        <f t="shared" ref="P386:P449" si="31">IF(T386="利己",0,IF(T386="生态",2,1))</f>
        <v>1</v>
      </c>
      <c r="Q386">
        <v>0</v>
      </c>
      <c r="R386">
        <v>1.65</v>
      </c>
      <c r="S386">
        <v>0</v>
      </c>
      <c r="T386" s="112" t="s">
        <v>73</v>
      </c>
      <c r="U386" s="137" t="s">
        <v>1113</v>
      </c>
      <c r="V386" s="137" t="s">
        <v>1114</v>
      </c>
      <c r="W386" s="69">
        <v>59</v>
      </c>
      <c r="X386" s="136">
        <v>1</v>
      </c>
      <c r="Y386" s="136">
        <v>11</v>
      </c>
      <c r="Z386" s="314"/>
      <c r="AA386" s="319">
        <v>2.9598412144695101E-2</v>
      </c>
      <c r="AB386" s="315" t="s">
        <v>5177</v>
      </c>
      <c r="AC386" s="319">
        <v>0</v>
      </c>
      <c r="AD386" s="320">
        <v>0</v>
      </c>
      <c r="AE386" s="319">
        <v>1</v>
      </c>
      <c r="AF386" s="320">
        <v>2.8571428571428501E-2</v>
      </c>
      <c r="AG386" s="319">
        <v>1</v>
      </c>
      <c r="AH386" s="320">
        <v>2.8571428571428501E-2</v>
      </c>
      <c r="AI386" s="319">
        <v>0</v>
      </c>
      <c r="AJ386" s="320">
        <v>0</v>
      </c>
      <c r="AK386" s="320">
        <v>0</v>
      </c>
      <c r="AL386" s="319">
        <v>5</v>
      </c>
      <c r="AM386" s="319">
        <v>5</v>
      </c>
      <c r="AN386" s="319">
        <v>4.6666666666666599</v>
      </c>
      <c r="AO386" s="319">
        <v>0.48888888888888798</v>
      </c>
      <c r="AP386">
        <v>11</v>
      </c>
      <c r="AR386" s="136">
        <v>11</v>
      </c>
      <c r="AT386" s="69">
        <v>2.3148</v>
      </c>
      <c r="AU386" s="69">
        <v>2.3148</v>
      </c>
      <c r="AV386" s="69">
        <v>8.1305999999999994</v>
      </c>
      <c r="AW386" s="69">
        <v>0.42530000000000001</v>
      </c>
      <c r="BB386" s="69"/>
    </row>
    <row r="387" spans="1:54" customFormat="1" ht="40" customHeight="1">
      <c r="A387" s="313">
        <v>386</v>
      </c>
      <c r="B387" s="136" t="s">
        <v>589</v>
      </c>
      <c r="C387" s="136" t="s">
        <v>45</v>
      </c>
      <c r="D387" s="31">
        <f t="shared" si="28"/>
        <v>4</v>
      </c>
      <c r="E387" s="137" t="s">
        <v>46</v>
      </c>
      <c r="F387" s="31">
        <f t="shared" si="29"/>
        <v>6</v>
      </c>
      <c r="G387" s="137" t="s">
        <v>1115</v>
      </c>
      <c r="H387" s="138">
        <v>78</v>
      </c>
      <c r="I387" s="158">
        <f t="shared" si="30"/>
        <v>0.78656202817530152</v>
      </c>
      <c r="J387" s="95">
        <v>0.99260457583112305</v>
      </c>
      <c r="K387" s="137">
        <v>0.58051948051947999</v>
      </c>
      <c r="L387" s="137">
        <v>0.68181818181818199</v>
      </c>
      <c r="M387" s="137">
        <v>0.42857142857142899</v>
      </c>
      <c r="N387" s="136">
        <v>0</v>
      </c>
      <c r="O387" s="32">
        <v>42870</v>
      </c>
      <c r="P387" s="98">
        <f t="shared" si="31"/>
        <v>0</v>
      </c>
      <c r="Q387">
        <v>5.0999999999999996</v>
      </c>
      <c r="R387">
        <v>0</v>
      </c>
      <c r="S387">
        <v>0</v>
      </c>
      <c r="T387" s="112" t="s">
        <v>48</v>
      </c>
      <c r="U387" s="137" t="s">
        <v>1116</v>
      </c>
      <c r="V387" s="137" t="s">
        <v>1117</v>
      </c>
      <c r="W387" s="69">
        <v>72</v>
      </c>
      <c r="X387" s="136">
        <v>3</v>
      </c>
      <c r="Y387" s="136">
        <v>16</v>
      </c>
      <c r="Z387" s="314"/>
      <c r="AA387" s="319">
        <v>0.54500000000000004</v>
      </c>
      <c r="AB387" s="315" t="s">
        <v>5169</v>
      </c>
      <c r="AC387" s="319">
        <v>1</v>
      </c>
      <c r="AD387" s="320">
        <v>2.4390243902439001E-2</v>
      </c>
      <c r="AE387" s="319">
        <v>0</v>
      </c>
      <c r="AF387" s="320">
        <v>0</v>
      </c>
      <c r="AG387" s="319">
        <v>1</v>
      </c>
      <c r="AH387" s="320">
        <v>2.4390243902439001E-2</v>
      </c>
      <c r="AI387" s="319">
        <v>0</v>
      </c>
      <c r="AJ387" s="320">
        <v>0</v>
      </c>
      <c r="AK387" s="320">
        <v>0</v>
      </c>
      <c r="AL387" s="319">
        <v>5</v>
      </c>
      <c r="AM387" s="319">
        <v>6.2</v>
      </c>
      <c r="AN387" s="319">
        <v>3.5</v>
      </c>
      <c r="AO387" s="319">
        <v>0.49</v>
      </c>
      <c r="AP387">
        <v>16</v>
      </c>
      <c r="AR387" s="136">
        <v>16</v>
      </c>
      <c r="AT387" s="69">
        <v>2.3148</v>
      </c>
      <c r="AU387" s="69">
        <v>5</v>
      </c>
      <c r="AV387" s="69">
        <v>5.7443999999999997</v>
      </c>
      <c r="AW387" s="69">
        <v>0.43530000000000002</v>
      </c>
      <c r="BB387" s="69"/>
    </row>
    <row r="388" spans="1:54" customFormat="1" ht="40" customHeight="1">
      <c r="A388" s="313">
        <v>387</v>
      </c>
      <c r="B388" s="136" t="s">
        <v>589</v>
      </c>
      <c r="C388" s="136" t="s">
        <v>45</v>
      </c>
      <c r="D388" s="31">
        <f t="shared" si="28"/>
        <v>4</v>
      </c>
      <c r="E388" s="137" t="s">
        <v>80</v>
      </c>
      <c r="F388" s="31">
        <f t="shared" si="29"/>
        <v>4</v>
      </c>
      <c r="G388" s="137" t="s">
        <v>1118</v>
      </c>
      <c r="H388" s="138">
        <v>122</v>
      </c>
      <c r="I388" s="158">
        <f t="shared" si="30"/>
        <v>0.32200262644240729</v>
      </c>
      <c r="J388" s="95">
        <v>3.6754339899580698E-5</v>
      </c>
      <c r="K388" s="137">
        <v>0.643968498544915</v>
      </c>
      <c r="L388" s="137">
        <v>0.75</v>
      </c>
      <c r="M388" s="137">
        <v>0.48492124636228701</v>
      </c>
      <c r="N388" s="136">
        <v>1</v>
      </c>
      <c r="O388" s="32">
        <v>42867</v>
      </c>
      <c r="P388" s="98">
        <f t="shared" si="31"/>
        <v>1</v>
      </c>
      <c r="Q388">
        <v>0</v>
      </c>
      <c r="R388">
        <v>0</v>
      </c>
      <c r="S388">
        <v>0</v>
      </c>
      <c r="T388" s="112" t="s">
        <v>73</v>
      </c>
      <c r="U388" s="137" t="s">
        <v>1119</v>
      </c>
      <c r="V388" s="137" t="s">
        <v>1120</v>
      </c>
      <c r="W388" s="69">
        <v>25</v>
      </c>
      <c r="X388" s="136">
        <v>2</v>
      </c>
      <c r="Y388" s="136">
        <v>13</v>
      </c>
      <c r="Z388" s="314"/>
      <c r="AA388" s="319">
        <v>0.59450000000000003</v>
      </c>
      <c r="AB388" s="331" t="s">
        <v>5161</v>
      </c>
      <c r="AC388" s="319">
        <v>0</v>
      </c>
      <c r="AD388" s="320">
        <v>0</v>
      </c>
      <c r="AE388" s="319">
        <v>0</v>
      </c>
      <c r="AF388" s="320">
        <v>0</v>
      </c>
      <c r="AG388" s="319">
        <v>0</v>
      </c>
      <c r="AH388" s="320">
        <v>0</v>
      </c>
      <c r="AI388" s="319">
        <v>0</v>
      </c>
      <c r="AJ388" s="320">
        <v>0</v>
      </c>
      <c r="AK388" s="320">
        <v>0</v>
      </c>
      <c r="AL388" s="319">
        <v>5</v>
      </c>
      <c r="AM388" s="319">
        <v>6.2</v>
      </c>
      <c r="AN388" s="319">
        <v>7.3333333333333304</v>
      </c>
      <c r="AO388" s="319">
        <v>0.61777777777777698</v>
      </c>
      <c r="AP388">
        <v>13</v>
      </c>
      <c r="AQ388">
        <v>13</v>
      </c>
      <c r="AR388" s="136"/>
      <c r="AT388" s="69">
        <v>2.3148</v>
      </c>
      <c r="AU388" s="69">
        <v>5</v>
      </c>
      <c r="AV388" s="69">
        <v>9.8416999999999994</v>
      </c>
      <c r="AW388" s="69">
        <v>0.57189999999999996</v>
      </c>
      <c r="BB388" s="69"/>
    </row>
    <row r="389" spans="1:54" customFormat="1" ht="40" customHeight="1">
      <c r="A389" s="313">
        <v>388</v>
      </c>
      <c r="B389" s="136" t="s">
        <v>589</v>
      </c>
      <c r="C389" s="136" t="s">
        <v>45</v>
      </c>
      <c r="D389" s="31">
        <f t="shared" si="28"/>
        <v>4</v>
      </c>
      <c r="E389" s="137" t="s">
        <v>46</v>
      </c>
      <c r="F389" s="31">
        <f t="shared" si="29"/>
        <v>6</v>
      </c>
      <c r="G389" s="137" t="s">
        <v>1121</v>
      </c>
      <c r="H389" s="138">
        <v>268</v>
      </c>
      <c r="I389" s="158">
        <f t="shared" si="30"/>
        <v>0.88255829741918501</v>
      </c>
      <c r="J389" s="95">
        <v>0.995928798402547</v>
      </c>
      <c r="K389" s="137">
        <v>0.76918779643582302</v>
      </c>
      <c r="L389" s="137">
        <v>0.75</v>
      </c>
      <c r="M389" s="137">
        <v>0.79796949108955795</v>
      </c>
      <c r="N389" s="136">
        <v>1</v>
      </c>
      <c r="O389" s="32">
        <v>42865</v>
      </c>
      <c r="P389" s="98">
        <f t="shared" si="31"/>
        <v>0</v>
      </c>
      <c r="Q389">
        <v>5.0999999999999996</v>
      </c>
      <c r="R389">
        <v>1.65</v>
      </c>
      <c r="S389">
        <v>0</v>
      </c>
      <c r="T389" s="112" t="s">
        <v>48</v>
      </c>
      <c r="U389" s="137" t="s">
        <v>1122</v>
      </c>
      <c r="V389" s="137" t="s">
        <v>1123</v>
      </c>
      <c r="W389" s="69">
        <v>87</v>
      </c>
      <c r="X389" s="136">
        <v>1</v>
      </c>
      <c r="Y389" s="136">
        <v>2</v>
      </c>
      <c r="Z389" s="314"/>
      <c r="AA389" s="319">
        <v>0.58399999999999996</v>
      </c>
      <c r="AB389" s="315" t="s">
        <v>5168</v>
      </c>
      <c r="AC389" s="319">
        <v>0</v>
      </c>
      <c r="AD389" s="320">
        <v>0</v>
      </c>
      <c r="AE389" s="319">
        <v>0</v>
      </c>
      <c r="AF389" s="320">
        <v>0</v>
      </c>
      <c r="AG389" s="319">
        <v>1</v>
      </c>
      <c r="AH389" s="320">
        <v>1.9230769230769201E-2</v>
      </c>
      <c r="AI389" s="319">
        <v>0</v>
      </c>
      <c r="AJ389" s="320">
        <v>0</v>
      </c>
      <c r="AK389" s="320">
        <v>0</v>
      </c>
      <c r="AL389" s="319">
        <v>5</v>
      </c>
      <c r="AM389" s="319">
        <v>7.4</v>
      </c>
      <c r="AN389" s="319">
        <v>3.5</v>
      </c>
      <c r="AO389" s="319">
        <v>0.53</v>
      </c>
      <c r="AP389">
        <v>2</v>
      </c>
      <c r="AR389" s="136"/>
      <c r="AT389" s="69">
        <v>2.3148</v>
      </c>
      <c r="AU389" s="69">
        <v>7.6852</v>
      </c>
      <c r="AV389" s="69">
        <v>5.7443999999999997</v>
      </c>
      <c r="AW389" s="69">
        <v>0.52480000000000004</v>
      </c>
      <c r="BB389" s="69"/>
    </row>
    <row r="390" spans="1:54" customFormat="1" ht="40" customHeight="1">
      <c r="A390" s="313">
        <v>389</v>
      </c>
      <c r="B390" s="136" t="s">
        <v>589</v>
      </c>
      <c r="C390" s="136" t="s">
        <v>45</v>
      </c>
      <c r="D390" s="31">
        <f t="shared" si="28"/>
        <v>4</v>
      </c>
      <c r="E390" s="137" t="s">
        <v>80</v>
      </c>
      <c r="F390" s="31">
        <f t="shared" si="29"/>
        <v>4</v>
      </c>
      <c r="G390" s="137" t="s">
        <v>1124</v>
      </c>
      <c r="H390" s="138">
        <v>42</v>
      </c>
      <c r="I390" s="158">
        <f t="shared" si="30"/>
        <v>0.3666877967277869</v>
      </c>
      <c r="J390" s="95">
        <v>5.8392779500593395E-10</v>
      </c>
      <c r="K390" s="137">
        <v>0.733375592871646</v>
      </c>
      <c r="L390" s="137">
        <v>0.82499999999999996</v>
      </c>
      <c r="M390" s="137">
        <v>0.59593898217911601</v>
      </c>
      <c r="N390" s="136">
        <v>1</v>
      </c>
      <c r="O390" s="32">
        <v>42858</v>
      </c>
      <c r="P390" s="98">
        <f t="shared" si="31"/>
        <v>1</v>
      </c>
      <c r="Q390">
        <v>0</v>
      </c>
      <c r="R390">
        <v>0</v>
      </c>
      <c r="S390">
        <v>0</v>
      </c>
      <c r="T390" s="112" t="s">
        <v>73</v>
      </c>
      <c r="U390" s="137" t="s">
        <v>1125</v>
      </c>
      <c r="V390" s="137" t="s">
        <v>1126</v>
      </c>
      <c r="W390" s="69">
        <v>58</v>
      </c>
      <c r="X390" s="136">
        <v>1</v>
      </c>
      <c r="Y390" s="136">
        <v>8</v>
      </c>
      <c r="Z390" s="314"/>
      <c r="AA390" s="319">
        <v>0.55000000000000004</v>
      </c>
      <c r="AB390" s="315" t="s">
        <v>5177</v>
      </c>
      <c r="AC390" s="319">
        <v>0</v>
      </c>
      <c r="AD390" s="320">
        <v>0</v>
      </c>
      <c r="AE390" s="319">
        <v>1</v>
      </c>
      <c r="AF390" s="320">
        <v>2.94117647058823E-2</v>
      </c>
      <c r="AG390" s="319">
        <v>1</v>
      </c>
      <c r="AH390" s="320">
        <v>2.94117647058823E-2</v>
      </c>
      <c r="AI390" s="319">
        <v>0</v>
      </c>
      <c r="AJ390" s="320">
        <v>0</v>
      </c>
      <c r="AK390" s="320">
        <v>0</v>
      </c>
      <c r="AL390" s="319">
        <v>5</v>
      </c>
      <c r="AM390" s="319">
        <v>6.2</v>
      </c>
      <c r="AN390" s="319">
        <v>2</v>
      </c>
      <c r="AO390" s="319">
        <v>0.44</v>
      </c>
      <c r="AP390">
        <v>8</v>
      </c>
      <c r="AQ390">
        <v>8</v>
      </c>
      <c r="AR390" s="136"/>
      <c r="AT390" s="69">
        <v>2.3148</v>
      </c>
      <c r="AU390" s="69">
        <v>5</v>
      </c>
      <c r="AV390" s="69">
        <v>2.3148</v>
      </c>
      <c r="AW390" s="69">
        <v>0.32100000000000001</v>
      </c>
      <c r="BB390" s="69"/>
    </row>
    <row r="391" spans="1:54" customFormat="1" ht="40" customHeight="1">
      <c r="A391" s="313">
        <v>390</v>
      </c>
      <c r="B391" s="136" t="s">
        <v>589</v>
      </c>
      <c r="C391" s="136" t="s">
        <v>45</v>
      </c>
      <c r="D391" s="31">
        <f t="shared" si="28"/>
        <v>4</v>
      </c>
      <c r="E391" s="137" t="s">
        <v>833</v>
      </c>
      <c r="F391" s="31">
        <f t="shared" si="29"/>
        <v>3</v>
      </c>
      <c r="G391" s="137" t="s">
        <v>1127</v>
      </c>
      <c r="H391" s="138">
        <v>470</v>
      </c>
      <c r="I391" s="158">
        <f t="shared" si="30"/>
        <v>0.555686177083208</v>
      </c>
      <c r="J391" s="95">
        <v>0.41255814337010699</v>
      </c>
      <c r="K391" s="137">
        <v>0.69881421079630901</v>
      </c>
      <c r="L391" s="137">
        <v>0.75</v>
      </c>
      <c r="M391" s="137">
        <v>0.62203552699077302</v>
      </c>
      <c r="N391" s="136">
        <v>1</v>
      </c>
      <c r="O391" s="32">
        <v>42858</v>
      </c>
      <c r="P391" s="98">
        <f t="shared" si="31"/>
        <v>0</v>
      </c>
      <c r="Q391">
        <v>5.0999999999999996</v>
      </c>
      <c r="R391">
        <v>1.65</v>
      </c>
      <c r="S391">
        <v>1.87</v>
      </c>
      <c r="T391" s="112" t="s">
        <v>48</v>
      </c>
      <c r="U391" s="137" t="s">
        <v>1128</v>
      </c>
      <c r="V391" s="137" t="s">
        <v>1129</v>
      </c>
      <c r="W391" s="69">
        <v>113</v>
      </c>
      <c r="X391" s="136">
        <v>2</v>
      </c>
      <c r="Y391" s="136">
        <v>7</v>
      </c>
      <c r="Z391" s="314"/>
      <c r="AA391" s="319">
        <v>0.46363636363636301</v>
      </c>
      <c r="AB391" s="315" t="s">
        <v>5165</v>
      </c>
      <c r="AC391" s="319">
        <v>2</v>
      </c>
      <c r="AD391" s="320">
        <v>3.3333333333333298E-2</v>
      </c>
      <c r="AE391" s="319">
        <v>0</v>
      </c>
      <c r="AF391" s="320">
        <v>0</v>
      </c>
      <c r="AG391" s="319">
        <v>1</v>
      </c>
      <c r="AH391" s="320">
        <v>1.6666666666666601E-2</v>
      </c>
      <c r="AI391" s="319">
        <v>0</v>
      </c>
      <c r="AJ391" s="320">
        <v>0</v>
      </c>
      <c r="AK391" s="320">
        <v>0</v>
      </c>
      <c r="AL391" s="319">
        <v>5</v>
      </c>
      <c r="AM391" s="319">
        <v>6.2</v>
      </c>
      <c r="AN391" s="319">
        <v>4.6666666666666599</v>
      </c>
      <c r="AO391" s="319">
        <v>0.52888888888888796</v>
      </c>
      <c r="AP391">
        <v>7</v>
      </c>
      <c r="AR391" s="136">
        <v>7</v>
      </c>
      <c r="AT391" s="69">
        <v>2.3148</v>
      </c>
      <c r="AU391" s="69">
        <v>5</v>
      </c>
      <c r="AV391" s="69">
        <v>8.1305999999999994</v>
      </c>
      <c r="AW391" s="69">
        <v>0.51480000000000004</v>
      </c>
      <c r="BB391" s="69"/>
    </row>
    <row r="392" spans="1:54" customFormat="1" ht="40" customHeight="1">
      <c r="A392" s="313">
        <v>391</v>
      </c>
      <c r="B392" s="136" t="s">
        <v>589</v>
      </c>
      <c r="C392" s="136" t="s">
        <v>59</v>
      </c>
      <c r="D392" s="31">
        <f t="shared" si="28"/>
        <v>5</v>
      </c>
      <c r="E392" s="137" t="s">
        <v>46</v>
      </c>
      <c r="F392" s="31">
        <f t="shared" si="29"/>
        <v>6</v>
      </c>
      <c r="G392" s="137" t="s">
        <v>1130</v>
      </c>
      <c r="H392" s="138">
        <v>162</v>
      </c>
      <c r="I392" s="158">
        <f t="shared" si="30"/>
        <v>0.36138790570481794</v>
      </c>
      <c r="J392" s="95">
        <v>1.2659234179805801E-2</v>
      </c>
      <c r="K392" s="137">
        <v>0.71011657722983001</v>
      </c>
      <c r="L392" s="137">
        <v>0.68181818181818199</v>
      </c>
      <c r="M392" s="137">
        <v>0.75256417034730305</v>
      </c>
      <c r="N392" s="136">
        <v>1</v>
      </c>
      <c r="O392" s="32">
        <v>42856</v>
      </c>
      <c r="P392" s="98">
        <f t="shared" si="31"/>
        <v>0</v>
      </c>
      <c r="Q392">
        <v>2.5499999999999998</v>
      </c>
      <c r="R392">
        <v>1.65</v>
      </c>
      <c r="S392">
        <v>1.87</v>
      </c>
      <c r="T392" s="112" t="s">
        <v>48</v>
      </c>
      <c r="U392" s="137" t="s">
        <v>1131</v>
      </c>
      <c r="V392" s="137" t="s">
        <v>1132</v>
      </c>
      <c r="W392" s="69">
        <v>272</v>
      </c>
      <c r="X392" s="136">
        <v>1</v>
      </c>
      <c r="Y392" s="136">
        <v>3</v>
      </c>
      <c r="Z392" s="314"/>
      <c r="AA392" s="319">
        <v>0.55000000000000004</v>
      </c>
      <c r="AB392" s="315" t="s">
        <v>5169</v>
      </c>
      <c r="AC392" s="319">
        <v>3</v>
      </c>
      <c r="AD392" s="320">
        <v>1.9607843137254902E-2</v>
      </c>
      <c r="AE392" s="319">
        <v>1</v>
      </c>
      <c r="AF392" s="320">
        <v>6.5359477124183E-3</v>
      </c>
      <c r="AG392" s="319">
        <v>3</v>
      </c>
      <c r="AH392" s="320">
        <v>1.9607843137254902E-2</v>
      </c>
      <c r="AI392" s="319">
        <v>0</v>
      </c>
      <c r="AJ392" s="320">
        <v>0</v>
      </c>
      <c r="AK392" s="320">
        <v>0</v>
      </c>
      <c r="AL392" s="319">
        <v>5</v>
      </c>
      <c r="AM392" s="319">
        <v>5</v>
      </c>
      <c r="AN392" s="319">
        <v>3.5</v>
      </c>
      <c r="AO392" s="319">
        <v>0.45</v>
      </c>
      <c r="AP392">
        <v>3</v>
      </c>
      <c r="AR392" s="136">
        <v>3</v>
      </c>
      <c r="AT392" s="69">
        <v>2.3148</v>
      </c>
      <c r="AU392" s="69">
        <v>2.3148</v>
      </c>
      <c r="AV392" s="69">
        <v>5.7443999999999997</v>
      </c>
      <c r="AW392" s="69">
        <v>0.3458</v>
      </c>
      <c r="BB392" s="69"/>
    </row>
    <row r="393" spans="1:54" customFormat="1" ht="40" customHeight="1">
      <c r="A393" s="313">
        <v>392</v>
      </c>
      <c r="B393" s="136" t="s">
        <v>589</v>
      </c>
      <c r="C393" s="136" t="s">
        <v>45</v>
      </c>
      <c r="D393" s="31">
        <f t="shared" si="28"/>
        <v>4</v>
      </c>
      <c r="E393" s="137" t="s">
        <v>80</v>
      </c>
      <c r="F393" s="31">
        <f t="shared" si="29"/>
        <v>4</v>
      </c>
      <c r="G393" s="137" t="s">
        <v>1133</v>
      </c>
      <c r="H393" s="138">
        <v>157</v>
      </c>
      <c r="I393" s="158">
        <f t="shared" si="30"/>
        <v>0.30557153672424847</v>
      </c>
      <c r="J393" s="95">
        <v>8.2807974499665704E-7</v>
      </c>
      <c r="K393" s="137">
        <v>0.61114224536875195</v>
      </c>
      <c r="L393" s="137">
        <v>0.68181818181818199</v>
      </c>
      <c r="M393" s="137">
        <v>0.50512834069460699</v>
      </c>
      <c r="N393" s="136">
        <v>1</v>
      </c>
      <c r="O393" s="32">
        <v>42853</v>
      </c>
      <c r="P393" s="98">
        <f t="shared" si="31"/>
        <v>1</v>
      </c>
      <c r="Q393">
        <v>0</v>
      </c>
      <c r="R393">
        <v>0</v>
      </c>
      <c r="S393">
        <v>0</v>
      </c>
      <c r="T393" s="112" t="s">
        <v>73</v>
      </c>
      <c r="U393" s="137" t="s">
        <v>1134</v>
      </c>
      <c r="V393" s="137" t="s">
        <v>1135</v>
      </c>
      <c r="W393" s="69">
        <v>58</v>
      </c>
      <c r="X393" s="136">
        <v>1</v>
      </c>
      <c r="Y393" s="136">
        <v>12</v>
      </c>
      <c r="Z393" s="314"/>
      <c r="AA393" s="319">
        <v>0.68564000000000003</v>
      </c>
      <c r="AB393" s="315" t="s">
        <v>5168</v>
      </c>
      <c r="AC393" s="319">
        <v>0</v>
      </c>
      <c r="AD393" s="320">
        <v>0</v>
      </c>
      <c r="AE393" s="319">
        <v>0</v>
      </c>
      <c r="AF393" s="320">
        <v>0</v>
      </c>
      <c r="AG393" s="319">
        <v>1</v>
      </c>
      <c r="AH393" s="320">
        <v>2.8571428571428501E-2</v>
      </c>
      <c r="AI393" s="319">
        <v>0</v>
      </c>
      <c r="AJ393" s="320">
        <v>0</v>
      </c>
      <c r="AK393" s="320">
        <v>0</v>
      </c>
      <c r="AL393" s="319">
        <v>5</v>
      </c>
      <c r="AM393" s="319">
        <v>7.4</v>
      </c>
      <c r="AN393" s="319">
        <v>7.3333333333333304</v>
      </c>
      <c r="AO393" s="319">
        <v>0.65777777777777702</v>
      </c>
      <c r="AP393">
        <v>12</v>
      </c>
      <c r="AQ393">
        <v>12</v>
      </c>
      <c r="AR393" s="136"/>
      <c r="AT393" s="69">
        <v>2.3148</v>
      </c>
      <c r="AU393" s="69">
        <v>7.6852</v>
      </c>
      <c r="AV393" s="69">
        <v>9.8416999999999994</v>
      </c>
      <c r="AW393" s="69">
        <v>0.66139999999999999</v>
      </c>
      <c r="BB393" s="69"/>
    </row>
    <row r="394" spans="1:54" customFormat="1" ht="40" customHeight="1">
      <c r="A394" s="313">
        <v>393</v>
      </c>
      <c r="B394" s="136" t="s">
        <v>589</v>
      </c>
      <c r="C394" s="136" t="s">
        <v>45</v>
      </c>
      <c r="D394" s="31">
        <f t="shared" si="28"/>
        <v>4</v>
      </c>
      <c r="E394" s="137" t="s">
        <v>80</v>
      </c>
      <c r="F394" s="31">
        <f t="shared" si="29"/>
        <v>4</v>
      </c>
      <c r="G394" s="137" t="s">
        <v>1136</v>
      </c>
      <c r="H394" s="138">
        <v>83</v>
      </c>
      <c r="I394" s="158">
        <f t="shared" si="30"/>
        <v>0.32602566841385722</v>
      </c>
      <c r="J394" s="95">
        <v>5.4987148168095204E-10</v>
      </c>
      <c r="K394" s="137">
        <v>0.65205133627784295</v>
      </c>
      <c r="L394" s="137">
        <v>0.75</v>
      </c>
      <c r="M394" s="137">
        <v>0.50512834069460699</v>
      </c>
      <c r="N394" s="136">
        <v>1</v>
      </c>
      <c r="O394" s="32">
        <v>42851</v>
      </c>
      <c r="P394" s="98">
        <f t="shared" si="31"/>
        <v>2</v>
      </c>
      <c r="Q394">
        <v>0</v>
      </c>
      <c r="R394">
        <v>0</v>
      </c>
      <c r="S394">
        <v>1.87</v>
      </c>
      <c r="T394" s="112" t="s">
        <v>64</v>
      </c>
      <c r="U394" s="137" t="s">
        <v>1137</v>
      </c>
      <c r="V394" s="137" t="s">
        <v>1138</v>
      </c>
      <c r="W394" s="69">
        <v>110</v>
      </c>
      <c r="X394" s="136">
        <v>2</v>
      </c>
      <c r="Y394" s="136">
        <v>12</v>
      </c>
      <c r="Z394" s="314"/>
      <c r="AA394" s="319">
        <v>0.60499999999999998</v>
      </c>
      <c r="AB394" s="315" t="s">
        <v>5176</v>
      </c>
      <c r="AC394" s="319">
        <v>1</v>
      </c>
      <c r="AD394" s="320">
        <v>1.53846153846153E-2</v>
      </c>
      <c r="AE394" s="319">
        <v>3</v>
      </c>
      <c r="AF394" s="320">
        <v>4.6153846153846101E-2</v>
      </c>
      <c r="AG394" s="319">
        <v>1</v>
      </c>
      <c r="AH394" s="320">
        <v>1.53846153846153E-2</v>
      </c>
      <c r="AI394" s="319">
        <v>1</v>
      </c>
      <c r="AJ394" s="320">
        <v>1.53846153846153E-2</v>
      </c>
      <c r="AK394" s="320">
        <v>1.5384615384615391E-2</v>
      </c>
      <c r="AL394" s="319">
        <v>5</v>
      </c>
      <c r="AM394" s="319">
        <v>7.4</v>
      </c>
      <c r="AN394" s="319">
        <v>2</v>
      </c>
      <c r="AO394" s="319">
        <v>0.48</v>
      </c>
      <c r="AP394">
        <v>12</v>
      </c>
      <c r="AQ394">
        <v>12</v>
      </c>
      <c r="AR394" s="136"/>
      <c r="AT394" s="69">
        <v>2.3148</v>
      </c>
      <c r="AU394" s="69">
        <v>7.6852</v>
      </c>
      <c r="AV394" s="69">
        <v>2.3148</v>
      </c>
      <c r="AW394" s="69">
        <v>0.41049999999999998</v>
      </c>
      <c r="BB394" s="69"/>
    </row>
    <row r="395" spans="1:54" customFormat="1" ht="40" customHeight="1">
      <c r="A395" s="313">
        <v>394</v>
      </c>
      <c r="B395" s="136" t="s">
        <v>589</v>
      </c>
      <c r="C395" s="136" t="s">
        <v>45</v>
      </c>
      <c r="D395" s="31">
        <f t="shared" si="28"/>
        <v>4</v>
      </c>
      <c r="E395" s="137" t="s">
        <v>80</v>
      </c>
      <c r="F395" s="31">
        <f t="shared" si="29"/>
        <v>4</v>
      </c>
      <c r="G395" s="137" t="s">
        <v>1136</v>
      </c>
      <c r="H395" s="138">
        <v>88</v>
      </c>
      <c r="I395" s="158">
        <f t="shared" si="30"/>
        <v>0.47167258090039654</v>
      </c>
      <c r="J395" s="95">
        <v>0.17415736536497001</v>
      </c>
      <c r="K395" s="137">
        <v>0.76918779643582302</v>
      </c>
      <c r="L395" s="137">
        <v>0.75</v>
      </c>
      <c r="M395" s="137">
        <v>0.79796949108955795</v>
      </c>
      <c r="N395" s="136">
        <v>1</v>
      </c>
      <c r="O395" s="32">
        <v>42848</v>
      </c>
      <c r="P395" s="98">
        <f t="shared" si="31"/>
        <v>2</v>
      </c>
      <c r="Q395">
        <v>0</v>
      </c>
      <c r="R395">
        <v>0</v>
      </c>
      <c r="S395">
        <v>1.87</v>
      </c>
      <c r="T395" s="112" t="s">
        <v>64</v>
      </c>
      <c r="U395" s="137" t="s">
        <v>1139</v>
      </c>
      <c r="V395" s="137" t="s">
        <v>1140</v>
      </c>
      <c r="W395" s="69">
        <v>102</v>
      </c>
      <c r="X395" s="136">
        <v>1</v>
      </c>
      <c r="Y395" s="136">
        <v>2</v>
      </c>
      <c r="Z395" s="314"/>
      <c r="AA395" s="319">
        <v>0.59450000000000003</v>
      </c>
      <c r="AB395" s="315" t="s">
        <v>5165</v>
      </c>
      <c r="AC395" s="319">
        <v>5</v>
      </c>
      <c r="AD395" s="320">
        <v>8.6206896551724102E-2</v>
      </c>
      <c r="AE395" s="319">
        <v>0</v>
      </c>
      <c r="AF395" s="320">
        <v>0</v>
      </c>
      <c r="AG395" s="319">
        <v>1</v>
      </c>
      <c r="AH395" s="320">
        <v>1.72413793103448E-2</v>
      </c>
      <c r="AI395" s="319">
        <v>0</v>
      </c>
      <c r="AJ395" s="320">
        <v>0</v>
      </c>
      <c r="AK395" s="320">
        <v>0</v>
      </c>
      <c r="AL395" s="319">
        <v>5</v>
      </c>
      <c r="AM395" s="319">
        <v>7.4</v>
      </c>
      <c r="AN395" s="319">
        <v>4.6666666666666599</v>
      </c>
      <c r="AO395" s="319">
        <v>0.568888888888888</v>
      </c>
      <c r="AP395">
        <v>2</v>
      </c>
      <c r="AQ395">
        <v>2</v>
      </c>
      <c r="AR395" s="136"/>
      <c r="AT395" s="69">
        <v>2.3148</v>
      </c>
      <c r="AU395" s="69">
        <v>7.6852</v>
      </c>
      <c r="AV395" s="69">
        <v>8.1305999999999994</v>
      </c>
      <c r="AW395" s="69">
        <v>0.60440000000000005</v>
      </c>
      <c r="BB395" s="69"/>
    </row>
    <row r="396" spans="1:54" customFormat="1" ht="40" customHeight="1">
      <c r="A396" s="313">
        <v>395</v>
      </c>
      <c r="B396" s="136" t="s">
        <v>589</v>
      </c>
      <c r="C396" s="136" t="s">
        <v>45</v>
      </c>
      <c r="D396" s="31">
        <f t="shared" si="28"/>
        <v>4</v>
      </c>
      <c r="E396" s="137" t="s">
        <v>80</v>
      </c>
      <c r="F396" s="31">
        <f t="shared" si="29"/>
        <v>4</v>
      </c>
      <c r="G396" s="137" t="s">
        <v>1136</v>
      </c>
      <c r="H396" s="138">
        <v>130</v>
      </c>
      <c r="I396" s="158">
        <f t="shared" si="30"/>
        <v>0.61995504622467656</v>
      </c>
      <c r="J396" s="95">
        <v>0.54109588165304401</v>
      </c>
      <c r="K396" s="137">
        <v>0.69881421079630901</v>
      </c>
      <c r="L396" s="137">
        <v>0.75</v>
      </c>
      <c r="M396" s="137">
        <v>0.62203552699077302</v>
      </c>
      <c r="N396" s="136">
        <v>1</v>
      </c>
      <c r="O396" s="32">
        <v>42839</v>
      </c>
      <c r="P396" s="98">
        <f t="shared" si="31"/>
        <v>2</v>
      </c>
      <c r="Q396">
        <v>0</v>
      </c>
      <c r="R396">
        <v>1.65</v>
      </c>
      <c r="S396">
        <v>1.87</v>
      </c>
      <c r="T396" s="112" t="s">
        <v>64</v>
      </c>
      <c r="U396" s="137" t="s">
        <v>1141</v>
      </c>
      <c r="V396" s="137" t="s">
        <v>1142</v>
      </c>
      <c r="W396" s="69">
        <v>111</v>
      </c>
      <c r="X396" s="136">
        <v>1</v>
      </c>
      <c r="Y396" s="136">
        <v>7</v>
      </c>
      <c r="Z396" s="314"/>
      <c r="AA396" s="319">
        <v>0.55000000000000004</v>
      </c>
      <c r="AB396" s="315" t="s">
        <v>5165</v>
      </c>
      <c r="AC396" s="319">
        <v>5</v>
      </c>
      <c r="AD396" s="320">
        <v>8.0645161290322495E-2</v>
      </c>
      <c r="AE396" s="319">
        <v>0</v>
      </c>
      <c r="AF396" s="320">
        <v>0</v>
      </c>
      <c r="AG396" s="319">
        <v>1</v>
      </c>
      <c r="AH396" s="320">
        <v>1.6129032258064498E-2</v>
      </c>
      <c r="AI396" s="319">
        <v>0</v>
      </c>
      <c r="AJ396" s="320">
        <v>0</v>
      </c>
      <c r="AK396" s="320">
        <v>0</v>
      </c>
      <c r="AL396" s="319">
        <v>5</v>
      </c>
      <c r="AM396" s="319">
        <v>6.2</v>
      </c>
      <c r="AN396" s="319">
        <v>2</v>
      </c>
      <c r="AO396" s="319">
        <v>0.44</v>
      </c>
      <c r="AP396">
        <v>7</v>
      </c>
      <c r="AR396" s="136">
        <v>7</v>
      </c>
      <c r="AT396" s="69">
        <v>2.3148</v>
      </c>
      <c r="AU396" s="69">
        <v>5</v>
      </c>
      <c r="AV396" s="69">
        <v>2.3148</v>
      </c>
      <c r="AW396" s="69">
        <v>0.32100000000000001</v>
      </c>
      <c r="BB396" s="69"/>
    </row>
    <row r="397" spans="1:54" customFormat="1" ht="40" customHeight="1">
      <c r="A397" s="313">
        <v>396</v>
      </c>
      <c r="B397" s="136" t="s">
        <v>589</v>
      </c>
      <c r="C397" s="136" t="s">
        <v>59</v>
      </c>
      <c r="D397" s="31">
        <f t="shared" si="28"/>
        <v>5</v>
      </c>
      <c r="E397" s="137" t="s">
        <v>46</v>
      </c>
      <c r="F397" s="31">
        <f t="shared" si="29"/>
        <v>6</v>
      </c>
      <c r="G397" s="137" t="s">
        <v>1143</v>
      </c>
      <c r="H397" s="138">
        <v>26</v>
      </c>
      <c r="I397" s="158">
        <f t="shared" si="30"/>
        <v>0.38675203218642823</v>
      </c>
      <c r="J397" s="95">
        <v>4.3162679370334399E-3</v>
      </c>
      <c r="K397" s="137">
        <v>0.76918779643582302</v>
      </c>
      <c r="L397" s="137">
        <v>0.75</v>
      </c>
      <c r="M397" s="137">
        <v>0.79796949108955795</v>
      </c>
      <c r="N397" s="136">
        <v>1</v>
      </c>
      <c r="O397" s="32">
        <v>42835</v>
      </c>
      <c r="P397" s="98">
        <f t="shared" si="31"/>
        <v>1</v>
      </c>
      <c r="Q397">
        <v>0</v>
      </c>
      <c r="R397">
        <v>0</v>
      </c>
      <c r="S397">
        <v>0</v>
      </c>
      <c r="T397" s="112" t="s">
        <v>73</v>
      </c>
      <c r="U397" s="137" t="s">
        <v>1144</v>
      </c>
      <c r="V397" s="137" t="s">
        <v>1145</v>
      </c>
      <c r="W397" s="69">
        <v>70</v>
      </c>
      <c r="X397" s="136">
        <v>1</v>
      </c>
      <c r="Y397" s="136">
        <v>2</v>
      </c>
      <c r="Z397" s="314"/>
      <c r="AA397" s="319">
        <v>0.55000000000000004</v>
      </c>
      <c r="AB397" s="315" t="s">
        <v>5176</v>
      </c>
      <c r="AC397" s="319">
        <v>1</v>
      </c>
      <c r="AD397" s="320">
        <v>2.5641025641025599E-2</v>
      </c>
      <c r="AE397" s="319">
        <v>2</v>
      </c>
      <c r="AF397" s="320">
        <v>5.1282051282051197E-2</v>
      </c>
      <c r="AG397" s="319">
        <v>1</v>
      </c>
      <c r="AH397" s="320">
        <v>2.5641025641025599E-2</v>
      </c>
      <c r="AI397" s="319">
        <v>0</v>
      </c>
      <c r="AJ397" s="320">
        <v>0</v>
      </c>
      <c r="AK397" s="320">
        <v>2.564102564102564E-2</v>
      </c>
      <c r="AL397" s="319">
        <v>5</v>
      </c>
      <c r="AM397" s="319">
        <v>5</v>
      </c>
      <c r="AN397" s="319">
        <v>3.5</v>
      </c>
      <c r="AO397" s="319">
        <v>0.45</v>
      </c>
      <c r="AP397">
        <v>2</v>
      </c>
      <c r="AR397" s="136">
        <v>2</v>
      </c>
      <c r="AT397" s="69">
        <v>2.3148</v>
      </c>
      <c r="AU397" s="69">
        <v>2.3148</v>
      </c>
      <c r="AV397" s="69">
        <v>5.7443999999999997</v>
      </c>
      <c r="AW397" s="69">
        <v>0.3458</v>
      </c>
      <c r="BB397" s="69"/>
    </row>
    <row r="398" spans="1:54" customFormat="1" ht="40" customHeight="1">
      <c r="A398" s="313">
        <v>397</v>
      </c>
      <c r="B398" s="136" t="s">
        <v>589</v>
      </c>
      <c r="C398" s="136" t="s">
        <v>45</v>
      </c>
      <c r="D398" s="31">
        <f t="shared" si="28"/>
        <v>4</v>
      </c>
      <c r="E398" s="137" t="s">
        <v>80</v>
      </c>
      <c r="F398" s="31">
        <f t="shared" si="29"/>
        <v>4</v>
      </c>
      <c r="G398" s="137" t="s">
        <v>1146</v>
      </c>
      <c r="H398" s="138">
        <v>34</v>
      </c>
      <c r="I398" s="158">
        <f t="shared" si="30"/>
        <v>0.32433382730557442</v>
      </c>
      <c r="J398" s="95">
        <v>4.6991560662338304E-3</v>
      </c>
      <c r="K398" s="137">
        <v>0.643968498544915</v>
      </c>
      <c r="L398" s="137">
        <v>0.75</v>
      </c>
      <c r="M398" s="137">
        <v>0.48492124636228701</v>
      </c>
      <c r="N398" s="136">
        <v>1</v>
      </c>
      <c r="O398" s="32">
        <v>42818</v>
      </c>
      <c r="P398" s="98">
        <f t="shared" si="31"/>
        <v>0</v>
      </c>
      <c r="Q398">
        <v>5.0999999999999996</v>
      </c>
      <c r="R398">
        <v>0</v>
      </c>
      <c r="S398">
        <v>0</v>
      </c>
      <c r="T398" s="112" t="s">
        <v>48</v>
      </c>
      <c r="U398" s="137" t="s">
        <v>1147</v>
      </c>
      <c r="V398" s="137" t="s">
        <v>1148</v>
      </c>
      <c r="W398" s="69">
        <v>58</v>
      </c>
      <c r="X398" s="136">
        <v>1</v>
      </c>
      <c r="Y398" s="136">
        <v>13</v>
      </c>
      <c r="Z398" s="314"/>
      <c r="AA398" s="319">
        <v>0.55000000000000004</v>
      </c>
      <c r="AB398" s="315" t="s">
        <v>5169</v>
      </c>
      <c r="AC398" s="319">
        <v>1</v>
      </c>
      <c r="AD398" s="320">
        <v>3.2258064516128997E-2</v>
      </c>
      <c r="AE398" s="319">
        <v>0</v>
      </c>
      <c r="AF398" s="320">
        <v>0</v>
      </c>
      <c r="AG398" s="319">
        <v>1</v>
      </c>
      <c r="AH398" s="320">
        <v>3.2258064516128997E-2</v>
      </c>
      <c r="AI398" s="319">
        <v>0</v>
      </c>
      <c r="AJ398" s="320">
        <v>0</v>
      </c>
      <c r="AK398" s="320">
        <v>0</v>
      </c>
      <c r="AL398" s="319">
        <v>5</v>
      </c>
      <c r="AM398" s="319">
        <v>7.4</v>
      </c>
      <c r="AN398" s="319">
        <v>2</v>
      </c>
      <c r="AO398" s="319">
        <v>0.48</v>
      </c>
      <c r="AP398">
        <v>13</v>
      </c>
      <c r="AR398" s="136">
        <v>13</v>
      </c>
      <c r="AT398" s="69">
        <v>2.3148</v>
      </c>
      <c r="AU398" s="69">
        <v>7.6852</v>
      </c>
      <c r="AV398" s="69">
        <v>2.3148</v>
      </c>
      <c r="AW398" s="69">
        <v>0.41049999999999998</v>
      </c>
      <c r="BB398" s="69"/>
    </row>
    <row r="399" spans="1:54" customFormat="1" ht="40" customHeight="1">
      <c r="A399" s="313">
        <v>398</v>
      </c>
      <c r="B399" s="136" t="s">
        <v>589</v>
      </c>
      <c r="C399" s="136" t="s">
        <v>45</v>
      </c>
      <c r="D399" s="31">
        <f t="shared" si="28"/>
        <v>4</v>
      </c>
      <c r="E399" s="137" t="s">
        <v>80</v>
      </c>
      <c r="F399" s="31">
        <f t="shared" si="29"/>
        <v>4</v>
      </c>
      <c r="G399" s="137" t="s">
        <v>1146</v>
      </c>
      <c r="H399" s="138">
        <v>222</v>
      </c>
      <c r="I399" s="158">
        <f t="shared" si="30"/>
        <v>0.25819344050944587</v>
      </c>
      <c r="J399" s="95">
        <v>3.6680572586766901E-5</v>
      </c>
      <c r="K399" s="137">
        <v>0.51635020044630497</v>
      </c>
      <c r="L399" s="137">
        <v>0.61983471074380103</v>
      </c>
      <c r="M399" s="137">
        <v>0.36112343500006</v>
      </c>
      <c r="N399" s="136">
        <v>1</v>
      </c>
      <c r="O399" s="32">
        <v>42797</v>
      </c>
      <c r="P399" s="98">
        <f t="shared" si="31"/>
        <v>0</v>
      </c>
      <c r="Q399">
        <v>2.5499999999999998</v>
      </c>
      <c r="R399">
        <v>1.65</v>
      </c>
      <c r="S399">
        <v>1.87</v>
      </c>
      <c r="T399" s="112" t="s">
        <v>48</v>
      </c>
      <c r="U399" s="137" t="s">
        <v>1149</v>
      </c>
      <c r="V399" s="137" t="s">
        <v>1150</v>
      </c>
      <c r="W399" s="69">
        <v>124</v>
      </c>
      <c r="X399" s="136">
        <v>2</v>
      </c>
      <c r="Y399" s="136">
        <v>20</v>
      </c>
      <c r="Z399" s="314"/>
      <c r="AA399" s="319">
        <v>3.1485342035837097E-2</v>
      </c>
      <c r="AB399" s="315" t="s">
        <v>5165</v>
      </c>
      <c r="AC399" s="319">
        <v>2</v>
      </c>
      <c r="AD399" s="320">
        <v>2.8571428571428501E-2</v>
      </c>
      <c r="AE399" s="319">
        <v>0</v>
      </c>
      <c r="AF399" s="320">
        <v>0</v>
      </c>
      <c r="AG399" s="319">
        <v>0</v>
      </c>
      <c r="AH399" s="320">
        <v>0</v>
      </c>
      <c r="AI399" s="319">
        <v>0</v>
      </c>
      <c r="AJ399" s="320">
        <v>0</v>
      </c>
      <c r="AK399" s="320">
        <v>0</v>
      </c>
      <c r="AL399" s="319">
        <v>5</v>
      </c>
      <c r="AM399" s="319">
        <v>7.4</v>
      </c>
      <c r="AN399" s="319">
        <v>7.3333333333333304</v>
      </c>
      <c r="AO399" s="319">
        <v>0.65777777777777702</v>
      </c>
      <c r="AP399">
        <v>20</v>
      </c>
      <c r="AR399" s="136">
        <v>20</v>
      </c>
      <c r="AT399" s="69">
        <v>2.3148</v>
      </c>
      <c r="AU399" s="69">
        <v>7.6852</v>
      </c>
      <c r="AV399" s="69">
        <v>9.8416999999999994</v>
      </c>
      <c r="AW399" s="69">
        <v>0.66139999999999999</v>
      </c>
      <c r="BB399" s="69"/>
    </row>
    <row r="400" spans="1:54" customFormat="1" ht="40" customHeight="1">
      <c r="A400" s="313">
        <v>399</v>
      </c>
      <c r="B400" s="136" t="s">
        <v>589</v>
      </c>
      <c r="C400" s="136" t="s">
        <v>45</v>
      </c>
      <c r="D400" s="31">
        <f t="shared" si="28"/>
        <v>4</v>
      </c>
      <c r="E400" s="137" t="s">
        <v>80</v>
      </c>
      <c r="F400" s="31">
        <f t="shared" si="29"/>
        <v>4</v>
      </c>
      <c r="G400" s="137" t="s">
        <v>1151</v>
      </c>
      <c r="H400" s="138">
        <v>33</v>
      </c>
      <c r="I400" s="158">
        <f t="shared" si="30"/>
        <v>0.80089689942610653</v>
      </c>
      <c r="J400" s="95">
        <v>0.98036522742364196</v>
      </c>
      <c r="K400" s="137">
        <v>0.621428571428571</v>
      </c>
      <c r="L400" s="137">
        <v>0.75</v>
      </c>
      <c r="M400" s="137">
        <v>0.42857142857142899</v>
      </c>
      <c r="N400" s="136">
        <v>1</v>
      </c>
      <c r="O400" s="32">
        <v>42757</v>
      </c>
      <c r="P400" s="98">
        <f t="shared" si="31"/>
        <v>0</v>
      </c>
      <c r="Q400">
        <v>0</v>
      </c>
      <c r="R400">
        <v>0</v>
      </c>
      <c r="S400">
        <v>0</v>
      </c>
      <c r="T400" s="112" t="s">
        <v>48</v>
      </c>
      <c r="U400" s="137" t="s">
        <v>1152</v>
      </c>
      <c r="V400" s="137" t="s">
        <v>1153</v>
      </c>
      <c r="W400" s="69">
        <v>82</v>
      </c>
      <c r="X400" s="136">
        <v>1</v>
      </c>
      <c r="Y400" s="136">
        <v>16</v>
      </c>
      <c r="Z400" s="314"/>
      <c r="AA400" s="319">
        <v>0.66549999999999998</v>
      </c>
      <c r="AB400" s="315" t="s">
        <v>5178</v>
      </c>
      <c r="AC400" s="319">
        <v>2</v>
      </c>
      <c r="AD400" s="320">
        <v>4.1666666666666602E-2</v>
      </c>
      <c r="AE400" s="319">
        <v>2</v>
      </c>
      <c r="AF400" s="320">
        <v>4.1666666666666602E-2</v>
      </c>
      <c r="AG400" s="319">
        <v>0</v>
      </c>
      <c r="AH400" s="320">
        <v>0</v>
      </c>
      <c r="AI400" s="319">
        <v>0</v>
      </c>
      <c r="AJ400" s="320">
        <v>0</v>
      </c>
      <c r="AK400" s="320">
        <v>2.0833333333333329E-2</v>
      </c>
      <c r="AL400" s="319">
        <v>5</v>
      </c>
      <c r="AM400" s="319">
        <v>7.4</v>
      </c>
      <c r="AN400" s="319">
        <v>2</v>
      </c>
      <c r="AO400" s="319">
        <v>0.48</v>
      </c>
      <c r="AP400">
        <v>16</v>
      </c>
      <c r="AQ400">
        <v>16</v>
      </c>
      <c r="AR400" s="136"/>
      <c r="AT400" s="69">
        <v>2.3148</v>
      </c>
      <c r="AU400" s="69">
        <v>7.6852</v>
      </c>
      <c r="AV400" s="69">
        <v>2.3148</v>
      </c>
      <c r="AW400" s="69">
        <v>0.41049999999999998</v>
      </c>
      <c r="BB400" s="69"/>
    </row>
    <row r="401" spans="1:54" customFormat="1" ht="40" customHeight="1">
      <c r="A401" s="313">
        <v>400</v>
      </c>
      <c r="B401" s="136" t="s">
        <v>589</v>
      </c>
      <c r="C401" s="136" t="s">
        <v>59</v>
      </c>
      <c r="D401" s="31">
        <f t="shared" si="28"/>
        <v>5</v>
      </c>
      <c r="E401" s="137" t="s">
        <v>80</v>
      </c>
      <c r="F401" s="31">
        <f t="shared" si="29"/>
        <v>4</v>
      </c>
      <c r="G401" s="137" t="s">
        <v>1154</v>
      </c>
      <c r="H401" s="138">
        <v>108</v>
      </c>
      <c r="I401" s="158">
        <f t="shared" si="30"/>
        <v>0.3574246114506483</v>
      </c>
      <c r="J401" s="95">
        <v>9.1253597872653595E-5</v>
      </c>
      <c r="K401" s="137">
        <v>0.71475796930342395</v>
      </c>
      <c r="L401" s="137">
        <v>0.61983471074380203</v>
      </c>
      <c r="M401" s="137">
        <v>0.85714285714285698</v>
      </c>
      <c r="N401" s="136">
        <v>1</v>
      </c>
      <c r="O401" s="32">
        <v>42723</v>
      </c>
      <c r="P401" s="98">
        <f t="shared" si="31"/>
        <v>1</v>
      </c>
      <c r="Q401">
        <v>0</v>
      </c>
      <c r="R401">
        <v>1.65</v>
      </c>
      <c r="S401">
        <v>0</v>
      </c>
      <c r="T401" s="112" t="s">
        <v>73</v>
      </c>
      <c r="U401" s="137" t="s">
        <v>5182</v>
      </c>
      <c r="V401" s="137" t="s">
        <v>1156</v>
      </c>
      <c r="W401" s="69">
        <v>138</v>
      </c>
      <c r="X401" s="136">
        <v>1</v>
      </c>
      <c r="Y401" s="136">
        <v>1</v>
      </c>
      <c r="Z401" s="314"/>
      <c r="AA401" s="319">
        <v>0.58399999999999996</v>
      </c>
      <c r="AB401" s="315" t="s">
        <v>5165</v>
      </c>
      <c r="AC401" s="319">
        <v>5</v>
      </c>
      <c r="AD401" s="320">
        <v>6.4935064935064901E-2</v>
      </c>
      <c r="AE401" s="319">
        <v>0</v>
      </c>
      <c r="AF401" s="320">
        <v>0</v>
      </c>
      <c r="AG401" s="319">
        <v>1</v>
      </c>
      <c r="AH401" s="320">
        <v>1.2987012987012899E-2</v>
      </c>
      <c r="AI401" s="319">
        <v>0</v>
      </c>
      <c r="AJ401" s="320">
        <v>0</v>
      </c>
      <c r="AK401" s="320">
        <v>0</v>
      </c>
      <c r="AL401" s="319">
        <v>5</v>
      </c>
      <c r="AM401" s="319">
        <v>6.2</v>
      </c>
      <c r="AN401" s="319">
        <v>3.5</v>
      </c>
      <c r="AO401" s="319">
        <v>0.49</v>
      </c>
      <c r="AP401">
        <v>1</v>
      </c>
      <c r="AR401" s="136">
        <v>1</v>
      </c>
      <c r="AT401" s="69">
        <v>2.3148</v>
      </c>
      <c r="AU401" s="69">
        <v>5</v>
      </c>
      <c r="AV401" s="69">
        <v>5.7443999999999997</v>
      </c>
      <c r="AW401" s="69">
        <v>0.43530000000000002</v>
      </c>
      <c r="BB401" s="69"/>
    </row>
    <row r="402" spans="1:54" customFormat="1" ht="40" customHeight="1">
      <c r="A402" s="313">
        <v>401</v>
      </c>
      <c r="B402" s="136" t="s">
        <v>589</v>
      </c>
      <c r="C402" s="136" t="s">
        <v>45</v>
      </c>
      <c r="D402" s="31">
        <f t="shared" si="28"/>
        <v>4</v>
      </c>
      <c r="E402" s="137" t="s">
        <v>80</v>
      </c>
      <c r="F402" s="31">
        <f t="shared" si="29"/>
        <v>4</v>
      </c>
      <c r="G402" s="137" t="s">
        <v>1151</v>
      </c>
      <c r="H402" s="138">
        <v>192</v>
      </c>
      <c r="I402" s="158">
        <f t="shared" si="30"/>
        <v>0.27986926871210382</v>
      </c>
      <c r="J402" s="95">
        <v>2.3811053938497698E-2</v>
      </c>
      <c r="K402" s="137">
        <v>0.53592748348570995</v>
      </c>
      <c r="L402" s="137">
        <v>0.51226009152380303</v>
      </c>
      <c r="M402" s="137">
        <v>0.57142857142857095</v>
      </c>
      <c r="N402" s="136">
        <v>1</v>
      </c>
      <c r="O402" s="32">
        <v>42723</v>
      </c>
      <c r="P402" s="98">
        <f t="shared" si="31"/>
        <v>0</v>
      </c>
      <c r="Q402">
        <v>7.65</v>
      </c>
      <c r="R402">
        <v>3.3</v>
      </c>
      <c r="S402">
        <v>0</v>
      </c>
      <c r="T402" s="112" t="s">
        <v>48</v>
      </c>
      <c r="U402" s="137" t="s">
        <v>1157</v>
      </c>
      <c r="V402" s="137" t="s">
        <v>1158</v>
      </c>
      <c r="W402" s="69">
        <v>69</v>
      </c>
      <c r="X402" s="136">
        <v>1</v>
      </c>
      <c r="Y402" s="136">
        <v>9</v>
      </c>
      <c r="Z402" s="314"/>
      <c r="AA402" s="319">
        <v>2.7382887602325101E-2</v>
      </c>
      <c r="AB402" s="315" t="s">
        <v>5165</v>
      </c>
      <c r="AC402" s="319">
        <v>2</v>
      </c>
      <c r="AD402" s="320">
        <v>5.1282051282051197E-2</v>
      </c>
      <c r="AE402" s="319">
        <v>0</v>
      </c>
      <c r="AF402" s="320">
        <v>0</v>
      </c>
      <c r="AG402" s="319">
        <v>0</v>
      </c>
      <c r="AH402" s="320">
        <v>0</v>
      </c>
      <c r="AI402" s="319">
        <v>0</v>
      </c>
      <c r="AJ402" s="320">
        <v>0</v>
      </c>
      <c r="AK402" s="320">
        <v>0</v>
      </c>
      <c r="AL402" s="319">
        <v>6.75</v>
      </c>
      <c r="AM402" s="319">
        <v>6.2</v>
      </c>
      <c r="AN402" s="319">
        <v>4.6666666666666599</v>
      </c>
      <c r="AO402" s="319">
        <v>0.58722222222222198</v>
      </c>
      <c r="AP402">
        <v>9</v>
      </c>
      <c r="AR402" s="136">
        <v>9</v>
      </c>
      <c r="AT402" s="69">
        <v>6.3414000000000001</v>
      </c>
      <c r="AU402" s="69">
        <v>5</v>
      </c>
      <c r="AV402" s="69">
        <v>8.1305999999999994</v>
      </c>
      <c r="AW402" s="69">
        <v>0.64910000000000001</v>
      </c>
      <c r="BB402" s="69"/>
    </row>
    <row r="403" spans="1:54" customFormat="1" ht="40" customHeight="1">
      <c r="A403" s="313">
        <v>402</v>
      </c>
      <c r="B403" s="136" t="s">
        <v>589</v>
      </c>
      <c r="C403" s="136" t="s">
        <v>45</v>
      </c>
      <c r="D403" s="31">
        <f t="shared" si="28"/>
        <v>4</v>
      </c>
      <c r="E403" s="137" t="s">
        <v>80</v>
      </c>
      <c r="F403" s="31">
        <f t="shared" si="29"/>
        <v>4</v>
      </c>
      <c r="G403" s="137" t="s">
        <v>1159</v>
      </c>
      <c r="H403" s="138">
        <v>70</v>
      </c>
      <c r="I403" s="158">
        <f t="shared" si="30"/>
        <v>0.82818898060504509</v>
      </c>
      <c r="J403" s="95">
        <v>0.99589937780182702</v>
      </c>
      <c r="K403" s="137">
        <v>0.66047858340826304</v>
      </c>
      <c r="L403" s="137">
        <v>0.75</v>
      </c>
      <c r="M403" s="137">
        <v>0.526196458520657</v>
      </c>
      <c r="N403" s="136">
        <v>1</v>
      </c>
      <c r="O403" s="32">
        <v>42716</v>
      </c>
      <c r="P403" s="98">
        <f t="shared" si="31"/>
        <v>0</v>
      </c>
      <c r="Q403">
        <v>2.5499999999999998</v>
      </c>
      <c r="R403">
        <v>1.65</v>
      </c>
      <c r="S403">
        <v>0</v>
      </c>
      <c r="T403" s="112" t="s">
        <v>48</v>
      </c>
      <c r="U403" s="137" t="s">
        <v>1160</v>
      </c>
      <c r="V403" s="137" t="s">
        <v>1158</v>
      </c>
      <c r="W403" s="69">
        <v>69</v>
      </c>
      <c r="X403" s="136">
        <v>1</v>
      </c>
      <c r="Y403" s="136">
        <v>11</v>
      </c>
      <c r="Z403" s="314"/>
      <c r="AA403" s="319">
        <v>0.66549999999999998</v>
      </c>
      <c r="AB403" s="315" t="s">
        <v>5165</v>
      </c>
      <c r="AC403" s="319">
        <v>2</v>
      </c>
      <c r="AD403" s="320">
        <v>5.1282051282051197E-2</v>
      </c>
      <c r="AE403" s="319">
        <v>0</v>
      </c>
      <c r="AF403" s="320">
        <v>0</v>
      </c>
      <c r="AG403" s="319">
        <v>0</v>
      </c>
      <c r="AH403" s="320">
        <v>0</v>
      </c>
      <c r="AI403" s="319">
        <v>0</v>
      </c>
      <c r="AJ403" s="320">
        <v>0</v>
      </c>
      <c r="AK403" s="320">
        <v>0</v>
      </c>
      <c r="AL403" s="319">
        <v>5</v>
      </c>
      <c r="AM403" s="319">
        <v>7.4</v>
      </c>
      <c r="AN403" s="319">
        <v>4.6666666666666599</v>
      </c>
      <c r="AO403" s="319">
        <v>0.568888888888888</v>
      </c>
      <c r="AP403">
        <v>11</v>
      </c>
      <c r="AQ403">
        <v>11</v>
      </c>
      <c r="AR403" s="136"/>
      <c r="AT403" s="69">
        <v>2.3148</v>
      </c>
      <c r="AU403" s="69">
        <v>7.6852</v>
      </c>
      <c r="AV403" s="69">
        <v>8.1305999999999994</v>
      </c>
      <c r="AW403" s="69">
        <v>0.60440000000000005</v>
      </c>
      <c r="BB403" s="69"/>
    </row>
    <row r="404" spans="1:54" customFormat="1" ht="40" customHeight="1">
      <c r="A404" s="313">
        <v>403</v>
      </c>
      <c r="B404" s="136" t="s">
        <v>589</v>
      </c>
      <c r="C404" s="136" t="s">
        <v>45</v>
      </c>
      <c r="D404" s="31">
        <f t="shared" si="28"/>
        <v>4</v>
      </c>
      <c r="E404" s="137" t="s">
        <v>80</v>
      </c>
      <c r="F404" s="31">
        <f t="shared" si="29"/>
        <v>4</v>
      </c>
      <c r="G404" s="137" t="s">
        <v>1159</v>
      </c>
      <c r="H404" s="138">
        <v>71</v>
      </c>
      <c r="I404" s="158">
        <f t="shared" si="30"/>
        <v>0.33928652597382236</v>
      </c>
      <c r="J404" s="95">
        <v>1.6233762166750801E-6</v>
      </c>
      <c r="K404" s="137">
        <v>0.67857142857142805</v>
      </c>
      <c r="L404" s="137">
        <v>0.75</v>
      </c>
      <c r="M404" s="137">
        <v>0.57142857142857095</v>
      </c>
      <c r="N404" s="136">
        <v>1</v>
      </c>
      <c r="O404" s="32">
        <v>42703</v>
      </c>
      <c r="P404" s="98">
        <f t="shared" si="31"/>
        <v>0</v>
      </c>
      <c r="Q404">
        <v>2.5499999999999998</v>
      </c>
      <c r="R404">
        <v>1.65</v>
      </c>
      <c r="S404">
        <v>0</v>
      </c>
      <c r="T404" s="112" t="s">
        <v>48</v>
      </c>
      <c r="U404" s="137" t="s">
        <v>1161</v>
      </c>
      <c r="V404" s="137" t="s">
        <v>1162</v>
      </c>
      <c r="W404" s="69">
        <v>57</v>
      </c>
      <c r="X404" s="136">
        <v>1</v>
      </c>
      <c r="Y404" s="136">
        <v>9</v>
      </c>
      <c r="Z404" s="314"/>
      <c r="AA404" s="319">
        <v>0.66549999999999998</v>
      </c>
      <c r="AB404" s="315" t="s">
        <v>5165</v>
      </c>
      <c r="AC404" s="319">
        <v>2</v>
      </c>
      <c r="AD404" s="320">
        <v>5.7142857142857099E-2</v>
      </c>
      <c r="AE404" s="319">
        <v>1</v>
      </c>
      <c r="AF404" s="320">
        <v>2.8571428571428501E-2</v>
      </c>
      <c r="AG404" s="319">
        <v>0</v>
      </c>
      <c r="AH404" s="320">
        <v>0</v>
      </c>
      <c r="AI404" s="319">
        <v>0</v>
      </c>
      <c r="AJ404" s="320">
        <v>0</v>
      </c>
      <c r="AK404" s="320">
        <v>0</v>
      </c>
      <c r="AL404" s="319">
        <v>5</v>
      </c>
      <c r="AM404" s="319">
        <v>7.4</v>
      </c>
      <c r="AN404" s="319">
        <v>4.6666666666666599</v>
      </c>
      <c r="AO404" s="319">
        <v>0.568888888888888</v>
      </c>
      <c r="AP404">
        <v>11</v>
      </c>
      <c r="AQ404">
        <v>11</v>
      </c>
      <c r="AR404" s="136"/>
      <c r="AT404" s="69">
        <v>2.3148</v>
      </c>
      <c r="AU404" s="69">
        <v>7.6852</v>
      </c>
      <c r="AV404" s="69">
        <v>8.1305999999999994</v>
      </c>
      <c r="AW404" s="69">
        <v>0.60440000000000005</v>
      </c>
      <c r="BB404" s="69"/>
    </row>
    <row r="405" spans="1:54" customFormat="1" ht="40" customHeight="1">
      <c r="A405" s="313">
        <v>404</v>
      </c>
      <c r="B405" s="136" t="s">
        <v>589</v>
      </c>
      <c r="C405" s="136" t="s">
        <v>45</v>
      </c>
      <c r="D405" s="31">
        <f t="shared" si="28"/>
        <v>4</v>
      </c>
      <c r="E405" s="137" t="s">
        <v>80</v>
      </c>
      <c r="F405" s="31">
        <f t="shared" si="29"/>
        <v>4</v>
      </c>
      <c r="G405" s="137" t="s">
        <v>1163</v>
      </c>
      <c r="H405" s="138">
        <v>214</v>
      </c>
      <c r="I405" s="158">
        <f t="shared" si="30"/>
        <v>0.53799612528846552</v>
      </c>
      <c r="J405" s="95">
        <v>0.37894091429908799</v>
      </c>
      <c r="K405" s="137">
        <v>0.69705133627784299</v>
      </c>
      <c r="L405" s="137">
        <v>0.82499999999999996</v>
      </c>
      <c r="M405" s="137">
        <v>0.50512834069460699</v>
      </c>
      <c r="N405" s="136">
        <v>1</v>
      </c>
      <c r="O405" s="32">
        <v>42691</v>
      </c>
      <c r="P405" s="98">
        <f t="shared" si="31"/>
        <v>0</v>
      </c>
      <c r="Q405">
        <v>5.0999999999999996</v>
      </c>
      <c r="R405">
        <v>0</v>
      </c>
      <c r="S405">
        <v>0</v>
      </c>
      <c r="T405" s="112" t="s">
        <v>48</v>
      </c>
      <c r="U405" s="137" t="s">
        <v>1164</v>
      </c>
      <c r="V405" s="137" t="s">
        <v>1165</v>
      </c>
      <c r="W405" s="69">
        <v>109</v>
      </c>
      <c r="X405" s="136">
        <v>1</v>
      </c>
      <c r="Y405" s="136">
        <v>12</v>
      </c>
      <c r="Z405" s="314"/>
      <c r="AA405" s="319">
        <v>0.46818181818181798</v>
      </c>
      <c r="AB405" s="315" t="s">
        <v>5168</v>
      </c>
      <c r="AC405" s="319">
        <v>0</v>
      </c>
      <c r="AD405" s="320">
        <v>0</v>
      </c>
      <c r="AE405" s="319">
        <v>1</v>
      </c>
      <c r="AF405" s="320">
        <v>1.47058823529411E-2</v>
      </c>
      <c r="AG405" s="319">
        <v>2</v>
      </c>
      <c r="AH405" s="320">
        <v>2.94117647058823E-2</v>
      </c>
      <c r="AI405" s="319">
        <v>0</v>
      </c>
      <c r="AJ405" s="320">
        <v>0</v>
      </c>
      <c r="AK405" s="320">
        <v>1.470588235294118E-2</v>
      </c>
      <c r="AL405" s="319">
        <v>5</v>
      </c>
      <c r="AM405" s="319">
        <v>6.2</v>
      </c>
      <c r="AN405" s="319">
        <v>7.3333333333333304</v>
      </c>
      <c r="AO405" s="319">
        <v>0.61777777777777698</v>
      </c>
      <c r="AP405">
        <v>12</v>
      </c>
      <c r="AR405" s="136">
        <v>12</v>
      </c>
      <c r="AT405" s="69">
        <v>2.3148</v>
      </c>
      <c r="AU405" s="69">
        <v>5</v>
      </c>
      <c r="AV405" s="69">
        <v>9.8416999999999994</v>
      </c>
      <c r="AW405" s="69">
        <v>0.57189999999999996</v>
      </c>
      <c r="BB405" s="69"/>
    </row>
    <row r="406" spans="1:54" customFormat="1" ht="40" customHeight="1">
      <c r="A406" s="313">
        <v>405</v>
      </c>
      <c r="B406" s="136" t="s">
        <v>589</v>
      </c>
      <c r="C406" s="136" t="s">
        <v>45</v>
      </c>
      <c r="D406" s="31">
        <f t="shared" si="28"/>
        <v>4</v>
      </c>
      <c r="E406" s="137" t="s">
        <v>46</v>
      </c>
      <c r="F406" s="31">
        <f t="shared" si="29"/>
        <v>6</v>
      </c>
      <c r="G406" s="137" t="s">
        <v>1166</v>
      </c>
      <c r="H406" s="138">
        <v>172</v>
      </c>
      <c r="I406" s="158">
        <f t="shared" si="30"/>
        <v>0.47240511964514198</v>
      </c>
      <c r="J406" s="95">
        <v>0.37894091429908799</v>
      </c>
      <c r="K406" s="137">
        <v>0.56586932499119602</v>
      </c>
      <c r="L406" s="137">
        <v>0.61983471074380203</v>
      </c>
      <c r="M406" s="137">
        <v>0.48492124636228701</v>
      </c>
      <c r="N406" s="136">
        <v>1</v>
      </c>
      <c r="O406" s="32">
        <v>42690</v>
      </c>
      <c r="P406" s="98">
        <f t="shared" si="31"/>
        <v>0</v>
      </c>
      <c r="Q406">
        <v>2.5499999999999998</v>
      </c>
      <c r="R406">
        <v>0</v>
      </c>
      <c r="S406">
        <v>1.87</v>
      </c>
      <c r="T406" s="112" t="s">
        <v>48</v>
      </c>
      <c r="U406" s="137" t="s">
        <v>1167</v>
      </c>
      <c r="V406" s="137" t="s">
        <v>1168</v>
      </c>
      <c r="W406" s="69">
        <v>83</v>
      </c>
      <c r="X406" s="136">
        <v>1</v>
      </c>
      <c r="Y406" s="136">
        <v>13</v>
      </c>
      <c r="Z406" s="314"/>
      <c r="AA406" s="319">
        <v>0.5</v>
      </c>
      <c r="AB406" s="315" t="s">
        <v>5176</v>
      </c>
      <c r="AC406" s="319">
        <v>1</v>
      </c>
      <c r="AD406" s="320">
        <v>1.9230769230769201E-2</v>
      </c>
      <c r="AE406" s="319">
        <v>4</v>
      </c>
      <c r="AF406" s="320">
        <v>7.69230769230769E-2</v>
      </c>
      <c r="AG406" s="319">
        <v>0</v>
      </c>
      <c r="AH406" s="320">
        <v>0</v>
      </c>
      <c r="AI406" s="319">
        <v>0</v>
      </c>
      <c r="AJ406" s="320">
        <v>0</v>
      </c>
      <c r="AK406" s="320">
        <v>1.9230769230769228E-2</v>
      </c>
      <c r="AL406" s="319">
        <v>5</v>
      </c>
      <c r="AM406" s="319">
        <v>5</v>
      </c>
      <c r="AN406" s="319">
        <v>8.8333333333333304</v>
      </c>
      <c r="AO406" s="319">
        <v>0.62777777777777699</v>
      </c>
      <c r="AP406">
        <v>13</v>
      </c>
      <c r="AR406" s="136">
        <v>13</v>
      </c>
      <c r="AT406" s="69">
        <v>2.3148</v>
      </c>
      <c r="AU406" s="69">
        <v>2.3148</v>
      </c>
      <c r="AV406" s="69">
        <v>9.9641999999999999</v>
      </c>
      <c r="AW406" s="69">
        <v>0.48649999999999999</v>
      </c>
      <c r="BB406" s="69"/>
    </row>
    <row r="407" spans="1:54" customFormat="1" ht="40" customHeight="1">
      <c r="A407" s="313">
        <v>406</v>
      </c>
      <c r="B407" s="136" t="s">
        <v>589</v>
      </c>
      <c r="C407" s="136" t="s">
        <v>45</v>
      </c>
      <c r="D407" s="31">
        <f t="shared" si="28"/>
        <v>4</v>
      </c>
      <c r="E407" s="137" t="s">
        <v>80</v>
      </c>
      <c r="F407" s="31">
        <f t="shared" si="29"/>
        <v>4</v>
      </c>
      <c r="G407" s="137" t="s">
        <v>1169</v>
      </c>
      <c r="H407" s="138">
        <v>33</v>
      </c>
      <c r="I407" s="158">
        <f t="shared" si="30"/>
        <v>0.31883121733679182</v>
      </c>
      <c r="J407" s="95">
        <v>9.7011245592248901E-8</v>
      </c>
      <c r="K407" s="137">
        <v>0.63766233766233804</v>
      </c>
      <c r="L407" s="137">
        <v>0.68181818181818199</v>
      </c>
      <c r="M407" s="137">
        <v>0.57142857142857095</v>
      </c>
      <c r="N407" s="136">
        <v>1</v>
      </c>
      <c r="O407" s="32">
        <v>42690</v>
      </c>
      <c r="P407" s="98">
        <f t="shared" si="31"/>
        <v>0</v>
      </c>
      <c r="Q407">
        <v>0</v>
      </c>
      <c r="R407">
        <v>0</v>
      </c>
      <c r="S407">
        <v>0</v>
      </c>
      <c r="T407" s="112" t="s">
        <v>48</v>
      </c>
      <c r="U407" s="137" t="s">
        <v>1170</v>
      </c>
      <c r="V407" s="137" t="s">
        <v>1168</v>
      </c>
      <c r="W407" s="69">
        <v>83</v>
      </c>
      <c r="X407" s="136">
        <v>1</v>
      </c>
      <c r="Y407" s="136">
        <v>9</v>
      </c>
      <c r="Z407" s="314"/>
      <c r="AA407" s="319">
        <v>0.55000000000000004</v>
      </c>
      <c r="AB407" s="315" t="s">
        <v>5176</v>
      </c>
      <c r="AC407" s="319">
        <v>1</v>
      </c>
      <c r="AD407" s="320">
        <v>1.9230769230769201E-2</v>
      </c>
      <c r="AE407" s="319">
        <v>4</v>
      </c>
      <c r="AF407" s="320">
        <v>7.69230769230769E-2</v>
      </c>
      <c r="AG407" s="319">
        <v>0</v>
      </c>
      <c r="AH407" s="320">
        <v>0</v>
      </c>
      <c r="AI407" s="319">
        <v>0</v>
      </c>
      <c r="AJ407" s="320">
        <v>0</v>
      </c>
      <c r="AK407" s="320">
        <v>1.9230769230769228E-2</v>
      </c>
      <c r="AL407" s="319">
        <v>5</v>
      </c>
      <c r="AM407" s="319">
        <v>5</v>
      </c>
      <c r="AN407" s="319">
        <v>6.1666666666666599</v>
      </c>
      <c r="AO407" s="319">
        <v>0.53888888888888797</v>
      </c>
      <c r="AP407">
        <v>9</v>
      </c>
      <c r="AR407" s="136">
        <v>9</v>
      </c>
      <c r="AT407" s="69">
        <v>2.3148</v>
      </c>
      <c r="AU407" s="69">
        <v>2.3148</v>
      </c>
      <c r="AV407" s="69">
        <v>9.5120000000000005</v>
      </c>
      <c r="AW407" s="69">
        <v>0.47139999999999999</v>
      </c>
      <c r="BB407" s="69"/>
    </row>
    <row r="408" spans="1:54" customFormat="1" ht="40" customHeight="1">
      <c r="A408" s="313">
        <v>407</v>
      </c>
      <c r="B408" s="136" t="s">
        <v>589</v>
      </c>
      <c r="C408" s="136" t="s">
        <v>45</v>
      </c>
      <c r="D408" s="31">
        <f t="shared" si="28"/>
        <v>4</v>
      </c>
      <c r="E408" s="137" t="s">
        <v>80</v>
      </c>
      <c r="F408" s="31">
        <f t="shared" si="29"/>
        <v>4</v>
      </c>
      <c r="G408" s="137" t="s">
        <v>1171</v>
      </c>
      <c r="H408" s="138">
        <v>75</v>
      </c>
      <c r="I408" s="158">
        <f t="shared" si="30"/>
        <v>0.31809868194586927</v>
      </c>
      <c r="J408" s="95">
        <v>6.3574216785378104E-6</v>
      </c>
      <c r="K408" s="137">
        <v>0.63619100647005999</v>
      </c>
      <c r="L408" s="137">
        <v>0.75</v>
      </c>
      <c r="M408" s="137">
        <v>0.46547751617515098</v>
      </c>
      <c r="N408" s="136">
        <v>1</v>
      </c>
      <c r="O408" s="32">
        <v>42641</v>
      </c>
      <c r="P408" s="98">
        <f t="shared" si="31"/>
        <v>0</v>
      </c>
      <c r="Q408">
        <v>5.0999999999999996</v>
      </c>
      <c r="R408">
        <v>0</v>
      </c>
      <c r="S408">
        <v>0</v>
      </c>
      <c r="T408" s="112" t="s">
        <v>48</v>
      </c>
      <c r="U408" s="137" t="s">
        <v>1172</v>
      </c>
      <c r="V408" s="137" t="s">
        <v>1168</v>
      </c>
      <c r="W408" s="69">
        <v>83</v>
      </c>
      <c r="X408" s="136">
        <v>1</v>
      </c>
      <c r="Y408" s="136">
        <v>14</v>
      </c>
      <c r="Z408" s="314"/>
      <c r="AA408" s="319">
        <v>0.54500000000000004</v>
      </c>
      <c r="AB408" s="315" t="s">
        <v>5176</v>
      </c>
      <c r="AC408" s="319">
        <v>1</v>
      </c>
      <c r="AD408" s="320">
        <v>1.9230769230769201E-2</v>
      </c>
      <c r="AE408" s="319">
        <v>4</v>
      </c>
      <c r="AF408" s="320">
        <v>7.69230769230769E-2</v>
      </c>
      <c r="AG408" s="319">
        <v>0</v>
      </c>
      <c r="AH408" s="320">
        <v>0</v>
      </c>
      <c r="AI408" s="319">
        <v>0</v>
      </c>
      <c r="AJ408" s="320">
        <v>0</v>
      </c>
      <c r="AK408" s="320">
        <v>1.9230769230769228E-2</v>
      </c>
      <c r="AL408" s="319">
        <v>5</v>
      </c>
      <c r="AM408" s="319">
        <v>6.2</v>
      </c>
      <c r="AN408" s="319">
        <v>2</v>
      </c>
      <c r="AO408" s="319">
        <v>0.44</v>
      </c>
      <c r="AP408">
        <v>14</v>
      </c>
      <c r="AQ408">
        <v>14</v>
      </c>
      <c r="AR408" s="136"/>
      <c r="AT408" s="69">
        <v>2.3148</v>
      </c>
      <c r="AU408" s="69">
        <v>5</v>
      </c>
      <c r="AV408" s="69">
        <v>2.3148</v>
      </c>
      <c r="AW408" s="69">
        <v>0.32100000000000001</v>
      </c>
      <c r="BB408" s="69"/>
    </row>
    <row r="409" spans="1:54" customFormat="1" ht="40" customHeight="1">
      <c r="A409" s="313">
        <v>408</v>
      </c>
      <c r="B409" s="136" t="s">
        <v>589</v>
      </c>
      <c r="C409" s="136" t="s">
        <v>45</v>
      </c>
      <c r="D409" s="31">
        <f t="shared" si="28"/>
        <v>4</v>
      </c>
      <c r="E409" s="137" t="s">
        <v>46</v>
      </c>
      <c r="F409" s="31">
        <f t="shared" si="29"/>
        <v>6</v>
      </c>
      <c r="G409" s="137" t="s">
        <v>1173</v>
      </c>
      <c r="H409" s="138">
        <v>129</v>
      </c>
      <c r="I409" s="158">
        <f t="shared" si="30"/>
        <v>0.721816009398352</v>
      </c>
      <c r="J409" s="95">
        <v>0.78315343538844095</v>
      </c>
      <c r="K409" s="137">
        <v>0.66047858340826304</v>
      </c>
      <c r="L409" s="137">
        <v>0.75</v>
      </c>
      <c r="M409" s="137">
        <v>0.526196458520657</v>
      </c>
      <c r="N409" s="136">
        <v>1</v>
      </c>
      <c r="O409" s="32">
        <v>42629</v>
      </c>
      <c r="P409" s="98">
        <f t="shared" si="31"/>
        <v>0</v>
      </c>
      <c r="Q409">
        <v>2.5499999999999998</v>
      </c>
      <c r="R409">
        <v>1.65</v>
      </c>
      <c r="S409">
        <v>0</v>
      </c>
      <c r="T409" s="112" t="s">
        <v>48</v>
      </c>
      <c r="U409" s="137" t="s">
        <v>1174</v>
      </c>
      <c r="V409" s="137" t="s">
        <v>1168</v>
      </c>
      <c r="W409" s="69">
        <v>83</v>
      </c>
      <c r="X409" s="136">
        <v>1</v>
      </c>
      <c r="Y409" s="136">
        <v>11</v>
      </c>
      <c r="Z409" s="314"/>
      <c r="AA409" s="319">
        <v>0.54500000000000004</v>
      </c>
      <c r="AB409" s="315" t="s">
        <v>5176</v>
      </c>
      <c r="AC409" s="319">
        <v>1</v>
      </c>
      <c r="AD409" s="320">
        <v>1.9230769230769201E-2</v>
      </c>
      <c r="AE409" s="319">
        <v>4</v>
      </c>
      <c r="AF409" s="320">
        <v>7.69230769230769E-2</v>
      </c>
      <c r="AG409" s="319">
        <v>0</v>
      </c>
      <c r="AH409" s="320">
        <v>0</v>
      </c>
      <c r="AI409" s="319">
        <v>0</v>
      </c>
      <c r="AJ409" s="320">
        <v>0</v>
      </c>
      <c r="AK409" s="320">
        <v>1.9230769230769228E-2</v>
      </c>
      <c r="AL409" s="319">
        <v>5</v>
      </c>
      <c r="AM409" s="319">
        <v>7.4</v>
      </c>
      <c r="AN409" s="319">
        <v>4.6666666666666599</v>
      </c>
      <c r="AO409" s="319">
        <v>0.568888888888888</v>
      </c>
      <c r="AP409">
        <v>11</v>
      </c>
      <c r="AQ409">
        <v>11</v>
      </c>
      <c r="AR409" s="136"/>
      <c r="AT409" s="69">
        <v>2.3148</v>
      </c>
      <c r="AU409" s="69">
        <v>7.6852</v>
      </c>
      <c r="AV409" s="69">
        <v>8.1305999999999994</v>
      </c>
      <c r="AW409" s="69">
        <v>0.60440000000000005</v>
      </c>
      <c r="BB409" s="69"/>
    </row>
    <row r="410" spans="1:54" customFormat="1" ht="40" customHeight="1">
      <c r="A410" s="313">
        <v>409</v>
      </c>
      <c r="B410" s="136" t="s">
        <v>589</v>
      </c>
      <c r="C410" s="136" t="s">
        <v>45</v>
      </c>
      <c r="D410" s="31">
        <f t="shared" si="28"/>
        <v>4</v>
      </c>
      <c r="E410" s="137" t="s">
        <v>80</v>
      </c>
      <c r="F410" s="31">
        <f t="shared" si="29"/>
        <v>4</v>
      </c>
      <c r="G410" s="137" t="s">
        <v>1171</v>
      </c>
      <c r="H410" s="138">
        <v>73</v>
      </c>
      <c r="I410" s="158">
        <f t="shared" si="30"/>
        <v>0.33025193876580189</v>
      </c>
      <c r="J410" s="95">
        <v>2.5294123340735498E-5</v>
      </c>
      <c r="K410" s="137">
        <v>0.66047858340826304</v>
      </c>
      <c r="L410" s="137">
        <v>0.75</v>
      </c>
      <c r="M410" s="137">
        <v>0.526196458520657</v>
      </c>
      <c r="N410" s="136">
        <v>1</v>
      </c>
      <c r="O410" s="32">
        <v>42629</v>
      </c>
      <c r="P410" s="98">
        <f t="shared" si="31"/>
        <v>0</v>
      </c>
      <c r="Q410">
        <v>2.5499999999999998</v>
      </c>
      <c r="R410">
        <v>0</v>
      </c>
      <c r="S410">
        <v>0</v>
      </c>
      <c r="T410" s="112" t="s">
        <v>48</v>
      </c>
      <c r="U410" s="137" t="s">
        <v>1175</v>
      </c>
      <c r="V410" s="137" t="s">
        <v>1176</v>
      </c>
      <c r="W410" s="69">
        <v>97</v>
      </c>
      <c r="X410" s="136">
        <v>1</v>
      </c>
      <c r="Y410" s="136">
        <v>11</v>
      </c>
      <c r="Z410" s="314"/>
      <c r="AA410" s="319">
        <v>0.59450000000000003</v>
      </c>
      <c r="AB410" s="315" t="s">
        <v>5176</v>
      </c>
      <c r="AC410" s="319">
        <v>1</v>
      </c>
      <c r="AD410" s="320">
        <v>1.63934426229508E-2</v>
      </c>
      <c r="AE410" s="319">
        <v>4</v>
      </c>
      <c r="AF410" s="320">
        <v>6.5573770491803199E-2</v>
      </c>
      <c r="AG410" s="319">
        <v>0</v>
      </c>
      <c r="AH410" s="320">
        <v>0</v>
      </c>
      <c r="AI410" s="319">
        <v>0</v>
      </c>
      <c r="AJ410" s="320">
        <v>0</v>
      </c>
      <c r="AK410" s="320">
        <v>1.6393442622950821E-2</v>
      </c>
      <c r="AL410" s="319">
        <v>5</v>
      </c>
      <c r="AM410" s="319">
        <v>7.4</v>
      </c>
      <c r="AN410" s="319">
        <v>4.6666666666666599</v>
      </c>
      <c r="AO410" s="319">
        <v>0.568888888888888</v>
      </c>
      <c r="AP410">
        <v>11</v>
      </c>
      <c r="AQ410">
        <v>11</v>
      </c>
      <c r="AR410" s="136"/>
      <c r="AT410" s="69">
        <v>2.3148</v>
      </c>
      <c r="AU410" s="69">
        <v>7.6852</v>
      </c>
      <c r="AV410" s="69">
        <v>8.1305999999999994</v>
      </c>
      <c r="AW410" s="69">
        <v>0.60440000000000005</v>
      </c>
      <c r="BB410" s="69"/>
    </row>
    <row r="411" spans="1:54" customFormat="1" ht="40" customHeight="1">
      <c r="A411" s="313">
        <v>410</v>
      </c>
      <c r="B411" s="136" t="s">
        <v>589</v>
      </c>
      <c r="C411" s="136" t="s">
        <v>45</v>
      </c>
      <c r="D411" s="31">
        <f t="shared" si="28"/>
        <v>4</v>
      </c>
      <c r="E411" s="137" t="s">
        <v>80</v>
      </c>
      <c r="F411" s="31">
        <f t="shared" si="29"/>
        <v>4</v>
      </c>
      <c r="G411" s="137" t="s">
        <v>1171</v>
      </c>
      <c r="H411" s="138">
        <v>75</v>
      </c>
      <c r="I411" s="158">
        <f t="shared" si="30"/>
        <v>0.84451927228361257</v>
      </c>
      <c r="J411" s="95">
        <v>0.94522433377091597</v>
      </c>
      <c r="K411" s="137">
        <v>0.74381421079630905</v>
      </c>
      <c r="L411" s="137">
        <v>0.82499999999999996</v>
      </c>
      <c r="M411" s="137">
        <v>0.62203552699077302</v>
      </c>
      <c r="N411" s="136">
        <v>1</v>
      </c>
      <c r="O411" s="32">
        <v>42619</v>
      </c>
      <c r="P411" s="98">
        <f t="shared" si="31"/>
        <v>0</v>
      </c>
      <c r="Q411">
        <v>2.5499999999999998</v>
      </c>
      <c r="R411">
        <v>0</v>
      </c>
      <c r="S411">
        <v>0</v>
      </c>
      <c r="T411" s="112" t="s">
        <v>48</v>
      </c>
      <c r="U411" s="137" t="s">
        <v>1177</v>
      </c>
      <c r="V411" s="137" t="s">
        <v>1168</v>
      </c>
      <c r="W411" s="69">
        <v>83</v>
      </c>
      <c r="X411" s="136">
        <v>1</v>
      </c>
      <c r="Y411" s="136">
        <v>7</v>
      </c>
      <c r="Z411" s="314"/>
      <c r="AA411" s="319">
        <v>0.60499999999999998</v>
      </c>
      <c r="AB411" s="315" t="s">
        <v>5176</v>
      </c>
      <c r="AC411" s="319">
        <v>1</v>
      </c>
      <c r="AD411" s="320">
        <v>1.9230769230769201E-2</v>
      </c>
      <c r="AE411" s="319">
        <v>4</v>
      </c>
      <c r="AF411" s="320">
        <v>7.69230769230769E-2</v>
      </c>
      <c r="AG411" s="319">
        <v>0</v>
      </c>
      <c r="AH411" s="320">
        <v>0</v>
      </c>
      <c r="AI411" s="319">
        <v>0</v>
      </c>
      <c r="AJ411" s="320">
        <v>0</v>
      </c>
      <c r="AK411" s="320">
        <v>1.9230769230769228E-2</v>
      </c>
      <c r="AL411" s="319">
        <v>5</v>
      </c>
      <c r="AM411" s="319">
        <v>5</v>
      </c>
      <c r="AN411" s="319">
        <v>4.6666666666666599</v>
      </c>
      <c r="AO411" s="319">
        <v>0.48888888888888798</v>
      </c>
      <c r="AP411">
        <v>7</v>
      </c>
      <c r="AR411" s="136">
        <v>7</v>
      </c>
      <c r="AT411" s="69">
        <v>2.3148</v>
      </c>
      <c r="AU411" s="69">
        <v>2.3148</v>
      </c>
      <c r="AV411" s="69">
        <v>8.1305999999999994</v>
      </c>
      <c r="AW411" s="69">
        <v>0.42530000000000001</v>
      </c>
      <c r="BB411" s="69"/>
    </row>
    <row r="412" spans="1:54" customFormat="1" ht="40" customHeight="1">
      <c r="A412" s="313">
        <v>411</v>
      </c>
      <c r="B412" s="136" t="s">
        <v>589</v>
      </c>
      <c r="C412" s="136" t="s">
        <v>59</v>
      </c>
      <c r="D412" s="31">
        <f t="shared" si="28"/>
        <v>5</v>
      </c>
      <c r="E412" s="137" t="s">
        <v>46</v>
      </c>
      <c r="F412" s="31">
        <f t="shared" si="29"/>
        <v>6</v>
      </c>
      <c r="G412" s="137" t="s">
        <v>1178</v>
      </c>
      <c r="H412" s="138">
        <v>33</v>
      </c>
      <c r="I412" s="158">
        <f t="shared" si="30"/>
        <v>0.39657359908100165</v>
      </c>
      <c r="J412" s="95">
        <v>2.90055304860259E-4</v>
      </c>
      <c r="K412" s="137">
        <v>0.79285714285714304</v>
      </c>
      <c r="L412" s="137">
        <v>0.75</v>
      </c>
      <c r="M412" s="137">
        <v>0.85714285714285698</v>
      </c>
      <c r="N412" s="136">
        <v>1</v>
      </c>
      <c r="O412" s="32">
        <v>42619</v>
      </c>
      <c r="P412" s="98">
        <f t="shared" si="31"/>
        <v>2</v>
      </c>
      <c r="Q412">
        <v>0</v>
      </c>
      <c r="R412">
        <v>1.65</v>
      </c>
      <c r="S412">
        <v>1.87</v>
      </c>
      <c r="T412" s="112" t="s">
        <v>64</v>
      </c>
      <c r="U412" s="137" t="s">
        <v>1179</v>
      </c>
      <c r="V412" s="137" t="s">
        <v>1168</v>
      </c>
      <c r="W412" s="69">
        <v>83</v>
      </c>
      <c r="X412" s="136">
        <v>1</v>
      </c>
      <c r="Y412" s="136">
        <v>1</v>
      </c>
      <c r="Z412" s="314"/>
      <c r="AA412" s="319">
        <v>0.55000000000000004</v>
      </c>
      <c r="AB412" s="315" t="s">
        <v>5176</v>
      </c>
      <c r="AC412" s="319">
        <v>1</v>
      </c>
      <c r="AD412" s="320">
        <v>1.9230769230769201E-2</v>
      </c>
      <c r="AE412" s="319">
        <v>4</v>
      </c>
      <c r="AF412" s="320">
        <v>7.69230769230769E-2</v>
      </c>
      <c r="AG412" s="319">
        <v>0</v>
      </c>
      <c r="AH412" s="320">
        <v>0</v>
      </c>
      <c r="AI412" s="319">
        <v>0</v>
      </c>
      <c r="AJ412" s="320">
        <v>0</v>
      </c>
      <c r="AK412" s="320">
        <v>1.9230769230769228E-2</v>
      </c>
      <c r="AL412" s="319">
        <v>5</v>
      </c>
      <c r="AM412" s="319">
        <v>5</v>
      </c>
      <c r="AN412" s="319">
        <v>6.1666666666666599</v>
      </c>
      <c r="AO412" s="319">
        <v>0.53888888888888797</v>
      </c>
      <c r="AP412">
        <v>1</v>
      </c>
      <c r="AR412" s="136">
        <v>1</v>
      </c>
      <c r="AT412" s="69">
        <v>2.3148</v>
      </c>
      <c r="AU412" s="69">
        <v>2.3148</v>
      </c>
      <c r="AV412" s="69">
        <v>9.5120000000000005</v>
      </c>
      <c r="AW412" s="69">
        <v>0.47139999999999999</v>
      </c>
      <c r="BB412" s="69"/>
    </row>
    <row r="413" spans="1:54" customFormat="1" ht="40" customHeight="1">
      <c r="A413" s="313">
        <v>412</v>
      </c>
      <c r="B413" s="136" t="s">
        <v>589</v>
      </c>
      <c r="C413" s="136" t="s">
        <v>59</v>
      </c>
      <c r="D413" s="31">
        <f t="shared" si="28"/>
        <v>5</v>
      </c>
      <c r="E413" s="137" t="s">
        <v>46</v>
      </c>
      <c r="F413" s="31">
        <f t="shared" si="29"/>
        <v>6</v>
      </c>
      <c r="G413" s="137" t="s">
        <v>1180</v>
      </c>
      <c r="H413" s="138">
        <v>97</v>
      </c>
      <c r="I413" s="158">
        <f t="shared" si="30"/>
        <v>0.37616674882151846</v>
      </c>
      <c r="J413" s="95">
        <v>1.6619211928750901E-2</v>
      </c>
      <c r="K413" s="137">
        <v>0.73571428571428599</v>
      </c>
      <c r="L413" s="137">
        <v>0.75</v>
      </c>
      <c r="M413" s="137">
        <v>0.71428571428571397</v>
      </c>
      <c r="N413" s="136">
        <v>1</v>
      </c>
      <c r="O413" s="32">
        <v>42608</v>
      </c>
      <c r="P413" s="98">
        <f t="shared" si="31"/>
        <v>2</v>
      </c>
      <c r="Q413">
        <v>0</v>
      </c>
      <c r="R413">
        <v>0</v>
      </c>
      <c r="S413">
        <v>1.87</v>
      </c>
      <c r="T413" s="112" t="s">
        <v>64</v>
      </c>
      <c r="U413" s="137" t="s">
        <v>1181</v>
      </c>
      <c r="V413" s="137" t="s">
        <v>1182</v>
      </c>
      <c r="W413" s="69">
        <v>125</v>
      </c>
      <c r="X413" s="136">
        <v>1</v>
      </c>
      <c r="Y413" s="136">
        <v>4</v>
      </c>
      <c r="Z413" s="314"/>
      <c r="AA413" s="319">
        <v>0.54500000000000004</v>
      </c>
      <c r="AB413" s="315" t="s">
        <v>5176</v>
      </c>
      <c r="AC413" s="319">
        <v>1</v>
      </c>
      <c r="AD413" s="320">
        <v>1.2987012987012899E-2</v>
      </c>
      <c r="AE413" s="319">
        <v>5</v>
      </c>
      <c r="AF413" s="320">
        <v>6.4935064935064901E-2</v>
      </c>
      <c r="AG413" s="319">
        <v>1</v>
      </c>
      <c r="AH413" s="320">
        <v>1.2987012987012899E-2</v>
      </c>
      <c r="AI413" s="319">
        <v>0</v>
      </c>
      <c r="AJ413" s="320">
        <v>0</v>
      </c>
      <c r="AK413" s="320">
        <v>1.298701298701299E-2</v>
      </c>
      <c r="AL413" s="319">
        <v>5</v>
      </c>
      <c r="AM413" s="319">
        <v>6.2</v>
      </c>
      <c r="AN413" s="319">
        <v>2</v>
      </c>
      <c r="AO413" s="319">
        <v>0.44</v>
      </c>
      <c r="AP413" s="319">
        <v>4</v>
      </c>
      <c r="AR413" s="136"/>
      <c r="AT413" s="69">
        <v>2.3148</v>
      </c>
      <c r="AU413" s="69">
        <v>5</v>
      </c>
      <c r="AV413" s="69">
        <v>2.3148</v>
      </c>
      <c r="AW413" s="69">
        <v>0.32100000000000001</v>
      </c>
      <c r="BB413" s="69"/>
    </row>
    <row r="414" spans="1:54" customFormat="1" ht="40" customHeight="1">
      <c r="A414" s="313">
        <v>413</v>
      </c>
      <c r="B414" s="136" t="s">
        <v>589</v>
      </c>
      <c r="C414" s="136" t="s">
        <v>45</v>
      </c>
      <c r="D414" s="31">
        <f t="shared" si="28"/>
        <v>4</v>
      </c>
      <c r="E414" s="137" t="s">
        <v>46</v>
      </c>
      <c r="F414" s="31">
        <f t="shared" si="29"/>
        <v>6</v>
      </c>
      <c r="G414" s="137" t="s">
        <v>1183</v>
      </c>
      <c r="H414" s="138">
        <v>164</v>
      </c>
      <c r="I414" s="158">
        <f t="shared" si="30"/>
        <v>0.48913861028691052</v>
      </c>
      <c r="J414" s="95">
        <v>0.119298063018574</v>
      </c>
      <c r="K414" s="137">
        <v>0.85897915755524701</v>
      </c>
      <c r="L414" s="137">
        <v>0.99824999999999997</v>
      </c>
      <c r="M414" s="137">
        <v>0.65007289388811795</v>
      </c>
      <c r="N414" s="136">
        <v>1</v>
      </c>
      <c r="O414" s="32">
        <v>42605</v>
      </c>
      <c r="P414" s="98">
        <f t="shared" si="31"/>
        <v>0</v>
      </c>
      <c r="Q414">
        <v>2.5499999999999998</v>
      </c>
      <c r="R414">
        <v>1.65</v>
      </c>
      <c r="S414">
        <v>0</v>
      </c>
      <c r="T414" s="112" t="s">
        <v>48</v>
      </c>
      <c r="U414" s="137" t="s">
        <v>1184</v>
      </c>
      <c r="V414" s="137" t="s">
        <v>1185</v>
      </c>
      <c r="W414" s="69">
        <v>130</v>
      </c>
      <c r="X414" s="136">
        <v>1</v>
      </c>
      <c r="Y414" s="136">
        <v>6</v>
      </c>
      <c r="Z414" s="314"/>
      <c r="AA414" s="319">
        <v>0.472727272727272</v>
      </c>
      <c r="AB414" s="315" t="s">
        <v>5165</v>
      </c>
      <c r="AC414" s="319">
        <v>5</v>
      </c>
      <c r="AD414" s="320">
        <v>7.0422535211267595E-2</v>
      </c>
      <c r="AE414" s="319">
        <v>0</v>
      </c>
      <c r="AF414" s="320">
        <v>0</v>
      </c>
      <c r="AG414" s="319">
        <v>1</v>
      </c>
      <c r="AH414" s="320">
        <v>1.4084507042253501E-2</v>
      </c>
      <c r="AI414" s="319">
        <v>0</v>
      </c>
      <c r="AJ414" s="320">
        <v>0</v>
      </c>
      <c r="AK414" s="320">
        <v>0</v>
      </c>
      <c r="AL414" s="319">
        <v>5</v>
      </c>
      <c r="AM414" s="319">
        <v>5</v>
      </c>
      <c r="AN414" s="319">
        <v>10</v>
      </c>
      <c r="AO414" s="319">
        <v>0.66666666666666596</v>
      </c>
      <c r="AP414">
        <v>6</v>
      </c>
      <c r="AR414" s="136"/>
      <c r="AS414">
        <v>6</v>
      </c>
      <c r="AT414" s="69">
        <v>2.3148</v>
      </c>
      <c r="AU414" s="69">
        <v>2.3148</v>
      </c>
      <c r="AV414" s="69">
        <v>9.9975000000000005</v>
      </c>
      <c r="AW414" s="69">
        <v>0.48759999999999998</v>
      </c>
      <c r="BB414" s="69"/>
    </row>
    <row r="415" spans="1:54" customFormat="1" ht="40" customHeight="1">
      <c r="A415" s="313">
        <v>414</v>
      </c>
      <c r="B415" s="136" t="s">
        <v>589</v>
      </c>
      <c r="C415" s="136" t="s">
        <v>45</v>
      </c>
      <c r="D415" s="31">
        <f t="shared" si="28"/>
        <v>4</v>
      </c>
      <c r="E415" s="137" t="s">
        <v>46</v>
      </c>
      <c r="F415" s="31">
        <f t="shared" si="29"/>
        <v>6</v>
      </c>
      <c r="G415" s="137" t="s">
        <v>1186</v>
      </c>
      <c r="H415" s="138">
        <v>95</v>
      </c>
      <c r="I415" s="158">
        <f t="shared" si="30"/>
        <v>0.31444726266515594</v>
      </c>
      <c r="J415" s="95">
        <v>2.07859399306898E-4</v>
      </c>
      <c r="K415" s="137">
        <v>0.62868666593100497</v>
      </c>
      <c r="L415" s="137">
        <v>0.75</v>
      </c>
      <c r="M415" s="137">
        <v>0.44671666482751199</v>
      </c>
      <c r="N415" s="136">
        <v>0</v>
      </c>
      <c r="O415" s="32">
        <v>42592</v>
      </c>
      <c r="P415" s="98">
        <f t="shared" si="31"/>
        <v>2</v>
      </c>
      <c r="Q415">
        <v>0</v>
      </c>
      <c r="R415">
        <v>0</v>
      </c>
      <c r="S415">
        <v>0</v>
      </c>
      <c r="T415" s="112" t="s">
        <v>64</v>
      </c>
      <c r="U415" s="137" t="s">
        <v>1187</v>
      </c>
      <c r="V415" s="137" t="s">
        <v>1188</v>
      </c>
      <c r="W415" s="69">
        <v>80</v>
      </c>
      <c r="X415" s="136">
        <v>3</v>
      </c>
      <c r="Y415" s="136">
        <v>15</v>
      </c>
      <c r="Z415" s="314"/>
      <c r="AA415" s="319">
        <v>0.5</v>
      </c>
      <c r="AB415" s="315" t="s">
        <v>5165</v>
      </c>
      <c r="AC415" s="319">
        <v>3</v>
      </c>
      <c r="AD415" s="320">
        <v>0.06</v>
      </c>
      <c r="AE415" s="319">
        <v>0</v>
      </c>
      <c r="AF415" s="320">
        <v>0</v>
      </c>
      <c r="AG415" s="319">
        <v>1</v>
      </c>
      <c r="AH415" s="320">
        <v>0.02</v>
      </c>
      <c r="AI415" s="319">
        <v>0</v>
      </c>
      <c r="AJ415" s="320">
        <v>0</v>
      </c>
      <c r="AK415" s="320">
        <v>0</v>
      </c>
      <c r="AL415" s="319">
        <v>5</v>
      </c>
      <c r="AM415" s="319">
        <v>5</v>
      </c>
      <c r="AN415" s="319">
        <v>2</v>
      </c>
      <c r="AO415" s="319">
        <v>0.4</v>
      </c>
      <c r="AP415">
        <v>15</v>
      </c>
      <c r="AR415" s="136"/>
      <c r="AS415">
        <v>15</v>
      </c>
      <c r="AT415" s="69">
        <v>2.3148</v>
      </c>
      <c r="AU415" s="69">
        <v>2.3148</v>
      </c>
      <c r="AV415" s="69">
        <v>2.3148</v>
      </c>
      <c r="AW415" s="69">
        <v>0.23150000000000001</v>
      </c>
      <c r="BB415" s="69"/>
    </row>
    <row r="416" spans="1:54" customFormat="1" ht="40" customHeight="1">
      <c r="A416" s="313">
        <v>415</v>
      </c>
      <c r="B416" s="136" t="s">
        <v>589</v>
      </c>
      <c r="C416" s="136" t="s">
        <v>45</v>
      </c>
      <c r="D416" s="31">
        <f t="shared" si="28"/>
        <v>4</v>
      </c>
      <c r="E416" s="137" t="s">
        <v>46</v>
      </c>
      <c r="F416" s="31">
        <f t="shared" si="29"/>
        <v>6</v>
      </c>
      <c r="G416" s="137" t="s">
        <v>1189</v>
      </c>
      <c r="H416" s="138">
        <v>52</v>
      </c>
      <c r="I416" s="158">
        <f t="shared" si="30"/>
        <v>0.2728806342646885</v>
      </c>
      <c r="J416" s="95">
        <v>2.9620743449032501E-5</v>
      </c>
      <c r="K416" s="137">
        <v>0.54573164778592798</v>
      </c>
      <c r="L416" s="137">
        <v>0.51226009152380303</v>
      </c>
      <c r="M416" s="137">
        <v>0.59593898217911601</v>
      </c>
      <c r="N416" s="136">
        <v>1</v>
      </c>
      <c r="O416" s="32">
        <v>42562</v>
      </c>
      <c r="P416" s="98">
        <f t="shared" si="31"/>
        <v>0</v>
      </c>
      <c r="Q416">
        <v>0</v>
      </c>
      <c r="R416">
        <v>0</v>
      </c>
      <c r="S416">
        <v>0</v>
      </c>
      <c r="T416" s="112" t="s">
        <v>48</v>
      </c>
      <c r="U416" s="137" t="s">
        <v>1190</v>
      </c>
      <c r="V416" s="137" t="s">
        <v>1168</v>
      </c>
      <c r="W416" s="69">
        <v>83</v>
      </c>
      <c r="X416" s="136">
        <v>1</v>
      </c>
      <c r="Y416" s="136">
        <v>8</v>
      </c>
      <c r="Z416" s="314"/>
      <c r="AA416" s="319">
        <v>0.5</v>
      </c>
      <c r="AB416" s="315" t="s">
        <v>5176</v>
      </c>
      <c r="AC416" s="319">
        <v>1</v>
      </c>
      <c r="AD416" s="320">
        <v>1.9230769230769201E-2</v>
      </c>
      <c r="AE416" s="319">
        <v>4</v>
      </c>
      <c r="AF416" s="320">
        <v>7.69230769230769E-2</v>
      </c>
      <c r="AG416" s="319">
        <v>0</v>
      </c>
      <c r="AH416" s="320">
        <v>0</v>
      </c>
      <c r="AI416" s="319">
        <v>0</v>
      </c>
      <c r="AJ416" s="320">
        <v>0</v>
      </c>
      <c r="AK416" s="320">
        <v>1.9230769230769228E-2</v>
      </c>
      <c r="AL416" s="319">
        <v>5</v>
      </c>
      <c r="AM416" s="319">
        <v>5</v>
      </c>
      <c r="AN416" s="319">
        <v>3.5</v>
      </c>
      <c r="AO416" s="319">
        <v>0.45</v>
      </c>
      <c r="AP416">
        <v>8</v>
      </c>
      <c r="AR416" s="136"/>
      <c r="AS416">
        <v>8</v>
      </c>
      <c r="AT416" s="69">
        <v>2.3148</v>
      </c>
      <c r="AU416" s="69">
        <v>2.3148</v>
      </c>
      <c r="AV416" s="69">
        <v>5.7443999999999997</v>
      </c>
      <c r="AW416" s="69">
        <v>0.3458</v>
      </c>
      <c r="BB416" s="69"/>
    </row>
    <row r="417" spans="1:54" customFormat="1" ht="40" customHeight="1">
      <c r="A417" s="313">
        <v>416</v>
      </c>
      <c r="B417" s="136" t="s">
        <v>589</v>
      </c>
      <c r="C417" s="136" t="s">
        <v>1191</v>
      </c>
      <c r="D417" s="31">
        <f t="shared" si="28"/>
        <v>2</v>
      </c>
      <c r="E417" s="137" t="s">
        <v>80</v>
      </c>
      <c r="F417" s="31">
        <f t="shared" si="29"/>
        <v>4</v>
      </c>
      <c r="G417" s="137" t="s">
        <v>1192</v>
      </c>
      <c r="H417" s="138">
        <v>49</v>
      </c>
      <c r="I417" s="158">
        <f t="shared" si="30"/>
        <v>0.78051196463855199</v>
      </c>
      <c r="J417" s="95">
        <v>0.866218734471909</v>
      </c>
      <c r="K417" s="137">
        <v>0.69480519480519498</v>
      </c>
      <c r="L417" s="137">
        <v>0.68181818181818199</v>
      </c>
      <c r="M417" s="137">
        <v>0.71428571428571397</v>
      </c>
      <c r="N417" s="136">
        <v>1</v>
      </c>
      <c r="O417" s="32">
        <v>42553</v>
      </c>
      <c r="P417" s="98">
        <f t="shared" si="31"/>
        <v>0</v>
      </c>
      <c r="Q417">
        <v>2.5499999999999998</v>
      </c>
      <c r="R417">
        <v>0</v>
      </c>
      <c r="S417">
        <v>0</v>
      </c>
      <c r="T417" s="112" t="s">
        <v>48</v>
      </c>
      <c r="U417" s="137" t="s">
        <v>1193</v>
      </c>
      <c r="V417" s="137" t="s">
        <v>1168</v>
      </c>
      <c r="W417" s="69">
        <v>83</v>
      </c>
      <c r="X417" s="136">
        <v>1</v>
      </c>
      <c r="Y417" s="136">
        <v>4</v>
      </c>
      <c r="Z417" s="314"/>
      <c r="AA417" s="319">
        <v>0.5</v>
      </c>
      <c r="AB417" s="315" t="s">
        <v>5176</v>
      </c>
      <c r="AC417" s="319">
        <v>1</v>
      </c>
      <c r="AD417" s="320">
        <v>1.9230769230769201E-2</v>
      </c>
      <c r="AE417" s="319">
        <v>4</v>
      </c>
      <c r="AF417" s="320">
        <v>7.69230769230769E-2</v>
      </c>
      <c r="AG417" s="319">
        <v>0</v>
      </c>
      <c r="AH417" s="320">
        <v>0</v>
      </c>
      <c r="AI417" s="319">
        <v>0</v>
      </c>
      <c r="AJ417" s="320">
        <v>0</v>
      </c>
      <c r="AK417" s="320">
        <v>1.9230769230769228E-2</v>
      </c>
      <c r="AL417" s="319">
        <v>5</v>
      </c>
      <c r="AM417" s="319">
        <v>5</v>
      </c>
      <c r="AN417" s="319">
        <v>4.6666666666666599</v>
      </c>
      <c r="AO417" s="319">
        <v>0.48888888888888798</v>
      </c>
      <c r="AP417">
        <v>4</v>
      </c>
      <c r="AQ417">
        <v>4</v>
      </c>
      <c r="AR417" s="136"/>
      <c r="AT417" s="69">
        <v>2.3148</v>
      </c>
      <c r="AU417" s="69">
        <v>2.3148</v>
      </c>
      <c r="AV417" s="69">
        <v>8.1305999999999994</v>
      </c>
      <c r="AW417" s="69">
        <v>0.42530000000000001</v>
      </c>
      <c r="BB417" s="69"/>
    </row>
    <row r="418" spans="1:54" customFormat="1" ht="40" customHeight="1">
      <c r="A418" s="313">
        <v>417</v>
      </c>
      <c r="B418" s="136" t="s">
        <v>589</v>
      </c>
      <c r="C418" s="136" t="s">
        <v>45</v>
      </c>
      <c r="D418" s="31">
        <f t="shared" si="28"/>
        <v>4</v>
      </c>
      <c r="E418" s="137" t="s">
        <v>46</v>
      </c>
      <c r="F418" s="31">
        <f t="shared" si="29"/>
        <v>6</v>
      </c>
      <c r="G418" s="137" t="s">
        <v>1194</v>
      </c>
      <c r="H418" s="138">
        <v>49</v>
      </c>
      <c r="I418" s="158">
        <f t="shared" si="30"/>
        <v>0.32381832831338586</v>
      </c>
      <c r="J418" s="95">
        <v>1.7015466421677099E-4</v>
      </c>
      <c r="K418" s="137">
        <v>0.64746650196255495</v>
      </c>
      <c r="L418" s="137">
        <v>0.68181818181818199</v>
      </c>
      <c r="M418" s="137">
        <v>0.59593898217911601</v>
      </c>
      <c r="N418" s="136">
        <v>1</v>
      </c>
      <c r="O418" s="32">
        <v>42537</v>
      </c>
      <c r="P418" s="98">
        <f t="shared" si="31"/>
        <v>1</v>
      </c>
      <c r="Q418">
        <v>0</v>
      </c>
      <c r="R418">
        <v>0</v>
      </c>
      <c r="S418">
        <v>0</v>
      </c>
      <c r="T418" s="112" t="s">
        <v>73</v>
      </c>
      <c r="U418" s="137" t="s">
        <v>1195</v>
      </c>
      <c r="V418" s="137" t="s">
        <v>1196</v>
      </c>
      <c r="W418" s="69">
        <v>101</v>
      </c>
      <c r="X418" s="136">
        <v>1</v>
      </c>
      <c r="Y418" s="136">
        <v>8</v>
      </c>
      <c r="Z418" s="314"/>
      <c r="AA418" s="319">
        <v>0.5</v>
      </c>
      <c r="AB418" s="315" t="s">
        <v>5165</v>
      </c>
      <c r="AC418" s="319">
        <v>5</v>
      </c>
      <c r="AD418" s="320">
        <v>8.9285714285714204E-2</v>
      </c>
      <c r="AE418" s="319">
        <v>0</v>
      </c>
      <c r="AF418" s="320">
        <v>0</v>
      </c>
      <c r="AG418" s="319">
        <v>1</v>
      </c>
      <c r="AH418" s="320">
        <v>1.7857142857142801E-2</v>
      </c>
      <c r="AI418" s="319">
        <v>0</v>
      </c>
      <c r="AJ418" s="320">
        <v>0</v>
      </c>
      <c r="AK418" s="320">
        <v>0</v>
      </c>
      <c r="AL418" s="319">
        <v>5</v>
      </c>
      <c r="AM418" s="319">
        <v>5</v>
      </c>
      <c r="AN418" s="319">
        <v>3.5</v>
      </c>
      <c r="AO418" s="319">
        <v>0.45</v>
      </c>
      <c r="AP418">
        <v>8</v>
      </c>
      <c r="AR418" s="136">
        <v>8</v>
      </c>
      <c r="AT418" s="69">
        <v>2.3148</v>
      </c>
      <c r="AU418" s="69">
        <v>2.3148</v>
      </c>
      <c r="AV418" s="69">
        <v>5.7443999999999997</v>
      </c>
      <c r="AW418" s="69">
        <v>0.3458</v>
      </c>
      <c r="BB418" s="69"/>
    </row>
    <row r="419" spans="1:54" customFormat="1" ht="40" customHeight="1">
      <c r="A419" s="313">
        <v>418</v>
      </c>
      <c r="B419" s="136" t="s">
        <v>589</v>
      </c>
      <c r="C419" s="136" t="s">
        <v>45</v>
      </c>
      <c r="D419" s="31">
        <f t="shared" si="28"/>
        <v>4</v>
      </c>
      <c r="E419" s="137" t="s">
        <v>80</v>
      </c>
      <c r="F419" s="31">
        <f t="shared" si="29"/>
        <v>4</v>
      </c>
      <c r="G419" s="137" t="s">
        <v>1171</v>
      </c>
      <c r="H419" s="138">
        <v>66</v>
      </c>
      <c r="I419" s="158">
        <f t="shared" si="30"/>
        <v>0.38029279471612226</v>
      </c>
      <c r="J419" s="95">
        <v>5.5564318769975004E-3</v>
      </c>
      <c r="K419" s="137">
        <v>0.75502915755524702</v>
      </c>
      <c r="L419" s="137">
        <v>0.82499999999999996</v>
      </c>
      <c r="M419" s="137">
        <v>0.65007289388811795</v>
      </c>
      <c r="N419" s="136">
        <v>1</v>
      </c>
      <c r="O419" s="32">
        <v>42529</v>
      </c>
      <c r="P419" s="98">
        <f t="shared" si="31"/>
        <v>0</v>
      </c>
      <c r="Q419">
        <v>5.0999999999999996</v>
      </c>
      <c r="R419">
        <v>0</v>
      </c>
      <c r="S419">
        <v>0</v>
      </c>
      <c r="T419" s="112" t="s">
        <v>48</v>
      </c>
      <c r="U419" s="137" t="s">
        <v>1197</v>
      </c>
      <c r="V419" s="137" t="s">
        <v>1198</v>
      </c>
      <c r="W419" s="69">
        <v>93</v>
      </c>
      <c r="X419" s="136">
        <v>1</v>
      </c>
      <c r="Y419" s="136">
        <v>6</v>
      </c>
      <c r="Z419" s="314"/>
      <c r="AA419" s="319">
        <v>0.60499999999999998</v>
      </c>
      <c r="AB419" s="315" t="s">
        <v>5165</v>
      </c>
      <c r="AC419" s="319">
        <v>2</v>
      </c>
      <c r="AD419" s="320">
        <v>4.08163265306122E-2</v>
      </c>
      <c r="AE419" s="319">
        <v>1</v>
      </c>
      <c r="AF419" s="320">
        <v>2.04081632653061E-2</v>
      </c>
      <c r="AG419" s="319">
        <v>1</v>
      </c>
      <c r="AH419" s="320">
        <v>2.04081632653061E-2</v>
      </c>
      <c r="AI419" s="319">
        <v>0</v>
      </c>
      <c r="AJ419" s="320">
        <v>0</v>
      </c>
      <c r="AK419" s="320">
        <v>0</v>
      </c>
      <c r="AL419" s="319">
        <v>5</v>
      </c>
      <c r="AM419" s="319">
        <v>5</v>
      </c>
      <c r="AN419" s="319">
        <v>4.6666666666666599</v>
      </c>
      <c r="AO419" s="319">
        <v>0.48888888888888798</v>
      </c>
      <c r="AP419">
        <v>6</v>
      </c>
      <c r="AR419" s="136">
        <v>6</v>
      </c>
      <c r="AT419" s="69">
        <v>2.3148</v>
      </c>
      <c r="AU419" s="69">
        <v>2.3148</v>
      </c>
      <c r="AV419" s="69">
        <v>8.1305999999999994</v>
      </c>
      <c r="AW419" s="69">
        <v>0.42530000000000001</v>
      </c>
      <c r="BB419" s="69"/>
    </row>
    <row r="420" spans="1:54" customFormat="1" ht="40" customHeight="1">
      <c r="A420" s="313">
        <v>419</v>
      </c>
      <c r="B420" s="136" t="s">
        <v>589</v>
      </c>
      <c r="C420" s="136" t="s">
        <v>45</v>
      </c>
      <c r="D420" s="31">
        <f t="shared" si="28"/>
        <v>4</v>
      </c>
      <c r="E420" s="137" t="s">
        <v>46</v>
      </c>
      <c r="F420" s="31">
        <f t="shared" si="29"/>
        <v>6</v>
      </c>
      <c r="G420" s="137" t="s">
        <v>1199</v>
      </c>
      <c r="H420" s="138">
        <v>187</v>
      </c>
      <c r="I420" s="158">
        <f t="shared" si="30"/>
        <v>0.26604322255135743</v>
      </c>
      <c r="J420" s="95">
        <v>2.6286152089882699E-5</v>
      </c>
      <c r="K420" s="137">
        <v>0.53206015895062497</v>
      </c>
      <c r="L420" s="137">
        <v>0.56348610067618299</v>
      </c>
      <c r="M420" s="137">
        <v>0.48492124636228701</v>
      </c>
      <c r="N420" s="136">
        <v>1</v>
      </c>
      <c r="O420" s="32">
        <v>42523</v>
      </c>
      <c r="P420" s="98">
        <f t="shared" si="31"/>
        <v>0</v>
      </c>
      <c r="Q420">
        <v>2.5499999999999998</v>
      </c>
      <c r="R420">
        <v>1.65</v>
      </c>
      <c r="S420">
        <v>0</v>
      </c>
      <c r="T420" s="112" t="s">
        <v>48</v>
      </c>
      <c r="U420" s="137" t="s">
        <v>1200</v>
      </c>
      <c r="V420" s="137" t="s">
        <v>1168</v>
      </c>
      <c r="W420" s="69">
        <v>83</v>
      </c>
      <c r="X420" s="136">
        <v>1</v>
      </c>
      <c r="Y420" s="136">
        <v>13</v>
      </c>
      <c r="Z420" s="314"/>
      <c r="AA420" s="319">
        <v>0.45909090909090899</v>
      </c>
      <c r="AB420" s="315" t="s">
        <v>5176</v>
      </c>
      <c r="AC420" s="319">
        <v>1</v>
      </c>
      <c r="AD420" s="320">
        <v>1.9230769230769201E-2</v>
      </c>
      <c r="AE420" s="319">
        <v>4</v>
      </c>
      <c r="AF420" s="320">
        <v>7.69230769230769E-2</v>
      </c>
      <c r="AG420" s="319">
        <v>0</v>
      </c>
      <c r="AH420" s="320">
        <v>0</v>
      </c>
      <c r="AI420" s="319">
        <v>0</v>
      </c>
      <c r="AJ420" s="320">
        <v>0</v>
      </c>
      <c r="AK420" s="320">
        <v>1.9230769230769228E-2</v>
      </c>
      <c r="AL420" s="319">
        <v>5</v>
      </c>
      <c r="AM420" s="319">
        <v>5</v>
      </c>
      <c r="AN420" s="319">
        <v>4.6666666666666599</v>
      </c>
      <c r="AO420" s="319">
        <v>0.48888888888888798</v>
      </c>
      <c r="AP420">
        <v>13</v>
      </c>
      <c r="AQ420">
        <v>13</v>
      </c>
      <c r="AR420" s="136"/>
      <c r="AT420" s="69">
        <v>2.3148</v>
      </c>
      <c r="AU420" s="69">
        <v>2.3148</v>
      </c>
      <c r="AV420" s="69">
        <v>8.1305999999999994</v>
      </c>
      <c r="AW420" s="69">
        <v>0.42530000000000001</v>
      </c>
      <c r="BB420" s="69"/>
    </row>
    <row r="421" spans="1:54" customFormat="1" ht="40" customHeight="1">
      <c r="A421" s="313">
        <v>420</v>
      </c>
      <c r="B421" s="136" t="s">
        <v>589</v>
      </c>
      <c r="C421" s="136" t="s">
        <v>45</v>
      </c>
      <c r="D421" s="31">
        <f t="shared" si="28"/>
        <v>4</v>
      </c>
      <c r="E421" s="137" t="s">
        <v>46</v>
      </c>
      <c r="F421" s="31">
        <f t="shared" si="29"/>
        <v>6</v>
      </c>
      <c r="G421" s="137" t="s">
        <v>1201</v>
      </c>
      <c r="H421" s="138">
        <v>294</v>
      </c>
      <c r="I421" s="158">
        <f t="shared" si="30"/>
        <v>0.63841780851545193</v>
      </c>
      <c r="J421" s="95">
        <v>0.68905804200899001</v>
      </c>
      <c r="K421" s="137">
        <v>0.58777757502191397</v>
      </c>
      <c r="L421" s="137">
        <v>0.68181818181818199</v>
      </c>
      <c r="M421" s="137">
        <v>0.44671666482751199</v>
      </c>
      <c r="N421" s="136">
        <v>0</v>
      </c>
      <c r="O421" s="32">
        <v>42506</v>
      </c>
      <c r="P421" s="98">
        <f t="shared" si="31"/>
        <v>0</v>
      </c>
      <c r="Q421">
        <v>2.5499999999999998</v>
      </c>
      <c r="R421">
        <v>0</v>
      </c>
      <c r="S421">
        <v>0</v>
      </c>
      <c r="T421" s="112" t="s">
        <v>48</v>
      </c>
      <c r="U421" s="137" t="s">
        <v>1202</v>
      </c>
      <c r="V421" s="137" t="s">
        <v>1168</v>
      </c>
      <c r="W421" s="69">
        <v>83</v>
      </c>
      <c r="X421" s="136">
        <v>2</v>
      </c>
      <c r="Y421" s="136">
        <v>15</v>
      </c>
      <c r="Z421" s="314"/>
      <c r="AA421" s="319">
        <v>0.5</v>
      </c>
      <c r="AB421" s="315" t="s">
        <v>5176</v>
      </c>
      <c r="AC421" s="319">
        <v>1</v>
      </c>
      <c r="AD421" s="320">
        <v>1.9230769230769201E-2</v>
      </c>
      <c r="AE421" s="319">
        <v>4</v>
      </c>
      <c r="AF421" s="320">
        <v>7.69230769230769E-2</v>
      </c>
      <c r="AG421" s="319">
        <v>0</v>
      </c>
      <c r="AH421" s="320">
        <v>0</v>
      </c>
      <c r="AI421" s="319">
        <v>0</v>
      </c>
      <c r="AJ421" s="320">
        <v>0</v>
      </c>
      <c r="AK421" s="320">
        <v>1.9230769230769228E-2</v>
      </c>
      <c r="AL421" s="319">
        <v>5</v>
      </c>
      <c r="AM421" s="319">
        <v>7.4</v>
      </c>
      <c r="AN421" s="319">
        <v>2</v>
      </c>
      <c r="AO421" s="319">
        <v>0.48</v>
      </c>
      <c r="AP421">
        <v>15</v>
      </c>
      <c r="AQ421">
        <v>15</v>
      </c>
      <c r="AR421" s="136"/>
      <c r="AT421" s="69">
        <v>2.3148</v>
      </c>
      <c r="AU421" s="69">
        <v>7.6852</v>
      </c>
      <c r="AV421" s="69">
        <v>2.3148</v>
      </c>
      <c r="AW421" s="69">
        <v>0.41049999999999998</v>
      </c>
      <c r="BB421" s="69"/>
    </row>
    <row r="422" spans="1:54" customFormat="1" ht="40" customHeight="1">
      <c r="A422" s="313">
        <v>421</v>
      </c>
      <c r="B422" s="136" t="s">
        <v>589</v>
      </c>
      <c r="C422" s="136" t="s">
        <v>45</v>
      </c>
      <c r="D422" s="31">
        <f t="shared" si="28"/>
        <v>4</v>
      </c>
      <c r="E422" s="137" t="s">
        <v>46</v>
      </c>
      <c r="F422" s="31">
        <f t="shared" si="29"/>
        <v>6</v>
      </c>
      <c r="G422" s="137" t="s">
        <v>1203</v>
      </c>
      <c r="H422" s="138">
        <v>106</v>
      </c>
      <c r="I422" s="158">
        <f t="shared" si="30"/>
        <v>0.68161668730574754</v>
      </c>
      <c r="J422" s="95">
        <v>0.97693969127344005</v>
      </c>
      <c r="K422" s="137">
        <v>0.38629368333805503</v>
      </c>
      <c r="L422" s="137">
        <v>0.26287042461104398</v>
      </c>
      <c r="M422" s="137">
        <v>0.57142857142857095</v>
      </c>
      <c r="N422" s="136">
        <v>1</v>
      </c>
      <c r="O422" s="32">
        <v>42477</v>
      </c>
      <c r="P422" s="98">
        <f t="shared" si="31"/>
        <v>0</v>
      </c>
      <c r="Q422">
        <v>0</v>
      </c>
      <c r="R422">
        <v>0</v>
      </c>
      <c r="S422">
        <v>0</v>
      </c>
      <c r="T422" s="112" t="s">
        <v>48</v>
      </c>
      <c r="U422" s="137" t="s">
        <v>1204</v>
      </c>
      <c r="V422" s="137" t="s">
        <v>1205</v>
      </c>
      <c r="W422" s="69">
        <v>42</v>
      </c>
      <c r="X422" s="136">
        <v>1</v>
      </c>
      <c r="Y422" s="136">
        <v>9</v>
      </c>
      <c r="Z422" s="314"/>
      <c r="AA422" s="319">
        <v>5.0153508105498402E-4</v>
      </c>
      <c r="AB422" s="315" t="s">
        <v>5165</v>
      </c>
      <c r="AC422" s="319">
        <v>2</v>
      </c>
      <c r="AD422" s="320">
        <v>0.1</v>
      </c>
      <c r="AE422" s="319">
        <v>0</v>
      </c>
      <c r="AF422" s="320">
        <v>0</v>
      </c>
      <c r="AG422" s="319">
        <v>1</v>
      </c>
      <c r="AH422" s="320">
        <v>0.05</v>
      </c>
      <c r="AI422" s="319">
        <v>0</v>
      </c>
      <c r="AJ422" s="320">
        <v>0</v>
      </c>
      <c r="AK422" s="320">
        <v>0</v>
      </c>
      <c r="AL422" s="319">
        <v>5</v>
      </c>
      <c r="AM422" s="319">
        <v>5</v>
      </c>
      <c r="AN422" s="319">
        <v>4.6666666666666599</v>
      </c>
      <c r="AO422" s="319">
        <v>0.48888888888888798</v>
      </c>
      <c r="AP422">
        <v>9</v>
      </c>
      <c r="AQ422">
        <v>9</v>
      </c>
      <c r="AR422" s="136"/>
      <c r="AT422" s="69">
        <v>2.3148</v>
      </c>
      <c r="AU422" s="69">
        <v>2.3148</v>
      </c>
      <c r="AV422" s="69">
        <v>8.1305999999999994</v>
      </c>
      <c r="AW422" s="69">
        <v>0.42530000000000001</v>
      </c>
      <c r="BB422" s="69"/>
    </row>
    <row r="423" spans="1:54" customFormat="1" ht="40" customHeight="1">
      <c r="A423" s="313">
        <v>422</v>
      </c>
      <c r="B423" s="136" t="s">
        <v>589</v>
      </c>
      <c r="C423" s="136" t="s">
        <v>45</v>
      </c>
      <c r="D423" s="31">
        <f t="shared" si="28"/>
        <v>4</v>
      </c>
      <c r="E423" s="137" t="s">
        <v>80</v>
      </c>
      <c r="F423" s="31">
        <f t="shared" si="29"/>
        <v>4</v>
      </c>
      <c r="G423" s="137" t="s">
        <v>1206</v>
      </c>
      <c r="H423" s="138">
        <v>59</v>
      </c>
      <c r="I423" s="158">
        <f t="shared" si="30"/>
        <v>0.31814978522200488</v>
      </c>
      <c r="J423" s="95">
        <v>1.0856397394976E-4</v>
      </c>
      <c r="K423" s="137">
        <v>0.63619100647005999</v>
      </c>
      <c r="L423" s="137">
        <v>0.75</v>
      </c>
      <c r="M423" s="137">
        <v>0.46547751617515098</v>
      </c>
      <c r="N423" s="136">
        <v>1</v>
      </c>
      <c r="O423" s="32">
        <v>42459</v>
      </c>
      <c r="P423" s="98">
        <f t="shared" si="31"/>
        <v>1</v>
      </c>
      <c r="Q423">
        <v>0</v>
      </c>
      <c r="R423">
        <v>0</v>
      </c>
      <c r="S423">
        <v>0</v>
      </c>
      <c r="T423" s="112" t="s">
        <v>73</v>
      </c>
      <c r="U423" s="137" t="s">
        <v>1207</v>
      </c>
      <c r="V423" s="137" t="s">
        <v>1208</v>
      </c>
      <c r="W423" s="69">
        <v>71</v>
      </c>
      <c r="X423" s="136">
        <v>2</v>
      </c>
      <c r="Y423" s="136">
        <v>14</v>
      </c>
      <c r="Z423" s="314"/>
      <c r="AA423" s="319">
        <v>0.66549999999999998</v>
      </c>
      <c r="AB423" s="315" t="s">
        <v>5176</v>
      </c>
      <c r="AC423" s="319">
        <v>1</v>
      </c>
      <c r="AD423" s="320">
        <v>2.27272727272727E-2</v>
      </c>
      <c r="AE423" s="319">
        <v>2</v>
      </c>
      <c r="AF423" s="320">
        <v>4.54545454545454E-2</v>
      </c>
      <c r="AG423" s="319">
        <v>0</v>
      </c>
      <c r="AH423" s="320">
        <v>0</v>
      </c>
      <c r="AI423" s="319">
        <v>0</v>
      </c>
      <c r="AJ423" s="320">
        <v>0</v>
      </c>
      <c r="AK423" s="320">
        <v>0</v>
      </c>
      <c r="AL423" s="319">
        <v>5</v>
      </c>
      <c r="AM423" s="319">
        <v>6.2</v>
      </c>
      <c r="AN423" s="319">
        <v>2</v>
      </c>
      <c r="AO423" s="319">
        <v>0.44</v>
      </c>
      <c r="AP423">
        <v>14</v>
      </c>
      <c r="AQ423">
        <v>14</v>
      </c>
      <c r="AR423" s="136"/>
      <c r="AT423" s="69">
        <v>2.3148</v>
      </c>
      <c r="AU423" s="69">
        <v>5</v>
      </c>
      <c r="AV423" s="69">
        <v>2.3148</v>
      </c>
      <c r="AW423" s="69">
        <v>0.32100000000000001</v>
      </c>
      <c r="BB423" s="69"/>
    </row>
    <row r="424" spans="1:54" customFormat="1" ht="40" customHeight="1">
      <c r="A424" s="313">
        <v>423</v>
      </c>
      <c r="B424" s="136" t="s">
        <v>589</v>
      </c>
      <c r="C424" s="136" t="s">
        <v>1191</v>
      </c>
      <c r="D424" s="31">
        <f t="shared" si="28"/>
        <v>2</v>
      </c>
      <c r="E424" s="137" t="s">
        <v>46</v>
      </c>
      <c r="F424" s="31">
        <f t="shared" si="29"/>
        <v>6</v>
      </c>
      <c r="G424" s="137" t="s">
        <v>1209</v>
      </c>
      <c r="H424" s="138">
        <v>77</v>
      </c>
      <c r="I424" s="158">
        <f t="shared" si="30"/>
        <v>0.33642922450790369</v>
      </c>
      <c r="J424" s="95">
        <v>7.7576533454837407E-2</v>
      </c>
      <c r="K424" s="137">
        <v>0.59528191556096999</v>
      </c>
      <c r="L424" s="137">
        <v>0.68181818181818199</v>
      </c>
      <c r="M424" s="137">
        <v>0.46547751617515098</v>
      </c>
      <c r="N424" s="136">
        <v>0</v>
      </c>
      <c r="O424" s="32">
        <v>42457</v>
      </c>
      <c r="P424" s="98">
        <f t="shared" si="31"/>
        <v>0</v>
      </c>
      <c r="Q424">
        <v>2.5499999999999998</v>
      </c>
      <c r="R424">
        <v>0</v>
      </c>
      <c r="S424">
        <v>0</v>
      </c>
      <c r="T424" s="112" t="s">
        <v>48</v>
      </c>
      <c r="U424" s="137" t="s">
        <v>1210</v>
      </c>
      <c r="V424" s="137" t="s">
        <v>1211</v>
      </c>
      <c r="W424" s="69">
        <v>55</v>
      </c>
      <c r="X424" s="136">
        <v>3</v>
      </c>
      <c r="Y424" s="136">
        <v>14</v>
      </c>
      <c r="Z424" s="314"/>
      <c r="AA424" s="319">
        <v>0.55000000000000004</v>
      </c>
      <c r="AB424" s="315" t="s">
        <v>5170</v>
      </c>
      <c r="AC424" s="319">
        <v>0</v>
      </c>
      <c r="AD424" s="320">
        <v>0</v>
      </c>
      <c r="AE424" s="319">
        <v>0</v>
      </c>
      <c r="AF424" s="320">
        <v>0</v>
      </c>
      <c r="AG424" s="319">
        <v>1</v>
      </c>
      <c r="AH424" s="320">
        <v>3.3333333333333298E-2</v>
      </c>
      <c r="AI424" s="319">
        <v>1</v>
      </c>
      <c r="AJ424" s="320">
        <v>3.3333333333333298E-2</v>
      </c>
      <c r="AK424" s="320">
        <v>0</v>
      </c>
      <c r="AL424" s="319">
        <v>5</v>
      </c>
      <c r="AM424" s="319">
        <v>6.2</v>
      </c>
      <c r="AN424" s="319">
        <v>2</v>
      </c>
      <c r="AO424" s="319">
        <v>0.44</v>
      </c>
      <c r="AP424">
        <v>14</v>
      </c>
      <c r="AR424" s="136"/>
      <c r="AS424">
        <v>14</v>
      </c>
      <c r="AT424" s="69">
        <v>2.3148</v>
      </c>
      <c r="AU424" s="69">
        <v>5</v>
      </c>
      <c r="AV424" s="69">
        <v>2.3148</v>
      </c>
      <c r="AW424" s="69">
        <v>0.32100000000000001</v>
      </c>
      <c r="BB424" s="69"/>
    </row>
    <row r="425" spans="1:54" customFormat="1" ht="40" customHeight="1">
      <c r="A425" s="313">
        <v>424</v>
      </c>
      <c r="B425" s="136" t="s">
        <v>589</v>
      </c>
      <c r="C425" s="136" t="s">
        <v>1191</v>
      </c>
      <c r="D425" s="31">
        <f t="shared" si="28"/>
        <v>2</v>
      </c>
      <c r="E425" s="137" t="s">
        <v>46</v>
      </c>
      <c r="F425" s="31">
        <f t="shared" si="29"/>
        <v>6</v>
      </c>
      <c r="G425" s="137" t="s">
        <v>1212</v>
      </c>
      <c r="H425" s="138">
        <v>71</v>
      </c>
      <c r="I425" s="158">
        <f t="shared" si="30"/>
        <v>0.33160693535665198</v>
      </c>
      <c r="J425" s="95">
        <v>8.2694390193823006E-2</v>
      </c>
      <c r="K425" s="137">
        <v>0.58051948051948099</v>
      </c>
      <c r="L425" s="137">
        <v>0.68181818181818199</v>
      </c>
      <c r="M425" s="137">
        <v>0.42857142857142899</v>
      </c>
      <c r="N425" s="136">
        <v>1</v>
      </c>
      <c r="O425" s="32">
        <v>42455</v>
      </c>
      <c r="P425" s="98">
        <f t="shared" si="31"/>
        <v>0</v>
      </c>
      <c r="Q425">
        <v>2.5499999999999998</v>
      </c>
      <c r="R425">
        <v>0</v>
      </c>
      <c r="S425">
        <v>0</v>
      </c>
      <c r="T425" s="112" t="s">
        <v>48</v>
      </c>
      <c r="U425" s="137" t="s">
        <v>1213</v>
      </c>
      <c r="V425" s="137" t="s">
        <v>1211</v>
      </c>
      <c r="W425" s="69">
        <v>55</v>
      </c>
      <c r="X425" s="136">
        <v>6</v>
      </c>
      <c r="Y425" s="136">
        <v>16</v>
      </c>
      <c r="Z425" s="314"/>
      <c r="AA425" s="319">
        <v>0.55000000000000004</v>
      </c>
      <c r="AB425" s="315" t="s">
        <v>5170</v>
      </c>
      <c r="AC425" s="319">
        <v>0</v>
      </c>
      <c r="AD425" s="320">
        <v>0</v>
      </c>
      <c r="AE425" s="319">
        <v>0</v>
      </c>
      <c r="AF425" s="320">
        <v>0</v>
      </c>
      <c r="AG425" s="319">
        <v>1</v>
      </c>
      <c r="AH425" s="320">
        <v>3.3333333333333298E-2</v>
      </c>
      <c r="AI425" s="319">
        <v>1</v>
      </c>
      <c r="AJ425" s="320">
        <v>3.3333333333333298E-2</v>
      </c>
      <c r="AK425" s="320">
        <v>0</v>
      </c>
      <c r="AL425" s="319">
        <v>5</v>
      </c>
      <c r="AM425" s="319">
        <v>6.2</v>
      </c>
      <c r="AN425" s="319">
        <v>2</v>
      </c>
      <c r="AO425" s="319">
        <v>0.44</v>
      </c>
      <c r="AP425">
        <v>16</v>
      </c>
      <c r="AR425" s="136"/>
      <c r="AS425">
        <v>16</v>
      </c>
      <c r="AT425" s="69">
        <v>2.3148</v>
      </c>
      <c r="AU425" s="69">
        <v>5</v>
      </c>
      <c r="AV425" s="69">
        <v>2.3148</v>
      </c>
      <c r="AW425" s="69">
        <v>0.32100000000000001</v>
      </c>
      <c r="BB425" s="69"/>
    </row>
    <row r="426" spans="1:54" customFormat="1" ht="40" customHeight="1">
      <c r="A426" s="313">
        <v>425</v>
      </c>
      <c r="B426" s="136" t="s">
        <v>589</v>
      </c>
      <c r="C426" s="136" t="s">
        <v>1191</v>
      </c>
      <c r="D426" s="31">
        <f t="shared" si="28"/>
        <v>2</v>
      </c>
      <c r="E426" s="137" t="s">
        <v>46</v>
      </c>
      <c r="F426" s="31">
        <f t="shared" si="29"/>
        <v>6</v>
      </c>
      <c r="G426" s="137" t="s">
        <v>1209</v>
      </c>
      <c r="H426" s="138">
        <v>71</v>
      </c>
      <c r="I426" s="158">
        <f t="shared" si="30"/>
        <v>0.29113444610983003</v>
      </c>
      <c r="J426" s="95">
        <v>1.7494117001790599E-3</v>
      </c>
      <c r="K426" s="137">
        <v>0.58051948051948099</v>
      </c>
      <c r="L426" s="137">
        <v>0.68181818181818199</v>
      </c>
      <c r="M426" s="137">
        <v>0.42857142857142899</v>
      </c>
      <c r="N426" s="136">
        <v>1</v>
      </c>
      <c r="O426" s="32">
        <v>42455</v>
      </c>
      <c r="P426" s="98">
        <f t="shared" si="31"/>
        <v>0</v>
      </c>
      <c r="Q426">
        <v>2.5499999999999998</v>
      </c>
      <c r="R426">
        <v>0</v>
      </c>
      <c r="S426">
        <v>0</v>
      </c>
      <c r="T426" s="112" t="s">
        <v>48</v>
      </c>
      <c r="U426" s="137" t="s">
        <v>1213</v>
      </c>
      <c r="V426" s="137" t="s">
        <v>1211</v>
      </c>
      <c r="W426" s="69">
        <v>55</v>
      </c>
      <c r="X426" s="136">
        <v>4</v>
      </c>
      <c r="Y426" s="136">
        <v>16</v>
      </c>
      <c r="Z426" s="314"/>
      <c r="AA426" s="319">
        <v>0.55000000000000004</v>
      </c>
      <c r="AB426" s="315" t="s">
        <v>5170</v>
      </c>
      <c r="AC426" s="319">
        <v>0</v>
      </c>
      <c r="AD426" s="320">
        <v>0</v>
      </c>
      <c r="AE426" s="319">
        <v>0</v>
      </c>
      <c r="AF426" s="320">
        <v>0</v>
      </c>
      <c r="AG426" s="319">
        <v>1</v>
      </c>
      <c r="AH426" s="320">
        <v>3.3333333333333298E-2</v>
      </c>
      <c r="AI426" s="319">
        <v>1</v>
      </c>
      <c r="AJ426" s="320">
        <v>3.3333333333333298E-2</v>
      </c>
      <c r="AK426" s="320">
        <v>0</v>
      </c>
      <c r="AL426" s="319">
        <v>5</v>
      </c>
      <c r="AM426" s="319">
        <v>6.2</v>
      </c>
      <c r="AN426" s="319">
        <v>2</v>
      </c>
      <c r="AO426" s="319">
        <v>0.44</v>
      </c>
      <c r="AP426">
        <v>16</v>
      </c>
      <c r="AR426" s="136"/>
      <c r="AS426">
        <v>16</v>
      </c>
      <c r="AT426" s="69">
        <v>2.3148</v>
      </c>
      <c r="AU426" s="69">
        <v>5</v>
      </c>
      <c r="AV426" s="69">
        <v>2.3148</v>
      </c>
      <c r="AW426" s="69">
        <v>0.32100000000000001</v>
      </c>
      <c r="BB426" s="69"/>
    </row>
    <row r="427" spans="1:54" customFormat="1" ht="40" customHeight="1">
      <c r="A427" s="313">
        <v>426</v>
      </c>
      <c r="B427" s="136" t="s">
        <v>589</v>
      </c>
      <c r="C427" s="136" t="s">
        <v>45</v>
      </c>
      <c r="D427" s="31">
        <f t="shared" si="28"/>
        <v>4</v>
      </c>
      <c r="E427" s="137" t="s">
        <v>80</v>
      </c>
      <c r="F427" s="31">
        <f t="shared" si="29"/>
        <v>4</v>
      </c>
      <c r="G427" s="137" t="s">
        <v>1171</v>
      </c>
      <c r="H427" s="138">
        <v>82</v>
      </c>
      <c r="I427" s="158">
        <f t="shared" si="30"/>
        <v>0.36237089141499751</v>
      </c>
      <c r="J427" s="95">
        <v>3.6366189958349102E-2</v>
      </c>
      <c r="K427" s="137">
        <v>0.68837559287164596</v>
      </c>
      <c r="L427" s="137">
        <v>0.75</v>
      </c>
      <c r="M427" s="137">
        <v>0.59593898217911601</v>
      </c>
      <c r="N427" s="136">
        <v>1</v>
      </c>
      <c r="O427" s="32">
        <v>42452</v>
      </c>
      <c r="P427" s="98">
        <f t="shared" si="31"/>
        <v>0</v>
      </c>
      <c r="Q427">
        <v>2.5499999999999998</v>
      </c>
      <c r="R427">
        <v>0</v>
      </c>
      <c r="S427">
        <v>0</v>
      </c>
      <c r="T427" s="112" t="s">
        <v>48</v>
      </c>
      <c r="U427" s="137" t="s">
        <v>1214</v>
      </c>
      <c r="V427" s="137" t="s">
        <v>1215</v>
      </c>
      <c r="W427" s="69">
        <v>73</v>
      </c>
      <c r="X427" s="136">
        <v>1</v>
      </c>
      <c r="Y427" s="136">
        <v>8</v>
      </c>
      <c r="Z427" s="314"/>
      <c r="AA427" s="319">
        <v>0.66549999999999998</v>
      </c>
      <c r="AB427" s="315" t="s">
        <v>5176</v>
      </c>
      <c r="AC427" s="319">
        <v>1</v>
      </c>
      <c r="AD427" s="320">
        <v>2.1276595744680799E-2</v>
      </c>
      <c r="AE427" s="319">
        <v>4</v>
      </c>
      <c r="AF427" s="320">
        <v>8.5106382978723402E-2</v>
      </c>
      <c r="AG427" s="319">
        <v>0</v>
      </c>
      <c r="AH427" s="320">
        <v>0</v>
      </c>
      <c r="AI427" s="319">
        <v>0</v>
      </c>
      <c r="AJ427" s="320">
        <v>0</v>
      </c>
      <c r="AK427" s="320">
        <v>2.1276595744680851E-2</v>
      </c>
      <c r="AL427" s="319">
        <v>5</v>
      </c>
      <c r="AM427" s="319">
        <v>7.4</v>
      </c>
      <c r="AN427" s="319">
        <v>2</v>
      </c>
      <c r="AO427" s="319">
        <v>0.48</v>
      </c>
      <c r="AP427">
        <v>8</v>
      </c>
      <c r="AQ427">
        <v>8</v>
      </c>
      <c r="AR427" s="136"/>
      <c r="AT427" s="69">
        <v>2.3148</v>
      </c>
      <c r="AU427" s="69">
        <v>7.6852</v>
      </c>
      <c r="AV427" s="69">
        <v>2.3148</v>
      </c>
      <c r="AW427" s="69">
        <v>0.41049999999999998</v>
      </c>
      <c r="BB427" s="69"/>
    </row>
    <row r="428" spans="1:54" customFormat="1" ht="40" customHeight="1">
      <c r="A428" s="313">
        <v>427</v>
      </c>
      <c r="B428" s="136" t="s">
        <v>589</v>
      </c>
      <c r="C428" s="136" t="s">
        <v>45</v>
      </c>
      <c r="D428" s="31">
        <f t="shared" si="28"/>
        <v>4</v>
      </c>
      <c r="E428" s="137" t="s">
        <v>80</v>
      </c>
      <c r="F428" s="31">
        <f t="shared" si="29"/>
        <v>4</v>
      </c>
      <c r="G428" s="137" t="s">
        <v>1171</v>
      </c>
      <c r="H428" s="138">
        <v>73</v>
      </c>
      <c r="I428" s="158">
        <f t="shared" si="30"/>
        <v>0.37319767375679802</v>
      </c>
      <c r="J428" s="95">
        <v>3.6366189958349102E-2</v>
      </c>
      <c r="K428" s="137">
        <v>0.71002915755524698</v>
      </c>
      <c r="L428" s="137">
        <v>0.75</v>
      </c>
      <c r="M428" s="137">
        <v>0.65007289388811795</v>
      </c>
      <c r="N428" s="136">
        <v>1</v>
      </c>
      <c r="O428" s="32">
        <v>42432</v>
      </c>
      <c r="P428" s="98">
        <f t="shared" si="31"/>
        <v>0</v>
      </c>
      <c r="Q428">
        <v>0</v>
      </c>
      <c r="R428">
        <v>0</v>
      </c>
      <c r="S428">
        <v>0</v>
      </c>
      <c r="T428" s="112" t="s">
        <v>48</v>
      </c>
      <c r="U428" s="137" t="s">
        <v>1216</v>
      </c>
      <c r="V428" s="137" t="s">
        <v>1217</v>
      </c>
      <c r="W428" s="69">
        <v>126</v>
      </c>
      <c r="X428" s="136">
        <v>1</v>
      </c>
      <c r="Y428" s="136">
        <v>6</v>
      </c>
      <c r="Z428" s="314"/>
      <c r="AA428" s="319">
        <v>0.64895000000000003</v>
      </c>
      <c r="AB428" s="315" t="s">
        <v>5165</v>
      </c>
      <c r="AC428" s="319">
        <v>4</v>
      </c>
      <c r="AD428" s="320">
        <v>5.5555555555555497E-2</v>
      </c>
      <c r="AE428" s="319">
        <v>0</v>
      </c>
      <c r="AF428" s="320">
        <v>0</v>
      </c>
      <c r="AG428" s="319">
        <v>1</v>
      </c>
      <c r="AH428" s="320">
        <v>1.38888888888888E-2</v>
      </c>
      <c r="AI428" s="319">
        <v>0</v>
      </c>
      <c r="AJ428" s="320">
        <v>0</v>
      </c>
      <c r="AK428" s="320">
        <v>1.388888888888889E-2</v>
      </c>
      <c r="AL428" s="319">
        <v>5</v>
      </c>
      <c r="AM428" s="319">
        <v>6.2</v>
      </c>
      <c r="AN428" s="319">
        <v>4.6666666666666599</v>
      </c>
      <c r="AO428" s="319">
        <v>0.52888888888888796</v>
      </c>
      <c r="AP428">
        <v>6</v>
      </c>
      <c r="AR428" s="136">
        <v>6</v>
      </c>
      <c r="AT428" s="69">
        <v>2.3148</v>
      </c>
      <c r="AU428" s="69">
        <v>5</v>
      </c>
      <c r="AV428" s="69">
        <v>8.1305999999999994</v>
      </c>
      <c r="AW428" s="69">
        <v>0.51480000000000004</v>
      </c>
      <c r="BB428" s="69"/>
    </row>
    <row r="429" spans="1:54" customFormat="1" ht="40" customHeight="1">
      <c r="A429" s="313">
        <v>428</v>
      </c>
      <c r="B429" s="136" t="s">
        <v>589</v>
      </c>
      <c r="C429" s="136" t="s">
        <v>45</v>
      </c>
      <c r="D429" s="31">
        <f t="shared" si="28"/>
        <v>4</v>
      </c>
      <c r="E429" s="137" t="s">
        <v>80</v>
      </c>
      <c r="F429" s="31">
        <f t="shared" si="29"/>
        <v>4</v>
      </c>
      <c r="G429" s="137" t="s">
        <v>1218</v>
      </c>
      <c r="H429" s="138">
        <v>31</v>
      </c>
      <c r="I429" s="158">
        <f t="shared" si="30"/>
        <v>0.41414180432775999</v>
      </c>
      <c r="J429" s="95">
        <v>0.184315110110605</v>
      </c>
      <c r="K429" s="137">
        <v>0.643968498544915</v>
      </c>
      <c r="L429" s="137">
        <v>0.75</v>
      </c>
      <c r="M429" s="137">
        <v>0.48492124636228701</v>
      </c>
      <c r="N429" s="136">
        <v>1</v>
      </c>
      <c r="O429" s="32">
        <v>42404</v>
      </c>
      <c r="P429" s="98">
        <f t="shared" si="31"/>
        <v>0</v>
      </c>
      <c r="Q429">
        <v>2.5499999999999998</v>
      </c>
      <c r="R429">
        <v>0</v>
      </c>
      <c r="S429">
        <v>0</v>
      </c>
      <c r="T429" s="112" t="s">
        <v>48</v>
      </c>
      <c r="U429" s="137" t="s">
        <v>1219</v>
      </c>
      <c r="V429" s="137" t="s">
        <v>1220</v>
      </c>
      <c r="W429" s="69">
        <v>61</v>
      </c>
      <c r="X429" s="136">
        <v>2</v>
      </c>
      <c r="Y429" s="136">
        <v>13</v>
      </c>
      <c r="Z429" s="314"/>
      <c r="AA429" s="319">
        <v>0.55000000000000004</v>
      </c>
      <c r="AB429" s="315" t="s">
        <v>5176</v>
      </c>
      <c r="AC429" s="319">
        <v>1</v>
      </c>
      <c r="AD429" s="320">
        <v>2.5641025641025599E-2</v>
      </c>
      <c r="AE429" s="319">
        <v>2</v>
      </c>
      <c r="AF429" s="320">
        <v>5.1282051282051197E-2</v>
      </c>
      <c r="AG429" s="319">
        <v>0</v>
      </c>
      <c r="AH429" s="320">
        <v>0</v>
      </c>
      <c r="AI429" s="319">
        <v>0</v>
      </c>
      <c r="AJ429" s="320">
        <v>0</v>
      </c>
      <c r="AK429" s="320">
        <v>0</v>
      </c>
      <c r="AL429" s="319">
        <v>5</v>
      </c>
      <c r="AM429" s="319">
        <v>6.2</v>
      </c>
      <c r="AN429" s="319">
        <v>2</v>
      </c>
      <c r="AO429" s="319">
        <v>0.44</v>
      </c>
      <c r="AP429">
        <v>13</v>
      </c>
      <c r="AQ429">
        <v>13</v>
      </c>
      <c r="AR429" s="136"/>
      <c r="AT429" s="69">
        <v>2.3148</v>
      </c>
      <c r="AU429" s="69">
        <v>5</v>
      </c>
      <c r="AV429" s="69">
        <v>2.3148</v>
      </c>
      <c r="AW429" s="69">
        <v>0.32100000000000001</v>
      </c>
      <c r="BB429" s="69"/>
    </row>
    <row r="430" spans="1:54" customFormat="1" ht="40" customHeight="1">
      <c r="A430" s="313">
        <v>429</v>
      </c>
      <c r="B430" s="136" t="s">
        <v>589</v>
      </c>
      <c r="C430" s="136" t="s">
        <v>45</v>
      </c>
      <c r="D430" s="31">
        <f t="shared" si="28"/>
        <v>4</v>
      </c>
      <c r="E430" s="137" t="s">
        <v>80</v>
      </c>
      <c r="F430" s="31">
        <f t="shared" si="29"/>
        <v>4</v>
      </c>
      <c r="G430" s="137" t="s">
        <v>1171</v>
      </c>
      <c r="H430" s="138">
        <v>71</v>
      </c>
      <c r="I430" s="158">
        <f t="shared" si="30"/>
        <v>0.33945992622982873</v>
      </c>
      <c r="J430" s="95">
        <v>3.48423888229421E-4</v>
      </c>
      <c r="K430" s="137">
        <v>0.67857142857142805</v>
      </c>
      <c r="L430" s="137">
        <v>0.75</v>
      </c>
      <c r="M430" s="137">
        <v>0.57142857142857095</v>
      </c>
      <c r="N430" s="136">
        <v>1</v>
      </c>
      <c r="O430" s="32">
        <v>42389</v>
      </c>
      <c r="P430" s="98">
        <f t="shared" si="31"/>
        <v>0</v>
      </c>
      <c r="Q430">
        <v>0</v>
      </c>
      <c r="R430">
        <v>0</v>
      </c>
      <c r="S430">
        <v>0</v>
      </c>
      <c r="T430" s="112" t="s">
        <v>48</v>
      </c>
      <c r="U430" s="137" t="s">
        <v>1221</v>
      </c>
      <c r="V430" s="137" t="s">
        <v>1220</v>
      </c>
      <c r="W430" s="69">
        <v>61</v>
      </c>
      <c r="X430" s="136">
        <v>1</v>
      </c>
      <c r="Y430" s="136">
        <v>9</v>
      </c>
      <c r="Z430" s="314"/>
      <c r="AA430" s="319">
        <v>0.59450000000000003</v>
      </c>
      <c r="AB430" s="315" t="s">
        <v>5176</v>
      </c>
      <c r="AC430" s="319">
        <v>1</v>
      </c>
      <c r="AD430" s="320">
        <v>2.5641025641025599E-2</v>
      </c>
      <c r="AE430" s="319">
        <v>2</v>
      </c>
      <c r="AF430" s="320">
        <v>5.1282051282051197E-2</v>
      </c>
      <c r="AG430" s="319">
        <v>0</v>
      </c>
      <c r="AH430" s="320">
        <v>0</v>
      </c>
      <c r="AI430" s="319">
        <v>0</v>
      </c>
      <c r="AJ430" s="320">
        <v>0</v>
      </c>
      <c r="AK430" s="320">
        <v>0</v>
      </c>
      <c r="AL430" s="319">
        <v>5</v>
      </c>
      <c r="AM430" s="319">
        <v>5</v>
      </c>
      <c r="AN430" s="319">
        <v>4.6666666666666599</v>
      </c>
      <c r="AO430" s="319">
        <v>0.48888888888888798</v>
      </c>
      <c r="AP430">
        <v>9</v>
      </c>
      <c r="AQ430">
        <v>9</v>
      </c>
      <c r="AR430" s="136"/>
      <c r="AT430" s="69">
        <v>2.3148</v>
      </c>
      <c r="AU430" s="69">
        <v>2.3148</v>
      </c>
      <c r="AV430" s="69">
        <v>8.1305999999999994</v>
      </c>
      <c r="AW430" s="69">
        <v>0.42530000000000001</v>
      </c>
      <c r="BB430" s="69"/>
    </row>
    <row r="431" spans="1:54" customFormat="1" ht="40" customHeight="1">
      <c r="A431" s="313">
        <v>430</v>
      </c>
      <c r="B431" s="136" t="s">
        <v>1222</v>
      </c>
      <c r="C431" s="136" t="s">
        <v>45</v>
      </c>
      <c r="D431" s="31">
        <f t="shared" si="28"/>
        <v>4</v>
      </c>
      <c r="E431" s="137" t="s">
        <v>1223</v>
      </c>
      <c r="F431" s="31">
        <f t="shared" si="29"/>
        <v>8</v>
      </c>
      <c r="G431" s="137" t="s">
        <v>1224</v>
      </c>
      <c r="H431" s="138">
        <f t="shared" ref="H431:H437" si="32">LEN(U431)</f>
        <v>81</v>
      </c>
      <c r="I431" s="158">
        <f t="shared" si="30"/>
        <v>0.57537180190134096</v>
      </c>
      <c r="J431" s="95">
        <v>0.57030334028714103</v>
      </c>
      <c r="K431" s="137">
        <v>0.58044026351554101</v>
      </c>
      <c r="L431" s="137">
        <v>0.465690992294366</v>
      </c>
      <c r="M431" s="137">
        <v>0.75256417034730305</v>
      </c>
      <c r="N431" s="136">
        <v>1</v>
      </c>
      <c r="O431" s="32">
        <v>44170</v>
      </c>
      <c r="P431" s="98">
        <f t="shared" si="31"/>
        <v>1</v>
      </c>
      <c r="Q431">
        <v>0</v>
      </c>
      <c r="R431">
        <v>0</v>
      </c>
      <c r="S431">
        <v>0</v>
      </c>
      <c r="T431" s="112" t="s">
        <v>73</v>
      </c>
      <c r="U431" s="137" t="s">
        <v>1225</v>
      </c>
      <c r="V431" s="137" t="s">
        <v>1226</v>
      </c>
      <c r="W431" s="69">
        <f t="shared" ref="W431:W437" si="33">LEN(V431)</f>
        <v>115</v>
      </c>
      <c r="X431" s="136">
        <v>0</v>
      </c>
      <c r="Y431" s="136">
        <v>3</v>
      </c>
      <c r="Z431" s="314"/>
      <c r="AA431" s="319">
        <v>1.4736181690281501E-3</v>
      </c>
      <c r="AB431" s="315" t="s">
        <v>5176</v>
      </c>
      <c r="AC431" s="319">
        <v>2</v>
      </c>
      <c r="AD431" s="320">
        <v>2.9850746268656699E-2</v>
      </c>
      <c r="AE431" s="319">
        <v>3</v>
      </c>
      <c r="AF431" s="320">
        <v>4.4776119402985003E-2</v>
      </c>
      <c r="AG431" s="319">
        <v>1</v>
      </c>
      <c r="AH431" s="320">
        <v>1.4925373134328301E-2</v>
      </c>
      <c r="AI431" s="319">
        <v>2</v>
      </c>
      <c r="AJ431" s="320">
        <v>2.9850746268656699E-2</v>
      </c>
      <c r="AK431" s="320">
        <v>0</v>
      </c>
      <c r="AL431" s="319">
        <v>5</v>
      </c>
      <c r="AM431" s="319">
        <v>5</v>
      </c>
      <c r="AN431" s="319">
        <v>4.6666666666666599</v>
      </c>
      <c r="AO431" s="319">
        <v>0.48888888888888798</v>
      </c>
      <c r="AP431" s="319">
        <v>3</v>
      </c>
      <c r="AR431" s="136"/>
      <c r="AT431" s="69">
        <v>2.3148</v>
      </c>
      <c r="AU431" s="69">
        <v>2.3148</v>
      </c>
      <c r="AV431" s="69">
        <v>8.1305999999999994</v>
      </c>
      <c r="AW431" s="69">
        <v>0.42530000000000001</v>
      </c>
      <c r="BB431" s="69"/>
    </row>
    <row r="432" spans="1:54" customFormat="1" ht="40" customHeight="1">
      <c r="A432" s="313">
        <v>431</v>
      </c>
      <c r="B432" s="136" t="s">
        <v>1222</v>
      </c>
      <c r="C432" s="136" t="s">
        <v>45</v>
      </c>
      <c r="D432" s="31">
        <f t="shared" si="28"/>
        <v>4</v>
      </c>
      <c r="E432" s="137" t="s">
        <v>1223</v>
      </c>
      <c r="F432" s="31">
        <f t="shared" si="29"/>
        <v>8</v>
      </c>
      <c r="G432" s="137" t="s">
        <v>1227</v>
      </c>
      <c r="H432" s="138">
        <f t="shared" si="32"/>
        <v>89</v>
      </c>
      <c r="I432" s="158">
        <f t="shared" si="30"/>
        <v>0.31177404761005389</v>
      </c>
      <c r="J432" s="95">
        <v>1.27635698634476E-3</v>
      </c>
      <c r="K432" s="137">
        <v>0.62227173823376303</v>
      </c>
      <c r="L432" s="137">
        <v>0.465690992294366</v>
      </c>
      <c r="M432" s="137">
        <v>0.85714285714285698</v>
      </c>
      <c r="N432" s="136">
        <v>1</v>
      </c>
      <c r="O432" s="32">
        <v>44145</v>
      </c>
      <c r="P432" s="98">
        <f t="shared" si="31"/>
        <v>1</v>
      </c>
      <c r="Q432">
        <v>2.5499999999999998</v>
      </c>
      <c r="R432">
        <v>0</v>
      </c>
      <c r="S432">
        <v>0</v>
      </c>
      <c r="T432" s="112" t="s">
        <v>73</v>
      </c>
      <c r="U432" s="137" t="s">
        <v>1228</v>
      </c>
      <c r="V432" s="137" t="s">
        <v>1229</v>
      </c>
      <c r="W432" s="69">
        <f t="shared" si="33"/>
        <v>116</v>
      </c>
      <c r="X432" s="136">
        <v>0</v>
      </c>
      <c r="Y432" s="136">
        <v>1</v>
      </c>
      <c r="Z432" s="314"/>
      <c r="AA432" s="319">
        <v>1.36331369716649E-3</v>
      </c>
      <c r="AB432" s="315" t="s">
        <v>5176</v>
      </c>
      <c r="AC432" s="319">
        <v>1</v>
      </c>
      <c r="AD432" s="320">
        <v>1.6129032258064498E-2</v>
      </c>
      <c r="AE432" s="319">
        <v>3</v>
      </c>
      <c r="AF432" s="320">
        <v>4.8387096774193498E-2</v>
      </c>
      <c r="AG432" s="319">
        <v>1</v>
      </c>
      <c r="AH432" s="320">
        <v>1.6129032258064498E-2</v>
      </c>
      <c r="AI432" s="319">
        <v>0</v>
      </c>
      <c r="AJ432" s="320">
        <v>0</v>
      </c>
      <c r="AK432" s="320">
        <v>1.6129032258064519E-2</v>
      </c>
      <c r="AL432" s="319">
        <v>5</v>
      </c>
      <c r="AM432" s="319">
        <v>5</v>
      </c>
      <c r="AN432" s="319">
        <v>7.3333333333333304</v>
      </c>
      <c r="AO432" s="319">
        <v>0.57777777777777695</v>
      </c>
      <c r="AP432" s="319">
        <v>1</v>
      </c>
      <c r="AR432" s="136"/>
      <c r="AT432" s="69">
        <v>2.3148</v>
      </c>
      <c r="AU432" s="69">
        <v>2.3148</v>
      </c>
      <c r="AV432" s="69">
        <v>9.8416999999999994</v>
      </c>
      <c r="AW432" s="69">
        <v>0.4824</v>
      </c>
      <c r="BB432" s="69"/>
    </row>
    <row r="433" spans="1:54" customFormat="1" ht="40" customHeight="1">
      <c r="A433" s="313">
        <v>432</v>
      </c>
      <c r="B433" s="136" t="s">
        <v>1222</v>
      </c>
      <c r="C433" s="136" t="s">
        <v>45</v>
      </c>
      <c r="D433" s="31">
        <f t="shared" si="28"/>
        <v>4</v>
      </c>
      <c r="E433" s="137" t="s">
        <v>1223</v>
      </c>
      <c r="F433" s="31">
        <f t="shared" si="29"/>
        <v>8</v>
      </c>
      <c r="G433" s="137" t="s">
        <v>1230</v>
      </c>
      <c r="H433" s="138">
        <f t="shared" si="32"/>
        <v>93</v>
      </c>
      <c r="I433" s="158">
        <f t="shared" si="30"/>
        <v>0.35753469294667467</v>
      </c>
      <c r="J433" s="95">
        <v>3.1141658992539501E-4</v>
      </c>
      <c r="K433" s="137">
        <v>0.71475796930342395</v>
      </c>
      <c r="L433" s="137">
        <v>0.61983471074380203</v>
      </c>
      <c r="M433" s="137">
        <v>0.85714285714285698</v>
      </c>
      <c r="N433" s="136">
        <v>1</v>
      </c>
      <c r="O433" s="32">
        <v>44145</v>
      </c>
      <c r="P433" s="98">
        <f t="shared" si="31"/>
        <v>1</v>
      </c>
      <c r="Q433">
        <v>0</v>
      </c>
      <c r="R433">
        <v>4.95</v>
      </c>
      <c r="S433">
        <v>0</v>
      </c>
      <c r="T433" s="112" t="s">
        <v>73</v>
      </c>
      <c r="U433" s="137" t="s">
        <v>1231</v>
      </c>
      <c r="V433" s="137" t="s">
        <v>1232</v>
      </c>
      <c r="W433" s="69">
        <f t="shared" si="33"/>
        <v>113</v>
      </c>
      <c r="X433" s="136">
        <v>0</v>
      </c>
      <c r="Y433" s="136">
        <v>1</v>
      </c>
      <c r="Z433" s="314"/>
      <c r="AA433" s="319">
        <v>0.55000000000000004</v>
      </c>
      <c r="AB433" s="315" t="s">
        <v>5176</v>
      </c>
      <c r="AC433" s="319">
        <v>2</v>
      </c>
      <c r="AD433" s="320">
        <v>3.2258064516128997E-2</v>
      </c>
      <c r="AE433" s="319">
        <v>3</v>
      </c>
      <c r="AF433" s="320">
        <v>4.8387096774193498E-2</v>
      </c>
      <c r="AG433" s="319">
        <v>1</v>
      </c>
      <c r="AH433" s="320">
        <v>1.6129032258064498E-2</v>
      </c>
      <c r="AI433" s="319">
        <v>0</v>
      </c>
      <c r="AJ433" s="320">
        <v>0</v>
      </c>
      <c r="AK433" s="320">
        <v>0</v>
      </c>
      <c r="AL433" s="319">
        <v>9.0357142857142794</v>
      </c>
      <c r="AM433" s="319">
        <v>5</v>
      </c>
      <c r="AN433" s="319">
        <v>6.1666666666666599</v>
      </c>
      <c r="AO433" s="319">
        <v>0.67341269841269802</v>
      </c>
      <c r="AP433" s="319">
        <v>1</v>
      </c>
      <c r="AR433" s="136"/>
      <c r="AT433" s="69">
        <v>9.4480000000000004</v>
      </c>
      <c r="AU433" s="69">
        <v>2.3148</v>
      </c>
      <c r="AV433" s="69">
        <v>9.5120000000000005</v>
      </c>
      <c r="AW433" s="69">
        <v>0.70920000000000005</v>
      </c>
      <c r="BB433" s="69"/>
    </row>
    <row r="434" spans="1:54" customFormat="1" ht="40" customHeight="1">
      <c r="A434" s="313">
        <v>433</v>
      </c>
      <c r="B434" s="136" t="s">
        <v>1222</v>
      </c>
      <c r="C434" s="136" t="s">
        <v>59</v>
      </c>
      <c r="D434" s="31">
        <f t="shared" si="28"/>
        <v>5</v>
      </c>
      <c r="E434" s="137" t="s">
        <v>1223</v>
      </c>
      <c r="F434" s="31">
        <f t="shared" si="29"/>
        <v>8</v>
      </c>
      <c r="G434" s="137" t="s">
        <v>1233</v>
      </c>
      <c r="H434" s="138">
        <f t="shared" si="32"/>
        <v>50</v>
      </c>
      <c r="I434" s="158">
        <f t="shared" si="30"/>
        <v>0.39745104246037199</v>
      </c>
      <c r="J434" s="95">
        <v>2.0449420636009501E-3</v>
      </c>
      <c r="K434" s="137">
        <v>0.79285714285714304</v>
      </c>
      <c r="L434" s="137">
        <v>0.75</v>
      </c>
      <c r="M434" s="137">
        <v>0.85714285714285698</v>
      </c>
      <c r="N434" s="136">
        <v>1</v>
      </c>
      <c r="O434" s="32">
        <v>44144</v>
      </c>
      <c r="P434" s="98">
        <f t="shared" si="31"/>
        <v>1</v>
      </c>
      <c r="Q434">
        <v>0</v>
      </c>
      <c r="R434">
        <v>1.65</v>
      </c>
      <c r="S434">
        <v>0</v>
      </c>
      <c r="T434" s="112" t="s">
        <v>73</v>
      </c>
      <c r="U434" s="137" t="s">
        <v>1234</v>
      </c>
      <c r="V434" s="137" t="s">
        <v>1235</v>
      </c>
      <c r="W434" s="69">
        <f t="shared" si="33"/>
        <v>61</v>
      </c>
      <c r="X434" s="136">
        <v>0</v>
      </c>
      <c r="Y434" s="136">
        <v>1</v>
      </c>
      <c r="Z434" s="314"/>
      <c r="AA434" s="319">
        <v>0.5</v>
      </c>
      <c r="AB434" s="315" t="s">
        <v>5178</v>
      </c>
      <c r="AC434" s="319">
        <v>2</v>
      </c>
      <c r="AD434" s="320">
        <v>6.4516129032257993E-2</v>
      </c>
      <c r="AE434" s="319">
        <v>2</v>
      </c>
      <c r="AF434" s="320">
        <v>6.4516129032257993E-2</v>
      </c>
      <c r="AG434" s="319">
        <v>0</v>
      </c>
      <c r="AH434" s="320">
        <v>0</v>
      </c>
      <c r="AI434" s="319">
        <v>0</v>
      </c>
      <c r="AJ434" s="320">
        <v>0</v>
      </c>
      <c r="AK434" s="320">
        <v>3.2258064516129031E-2</v>
      </c>
      <c r="AL434" s="319">
        <v>5</v>
      </c>
      <c r="AM434" s="319">
        <v>5</v>
      </c>
      <c r="AN434" s="319">
        <v>3.5</v>
      </c>
      <c r="AO434" s="319">
        <v>0.45</v>
      </c>
      <c r="AR434" s="136">
        <v>1</v>
      </c>
      <c r="AT434" s="69">
        <v>2.3148</v>
      </c>
      <c r="AU434" s="69">
        <v>2.3148</v>
      </c>
      <c r="AV434" s="69">
        <v>5.7443999999999997</v>
      </c>
      <c r="AW434" s="69">
        <v>0.3458</v>
      </c>
      <c r="BB434" s="69"/>
    </row>
    <row r="435" spans="1:54" customFormat="1" ht="40" customHeight="1">
      <c r="A435" s="313">
        <v>434</v>
      </c>
      <c r="B435" s="136" t="s">
        <v>1222</v>
      </c>
      <c r="C435" s="136" t="s">
        <v>59</v>
      </c>
      <c r="D435" s="31">
        <f t="shared" si="28"/>
        <v>5</v>
      </c>
      <c r="E435" s="137" t="s">
        <v>1223</v>
      </c>
      <c r="F435" s="31">
        <f t="shared" si="29"/>
        <v>8</v>
      </c>
      <c r="G435" s="137" t="s">
        <v>1236</v>
      </c>
      <c r="H435" s="138">
        <f t="shared" si="32"/>
        <v>121</v>
      </c>
      <c r="I435" s="158">
        <f t="shared" si="30"/>
        <v>0.28811863638412227</v>
      </c>
      <c r="J435" s="95">
        <v>2.4589767072835701E-3</v>
      </c>
      <c r="K435" s="137">
        <v>0.57377829606096098</v>
      </c>
      <c r="L435" s="137">
        <v>0.38486858867302998</v>
      </c>
      <c r="M435" s="137">
        <v>0.85714285714285698</v>
      </c>
      <c r="N435" s="136">
        <v>1</v>
      </c>
      <c r="O435" s="32">
        <v>44140</v>
      </c>
      <c r="P435" s="98">
        <f t="shared" si="31"/>
        <v>1</v>
      </c>
      <c r="Q435">
        <v>0</v>
      </c>
      <c r="R435">
        <v>1.65</v>
      </c>
      <c r="S435">
        <v>0</v>
      </c>
      <c r="T435" s="112" t="s">
        <v>73</v>
      </c>
      <c r="U435" s="137" t="s">
        <v>1237</v>
      </c>
      <c r="V435" s="137" t="s">
        <v>1238</v>
      </c>
      <c r="W435" s="69">
        <f t="shared" si="33"/>
        <v>185</v>
      </c>
      <c r="X435" s="136">
        <v>0</v>
      </c>
      <c r="Y435" s="136">
        <v>1</v>
      </c>
      <c r="Z435" s="314"/>
      <c r="AA435" s="319">
        <v>1.82827132206868E-4</v>
      </c>
      <c r="AB435" s="315" t="s">
        <v>5169</v>
      </c>
      <c r="AC435" s="319">
        <v>1</v>
      </c>
      <c r="AD435" s="320">
        <v>9.7087378640776708E-3</v>
      </c>
      <c r="AE435" s="319">
        <v>0</v>
      </c>
      <c r="AF435" s="320">
        <v>0</v>
      </c>
      <c r="AG435" s="319">
        <v>1</v>
      </c>
      <c r="AH435" s="320">
        <v>9.7087378640776708E-3</v>
      </c>
      <c r="AI435" s="319">
        <v>0</v>
      </c>
      <c r="AJ435" s="320">
        <v>0</v>
      </c>
      <c r="AK435" s="320">
        <v>9.7087378640776691E-3</v>
      </c>
      <c r="AL435" s="319">
        <v>5</v>
      </c>
      <c r="AM435" s="319">
        <v>5</v>
      </c>
      <c r="AN435" s="319">
        <v>3.5</v>
      </c>
      <c r="AO435" s="319">
        <v>0.45</v>
      </c>
      <c r="AR435" s="136">
        <v>1</v>
      </c>
      <c r="AT435" s="69">
        <v>2.3148</v>
      </c>
      <c r="AU435" s="69">
        <v>2.3148</v>
      </c>
      <c r="AV435" s="69">
        <v>5.7443999999999997</v>
      </c>
      <c r="AW435" s="69">
        <v>0.3458</v>
      </c>
      <c r="BB435" s="69"/>
    </row>
    <row r="436" spans="1:54" customFormat="1" ht="40" customHeight="1">
      <c r="A436" s="313">
        <v>435</v>
      </c>
      <c r="B436" s="136" t="s">
        <v>1222</v>
      </c>
      <c r="C436" s="136" t="s">
        <v>59</v>
      </c>
      <c r="D436" s="31">
        <f t="shared" si="28"/>
        <v>5</v>
      </c>
      <c r="E436" s="137" t="s">
        <v>1223</v>
      </c>
      <c r="F436" s="31">
        <f t="shared" si="29"/>
        <v>8</v>
      </c>
      <c r="G436" s="137" t="s">
        <v>1239</v>
      </c>
      <c r="H436" s="138">
        <f t="shared" si="32"/>
        <v>164</v>
      </c>
      <c r="I436" s="158">
        <f t="shared" si="30"/>
        <v>0.87615035010914855</v>
      </c>
      <c r="J436" s="95">
        <v>0.98039987377201598</v>
      </c>
      <c r="K436" s="137">
        <v>0.771900826446281</v>
      </c>
      <c r="L436" s="137">
        <v>0.61983471074380103</v>
      </c>
      <c r="M436" s="137">
        <v>1</v>
      </c>
      <c r="N436" s="136">
        <v>1</v>
      </c>
      <c r="O436" s="32">
        <v>44139</v>
      </c>
      <c r="P436" s="98">
        <f t="shared" si="31"/>
        <v>1</v>
      </c>
      <c r="Q436">
        <v>0</v>
      </c>
      <c r="R436">
        <v>0</v>
      </c>
      <c r="S436">
        <v>0</v>
      </c>
      <c r="T436" s="112" t="s">
        <v>73</v>
      </c>
      <c r="U436" s="137" t="s">
        <v>1240</v>
      </c>
      <c r="V436" s="137" t="s">
        <v>1241</v>
      </c>
      <c r="W436" s="69">
        <f t="shared" si="33"/>
        <v>120</v>
      </c>
      <c r="X436" s="136">
        <v>0</v>
      </c>
      <c r="Y436" s="136">
        <v>0</v>
      </c>
      <c r="Z436" s="314"/>
      <c r="AA436" s="319">
        <v>9.1578194443670893E-3</v>
      </c>
      <c r="AB436" s="315" t="s">
        <v>5165</v>
      </c>
      <c r="AC436" s="319">
        <v>1</v>
      </c>
      <c r="AD436" s="320">
        <v>1.3698630136986301E-2</v>
      </c>
      <c r="AE436" s="319">
        <v>0</v>
      </c>
      <c r="AF436" s="320">
        <v>0</v>
      </c>
      <c r="AG436" s="319">
        <v>0</v>
      </c>
      <c r="AH436" s="320">
        <v>0</v>
      </c>
      <c r="AI436" s="319">
        <v>0</v>
      </c>
      <c r="AJ436" s="320">
        <v>0</v>
      </c>
      <c r="AK436" s="320">
        <v>0</v>
      </c>
      <c r="AL436" s="319">
        <v>5</v>
      </c>
      <c r="AM436" s="319">
        <v>5</v>
      </c>
      <c r="AN436" s="319">
        <v>3.5</v>
      </c>
      <c r="AO436" s="319">
        <v>0.45</v>
      </c>
      <c r="AR436" s="136">
        <v>0</v>
      </c>
      <c r="AT436" s="69">
        <v>2.3148</v>
      </c>
      <c r="AU436" s="69">
        <v>2.3148</v>
      </c>
      <c r="AV436" s="69">
        <v>5.7443999999999997</v>
      </c>
      <c r="AW436" s="69">
        <v>0.3458</v>
      </c>
      <c r="BB436" s="69"/>
    </row>
    <row r="437" spans="1:54" customFormat="1" ht="40" customHeight="1">
      <c r="A437" s="313">
        <v>436</v>
      </c>
      <c r="B437" s="136" t="s">
        <v>1222</v>
      </c>
      <c r="C437" s="136" t="s">
        <v>45</v>
      </c>
      <c r="D437" s="31">
        <f t="shared" si="28"/>
        <v>4</v>
      </c>
      <c r="E437" s="137" t="s">
        <v>221</v>
      </c>
      <c r="F437" s="31">
        <f t="shared" si="29"/>
        <v>2</v>
      </c>
      <c r="G437" s="137" t="s">
        <v>1242</v>
      </c>
      <c r="H437" s="138">
        <f t="shared" si="32"/>
        <v>67</v>
      </c>
      <c r="I437" s="158">
        <f t="shared" si="30"/>
        <v>0.31463552748965129</v>
      </c>
      <c r="J437" s="95">
        <v>5.8438904829760695E-4</v>
      </c>
      <c r="K437" s="137">
        <v>0.62868666593100497</v>
      </c>
      <c r="L437" s="137">
        <v>0.75</v>
      </c>
      <c r="M437" s="137">
        <v>0.44671666482751199</v>
      </c>
      <c r="N437" s="136">
        <v>1</v>
      </c>
      <c r="O437" s="32">
        <v>43998</v>
      </c>
      <c r="P437" s="98">
        <f t="shared" si="31"/>
        <v>1</v>
      </c>
      <c r="Q437">
        <v>2.5499999999999998</v>
      </c>
      <c r="R437">
        <v>1.65</v>
      </c>
      <c r="S437">
        <v>0</v>
      </c>
      <c r="T437" s="112" t="s">
        <v>73</v>
      </c>
      <c r="U437" s="137" t="s">
        <v>1243</v>
      </c>
      <c r="V437" s="137" t="s">
        <v>1244</v>
      </c>
      <c r="W437" s="69">
        <f t="shared" si="33"/>
        <v>182</v>
      </c>
      <c r="X437" s="136">
        <v>0</v>
      </c>
      <c r="Y437" s="136">
        <v>15</v>
      </c>
      <c r="Z437" s="314"/>
      <c r="AA437" s="319">
        <v>0.55000000000000004</v>
      </c>
      <c r="AB437" s="315" t="s">
        <v>5167</v>
      </c>
      <c r="AC437" s="319">
        <v>2</v>
      </c>
      <c r="AD437" s="320">
        <v>1.94174757281553E-2</v>
      </c>
      <c r="AE437" s="319">
        <v>1</v>
      </c>
      <c r="AF437" s="320">
        <v>9.7087378640776708E-3</v>
      </c>
      <c r="AG437" s="319">
        <v>0</v>
      </c>
      <c r="AH437" s="320">
        <v>0</v>
      </c>
      <c r="AI437" s="319">
        <v>4</v>
      </c>
      <c r="AJ437" s="320">
        <v>3.88349514563106E-2</v>
      </c>
      <c r="AK437" s="320">
        <v>0</v>
      </c>
      <c r="AL437" s="319">
        <v>5</v>
      </c>
      <c r="AM437" s="319">
        <v>6.2</v>
      </c>
      <c r="AN437" s="319">
        <v>2</v>
      </c>
      <c r="AO437" s="319">
        <v>0.44</v>
      </c>
      <c r="AR437" s="136"/>
      <c r="AS437">
        <v>15</v>
      </c>
      <c r="AT437" s="69">
        <v>2.3148</v>
      </c>
      <c r="AU437" s="69">
        <v>5</v>
      </c>
      <c r="AV437" s="69">
        <v>2.3148</v>
      </c>
      <c r="AW437" s="69">
        <v>0.32100000000000001</v>
      </c>
      <c r="BB437" s="69"/>
    </row>
    <row r="438" spans="1:54" customFormat="1" ht="40" customHeight="1">
      <c r="A438" s="313">
        <v>437</v>
      </c>
      <c r="B438" s="136" t="s">
        <v>1222</v>
      </c>
      <c r="C438" s="136" t="s">
        <v>45</v>
      </c>
      <c r="D438" s="31">
        <f t="shared" si="28"/>
        <v>4</v>
      </c>
      <c r="E438" s="137" t="s">
        <v>221</v>
      </c>
      <c r="F438" s="31">
        <f t="shared" si="29"/>
        <v>2</v>
      </c>
      <c r="G438" s="137" t="s">
        <v>1245</v>
      </c>
      <c r="H438" s="138">
        <v>28</v>
      </c>
      <c r="I438" s="158">
        <f t="shared" si="30"/>
        <v>0.8964284463613601</v>
      </c>
      <c r="J438" s="95">
        <v>0.99999974986557705</v>
      </c>
      <c r="K438" s="137">
        <v>0.79285714285714304</v>
      </c>
      <c r="L438" s="137">
        <v>0.75</v>
      </c>
      <c r="M438" s="137">
        <v>0.85714285714285698</v>
      </c>
      <c r="N438" s="136">
        <v>1</v>
      </c>
      <c r="O438" s="32">
        <v>43998</v>
      </c>
      <c r="P438" s="98">
        <f t="shared" si="31"/>
        <v>1</v>
      </c>
      <c r="Q438">
        <v>0</v>
      </c>
      <c r="R438">
        <v>0</v>
      </c>
      <c r="S438">
        <v>0</v>
      </c>
      <c r="T438" s="112" t="s">
        <v>73</v>
      </c>
      <c r="U438" s="137" t="s">
        <v>1246</v>
      </c>
      <c r="V438" s="137" t="s">
        <v>1247</v>
      </c>
      <c r="W438" s="69">
        <v>110</v>
      </c>
      <c r="X438" s="136">
        <v>1</v>
      </c>
      <c r="Y438" s="136">
        <v>1</v>
      </c>
      <c r="Z438" s="314"/>
      <c r="AA438" s="319">
        <v>0.5</v>
      </c>
      <c r="AB438" s="315" t="s">
        <v>5176</v>
      </c>
      <c r="AC438" s="319">
        <v>2</v>
      </c>
      <c r="AD438" s="320">
        <v>2.8169014084507001E-2</v>
      </c>
      <c r="AE438" s="319">
        <v>3</v>
      </c>
      <c r="AF438" s="320">
        <v>4.22535211267605E-2</v>
      </c>
      <c r="AG438" s="319">
        <v>1</v>
      </c>
      <c r="AH438" s="320">
        <v>1.4084507042253501E-2</v>
      </c>
      <c r="AI438" s="319">
        <v>0</v>
      </c>
      <c r="AJ438" s="320">
        <v>0</v>
      </c>
      <c r="AK438" s="320">
        <v>1.408450704225352E-2</v>
      </c>
      <c r="AL438" s="319">
        <v>5</v>
      </c>
      <c r="AM438" s="319">
        <v>5</v>
      </c>
      <c r="AN438" s="319">
        <v>2</v>
      </c>
      <c r="AO438" s="319">
        <v>0.4</v>
      </c>
      <c r="AP438">
        <v>1</v>
      </c>
      <c r="AR438" s="136">
        <v>1</v>
      </c>
      <c r="AT438" s="69">
        <v>2.3148</v>
      </c>
      <c r="AU438" s="69">
        <v>2.3148</v>
      </c>
      <c r="AV438" s="69">
        <v>2.3148</v>
      </c>
      <c r="AW438" s="69">
        <v>0.23150000000000001</v>
      </c>
      <c r="BB438" s="69"/>
    </row>
    <row r="439" spans="1:54" customFormat="1" ht="40" customHeight="1">
      <c r="A439" s="313">
        <v>438</v>
      </c>
      <c r="B439" s="136" t="s">
        <v>1222</v>
      </c>
      <c r="C439" s="136" t="s">
        <v>45</v>
      </c>
      <c r="D439" s="31">
        <f t="shared" si="28"/>
        <v>4</v>
      </c>
      <c r="E439" s="137" t="s">
        <v>46</v>
      </c>
      <c r="F439" s="31">
        <f t="shared" si="29"/>
        <v>6</v>
      </c>
      <c r="G439" s="137" t="s">
        <v>1248</v>
      </c>
      <c r="H439" s="138">
        <v>65</v>
      </c>
      <c r="I439" s="158">
        <f t="shared" si="30"/>
        <v>0.34765197379973917</v>
      </c>
      <c r="J439" s="95">
        <v>4.9875279428335305E-4</v>
      </c>
      <c r="K439" s="137">
        <v>0.69480519480519498</v>
      </c>
      <c r="L439" s="137">
        <v>0.68181818181818199</v>
      </c>
      <c r="M439" s="137">
        <v>0.71428571428571397</v>
      </c>
      <c r="N439" s="136">
        <v>1</v>
      </c>
      <c r="O439" s="32">
        <v>43972</v>
      </c>
      <c r="P439" s="98">
        <f t="shared" si="31"/>
        <v>0</v>
      </c>
      <c r="Q439">
        <v>0</v>
      </c>
      <c r="R439">
        <v>0</v>
      </c>
      <c r="S439">
        <v>0</v>
      </c>
      <c r="T439" s="112" t="s">
        <v>48</v>
      </c>
      <c r="U439" s="137" t="s">
        <v>1249</v>
      </c>
      <c r="V439" s="137" t="s">
        <v>1250</v>
      </c>
      <c r="W439" s="69">
        <v>70</v>
      </c>
      <c r="X439" s="136">
        <v>1</v>
      </c>
      <c r="Y439" s="136">
        <v>4</v>
      </c>
      <c r="Z439" s="314"/>
      <c r="AA439" s="319">
        <v>0.55000000000000004</v>
      </c>
      <c r="AB439" s="315" t="s">
        <v>5178</v>
      </c>
      <c r="AC439" s="319">
        <v>2</v>
      </c>
      <c r="AD439" s="320">
        <v>4.7619047619047603E-2</v>
      </c>
      <c r="AE439" s="319">
        <v>2</v>
      </c>
      <c r="AF439" s="320">
        <v>4.7619047619047603E-2</v>
      </c>
      <c r="AG439" s="319">
        <v>0</v>
      </c>
      <c r="AH439" s="320">
        <v>0</v>
      </c>
      <c r="AI439" s="319">
        <v>0</v>
      </c>
      <c r="AJ439" s="320">
        <v>0</v>
      </c>
      <c r="AK439" s="320">
        <v>2.3809523809523812E-2</v>
      </c>
      <c r="AL439" s="319">
        <v>5</v>
      </c>
      <c r="AM439" s="319">
        <v>5</v>
      </c>
      <c r="AN439" s="319">
        <v>3.5</v>
      </c>
      <c r="AO439" s="319">
        <v>0.45</v>
      </c>
      <c r="AP439">
        <v>4</v>
      </c>
      <c r="AR439" s="136">
        <v>4</v>
      </c>
      <c r="AT439" s="69">
        <v>2.3148</v>
      </c>
      <c r="AU439" s="69">
        <v>2.3148</v>
      </c>
      <c r="AV439" s="69">
        <v>5.7443999999999997</v>
      </c>
      <c r="AW439" s="69">
        <v>0.3458</v>
      </c>
      <c r="BB439" s="69"/>
    </row>
    <row r="440" spans="1:54" customFormat="1" ht="40" customHeight="1">
      <c r="A440" s="313">
        <v>439</v>
      </c>
      <c r="B440" s="136" t="s">
        <v>1222</v>
      </c>
      <c r="C440" s="136" t="s">
        <v>59</v>
      </c>
      <c r="D440" s="31">
        <f t="shared" si="28"/>
        <v>5</v>
      </c>
      <c r="E440" s="137" t="s">
        <v>46</v>
      </c>
      <c r="F440" s="31">
        <f t="shared" si="29"/>
        <v>6</v>
      </c>
      <c r="G440" s="137" t="s">
        <v>1251</v>
      </c>
      <c r="H440" s="138">
        <v>80</v>
      </c>
      <c r="I440" s="158">
        <f t="shared" si="30"/>
        <v>0.87035906386569251</v>
      </c>
      <c r="J440" s="95">
        <v>0.98877007578333298</v>
      </c>
      <c r="K440" s="137">
        <v>0.75194805194805203</v>
      </c>
      <c r="L440" s="137">
        <v>0.68181818181818199</v>
      </c>
      <c r="M440" s="137">
        <v>0.85714285714285698</v>
      </c>
      <c r="N440" s="136">
        <v>1</v>
      </c>
      <c r="O440" s="32">
        <v>43969</v>
      </c>
      <c r="P440" s="98">
        <f t="shared" si="31"/>
        <v>2</v>
      </c>
      <c r="Q440">
        <v>0</v>
      </c>
      <c r="R440">
        <v>1.65</v>
      </c>
      <c r="S440">
        <v>1.87</v>
      </c>
      <c r="T440" s="112" t="s">
        <v>64</v>
      </c>
      <c r="U440" s="137" t="s">
        <v>1252</v>
      </c>
      <c r="V440" s="137" t="s">
        <v>1253</v>
      </c>
      <c r="W440" s="69">
        <v>65</v>
      </c>
      <c r="X440" s="136">
        <v>1</v>
      </c>
      <c r="Y440" s="136">
        <v>1</v>
      </c>
      <c r="Z440" s="314"/>
      <c r="AA440" s="319">
        <v>0.45454545454545398</v>
      </c>
      <c r="AB440" s="315" t="s">
        <v>5176</v>
      </c>
      <c r="AC440" s="319">
        <v>0</v>
      </c>
      <c r="AD440" s="320">
        <v>0</v>
      </c>
      <c r="AE440" s="319">
        <v>2</v>
      </c>
      <c r="AF440" s="320">
        <v>5.2631578947368397E-2</v>
      </c>
      <c r="AG440" s="319">
        <v>0</v>
      </c>
      <c r="AH440" s="320">
        <v>0</v>
      </c>
      <c r="AI440" s="319">
        <v>0</v>
      </c>
      <c r="AJ440" s="320">
        <v>0</v>
      </c>
      <c r="AK440" s="320">
        <v>2.6315789473684209E-2</v>
      </c>
      <c r="AL440" s="319">
        <v>5</v>
      </c>
      <c r="AM440" s="319">
        <v>5</v>
      </c>
      <c r="AN440" s="319">
        <v>6.1666666666666599</v>
      </c>
      <c r="AO440" s="319">
        <v>0.53888888888888797</v>
      </c>
      <c r="AP440">
        <v>1</v>
      </c>
      <c r="AQ440">
        <v>1</v>
      </c>
      <c r="AR440" s="136"/>
      <c r="AT440" s="69">
        <v>2.3148</v>
      </c>
      <c r="AU440" s="69">
        <v>2.3148</v>
      </c>
      <c r="AV440" s="69">
        <v>9.5120000000000005</v>
      </c>
      <c r="AW440" s="69">
        <v>0.47139999999999999</v>
      </c>
      <c r="BB440" s="69"/>
    </row>
    <row r="441" spans="1:54" customFormat="1" ht="40" customHeight="1">
      <c r="A441" s="313">
        <v>440</v>
      </c>
      <c r="B441" s="136" t="s">
        <v>1222</v>
      </c>
      <c r="C441" s="136" t="s">
        <v>45</v>
      </c>
      <c r="D441" s="31">
        <f t="shared" si="28"/>
        <v>4</v>
      </c>
      <c r="E441" s="137" t="s">
        <v>46</v>
      </c>
      <c r="F441" s="31">
        <f t="shared" si="29"/>
        <v>6</v>
      </c>
      <c r="G441" s="137" t="s">
        <v>1254</v>
      </c>
      <c r="H441" s="138">
        <v>97</v>
      </c>
      <c r="I441" s="158">
        <f t="shared" si="30"/>
        <v>0.33363095009780686</v>
      </c>
      <c r="J441" s="95">
        <v>8.3332876704267399E-4</v>
      </c>
      <c r="K441" s="137">
        <v>0.66642857142857104</v>
      </c>
      <c r="L441" s="137">
        <v>0.82499999999999996</v>
      </c>
      <c r="M441" s="137">
        <v>0.42857142857142899</v>
      </c>
      <c r="N441" s="136">
        <v>1</v>
      </c>
      <c r="O441" s="32">
        <v>43921</v>
      </c>
      <c r="P441" s="98">
        <f t="shared" si="31"/>
        <v>0</v>
      </c>
      <c r="Q441">
        <v>5.0999999999999996</v>
      </c>
      <c r="R441">
        <v>0</v>
      </c>
      <c r="S441">
        <v>0</v>
      </c>
      <c r="T441" s="112" t="s">
        <v>48</v>
      </c>
      <c r="U441" s="137" t="s">
        <v>1255</v>
      </c>
      <c r="V441" s="137" t="s">
        <v>1256</v>
      </c>
      <c r="W441" s="69">
        <v>22</v>
      </c>
      <c r="X441" s="136">
        <v>3</v>
      </c>
      <c r="Y441" s="136">
        <v>16</v>
      </c>
      <c r="Z441" s="314"/>
      <c r="AA441" s="319">
        <v>0.55000000000000004</v>
      </c>
      <c r="AB441" s="315" t="s">
        <v>5177</v>
      </c>
      <c r="AC441" s="319">
        <v>0</v>
      </c>
      <c r="AD441" s="320">
        <v>0</v>
      </c>
      <c r="AE441" s="319">
        <v>1</v>
      </c>
      <c r="AF441" s="320">
        <v>6.6666666666666596E-2</v>
      </c>
      <c r="AG441" s="319">
        <v>1</v>
      </c>
      <c r="AH441" s="320">
        <v>6.6666666666666596E-2</v>
      </c>
      <c r="AI441" s="319">
        <v>0</v>
      </c>
      <c r="AJ441" s="320">
        <v>0</v>
      </c>
      <c r="AK441" s="320">
        <v>0</v>
      </c>
      <c r="AL441" s="319">
        <v>5</v>
      </c>
      <c r="AM441" s="319">
        <v>5</v>
      </c>
      <c r="AN441" s="319">
        <v>2</v>
      </c>
      <c r="AO441" s="319">
        <v>0.4</v>
      </c>
      <c r="AP441">
        <v>16</v>
      </c>
      <c r="AR441" s="136"/>
      <c r="AS441">
        <v>16</v>
      </c>
      <c r="AT441" s="69">
        <v>2.3148</v>
      </c>
      <c r="AU441" s="69">
        <v>2.3148</v>
      </c>
      <c r="AV441" s="69">
        <v>2.3148</v>
      </c>
      <c r="AW441" s="69">
        <v>0.23150000000000001</v>
      </c>
      <c r="BB441" s="69"/>
    </row>
    <row r="442" spans="1:54" customFormat="1" ht="40" customHeight="1">
      <c r="A442" s="313">
        <v>441</v>
      </c>
      <c r="B442" s="136" t="s">
        <v>1222</v>
      </c>
      <c r="C442" s="136" t="s">
        <v>45</v>
      </c>
      <c r="D442" s="31">
        <f t="shared" si="28"/>
        <v>4</v>
      </c>
      <c r="E442" s="137" t="s">
        <v>46</v>
      </c>
      <c r="F442" s="31">
        <f t="shared" si="29"/>
        <v>6</v>
      </c>
      <c r="G442" s="137" t="s">
        <v>1257</v>
      </c>
      <c r="H442" s="138">
        <v>170</v>
      </c>
      <c r="I442" s="158">
        <f t="shared" si="30"/>
        <v>0.36111253091958284</v>
      </c>
      <c r="J442" s="95">
        <v>3.7483915371616698E-7</v>
      </c>
      <c r="K442" s="137">
        <v>0.72222468700001197</v>
      </c>
      <c r="L442" s="137">
        <v>0.75</v>
      </c>
      <c r="M442" s="137">
        <v>0.68056171750003003</v>
      </c>
      <c r="N442" s="136">
        <v>0</v>
      </c>
      <c r="O442" s="32">
        <v>43840</v>
      </c>
      <c r="P442" s="98">
        <f t="shared" si="31"/>
        <v>0</v>
      </c>
      <c r="Q442">
        <v>5.0999999999999996</v>
      </c>
      <c r="R442">
        <v>1.65</v>
      </c>
      <c r="S442">
        <v>0</v>
      </c>
      <c r="T442" s="112" t="s">
        <v>48</v>
      </c>
      <c r="U442" s="137" t="s">
        <v>1258</v>
      </c>
      <c r="V442" s="137" t="s">
        <v>1259</v>
      </c>
      <c r="W442" s="69">
        <v>33</v>
      </c>
      <c r="X442" s="136">
        <v>1</v>
      </c>
      <c r="Y442" s="136">
        <v>5</v>
      </c>
      <c r="Z442" s="314"/>
      <c r="AA442" s="319">
        <v>0.45454545454545398</v>
      </c>
      <c r="AB442" s="315" t="s">
        <v>5165</v>
      </c>
      <c r="AC442" s="319">
        <v>3</v>
      </c>
      <c r="AD442" s="320">
        <v>0.15</v>
      </c>
      <c r="AE442" s="319">
        <v>1</v>
      </c>
      <c r="AF442" s="320">
        <v>0.05</v>
      </c>
      <c r="AG442" s="319">
        <v>1</v>
      </c>
      <c r="AH442" s="320">
        <v>0.05</v>
      </c>
      <c r="AI442" s="319">
        <v>0</v>
      </c>
      <c r="AJ442" s="320">
        <v>0</v>
      </c>
      <c r="AK442" s="320">
        <v>0</v>
      </c>
      <c r="AL442" s="319">
        <v>6.75</v>
      </c>
      <c r="AM442" s="319">
        <v>5</v>
      </c>
      <c r="AN442" s="319">
        <v>2</v>
      </c>
      <c r="AO442" s="319">
        <v>0.45833333333333298</v>
      </c>
      <c r="AP442">
        <v>5</v>
      </c>
      <c r="AR442" s="136"/>
      <c r="AS442">
        <v>5</v>
      </c>
      <c r="AT442" s="69">
        <v>6.3414000000000001</v>
      </c>
      <c r="AU442" s="69">
        <v>2.3148</v>
      </c>
      <c r="AV442" s="69">
        <v>2.3148</v>
      </c>
      <c r="AW442" s="69">
        <v>0.36570000000000003</v>
      </c>
      <c r="BB442" s="69"/>
    </row>
    <row r="443" spans="1:54" customFormat="1" ht="40" customHeight="1">
      <c r="A443" s="313">
        <v>442</v>
      </c>
      <c r="B443" s="136" t="s">
        <v>1222</v>
      </c>
      <c r="C443" s="136" t="s">
        <v>45</v>
      </c>
      <c r="D443" s="31">
        <f t="shared" si="28"/>
        <v>4</v>
      </c>
      <c r="E443" s="137" t="s">
        <v>46</v>
      </c>
      <c r="F443" s="31">
        <f t="shared" si="29"/>
        <v>6</v>
      </c>
      <c r="G443" s="137" t="s">
        <v>1260</v>
      </c>
      <c r="H443" s="138">
        <v>159</v>
      </c>
      <c r="I443" s="158">
        <f t="shared" si="30"/>
        <v>0.27926466359150504</v>
      </c>
      <c r="J443" s="95">
        <v>1.1392473583500299E-3</v>
      </c>
      <c r="K443" s="137">
        <v>0.55739007982466005</v>
      </c>
      <c r="L443" s="137">
        <v>0.56348610067618299</v>
      </c>
      <c r="M443" s="137">
        <v>0.54824604854737402</v>
      </c>
      <c r="N443" s="136">
        <v>1</v>
      </c>
      <c r="O443" s="32">
        <v>43826</v>
      </c>
      <c r="P443" s="98">
        <f t="shared" si="31"/>
        <v>0</v>
      </c>
      <c r="Q443">
        <v>2.5499999999999998</v>
      </c>
      <c r="R443">
        <v>0</v>
      </c>
      <c r="S443">
        <v>0</v>
      </c>
      <c r="T443" s="112" t="s">
        <v>48</v>
      </c>
      <c r="U443" s="137" t="s">
        <v>1261</v>
      </c>
      <c r="V443" s="137" t="s">
        <v>1262</v>
      </c>
      <c r="W443" s="69">
        <v>34</v>
      </c>
      <c r="X443" s="136">
        <v>2</v>
      </c>
      <c r="Y443" s="136">
        <v>10</v>
      </c>
      <c r="Z443" s="314"/>
      <c r="AA443" s="319">
        <v>2.2630485621756301E-2</v>
      </c>
      <c r="AB443" s="315" t="s">
        <v>5168</v>
      </c>
      <c r="AC443" s="319">
        <v>0</v>
      </c>
      <c r="AD443" s="320">
        <v>0</v>
      </c>
      <c r="AE443" s="319">
        <v>1</v>
      </c>
      <c r="AF443" s="320">
        <v>0.05</v>
      </c>
      <c r="AG443" s="319">
        <v>2</v>
      </c>
      <c r="AH443" s="320">
        <v>0.1</v>
      </c>
      <c r="AI443" s="319">
        <v>0</v>
      </c>
      <c r="AJ443" s="320">
        <v>0</v>
      </c>
      <c r="AK443" s="320">
        <v>0.05</v>
      </c>
      <c r="AL443" s="319">
        <v>5</v>
      </c>
      <c r="AM443" s="319">
        <v>5</v>
      </c>
      <c r="AN443" s="319">
        <v>4.6666666666666599</v>
      </c>
      <c r="AO443" s="319">
        <v>0.48888888888888798</v>
      </c>
      <c r="AP443" s="319">
        <v>10</v>
      </c>
      <c r="AR443" s="136"/>
      <c r="AT443" s="69">
        <v>2.3148</v>
      </c>
      <c r="AU443" s="69">
        <v>2.3148</v>
      </c>
      <c r="AV443" s="69">
        <v>8.1305999999999994</v>
      </c>
      <c r="AW443" s="69">
        <v>0.42530000000000001</v>
      </c>
      <c r="BB443" s="69"/>
    </row>
    <row r="444" spans="1:54" customFormat="1" ht="40" customHeight="1">
      <c r="A444" s="313">
        <v>443</v>
      </c>
      <c r="B444" s="136" t="s">
        <v>1222</v>
      </c>
      <c r="C444" s="136" t="s">
        <v>45</v>
      </c>
      <c r="D444" s="31">
        <f t="shared" si="28"/>
        <v>4</v>
      </c>
      <c r="E444" s="137" t="s">
        <v>46</v>
      </c>
      <c r="F444" s="31">
        <f t="shared" si="29"/>
        <v>6</v>
      </c>
      <c r="G444" s="137" t="s">
        <v>1263</v>
      </c>
      <c r="H444" s="138">
        <v>171</v>
      </c>
      <c r="I444" s="158">
        <f t="shared" si="30"/>
        <v>0.42276425475010099</v>
      </c>
      <c r="J444" s="95">
        <v>2.8413612809252702E-6</v>
      </c>
      <c r="K444" s="137">
        <v>0.84552566813892105</v>
      </c>
      <c r="L444" s="137">
        <v>0.90749999999999997</v>
      </c>
      <c r="M444" s="137">
        <v>0.75256417034730305</v>
      </c>
      <c r="N444" s="136">
        <v>1</v>
      </c>
      <c r="O444" s="32">
        <v>43792</v>
      </c>
      <c r="P444" s="98">
        <f t="shared" si="31"/>
        <v>0</v>
      </c>
      <c r="Q444">
        <v>2.5499999999999998</v>
      </c>
      <c r="R444">
        <v>4.95</v>
      </c>
      <c r="S444">
        <v>0</v>
      </c>
      <c r="T444" s="112" t="s">
        <v>48</v>
      </c>
      <c r="U444" s="137" t="s">
        <v>1264</v>
      </c>
      <c r="V444" s="137" t="s">
        <v>1265</v>
      </c>
      <c r="W444" s="69">
        <v>213</v>
      </c>
      <c r="X444" s="136">
        <v>1</v>
      </c>
      <c r="Y444" s="136">
        <v>3</v>
      </c>
      <c r="Z444" s="314"/>
      <c r="AA444" s="319">
        <v>0.55000000000000004</v>
      </c>
      <c r="AB444" s="315" t="s">
        <v>5176</v>
      </c>
      <c r="AC444" s="319">
        <v>1</v>
      </c>
      <c r="AD444" s="320">
        <v>8.6206896551724102E-3</v>
      </c>
      <c r="AE444" s="319">
        <v>5</v>
      </c>
      <c r="AF444" s="320">
        <v>4.3103448275862002E-2</v>
      </c>
      <c r="AG444" s="319">
        <v>1</v>
      </c>
      <c r="AH444" s="320">
        <v>8.6206896551724102E-3</v>
      </c>
      <c r="AI444" s="319">
        <v>0</v>
      </c>
      <c r="AJ444" s="320">
        <v>0</v>
      </c>
      <c r="AK444" s="320">
        <v>2.5862068965517241E-2</v>
      </c>
      <c r="AL444" s="319">
        <v>5</v>
      </c>
      <c r="AM444" s="319">
        <v>5</v>
      </c>
      <c r="AN444" s="319">
        <v>2</v>
      </c>
      <c r="AO444" s="319">
        <v>0.4</v>
      </c>
      <c r="AP444">
        <v>3</v>
      </c>
      <c r="AR444" s="136">
        <v>3</v>
      </c>
      <c r="AT444" s="69">
        <v>2.3148</v>
      </c>
      <c r="AU444" s="69">
        <v>2.3148</v>
      </c>
      <c r="AV444" s="69">
        <v>2.3148</v>
      </c>
      <c r="AW444" s="69">
        <v>0.23150000000000001</v>
      </c>
      <c r="BB444" s="69"/>
    </row>
    <row r="445" spans="1:54" customFormat="1" ht="40" customHeight="1">
      <c r="A445" s="313">
        <v>444</v>
      </c>
      <c r="B445" s="136" t="s">
        <v>1222</v>
      </c>
      <c r="C445" s="136" t="s">
        <v>45</v>
      </c>
      <c r="D445" s="31">
        <f t="shared" si="28"/>
        <v>4</v>
      </c>
      <c r="E445" s="137" t="s">
        <v>1223</v>
      </c>
      <c r="F445" s="31">
        <f t="shared" si="29"/>
        <v>8</v>
      </c>
      <c r="G445" s="137" t="s">
        <v>1266</v>
      </c>
      <c r="H445" s="138">
        <v>307</v>
      </c>
      <c r="I445" s="158">
        <f t="shared" si="30"/>
        <v>0.32902085819919991</v>
      </c>
      <c r="J445" s="95">
        <v>7.6225955686681801E-4</v>
      </c>
      <c r="K445" s="137">
        <v>0.65727945684153299</v>
      </c>
      <c r="L445" s="137">
        <v>0.56348610067618299</v>
      </c>
      <c r="M445" s="137">
        <v>0.79796949108955795</v>
      </c>
      <c r="N445" s="136">
        <v>1</v>
      </c>
      <c r="O445" s="32">
        <v>43761</v>
      </c>
      <c r="P445" s="98">
        <f t="shared" si="31"/>
        <v>2</v>
      </c>
      <c r="Q445">
        <v>0</v>
      </c>
      <c r="R445">
        <v>1.65</v>
      </c>
      <c r="S445">
        <v>1.87</v>
      </c>
      <c r="T445" s="112" t="s">
        <v>64</v>
      </c>
      <c r="U445" s="137" t="s">
        <v>1267</v>
      </c>
      <c r="V445" s="137" t="s">
        <v>1268</v>
      </c>
      <c r="W445" s="69">
        <v>88</v>
      </c>
      <c r="X445" s="136">
        <v>1</v>
      </c>
      <c r="Y445" s="136">
        <v>2</v>
      </c>
      <c r="Z445" s="314"/>
      <c r="AA445" s="319">
        <v>9.98202319436013E-3</v>
      </c>
      <c r="AB445" s="315" t="s">
        <v>5176</v>
      </c>
      <c r="AC445" s="319">
        <v>1</v>
      </c>
      <c r="AD445" s="320">
        <v>1.8181818181818101E-2</v>
      </c>
      <c r="AE445" s="319">
        <v>5</v>
      </c>
      <c r="AF445" s="320">
        <v>9.0909090909090898E-2</v>
      </c>
      <c r="AG445" s="319">
        <v>1</v>
      </c>
      <c r="AH445" s="320">
        <v>1.8181818181818101E-2</v>
      </c>
      <c r="AI445" s="319">
        <v>0</v>
      </c>
      <c r="AJ445" s="320">
        <v>0</v>
      </c>
      <c r="AK445" s="320">
        <v>5.4545454545454543E-2</v>
      </c>
      <c r="AL445" s="319">
        <v>6.75</v>
      </c>
      <c r="AM445" s="319">
        <v>5</v>
      </c>
      <c r="AN445" s="319">
        <v>7.3333333333333304</v>
      </c>
      <c r="AO445" s="319">
        <v>0.63611111111111096</v>
      </c>
      <c r="AP445">
        <v>2</v>
      </c>
      <c r="AR445" s="136">
        <v>2</v>
      </c>
      <c r="AT445" s="69">
        <v>6.3414000000000001</v>
      </c>
      <c r="AU445" s="69">
        <v>2.3148</v>
      </c>
      <c r="AV445" s="69">
        <v>9.8416999999999994</v>
      </c>
      <c r="AW445" s="69">
        <v>0.61660000000000004</v>
      </c>
      <c r="BB445" s="69"/>
    </row>
    <row r="446" spans="1:54" customFormat="1" ht="40" customHeight="1">
      <c r="A446" s="313">
        <v>445</v>
      </c>
      <c r="B446" s="136" t="s">
        <v>1222</v>
      </c>
      <c r="C446" s="136" t="s">
        <v>45</v>
      </c>
      <c r="D446" s="31">
        <f t="shared" si="28"/>
        <v>4</v>
      </c>
      <c r="E446" s="137" t="s">
        <v>80</v>
      </c>
      <c r="F446" s="31">
        <f t="shared" si="29"/>
        <v>4</v>
      </c>
      <c r="G446" s="137" t="s">
        <v>1269</v>
      </c>
      <c r="H446" s="138">
        <v>74</v>
      </c>
      <c r="I446" s="158">
        <f t="shared" si="30"/>
        <v>0.33701614607197405</v>
      </c>
      <c r="J446" s="95">
        <v>1.10579755874607E-3</v>
      </c>
      <c r="K446" s="137">
        <v>0.67292649458520204</v>
      </c>
      <c r="L446" s="137">
        <v>0.61983471074380203</v>
      </c>
      <c r="M446" s="137">
        <v>0.75256417034730305</v>
      </c>
      <c r="N446" s="136">
        <v>1</v>
      </c>
      <c r="O446" s="32">
        <v>43747</v>
      </c>
      <c r="P446" s="98">
        <f t="shared" si="31"/>
        <v>1</v>
      </c>
      <c r="Q446">
        <v>0</v>
      </c>
      <c r="R446">
        <v>1.65</v>
      </c>
      <c r="S446">
        <v>0</v>
      </c>
      <c r="T446" s="112" t="s">
        <v>73</v>
      </c>
      <c r="U446" s="137" t="s">
        <v>1270</v>
      </c>
      <c r="V446" s="137" t="s">
        <v>1271</v>
      </c>
      <c r="W446" s="69">
        <v>99</v>
      </c>
      <c r="X446" s="136">
        <v>2</v>
      </c>
      <c r="Y446" s="136">
        <v>3</v>
      </c>
      <c r="Z446" s="314"/>
      <c r="AA446" s="319">
        <v>0.45909090909090899</v>
      </c>
      <c r="AB446" s="315" t="s">
        <v>5176</v>
      </c>
      <c r="AC446" s="319">
        <v>1</v>
      </c>
      <c r="AD446" s="320">
        <v>1.8867924528301799E-2</v>
      </c>
      <c r="AE446" s="319">
        <v>3</v>
      </c>
      <c r="AF446" s="320">
        <v>5.6603773584905599E-2</v>
      </c>
      <c r="AG446" s="319">
        <v>0</v>
      </c>
      <c r="AH446" s="320">
        <v>0</v>
      </c>
      <c r="AI446" s="319">
        <v>1</v>
      </c>
      <c r="AJ446" s="320">
        <v>1.8867924528301799E-2</v>
      </c>
      <c r="AK446" s="320">
        <v>1.886792452830189E-2</v>
      </c>
      <c r="AL446" s="319">
        <v>5</v>
      </c>
      <c r="AM446" s="319">
        <v>5</v>
      </c>
      <c r="AN446" s="319">
        <v>4.6666666666666599</v>
      </c>
      <c r="AO446" s="319">
        <v>0.48888888888888798</v>
      </c>
      <c r="AP446">
        <v>3</v>
      </c>
      <c r="AR446" s="136"/>
      <c r="AS446">
        <v>3</v>
      </c>
      <c r="AT446" s="69">
        <v>2.3148</v>
      </c>
      <c r="AU446" s="69">
        <v>2.3148</v>
      </c>
      <c r="AV446" s="69">
        <v>8.1305999999999994</v>
      </c>
      <c r="AW446" s="69">
        <v>0.42530000000000001</v>
      </c>
      <c r="BB446" s="69"/>
    </row>
    <row r="447" spans="1:54" customFormat="1" ht="40" customHeight="1">
      <c r="A447" s="313">
        <v>446</v>
      </c>
      <c r="B447" s="136" t="s">
        <v>1222</v>
      </c>
      <c r="C447" s="136" t="s">
        <v>45</v>
      </c>
      <c r="D447" s="31">
        <f t="shared" si="28"/>
        <v>4</v>
      </c>
      <c r="E447" s="137" t="s">
        <v>46</v>
      </c>
      <c r="F447" s="31">
        <f t="shared" si="29"/>
        <v>6</v>
      </c>
      <c r="G447" s="137" t="s">
        <v>1272</v>
      </c>
      <c r="H447" s="138">
        <v>97</v>
      </c>
      <c r="I447" s="158">
        <f t="shared" si="30"/>
        <v>0.34012729633193017</v>
      </c>
      <c r="J447" s="95">
        <v>1.6831640924322999E-3</v>
      </c>
      <c r="K447" s="137">
        <v>0.67857142857142805</v>
      </c>
      <c r="L447" s="137">
        <v>0.75</v>
      </c>
      <c r="M447" s="137">
        <v>0.57142857142857095</v>
      </c>
      <c r="N447" s="136">
        <v>0</v>
      </c>
      <c r="O447" s="32">
        <v>43715</v>
      </c>
      <c r="P447" s="98">
        <f t="shared" si="31"/>
        <v>0</v>
      </c>
      <c r="Q447">
        <v>2.5499999999999998</v>
      </c>
      <c r="R447">
        <v>0</v>
      </c>
      <c r="S447">
        <v>0</v>
      </c>
      <c r="T447" s="112" t="s">
        <v>48</v>
      </c>
      <c r="U447" s="137" t="s">
        <v>1273</v>
      </c>
      <c r="V447" s="137" t="s">
        <v>1274</v>
      </c>
      <c r="W447" s="69">
        <v>66</v>
      </c>
      <c r="X447" s="136">
        <v>1</v>
      </c>
      <c r="Y447" s="136">
        <v>9</v>
      </c>
      <c r="Z447" s="314"/>
      <c r="AA447" s="319">
        <v>0.59450000000000003</v>
      </c>
      <c r="AB447" s="315" t="s">
        <v>5168</v>
      </c>
      <c r="AC447" s="319">
        <v>0</v>
      </c>
      <c r="AD447" s="320">
        <v>0</v>
      </c>
      <c r="AE447" s="319">
        <v>1</v>
      </c>
      <c r="AF447" s="320">
        <v>2.5000000000000001E-2</v>
      </c>
      <c r="AG447" s="319">
        <v>2</v>
      </c>
      <c r="AH447" s="320">
        <v>0.05</v>
      </c>
      <c r="AI447" s="319">
        <v>0</v>
      </c>
      <c r="AJ447" s="320">
        <v>0</v>
      </c>
      <c r="AK447" s="320">
        <v>0.05</v>
      </c>
      <c r="AL447" s="319">
        <v>5</v>
      </c>
      <c r="AM447" s="319">
        <v>6.2</v>
      </c>
      <c r="AN447" s="319">
        <v>7.3333333333333304</v>
      </c>
      <c r="AO447" s="319">
        <v>0.61777777777777698</v>
      </c>
      <c r="AP447">
        <v>9</v>
      </c>
      <c r="AR447" s="136"/>
      <c r="AS447">
        <v>9</v>
      </c>
      <c r="AT447" s="69">
        <v>2.3148</v>
      </c>
      <c r="AU447" s="69">
        <v>5</v>
      </c>
      <c r="AV447" s="69">
        <v>9.8416999999999994</v>
      </c>
      <c r="AW447" s="69">
        <v>0.57189999999999996</v>
      </c>
      <c r="BB447" s="69"/>
    </row>
    <row r="448" spans="1:54" customFormat="1" ht="40" customHeight="1">
      <c r="A448" s="313">
        <v>447</v>
      </c>
      <c r="B448" s="136" t="s">
        <v>1222</v>
      </c>
      <c r="C448" s="136" t="s">
        <v>45</v>
      </c>
      <c r="D448" s="31">
        <f t="shared" si="28"/>
        <v>4</v>
      </c>
      <c r="E448" s="137" t="s">
        <v>46</v>
      </c>
      <c r="F448" s="31">
        <f t="shared" si="29"/>
        <v>6</v>
      </c>
      <c r="G448" s="137" t="s">
        <v>1275</v>
      </c>
      <c r="H448" s="138">
        <v>52</v>
      </c>
      <c r="I448" s="158">
        <f t="shared" si="30"/>
        <v>0.825783061828822</v>
      </c>
      <c r="J448" s="95">
        <v>0.92328741813091197</v>
      </c>
      <c r="K448" s="137">
        <v>0.72827870552673202</v>
      </c>
      <c r="L448" s="137">
        <v>0.68181818181818199</v>
      </c>
      <c r="M448" s="137">
        <v>0.79796949108955795</v>
      </c>
      <c r="N448" s="136">
        <v>1</v>
      </c>
      <c r="O448" s="32">
        <v>43695</v>
      </c>
      <c r="P448" s="98">
        <f t="shared" si="31"/>
        <v>0</v>
      </c>
      <c r="Q448">
        <v>2.5499999999999998</v>
      </c>
      <c r="R448">
        <v>0</v>
      </c>
      <c r="S448">
        <v>0</v>
      </c>
      <c r="T448" s="112" t="s">
        <v>48</v>
      </c>
      <c r="U448" s="137" t="s">
        <v>1276</v>
      </c>
      <c r="V448" s="137" t="s">
        <v>1277</v>
      </c>
      <c r="W448" s="69">
        <v>82</v>
      </c>
      <c r="X448" s="136">
        <v>1</v>
      </c>
      <c r="Y448" s="136">
        <v>2</v>
      </c>
      <c r="Z448" s="314"/>
      <c r="AA448" s="319">
        <v>0.5</v>
      </c>
      <c r="AB448" s="315" t="s">
        <v>5176</v>
      </c>
      <c r="AC448" s="319">
        <v>0</v>
      </c>
      <c r="AD448" s="320">
        <v>0</v>
      </c>
      <c r="AE448" s="319">
        <v>1</v>
      </c>
      <c r="AF448" s="320">
        <v>2.04081632653061E-2</v>
      </c>
      <c r="AG448" s="319">
        <v>0</v>
      </c>
      <c r="AH448" s="320">
        <v>0</v>
      </c>
      <c r="AI448" s="319">
        <v>0</v>
      </c>
      <c r="AJ448" s="320">
        <v>0</v>
      </c>
      <c r="AK448" s="320">
        <v>2.0408163265306121E-2</v>
      </c>
      <c r="AL448" s="319">
        <v>5</v>
      </c>
      <c r="AM448" s="319">
        <v>5</v>
      </c>
      <c r="AN448" s="319">
        <v>2</v>
      </c>
      <c r="AO448" s="319">
        <v>0.4</v>
      </c>
      <c r="AP448">
        <v>2</v>
      </c>
      <c r="AR448" s="136"/>
      <c r="AS448">
        <v>2</v>
      </c>
      <c r="AT448" s="69">
        <v>2.3148</v>
      </c>
      <c r="AU448" s="69">
        <v>2.3148</v>
      </c>
      <c r="AV448" s="69">
        <v>2.3148</v>
      </c>
      <c r="AW448" s="69">
        <v>0.23150000000000001</v>
      </c>
      <c r="BB448" s="69"/>
    </row>
    <row r="449" spans="1:54" customFormat="1" ht="40" customHeight="1">
      <c r="A449" s="313">
        <v>448</v>
      </c>
      <c r="B449" s="136" t="s">
        <v>1222</v>
      </c>
      <c r="C449" s="136" t="s">
        <v>45</v>
      </c>
      <c r="D449" s="31">
        <f t="shared" si="28"/>
        <v>4</v>
      </c>
      <c r="E449" s="137" t="s">
        <v>80</v>
      </c>
      <c r="F449" s="31">
        <f t="shared" si="29"/>
        <v>4</v>
      </c>
      <c r="G449" s="137" t="s">
        <v>1278</v>
      </c>
      <c r="H449" s="138">
        <v>118</v>
      </c>
      <c r="I449" s="158">
        <f t="shared" si="30"/>
        <v>0.47309576358488648</v>
      </c>
      <c r="J449" s="95">
        <v>0.25138633236457802</v>
      </c>
      <c r="K449" s="137">
        <v>0.69480519480519498</v>
      </c>
      <c r="L449" s="137">
        <v>0.68181818181818199</v>
      </c>
      <c r="M449" s="137">
        <v>0.71428571428571397</v>
      </c>
      <c r="N449" s="136">
        <v>1</v>
      </c>
      <c r="O449" s="32">
        <v>43679</v>
      </c>
      <c r="P449" s="98">
        <f t="shared" si="31"/>
        <v>0</v>
      </c>
      <c r="Q449">
        <v>2.5499999999999998</v>
      </c>
      <c r="R449">
        <v>0</v>
      </c>
      <c r="S449">
        <v>0</v>
      </c>
      <c r="T449" s="112" t="s">
        <v>48</v>
      </c>
      <c r="U449" s="137" t="s">
        <v>1279</v>
      </c>
      <c r="V449" s="137" t="s">
        <v>1280</v>
      </c>
      <c r="W449" s="69">
        <v>56</v>
      </c>
      <c r="X449" s="136">
        <v>2</v>
      </c>
      <c r="Y449" s="136">
        <v>4</v>
      </c>
      <c r="Z449" s="314"/>
      <c r="AA449" s="319">
        <v>0.42190082644628002</v>
      </c>
      <c r="AB449" s="315" t="s">
        <v>5168</v>
      </c>
      <c r="AC449" s="319">
        <v>0</v>
      </c>
      <c r="AD449" s="320">
        <v>0</v>
      </c>
      <c r="AE449" s="319">
        <v>0</v>
      </c>
      <c r="AF449" s="320">
        <v>0</v>
      </c>
      <c r="AG449" s="319">
        <v>1</v>
      </c>
      <c r="AH449" s="320">
        <v>3.4482758620689599E-2</v>
      </c>
      <c r="AI449" s="319">
        <v>0</v>
      </c>
      <c r="AJ449" s="320">
        <v>0</v>
      </c>
      <c r="AK449" s="320">
        <v>0</v>
      </c>
      <c r="AL449" s="319">
        <v>5</v>
      </c>
      <c r="AM449" s="319">
        <v>5</v>
      </c>
      <c r="AN449" s="319">
        <v>4.6666666666666599</v>
      </c>
      <c r="AO449" s="319">
        <v>0.48888888888888798</v>
      </c>
      <c r="AP449" s="319">
        <v>4</v>
      </c>
      <c r="AR449" s="136"/>
      <c r="AT449" s="69">
        <v>2.3148</v>
      </c>
      <c r="AU449" s="69">
        <v>2.3148</v>
      </c>
      <c r="AV449" s="69">
        <v>8.1305999999999994</v>
      </c>
      <c r="AW449" s="69">
        <v>0.42530000000000001</v>
      </c>
      <c r="BB449" s="69"/>
    </row>
    <row r="450" spans="1:54" customFormat="1" ht="40" customHeight="1">
      <c r="A450" s="313">
        <v>449</v>
      </c>
      <c r="B450" s="136" t="s">
        <v>1222</v>
      </c>
      <c r="C450" s="136" t="s">
        <v>45</v>
      </c>
      <c r="D450" s="31">
        <f t="shared" ref="D450:D513" si="34">IF(C450="投诉",4,IF(C450="建议",1,IF(C450="举报",2,IF(C450="求助",3,5))))</f>
        <v>4</v>
      </c>
      <c r="E450" s="137" t="s">
        <v>1223</v>
      </c>
      <c r="F450" s="31">
        <f t="shared" ref="F450:F513" si="35">IF(E450="12345app",1,IF(E450="e福州app",2,IF(E450="qq",3,IF(E450="电话",4,IF(E450="短信",5,IF(E450="网站",6,IF(E450="微博",7,IF(E450="微信",8,9))))))))</f>
        <v>8</v>
      </c>
      <c r="G450" s="137" t="s">
        <v>1281</v>
      </c>
      <c r="H450" s="138">
        <v>64</v>
      </c>
      <c r="I450" s="158">
        <f t="shared" ref="I450:I513" si="36">(J450+K450)/2</f>
        <v>0.27768693346221374</v>
      </c>
      <c r="J450" s="95">
        <v>3.34930261306488E-4</v>
      </c>
      <c r="K450" s="137">
        <v>0.55503893666312099</v>
      </c>
      <c r="L450" s="137">
        <v>0.423355447540333</v>
      </c>
      <c r="M450" s="137">
        <v>0.75256417034730305</v>
      </c>
      <c r="N450" s="136">
        <v>1</v>
      </c>
      <c r="O450" s="32">
        <v>43651</v>
      </c>
      <c r="P450" s="98">
        <f t="shared" ref="P450:P513" si="37">IF(T450="利己",0,IF(T450="生态",2,1))</f>
        <v>1</v>
      </c>
      <c r="Q450">
        <v>0</v>
      </c>
      <c r="R450">
        <v>0</v>
      </c>
      <c r="S450">
        <v>0</v>
      </c>
      <c r="T450" s="112" t="s">
        <v>73</v>
      </c>
      <c r="U450" s="137" t="s">
        <v>1282</v>
      </c>
      <c r="V450" s="137" t="s">
        <v>1283</v>
      </c>
      <c r="W450" s="69">
        <v>143</v>
      </c>
      <c r="X450" s="136">
        <v>1</v>
      </c>
      <c r="Y450" s="136">
        <v>3</v>
      </c>
      <c r="Z450" s="314"/>
      <c r="AA450" s="319">
        <v>3.7058708494970001E-3</v>
      </c>
      <c r="AB450" s="315" t="s">
        <v>5176</v>
      </c>
      <c r="AC450" s="319">
        <v>1</v>
      </c>
      <c r="AD450" s="320">
        <v>1.20481927710843E-2</v>
      </c>
      <c r="AE450" s="319">
        <v>5</v>
      </c>
      <c r="AF450" s="320">
        <v>6.0240963855421603E-2</v>
      </c>
      <c r="AG450" s="319">
        <v>0</v>
      </c>
      <c r="AH450" s="320">
        <v>0</v>
      </c>
      <c r="AI450" s="319">
        <v>0</v>
      </c>
      <c r="AJ450" s="320">
        <v>0</v>
      </c>
      <c r="AK450" s="320">
        <v>3.6144578313253017E-2</v>
      </c>
      <c r="AL450" s="319">
        <v>5</v>
      </c>
      <c r="AM450" s="319">
        <v>5</v>
      </c>
      <c r="AN450" s="319">
        <v>3.5</v>
      </c>
      <c r="AO450" s="319">
        <v>0.45</v>
      </c>
      <c r="AP450">
        <v>3</v>
      </c>
      <c r="AQ450">
        <v>3</v>
      </c>
      <c r="AR450" s="136"/>
      <c r="AT450" s="69">
        <v>2.3148</v>
      </c>
      <c r="AU450" s="69">
        <v>2.3148</v>
      </c>
      <c r="AV450" s="69">
        <v>5.7443999999999997</v>
      </c>
      <c r="AW450" s="69">
        <v>0.3458</v>
      </c>
      <c r="BB450" s="69"/>
    </row>
    <row r="451" spans="1:54" customFormat="1" ht="40" customHeight="1">
      <c r="A451" s="313">
        <v>450</v>
      </c>
      <c r="B451" s="136" t="s">
        <v>1222</v>
      </c>
      <c r="C451" s="136" t="s">
        <v>45</v>
      </c>
      <c r="D451" s="31">
        <f t="shared" si="34"/>
        <v>4</v>
      </c>
      <c r="E451" s="137" t="s">
        <v>46</v>
      </c>
      <c r="F451" s="31">
        <f t="shared" si="35"/>
        <v>6</v>
      </c>
      <c r="G451" s="137" t="s">
        <v>1284</v>
      </c>
      <c r="H451" s="138">
        <v>145</v>
      </c>
      <c r="I451" s="158">
        <f t="shared" si="36"/>
        <v>0.38347837869482698</v>
      </c>
      <c r="J451" s="95">
        <v>0.19689844227916001</v>
      </c>
      <c r="K451" s="137">
        <v>0.57005831511049398</v>
      </c>
      <c r="L451" s="137">
        <v>0.75</v>
      </c>
      <c r="M451" s="137">
        <v>0.30014578777623502</v>
      </c>
      <c r="N451" s="136">
        <v>1</v>
      </c>
      <c r="O451" s="32">
        <v>43619</v>
      </c>
      <c r="P451" s="98">
        <f t="shared" si="37"/>
        <v>1</v>
      </c>
      <c r="Q451">
        <v>0</v>
      </c>
      <c r="R451">
        <v>3.3</v>
      </c>
      <c r="S451">
        <v>0</v>
      </c>
      <c r="T451" s="112" t="s">
        <v>73</v>
      </c>
      <c r="U451" s="137" t="s">
        <v>1285</v>
      </c>
      <c r="V451" s="137" t="s">
        <v>5183</v>
      </c>
      <c r="W451" s="69">
        <v>116</v>
      </c>
      <c r="X451" s="136">
        <v>7</v>
      </c>
      <c r="Y451" s="136">
        <v>24</v>
      </c>
      <c r="Z451" s="314"/>
      <c r="AA451" s="319">
        <v>0.5</v>
      </c>
      <c r="AB451" s="315" t="s">
        <v>5169</v>
      </c>
      <c r="AC451" s="319">
        <v>1</v>
      </c>
      <c r="AD451" s="320">
        <v>1.4925373134328301E-2</v>
      </c>
      <c r="AE451" s="319">
        <v>0</v>
      </c>
      <c r="AF451" s="320">
        <v>0</v>
      </c>
      <c r="AG451" s="319">
        <v>1</v>
      </c>
      <c r="AH451" s="320">
        <v>1.4925373134328301E-2</v>
      </c>
      <c r="AI451" s="319">
        <v>0</v>
      </c>
      <c r="AJ451" s="320">
        <v>0</v>
      </c>
      <c r="AK451" s="320">
        <v>0</v>
      </c>
      <c r="AL451" s="319">
        <v>6.75</v>
      </c>
      <c r="AM451" s="319">
        <v>6.2</v>
      </c>
      <c r="AN451" s="319">
        <v>2</v>
      </c>
      <c r="AO451" s="319">
        <v>0.49833333333333302</v>
      </c>
      <c r="AP451" s="319">
        <v>24</v>
      </c>
      <c r="AR451" s="136"/>
      <c r="AT451" s="69">
        <v>6.3414000000000001</v>
      </c>
      <c r="AU451" s="69">
        <v>5</v>
      </c>
      <c r="AV451" s="69">
        <v>2.3148</v>
      </c>
      <c r="AW451" s="69">
        <v>0.45519999999999999</v>
      </c>
      <c r="BB451" s="69"/>
    </row>
    <row r="452" spans="1:54" customFormat="1" ht="40" customHeight="1">
      <c r="A452" s="313">
        <v>451</v>
      </c>
      <c r="B452" s="136" t="s">
        <v>1222</v>
      </c>
      <c r="C452" s="136" t="s">
        <v>59</v>
      </c>
      <c r="D452" s="31">
        <f t="shared" si="34"/>
        <v>5</v>
      </c>
      <c r="E452" s="137" t="s">
        <v>46</v>
      </c>
      <c r="F452" s="31">
        <f t="shared" si="35"/>
        <v>6</v>
      </c>
      <c r="G452" s="137" t="s">
        <v>1287</v>
      </c>
      <c r="H452" s="138">
        <v>76</v>
      </c>
      <c r="I452" s="158">
        <f t="shared" si="36"/>
        <v>0.31441647042843235</v>
      </c>
      <c r="J452" s="95">
        <v>4.4361234700573997E-4</v>
      </c>
      <c r="K452" s="137">
        <v>0.62838932850985896</v>
      </c>
      <c r="L452" s="137">
        <v>0.68181818181818199</v>
      </c>
      <c r="M452" s="137">
        <v>0.54824604854737402</v>
      </c>
      <c r="N452" s="136">
        <v>0</v>
      </c>
      <c r="O452" s="32">
        <v>43609</v>
      </c>
      <c r="P452" s="98">
        <f t="shared" si="37"/>
        <v>0</v>
      </c>
      <c r="Q452">
        <v>2.5499999999999998</v>
      </c>
      <c r="R452">
        <v>1.65</v>
      </c>
      <c r="S452">
        <v>0</v>
      </c>
      <c r="T452" s="112" t="s">
        <v>48</v>
      </c>
      <c r="U452" s="137" t="s">
        <v>1288</v>
      </c>
      <c r="V452" s="137" t="s">
        <v>1289</v>
      </c>
      <c r="W452" s="69">
        <v>279</v>
      </c>
      <c r="X452" s="136">
        <v>3</v>
      </c>
      <c r="Y452" s="136">
        <v>10</v>
      </c>
      <c r="Z452" s="314"/>
      <c r="AA452" s="319">
        <v>0.45454545454545398</v>
      </c>
      <c r="AB452" s="315" t="s">
        <v>5165</v>
      </c>
      <c r="AC452" s="319">
        <v>2</v>
      </c>
      <c r="AD452" s="320">
        <v>1.23456790123456E-2</v>
      </c>
      <c r="AE452" s="319">
        <v>0</v>
      </c>
      <c r="AF452" s="320">
        <v>0</v>
      </c>
      <c r="AG452" s="319">
        <v>0</v>
      </c>
      <c r="AH452" s="320">
        <v>0</v>
      </c>
      <c r="AI452" s="319">
        <v>0</v>
      </c>
      <c r="AJ452" s="320">
        <v>0</v>
      </c>
      <c r="AK452" s="320">
        <v>6.1728395061728392E-3</v>
      </c>
      <c r="AL452" s="319">
        <v>5</v>
      </c>
      <c r="AM452" s="319">
        <v>5</v>
      </c>
      <c r="AN452" s="319">
        <v>3.5</v>
      </c>
      <c r="AO452" s="319">
        <v>0.45</v>
      </c>
      <c r="AP452">
        <v>10</v>
      </c>
      <c r="AR452" s="136">
        <v>10</v>
      </c>
      <c r="AT452" s="69">
        <v>2.3148</v>
      </c>
      <c r="AU452" s="69">
        <v>2.3148</v>
      </c>
      <c r="AV452" s="69">
        <v>5.7443999999999997</v>
      </c>
      <c r="AW452" s="69">
        <v>0.3458</v>
      </c>
      <c r="BB452" s="69"/>
    </row>
    <row r="453" spans="1:54" customFormat="1" ht="40" customHeight="1">
      <c r="A453" s="313">
        <v>452</v>
      </c>
      <c r="B453" s="136" t="s">
        <v>1222</v>
      </c>
      <c r="C453" s="136" t="s">
        <v>45</v>
      </c>
      <c r="D453" s="31">
        <f t="shared" si="34"/>
        <v>4</v>
      </c>
      <c r="E453" s="137" t="s">
        <v>1223</v>
      </c>
      <c r="F453" s="31">
        <f t="shared" si="35"/>
        <v>8</v>
      </c>
      <c r="G453" s="137" t="s">
        <v>1290</v>
      </c>
      <c r="H453" s="138">
        <v>42</v>
      </c>
      <c r="I453" s="158">
        <f t="shared" si="36"/>
        <v>0.3099703464626935</v>
      </c>
      <c r="J453" s="95">
        <v>0.139412410112979</v>
      </c>
      <c r="K453" s="137">
        <v>0.480528282812408</v>
      </c>
      <c r="L453" s="137">
        <v>0.61983471074380203</v>
      </c>
      <c r="M453" s="137">
        <v>0.27156864091531702</v>
      </c>
      <c r="N453" s="136">
        <v>1</v>
      </c>
      <c r="O453" s="32">
        <v>43607</v>
      </c>
      <c r="P453" s="98">
        <f t="shared" si="37"/>
        <v>1</v>
      </c>
      <c r="Q453">
        <v>0</v>
      </c>
      <c r="R453">
        <v>0</v>
      </c>
      <c r="S453">
        <v>0</v>
      </c>
      <c r="T453" s="112" t="s">
        <v>73</v>
      </c>
      <c r="U453" s="137" t="s">
        <v>1291</v>
      </c>
      <c r="V453" s="137" t="s">
        <v>1292</v>
      </c>
      <c r="W453" s="69">
        <v>152</v>
      </c>
      <c r="X453" s="136">
        <v>7</v>
      </c>
      <c r="Y453" s="136">
        <v>26</v>
      </c>
      <c r="Z453" s="314"/>
      <c r="AA453" s="319">
        <v>0.5</v>
      </c>
      <c r="AB453" s="315" t="s">
        <v>5179</v>
      </c>
      <c r="AC453" s="319">
        <v>2</v>
      </c>
      <c r="AD453" s="320">
        <v>2.3809523809523801E-2</v>
      </c>
      <c r="AE453" s="319">
        <v>2</v>
      </c>
      <c r="AF453" s="320">
        <v>2.3809523809523801E-2</v>
      </c>
      <c r="AG453" s="319">
        <v>2</v>
      </c>
      <c r="AH453" s="320">
        <v>2.3809523809523801E-2</v>
      </c>
      <c r="AI453" s="319">
        <v>0</v>
      </c>
      <c r="AJ453" s="320">
        <v>0</v>
      </c>
      <c r="AK453" s="320">
        <v>0</v>
      </c>
      <c r="AL453" s="319">
        <v>5</v>
      </c>
      <c r="AM453" s="319">
        <v>5</v>
      </c>
      <c r="AN453" s="319">
        <v>2</v>
      </c>
      <c r="AO453" s="319">
        <v>0.4</v>
      </c>
      <c r="AP453">
        <v>26</v>
      </c>
      <c r="AR453" s="136">
        <v>26</v>
      </c>
      <c r="AT453" s="69">
        <v>2.3148</v>
      </c>
      <c r="AU453" s="69">
        <v>2.3148</v>
      </c>
      <c r="AV453" s="69">
        <v>2.3148</v>
      </c>
      <c r="AW453" s="69">
        <v>0.23150000000000001</v>
      </c>
      <c r="BB453" s="69"/>
    </row>
    <row r="454" spans="1:54" customFormat="1" ht="40" customHeight="1">
      <c r="A454" s="313">
        <v>453</v>
      </c>
      <c r="B454" s="136" t="s">
        <v>1222</v>
      </c>
      <c r="C454" s="136" t="s">
        <v>45</v>
      </c>
      <c r="D454" s="31">
        <f t="shared" si="34"/>
        <v>4</v>
      </c>
      <c r="E454" s="137" t="s">
        <v>80</v>
      </c>
      <c r="F454" s="31">
        <f t="shared" si="35"/>
        <v>4</v>
      </c>
      <c r="G454" s="137" t="s">
        <v>1293</v>
      </c>
      <c r="H454" s="138">
        <v>68</v>
      </c>
      <c r="I454" s="158">
        <f t="shared" si="36"/>
        <v>0.86730435610871304</v>
      </c>
      <c r="J454" s="95">
        <v>0.98358304407850505</v>
      </c>
      <c r="K454" s="137">
        <v>0.75102566813892102</v>
      </c>
      <c r="L454" s="137">
        <v>0.75</v>
      </c>
      <c r="M454" s="137">
        <v>0.75256417034730305</v>
      </c>
      <c r="N454" s="136">
        <v>0</v>
      </c>
      <c r="O454" s="32">
        <v>43606</v>
      </c>
      <c r="P454" s="98">
        <f t="shared" si="37"/>
        <v>0</v>
      </c>
      <c r="Q454">
        <v>2.5499999999999998</v>
      </c>
      <c r="R454">
        <v>0</v>
      </c>
      <c r="S454">
        <v>0</v>
      </c>
      <c r="T454" s="112" t="s">
        <v>48</v>
      </c>
      <c r="U454" s="137" t="s">
        <v>1294</v>
      </c>
      <c r="V454" s="137" t="s">
        <v>1295</v>
      </c>
      <c r="W454" s="69">
        <v>78</v>
      </c>
      <c r="X454" s="136">
        <v>2</v>
      </c>
      <c r="Y454" s="136">
        <v>3</v>
      </c>
      <c r="Z454" s="314"/>
      <c r="AA454" s="319">
        <v>0.45909090909090899</v>
      </c>
      <c r="AB454" s="315" t="s">
        <v>5178</v>
      </c>
      <c r="AC454" s="319">
        <v>3</v>
      </c>
      <c r="AD454" s="320">
        <v>6.3829787234042507E-2</v>
      </c>
      <c r="AE454" s="319">
        <v>3</v>
      </c>
      <c r="AF454" s="320">
        <v>6.3829787234042507E-2</v>
      </c>
      <c r="AG454" s="319">
        <v>1</v>
      </c>
      <c r="AH454" s="320">
        <v>2.1276595744680799E-2</v>
      </c>
      <c r="AI454" s="319">
        <v>0</v>
      </c>
      <c r="AJ454" s="320">
        <v>0</v>
      </c>
      <c r="AK454" s="320">
        <v>0</v>
      </c>
      <c r="AL454" s="319">
        <v>5</v>
      </c>
      <c r="AM454" s="319">
        <v>5</v>
      </c>
      <c r="AN454" s="319">
        <v>4.6666666666666599</v>
      </c>
      <c r="AO454" s="319">
        <v>0.48888888888888798</v>
      </c>
      <c r="AP454">
        <v>3</v>
      </c>
      <c r="AR454" s="136">
        <v>3</v>
      </c>
      <c r="AT454" s="69">
        <v>2.3148</v>
      </c>
      <c r="AU454" s="69">
        <v>2.3148</v>
      </c>
      <c r="AV454" s="69">
        <v>8.1305999999999994</v>
      </c>
      <c r="AW454" s="69">
        <v>0.42530000000000001</v>
      </c>
      <c r="BB454" s="69"/>
    </row>
    <row r="455" spans="1:54" customFormat="1" ht="40" customHeight="1">
      <c r="A455" s="313">
        <v>454</v>
      </c>
      <c r="B455" s="136" t="s">
        <v>1222</v>
      </c>
      <c r="C455" s="136" t="s">
        <v>45</v>
      </c>
      <c r="D455" s="31">
        <f t="shared" si="34"/>
        <v>4</v>
      </c>
      <c r="E455" s="137" t="s">
        <v>221</v>
      </c>
      <c r="F455" s="31">
        <f t="shared" si="35"/>
        <v>2</v>
      </c>
      <c r="G455" s="137" t="s">
        <v>1296</v>
      </c>
      <c r="H455" s="138">
        <v>215</v>
      </c>
      <c r="I455" s="158">
        <f t="shared" si="36"/>
        <v>0.28328878789543205</v>
      </c>
      <c r="J455" s="95">
        <v>1.4486946999591199E-3</v>
      </c>
      <c r="K455" s="137">
        <v>0.56512888109090498</v>
      </c>
      <c r="L455" s="137">
        <v>0.465690992294366</v>
      </c>
      <c r="M455" s="137">
        <v>0.71428571428571397</v>
      </c>
      <c r="N455" s="136">
        <v>1</v>
      </c>
      <c r="O455" s="32">
        <v>43597</v>
      </c>
      <c r="P455" s="98">
        <f t="shared" si="37"/>
        <v>2</v>
      </c>
      <c r="Q455">
        <v>0</v>
      </c>
      <c r="R455">
        <v>1.65</v>
      </c>
      <c r="S455">
        <v>3.74</v>
      </c>
      <c r="T455" s="112" t="s">
        <v>64</v>
      </c>
      <c r="U455" s="137" t="s">
        <v>1297</v>
      </c>
      <c r="V455" s="137" t="s">
        <v>1298</v>
      </c>
      <c r="W455" s="69">
        <v>124</v>
      </c>
      <c r="X455" s="136">
        <v>3</v>
      </c>
      <c r="Y455" s="136">
        <v>4</v>
      </c>
      <c r="Z455" s="314"/>
      <c r="AA455" s="319">
        <v>1.1492396455453099E-3</v>
      </c>
      <c r="AB455" s="315" t="s">
        <v>5176</v>
      </c>
      <c r="AC455" s="319">
        <v>0</v>
      </c>
      <c r="AD455" s="320">
        <v>0</v>
      </c>
      <c r="AE455" s="319">
        <v>3</v>
      </c>
      <c r="AF455" s="320">
        <v>0.04</v>
      </c>
      <c r="AG455" s="319">
        <v>2</v>
      </c>
      <c r="AH455" s="320">
        <v>2.6666666666666599E-2</v>
      </c>
      <c r="AI455" s="319">
        <v>0</v>
      </c>
      <c r="AJ455" s="320">
        <v>0</v>
      </c>
      <c r="AK455" s="320">
        <v>1.3333333333333331E-2</v>
      </c>
      <c r="AL455" s="319">
        <v>5</v>
      </c>
      <c r="AM455" s="319">
        <v>5</v>
      </c>
      <c r="AN455" s="319">
        <v>5</v>
      </c>
      <c r="AO455" s="319">
        <v>0.5</v>
      </c>
      <c r="AP455">
        <v>4</v>
      </c>
      <c r="AQ455">
        <v>4</v>
      </c>
      <c r="AR455" s="136"/>
      <c r="AT455" s="69">
        <v>2.3148</v>
      </c>
      <c r="AU455" s="69">
        <v>2.3148</v>
      </c>
      <c r="AV455" s="69">
        <v>8.5815000000000001</v>
      </c>
      <c r="AW455" s="69">
        <v>0.44040000000000001</v>
      </c>
      <c r="BB455" s="69"/>
    </row>
    <row r="456" spans="1:54" customFormat="1" ht="40" customHeight="1">
      <c r="A456" s="313">
        <v>455</v>
      </c>
      <c r="B456" s="136" t="s">
        <v>1222</v>
      </c>
      <c r="C456" s="136" t="s">
        <v>45</v>
      </c>
      <c r="D456" s="31">
        <f t="shared" si="34"/>
        <v>4</v>
      </c>
      <c r="E456" s="137" t="s">
        <v>1223</v>
      </c>
      <c r="F456" s="31">
        <f t="shared" si="35"/>
        <v>8</v>
      </c>
      <c r="G456" s="137" t="s">
        <v>1299</v>
      </c>
      <c r="H456" s="138">
        <v>113</v>
      </c>
      <c r="I456" s="158">
        <f t="shared" si="36"/>
        <v>0.50499970631827007</v>
      </c>
      <c r="J456" s="95">
        <v>0.453829146925949</v>
      </c>
      <c r="K456" s="137">
        <v>0.55617026571059103</v>
      </c>
      <c r="L456" s="137">
        <v>0.51226009152380303</v>
      </c>
      <c r="M456" s="137">
        <v>0.62203552699077302</v>
      </c>
      <c r="N456" s="136">
        <v>1</v>
      </c>
      <c r="O456" s="32">
        <v>43593</v>
      </c>
      <c r="P456" s="98">
        <f t="shared" si="37"/>
        <v>0</v>
      </c>
      <c r="Q456">
        <v>2.5499999999999998</v>
      </c>
      <c r="R456">
        <v>1.65</v>
      </c>
      <c r="S456">
        <v>1.87</v>
      </c>
      <c r="T456" s="112" t="s">
        <v>48</v>
      </c>
      <c r="U456" s="137" t="s">
        <v>1300</v>
      </c>
      <c r="V456" s="137" t="s">
        <v>1301</v>
      </c>
      <c r="W456" s="69">
        <v>211</v>
      </c>
      <c r="X456" s="136">
        <v>2</v>
      </c>
      <c r="Y456" s="136">
        <v>7</v>
      </c>
      <c r="Z456" s="314"/>
      <c r="AA456" s="319">
        <v>2.2856790477973898E-2</v>
      </c>
      <c r="AB456" s="315" t="s">
        <v>5165</v>
      </c>
      <c r="AC456" s="319">
        <v>3</v>
      </c>
      <c r="AD456" s="320">
        <v>2.7027027027027001E-2</v>
      </c>
      <c r="AE456" s="319">
        <v>1</v>
      </c>
      <c r="AF456" s="320">
        <v>9.0090090090090003E-3</v>
      </c>
      <c r="AG456" s="319">
        <v>2</v>
      </c>
      <c r="AH456" s="320">
        <v>1.8018018018018001E-2</v>
      </c>
      <c r="AI456" s="319">
        <v>1</v>
      </c>
      <c r="AJ456" s="320">
        <v>9.0090090090090003E-3</v>
      </c>
      <c r="AK456" s="320">
        <v>0</v>
      </c>
      <c r="AL456" s="319">
        <v>5</v>
      </c>
      <c r="AM456" s="319">
        <v>5</v>
      </c>
      <c r="AN456" s="319">
        <v>2</v>
      </c>
      <c r="AO456" s="319">
        <v>0.4</v>
      </c>
      <c r="AP456">
        <v>7</v>
      </c>
      <c r="AR456" s="136"/>
      <c r="AS456">
        <v>7</v>
      </c>
      <c r="AT456" s="69">
        <v>2.3148</v>
      </c>
      <c r="AU456" s="69">
        <v>2.3148</v>
      </c>
      <c r="AV456" s="69">
        <v>2.3148</v>
      </c>
      <c r="AW456" s="69">
        <v>0.23150000000000001</v>
      </c>
      <c r="BB456" s="69"/>
    </row>
    <row r="457" spans="1:54" customFormat="1" ht="40" customHeight="1">
      <c r="A457" s="313">
        <v>456</v>
      </c>
      <c r="B457" s="136" t="s">
        <v>1222</v>
      </c>
      <c r="C457" s="136" t="s">
        <v>45</v>
      </c>
      <c r="D457" s="31">
        <f t="shared" si="34"/>
        <v>4</v>
      </c>
      <c r="E457" s="137" t="s">
        <v>1223</v>
      </c>
      <c r="F457" s="31">
        <f t="shared" si="35"/>
        <v>8</v>
      </c>
      <c r="G457" s="137" t="s">
        <v>1302</v>
      </c>
      <c r="H457" s="138">
        <v>78</v>
      </c>
      <c r="I457" s="158">
        <f t="shared" si="36"/>
        <v>0.27974983048611624</v>
      </c>
      <c r="J457" s="95">
        <v>2.1095811475724301E-3</v>
      </c>
      <c r="K457" s="137">
        <v>0.55739007982466005</v>
      </c>
      <c r="L457" s="137">
        <v>0.56348610067618299</v>
      </c>
      <c r="M457" s="137">
        <v>0.54824604854737402</v>
      </c>
      <c r="N457" s="136">
        <v>1</v>
      </c>
      <c r="O457" s="32">
        <v>43592</v>
      </c>
      <c r="P457" s="98">
        <f t="shared" si="37"/>
        <v>1</v>
      </c>
      <c r="Q457">
        <v>0</v>
      </c>
      <c r="R457">
        <v>0</v>
      </c>
      <c r="S457">
        <v>0</v>
      </c>
      <c r="T457" s="112" t="s">
        <v>73</v>
      </c>
      <c r="U457" s="137" t="s">
        <v>1303</v>
      </c>
      <c r="V457" s="137" t="s">
        <v>1301</v>
      </c>
      <c r="W457" s="69">
        <v>211</v>
      </c>
      <c r="X457" s="136">
        <v>2</v>
      </c>
      <c r="Y457" s="136">
        <v>10</v>
      </c>
      <c r="Z457" s="314"/>
      <c r="AA457" s="319">
        <v>1.21890576804526E-2</v>
      </c>
      <c r="AB457" s="315" t="s">
        <v>5165</v>
      </c>
      <c r="AC457" s="319">
        <v>3</v>
      </c>
      <c r="AD457" s="320">
        <v>2.7027027027027001E-2</v>
      </c>
      <c r="AE457" s="319">
        <v>1</v>
      </c>
      <c r="AF457" s="320">
        <v>9.0090090090090003E-3</v>
      </c>
      <c r="AG457" s="319">
        <v>2</v>
      </c>
      <c r="AH457" s="320">
        <v>1.8018018018018001E-2</v>
      </c>
      <c r="AI457" s="319">
        <v>1</v>
      </c>
      <c r="AJ457" s="320">
        <v>9.0090090090090003E-3</v>
      </c>
      <c r="AK457" s="320">
        <v>0</v>
      </c>
      <c r="AL457" s="319">
        <v>7.2857142857142803</v>
      </c>
      <c r="AM457" s="319">
        <v>5</v>
      </c>
      <c r="AN457" s="319">
        <v>4.6666666666666599</v>
      </c>
      <c r="AO457" s="319">
        <v>0.56507936507936496</v>
      </c>
      <c r="AP457">
        <v>10</v>
      </c>
      <c r="AR457" s="136"/>
      <c r="AS457">
        <v>10</v>
      </c>
      <c r="AT457" s="69">
        <v>7.4837999999999996</v>
      </c>
      <c r="AU457" s="69">
        <v>2.3148</v>
      </c>
      <c r="AV457" s="69">
        <v>8.1305999999999994</v>
      </c>
      <c r="AW457" s="69">
        <v>0.59760000000000002</v>
      </c>
      <c r="BB457" s="69"/>
    </row>
    <row r="458" spans="1:54" customFormat="1" ht="40" customHeight="1">
      <c r="A458" s="313">
        <v>457</v>
      </c>
      <c r="B458" s="136" t="s">
        <v>1222</v>
      </c>
      <c r="C458" s="136" t="s">
        <v>45</v>
      </c>
      <c r="D458" s="31">
        <f t="shared" si="34"/>
        <v>4</v>
      </c>
      <c r="E458" s="137" t="s">
        <v>1223</v>
      </c>
      <c r="F458" s="31">
        <f t="shared" si="35"/>
        <v>8</v>
      </c>
      <c r="G458" s="137" t="s">
        <v>1304</v>
      </c>
      <c r="H458" s="138">
        <v>105</v>
      </c>
      <c r="I458" s="158">
        <f t="shared" si="36"/>
        <v>0.2829347398280615</v>
      </c>
      <c r="J458" s="95">
        <v>1.5466492697679999E-7</v>
      </c>
      <c r="K458" s="137">
        <v>0.56586932499119602</v>
      </c>
      <c r="L458" s="137">
        <v>0.61983471074380203</v>
      </c>
      <c r="M458" s="137">
        <v>0.48492124636228701</v>
      </c>
      <c r="N458" s="136">
        <v>1</v>
      </c>
      <c r="O458" s="32">
        <v>43592</v>
      </c>
      <c r="P458" s="98">
        <f t="shared" si="37"/>
        <v>1</v>
      </c>
      <c r="Q458">
        <v>0</v>
      </c>
      <c r="R458">
        <v>0</v>
      </c>
      <c r="S458">
        <v>0</v>
      </c>
      <c r="T458" s="112" t="s">
        <v>73</v>
      </c>
      <c r="U458" s="137" t="s">
        <v>1305</v>
      </c>
      <c r="V458" s="137" t="s">
        <v>1306</v>
      </c>
      <c r="W458" s="69">
        <v>272</v>
      </c>
      <c r="X458" s="136">
        <v>6</v>
      </c>
      <c r="Y458" s="136">
        <v>13</v>
      </c>
      <c r="Z458" s="314"/>
      <c r="AA458" s="319">
        <v>0.5</v>
      </c>
      <c r="AB458" s="315" t="s">
        <v>5165</v>
      </c>
      <c r="AC458" s="319">
        <v>3</v>
      </c>
      <c r="AD458" s="320">
        <v>1.98675496688741E-2</v>
      </c>
      <c r="AE458" s="319">
        <v>1</v>
      </c>
      <c r="AF458" s="320">
        <v>6.6225165562913899E-3</v>
      </c>
      <c r="AG458" s="319">
        <v>1</v>
      </c>
      <c r="AH458" s="320">
        <v>6.6225165562913899E-3</v>
      </c>
      <c r="AI458" s="319">
        <v>1</v>
      </c>
      <c r="AJ458" s="320">
        <v>6.6225165562913899E-3</v>
      </c>
      <c r="AK458" s="320">
        <v>0</v>
      </c>
      <c r="AL458" s="319">
        <v>5</v>
      </c>
      <c r="AM458" s="319">
        <v>5</v>
      </c>
      <c r="AN458" s="319">
        <v>2</v>
      </c>
      <c r="AO458" s="319">
        <v>0.4</v>
      </c>
      <c r="AP458">
        <v>13</v>
      </c>
      <c r="AR458" s="136"/>
      <c r="AS458">
        <v>13</v>
      </c>
      <c r="AT458" s="69">
        <v>2.3148</v>
      </c>
      <c r="AU458" s="69">
        <v>2.3148</v>
      </c>
      <c r="AV458" s="69">
        <v>2.3148</v>
      </c>
      <c r="AW458" s="69">
        <v>0.23150000000000001</v>
      </c>
      <c r="BB458" s="69"/>
    </row>
    <row r="459" spans="1:54" customFormat="1" ht="40" customHeight="1">
      <c r="A459" s="313">
        <v>458</v>
      </c>
      <c r="B459" s="136" t="s">
        <v>1222</v>
      </c>
      <c r="C459" s="136" t="s">
        <v>45</v>
      </c>
      <c r="D459" s="31">
        <f t="shared" si="34"/>
        <v>4</v>
      </c>
      <c r="E459" s="137" t="s">
        <v>80</v>
      </c>
      <c r="F459" s="31">
        <f t="shared" si="35"/>
        <v>4</v>
      </c>
      <c r="G459" s="137" t="s">
        <v>1307</v>
      </c>
      <c r="H459" s="138">
        <v>108</v>
      </c>
      <c r="I459" s="158">
        <f t="shared" si="36"/>
        <v>0.71733583546373803</v>
      </c>
      <c r="J459" s="95">
        <v>0.98668990385836097</v>
      </c>
      <c r="K459" s="137">
        <v>0.44798176706911502</v>
      </c>
      <c r="L459" s="137">
        <v>0.423355447540333</v>
      </c>
      <c r="M459" s="137">
        <v>0.48492124636228701</v>
      </c>
      <c r="N459" s="136">
        <v>1</v>
      </c>
      <c r="O459" s="32">
        <v>43589</v>
      </c>
      <c r="P459" s="98">
        <f t="shared" si="37"/>
        <v>1</v>
      </c>
      <c r="Q459">
        <v>0</v>
      </c>
      <c r="R459">
        <v>0</v>
      </c>
      <c r="S459">
        <v>0</v>
      </c>
      <c r="T459" s="112" t="s">
        <v>73</v>
      </c>
      <c r="U459" s="137" t="s">
        <v>1308</v>
      </c>
      <c r="V459" s="137" t="s">
        <v>1301</v>
      </c>
      <c r="W459" s="69">
        <v>211</v>
      </c>
      <c r="X459" s="136">
        <v>3</v>
      </c>
      <c r="Y459" s="136">
        <v>13</v>
      </c>
      <c r="Z459" s="314"/>
      <c r="AA459" s="319">
        <v>1.2393760883331699E-3</v>
      </c>
      <c r="AB459" s="315" t="s">
        <v>5165</v>
      </c>
      <c r="AC459" s="319">
        <v>3</v>
      </c>
      <c r="AD459" s="320">
        <v>2.7027027027027001E-2</v>
      </c>
      <c r="AE459" s="319">
        <v>1</v>
      </c>
      <c r="AF459" s="320">
        <v>9.0090090090090003E-3</v>
      </c>
      <c r="AG459" s="319">
        <v>2</v>
      </c>
      <c r="AH459" s="320">
        <v>1.8018018018018001E-2</v>
      </c>
      <c r="AI459" s="319">
        <v>1</v>
      </c>
      <c r="AJ459" s="320">
        <v>9.0090090090090003E-3</v>
      </c>
      <c r="AK459" s="320">
        <v>0</v>
      </c>
      <c r="AL459" s="319">
        <v>5</v>
      </c>
      <c r="AM459" s="319">
        <v>5</v>
      </c>
      <c r="AN459" s="319">
        <v>2</v>
      </c>
      <c r="AO459" s="319">
        <v>0.4</v>
      </c>
      <c r="AP459">
        <v>13</v>
      </c>
      <c r="AR459" s="136"/>
      <c r="AS459">
        <v>13</v>
      </c>
      <c r="AT459" s="69">
        <v>2.3148</v>
      </c>
      <c r="AU459" s="69">
        <v>2.3148</v>
      </c>
      <c r="AV459" s="69">
        <v>2.3148</v>
      </c>
      <c r="AW459" s="69">
        <v>0.23150000000000001</v>
      </c>
      <c r="BB459" s="69"/>
    </row>
    <row r="460" spans="1:54" customFormat="1" ht="40" customHeight="1">
      <c r="A460" s="313">
        <v>459</v>
      </c>
      <c r="B460" s="136" t="s">
        <v>1222</v>
      </c>
      <c r="C460" s="136" t="s">
        <v>45</v>
      </c>
      <c r="D460" s="31">
        <f t="shared" si="34"/>
        <v>4</v>
      </c>
      <c r="E460" s="137" t="s">
        <v>1223</v>
      </c>
      <c r="F460" s="31">
        <f t="shared" si="35"/>
        <v>8</v>
      </c>
      <c r="G460" s="137" t="s">
        <v>1309</v>
      </c>
      <c r="H460" s="138">
        <v>123</v>
      </c>
      <c r="I460" s="158">
        <f t="shared" si="36"/>
        <v>0.2290589092377521</v>
      </c>
      <c r="J460" s="95">
        <v>1.6557167880182399E-5</v>
      </c>
      <c r="K460" s="137">
        <v>0.45810126130762402</v>
      </c>
      <c r="L460" s="137">
        <v>0.465690992294366</v>
      </c>
      <c r="M460" s="137">
        <v>0.44671666482751199</v>
      </c>
      <c r="N460" s="136">
        <v>1</v>
      </c>
      <c r="O460" s="32">
        <v>43587</v>
      </c>
      <c r="P460" s="98">
        <f t="shared" si="37"/>
        <v>1</v>
      </c>
      <c r="Q460">
        <v>0</v>
      </c>
      <c r="R460">
        <v>0</v>
      </c>
      <c r="S460">
        <v>0</v>
      </c>
      <c r="T460" s="112" t="s">
        <v>73</v>
      </c>
      <c r="U460" s="137" t="s">
        <v>1310</v>
      </c>
      <c r="V460" s="137" t="s">
        <v>1301</v>
      </c>
      <c r="W460" s="69">
        <v>211</v>
      </c>
      <c r="X460" s="136">
        <v>3</v>
      </c>
      <c r="Y460" s="136">
        <v>15</v>
      </c>
      <c r="Z460" s="314"/>
      <c r="AA460" s="319">
        <v>0.60499999999999998</v>
      </c>
      <c r="AB460" s="315" t="s">
        <v>5165</v>
      </c>
      <c r="AC460" s="319">
        <v>3</v>
      </c>
      <c r="AD460" s="320">
        <v>2.7027027027027001E-2</v>
      </c>
      <c r="AE460" s="319">
        <v>1</v>
      </c>
      <c r="AF460" s="320">
        <v>9.0090090090090003E-3</v>
      </c>
      <c r="AG460" s="319">
        <v>2</v>
      </c>
      <c r="AH460" s="320">
        <v>1.8018018018018001E-2</v>
      </c>
      <c r="AI460" s="319">
        <v>1</v>
      </c>
      <c r="AJ460" s="320">
        <v>9.0090090090090003E-3</v>
      </c>
      <c r="AK460" s="320">
        <v>0</v>
      </c>
      <c r="AL460" s="319">
        <v>5</v>
      </c>
      <c r="AM460" s="319">
        <v>5</v>
      </c>
      <c r="AN460" s="319">
        <v>6.1666666666666599</v>
      </c>
      <c r="AO460" s="319">
        <v>0.53888888888888797</v>
      </c>
      <c r="AP460">
        <v>15</v>
      </c>
      <c r="AR460" s="136"/>
      <c r="AS460">
        <v>15</v>
      </c>
      <c r="AT460" s="69">
        <v>2.3148</v>
      </c>
      <c r="AU460" s="69">
        <v>2.3148</v>
      </c>
      <c r="AV460" s="69">
        <v>9.5120000000000005</v>
      </c>
      <c r="AW460" s="69">
        <v>0.47139999999999999</v>
      </c>
      <c r="BB460" s="69"/>
    </row>
    <row r="461" spans="1:54" customFormat="1" ht="40" customHeight="1">
      <c r="A461" s="313">
        <v>460</v>
      </c>
      <c r="B461" s="136" t="s">
        <v>1222</v>
      </c>
      <c r="C461" s="136" t="s">
        <v>45</v>
      </c>
      <c r="D461" s="31">
        <f t="shared" si="34"/>
        <v>4</v>
      </c>
      <c r="E461" s="137" t="s">
        <v>80</v>
      </c>
      <c r="F461" s="31">
        <f t="shared" si="35"/>
        <v>4</v>
      </c>
      <c r="G461" s="137" t="s">
        <v>1311</v>
      </c>
      <c r="H461" s="138">
        <v>53</v>
      </c>
      <c r="I461" s="158">
        <f t="shared" si="36"/>
        <v>0.36298757371882412</v>
      </c>
      <c r="J461" s="95">
        <v>2.4037188662192599E-3</v>
      </c>
      <c r="K461" s="137">
        <v>0.72357142857142898</v>
      </c>
      <c r="L461" s="137">
        <v>0.82499999999999996</v>
      </c>
      <c r="M461" s="137">
        <v>0.57142857142857095</v>
      </c>
      <c r="N461" s="136">
        <v>1</v>
      </c>
      <c r="O461" s="32">
        <v>43582</v>
      </c>
      <c r="P461" s="98">
        <f t="shared" si="37"/>
        <v>1</v>
      </c>
      <c r="Q461">
        <v>0</v>
      </c>
      <c r="R461">
        <v>0</v>
      </c>
      <c r="S461">
        <v>0</v>
      </c>
      <c r="T461" s="112" t="s">
        <v>73</v>
      </c>
      <c r="U461" s="137" t="s">
        <v>1312</v>
      </c>
      <c r="V461" s="137" t="s">
        <v>1313</v>
      </c>
      <c r="W461" s="69">
        <v>93</v>
      </c>
      <c r="X461" s="136">
        <v>1</v>
      </c>
      <c r="Y461" s="136">
        <v>9</v>
      </c>
      <c r="Z461" s="314"/>
      <c r="AA461" s="319">
        <v>0.5</v>
      </c>
      <c r="AB461" s="315" t="s">
        <v>5194</v>
      </c>
      <c r="AC461" s="319">
        <v>0</v>
      </c>
      <c r="AD461" s="320">
        <v>0</v>
      </c>
      <c r="AE461" s="319">
        <v>1</v>
      </c>
      <c r="AF461" s="320">
        <v>1.8867924528301799E-2</v>
      </c>
      <c r="AG461" s="319">
        <v>0</v>
      </c>
      <c r="AH461" s="320">
        <v>0</v>
      </c>
      <c r="AI461" s="319">
        <v>1</v>
      </c>
      <c r="AJ461" s="320">
        <v>1.8867924528301799E-2</v>
      </c>
      <c r="AK461" s="320">
        <v>0</v>
      </c>
      <c r="AL461" s="319">
        <v>5</v>
      </c>
      <c r="AM461" s="319">
        <v>5</v>
      </c>
      <c r="AN461" s="319">
        <v>2</v>
      </c>
      <c r="AO461" s="319">
        <v>0.4</v>
      </c>
      <c r="AP461">
        <v>9</v>
      </c>
      <c r="AR461" s="136"/>
      <c r="AS461">
        <v>9</v>
      </c>
      <c r="AT461" s="69">
        <v>2.3148</v>
      </c>
      <c r="AU461" s="69">
        <v>2.3148</v>
      </c>
      <c r="AV461" s="69">
        <v>2.3148</v>
      </c>
      <c r="AW461" s="69">
        <v>0.23150000000000001</v>
      </c>
      <c r="BB461" s="69"/>
    </row>
    <row r="462" spans="1:54" customFormat="1" ht="40" customHeight="1">
      <c r="A462" s="313">
        <v>461</v>
      </c>
      <c r="B462" s="136" t="s">
        <v>1222</v>
      </c>
      <c r="C462" s="136" t="s">
        <v>45</v>
      </c>
      <c r="D462" s="31">
        <f t="shared" si="34"/>
        <v>4</v>
      </c>
      <c r="E462" s="137" t="s">
        <v>1223</v>
      </c>
      <c r="F462" s="31">
        <f t="shared" si="35"/>
        <v>8</v>
      </c>
      <c r="G462" s="137" t="s">
        <v>1314</v>
      </c>
      <c r="H462" s="138">
        <v>211</v>
      </c>
      <c r="I462" s="158">
        <f t="shared" si="36"/>
        <v>0.31327192669475873</v>
      </c>
      <c r="J462" s="95">
        <v>2.0394124167211199E-9</v>
      </c>
      <c r="K462" s="137">
        <v>0.62654385135010504</v>
      </c>
      <c r="L462" s="137">
        <v>0.51226009152380303</v>
      </c>
      <c r="M462" s="137">
        <v>0.79796949108955795</v>
      </c>
      <c r="N462" s="136">
        <v>1</v>
      </c>
      <c r="O462" s="32">
        <v>43577</v>
      </c>
      <c r="P462" s="98">
        <f t="shared" si="37"/>
        <v>2</v>
      </c>
      <c r="Q462">
        <v>0</v>
      </c>
      <c r="R462">
        <v>1.65</v>
      </c>
      <c r="S462">
        <v>1.87</v>
      </c>
      <c r="T462" s="112" t="s">
        <v>64</v>
      </c>
      <c r="U462" s="137" t="s">
        <v>1315</v>
      </c>
      <c r="V462" s="137" t="s">
        <v>1316</v>
      </c>
      <c r="W462" s="69">
        <v>52</v>
      </c>
      <c r="X462" s="136">
        <v>1</v>
      </c>
      <c r="Y462" s="136">
        <v>2</v>
      </c>
      <c r="Z462" s="314"/>
      <c r="AA462" s="319">
        <v>1.08886473193524E-2</v>
      </c>
      <c r="AB462" s="315" t="s">
        <v>5167</v>
      </c>
      <c r="AC462" s="319">
        <v>0</v>
      </c>
      <c r="AD462" s="320">
        <v>0</v>
      </c>
      <c r="AE462" s="319">
        <v>0</v>
      </c>
      <c r="AF462" s="320">
        <v>0</v>
      </c>
      <c r="AG462" s="319">
        <v>0</v>
      </c>
      <c r="AH462" s="320">
        <v>0</v>
      </c>
      <c r="AI462" s="319">
        <v>1</v>
      </c>
      <c r="AJ462" s="320">
        <v>3.5714285714285698E-2</v>
      </c>
      <c r="AK462" s="320">
        <v>0</v>
      </c>
      <c r="AL462" s="319">
        <v>5</v>
      </c>
      <c r="AM462" s="319">
        <v>5</v>
      </c>
      <c r="AN462" s="319">
        <v>2</v>
      </c>
      <c r="AO462" s="319">
        <v>0.4</v>
      </c>
      <c r="AP462">
        <v>2</v>
      </c>
      <c r="AR462" s="136"/>
      <c r="AS462">
        <v>2</v>
      </c>
      <c r="AT462" s="69">
        <v>2.3148</v>
      </c>
      <c r="AU462" s="69">
        <v>2.3148</v>
      </c>
      <c r="AV462" s="69">
        <v>2.3148</v>
      </c>
      <c r="AW462" s="69">
        <v>0.23150000000000001</v>
      </c>
      <c r="BB462" s="69"/>
    </row>
    <row r="463" spans="1:54" customFormat="1" ht="40" customHeight="1">
      <c r="A463" s="313">
        <v>462</v>
      </c>
      <c r="B463" s="136" t="s">
        <v>1222</v>
      </c>
      <c r="C463" s="136" t="s">
        <v>45</v>
      </c>
      <c r="D463" s="31">
        <f t="shared" si="34"/>
        <v>4</v>
      </c>
      <c r="E463" s="137" t="s">
        <v>1223</v>
      </c>
      <c r="F463" s="31">
        <f t="shared" si="35"/>
        <v>8</v>
      </c>
      <c r="G463" s="137" t="s">
        <v>1317</v>
      </c>
      <c r="H463" s="138">
        <v>258</v>
      </c>
      <c r="I463" s="158">
        <f t="shared" si="36"/>
        <v>0.37845914610391901</v>
      </c>
      <c r="J463" s="95">
        <v>0.26127568539917201</v>
      </c>
      <c r="K463" s="137">
        <v>0.49564260680866601</v>
      </c>
      <c r="L463" s="137">
        <v>0.3498805351573</v>
      </c>
      <c r="M463" s="137">
        <v>0.71428571428571397</v>
      </c>
      <c r="N463" s="136">
        <v>1</v>
      </c>
      <c r="O463" s="32">
        <v>43574</v>
      </c>
      <c r="P463" s="98">
        <f t="shared" si="37"/>
        <v>0</v>
      </c>
      <c r="Q463">
        <v>5.0999999999999996</v>
      </c>
      <c r="R463">
        <v>3.3</v>
      </c>
      <c r="S463">
        <v>0</v>
      </c>
      <c r="T463" s="112" t="s">
        <v>48</v>
      </c>
      <c r="U463" s="137" t="s">
        <v>1318</v>
      </c>
      <c r="V463" s="137" t="s">
        <v>1319</v>
      </c>
      <c r="W463" s="69">
        <v>211</v>
      </c>
      <c r="X463" s="136">
        <v>1</v>
      </c>
      <c r="Y463" s="136">
        <v>4</v>
      </c>
      <c r="Z463" s="314"/>
      <c r="AA463" s="319">
        <v>1.6773131395125501E-4</v>
      </c>
      <c r="AB463" s="315" t="s">
        <v>5168</v>
      </c>
      <c r="AC463" s="319">
        <v>0</v>
      </c>
      <c r="AD463" s="320">
        <v>0</v>
      </c>
      <c r="AE463" s="319">
        <v>3</v>
      </c>
      <c r="AF463" s="320">
        <v>2.3622047244094401E-2</v>
      </c>
      <c r="AG463" s="319">
        <v>4</v>
      </c>
      <c r="AH463" s="320">
        <v>3.1496062992125901E-2</v>
      </c>
      <c r="AI463" s="319">
        <v>0</v>
      </c>
      <c r="AJ463" s="320">
        <v>0</v>
      </c>
      <c r="AK463" s="320">
        <v>3.1496062992125977E-2</v>
      </c>
      <c r="AL463" s="319">
        <v>5</v>
      </c>
      <c r="AM463" s="319">
        <v>5</v>
      </c>
      <c r="AN463" s="319">
        <v>3.5</v>
      </c>
      <c r="AO463" s="319">
        <v>0.45</v>
      </c>
      <c r="AP463">
        <v>4</v>
      </c>
      <c r="AR463" s="136">
        <v>4</v>
      </c>
      <c r="AT463" s="69">
        <v>2.3148</v>
      </c>
      <c r="AU463" s="69">
        <v>2.3148</v>
      </c>
      <c r="AV463" s="69">
        <v>5.7443999999999997</v>
      </c>
      <c r="AW463" s="69">
        <v>0.3458</v>
      </c>
      <c r="BB463" s="69"/>
    </row>
    <row r="464" spans="1:54" customFormat="1" ht="40" customHeight="1">
      <c r="A464" s="313">
        <v>463</v>
      </c>
      <c r="B464" s="136" t="s">
        <v>1222</v>
      </c>
      <c r="C464" s="136" t="s">
        <v>45</v>
      </c>
      <c r="D464" s="31">
        <f t="shared" si="34"/>
        <v>4</v>
      </c>
      <c r="E464" s="137" t="s">
        <v>80</v>
      </c>
      <c r="F464" s="31">
        <f t="shared" si="35"/>
        <v>4</v>
      </c>
      <c r="G464" s="137" t="s">
        <v>1320</v>
      </c>
      <c r="H464" s="138">
        <v>48</v>
      </c>
      <c r="I464" s="158">
        <f t="shared" si="36"/>
        <v>0.25068360291304109</v>
      </c>
      <c r="J464" s="95">
        <v>2.2204460492503099E-15</v>
      </c>
      <c r="K464" s="137">
        <v>0.50136720582607996</v>
      </c>
      <c r="L464" s="137">
        <v>0.68181818181818199</v>
      </c>
      <c r="M464" s="137">
        <v>0.23069074183792801</v>
      </c>
      <c r="N464" s="136">
        <v>1</v>
      </c>
      <c r="O464" s="32">
        <v>43569</v>
      </c>
      <c r="P464" s="98">
        <f t="shared" si="37"/>
        <v>1</v>
      </c>
      <c r="Q464">
        <v>0</v>
      </c>
      <c r="R464">
        <v>0</v>
      </c>
      <c r="S464">
        <v>0</v>
      </c>
      <c r="T464" s="112" t="s">
        <v>73</v>
      </c>
      <c r="U464" s="137" t="s">
        <v>1321</v>
      </c>
      <c r="V464" s="137" t="s">
        <v>1322</v>
      </c>
      <c r="W464" s="69">
        <v>172</v>
      </c>
      <c r="X464" s="136">
        <v>8</v>
      </c>
      <c r="Y464" s="136">
        <v>29</v>
      </c>
      <c r="Z464" s="314"/>
      <c r="AA464" s="319">
        <v>0.5</v>
      </c>
      <c r="AB464" s="315" t="s">
        <v>5169</v>
      </c>
      <c r="AC464" s="319">
        <v>1</v>
      </c>
      <c r="AD464" s="320">
        <v>9.7087378640776708E-3</v>
      </c>
      <c r="AE464" s="319">
        <v>0</v>
      </c>
      <c r="AF464" s="320">
        <v>0</v>
      </c>
      <c r="AG464" s="319">
        <v>1</v>
      </c>
      <c r="AH464" s="320">
        <v>9.7087378640776708E-3</v>
      </c>
      <c r="AI464" s="319">
        <v>0</v>
      </c>
      <c r="AJ464" s="320">
        <v>0</v>
      </c>
      <c r="AK464" s="320">
        <v>0</v>
      </c>
      <c r="AL464" s="319">
        <v>5</v>
      </c>
      <c r="AM464" s="319">
        <v>6.2</v>
      </c>
      <c r="AN464" s="319">
        <v>6.1666666666666599</v>
      </c>
      <c r="AO464" s="319">
        <v>0.57888888888888801</v>
      </c>
      <c r="AP464">
        <v>29</v>
      </c>
      <c r="AR464" s="136">
        <v>29</v>
      </c>
      <c r="AT464" s="69">
        <v>2.3148</v>
      </c>
      <c r="AU464" s="69">
        <v>5</v>
      </c>
      <c r="AV464" s="69">
        <v>9.5120000000000005</v>
      </c>
      <c r="AW464" s="69">
        <v>0.56089999999999995</v>
      </c>
      <c r="BB464" s="69"/>
    </row>
    <row r="465" spans="1:54" customFormat="1" ht="40" customHeight="1">
      <c r="A465" s="313">
        <v>464</v>
      </c>
      <c r="B465" s="136" t="s">
        <v>1222</v>
      </c>
      <c r="C465" s="136" t="s">
        <v>45</v>
      </c>
      <c r="D465" s="31">
        <f t="shared" si="34"/>
        <v>4</v>
      </c>
      <c r="E465" s="137" t="s">
        <v>664</v>
      </c>
      <c r="F465" s="31">
        <f t="shared" si="35"/>
        <v>1</v>
      </c>
      <c r="G465" s="137" t="s">
        <v>1323</v>
      </c>
      <c r="H465" s="138">
        <v>266</v>
      </c>
      <c r="I465" s="158">
        <f t="shared" si="36"/>
        <v>0.31434344524527319</v>
      </c>
      <c r="J465" s="95">
        <v>2.2455954140632199E-7</v>
      </c>
      <c r="K465" s="137">
        <v>0.62868666593100497</v>
      </c>
      <c r="L465" s="137">
        <v>0.75</v>
      </c>
      <c r="M465" s="137">
        <v>0.44671666482751199</v>
      </c>
      <c r="N465" s="136">
        <v>1</v>
      </c>
      <c r="O465" s="32">
        <v>43557</v>
      </c>
      <c r="P465" s="98">
        <f t="shared" si="37"/>
        <v>0</v>
      </c>
      <c r="Q465">
        <v>2.5499999999999998</v>
      </c>
      <c r="R465">
        <v>1.65</v>
      </c>
      <c r="S465">
        <v>1.87</v>
      </c>
      <c r="T465" s="112" t="s">
        <v>48</v>
      </c>
      <c r="U465" s="137" t="s">
        <v>1324</v>
      </c>
      <c r="V465" s="137" t="s">
        <v>1325</v>
      </c>
      <c r="W465" s="69">
        <v>41</v>
      </c>
      <c r="X465" s="136">
        <v>1</v>
      </c>
      <c r="Y465" s="136">
        <v>15</v>
      </c>
      <c r="Z465" s="314"/>
      <c r="AA465" s="319">
        <v>0.54</v>
      </c>
      <c r="AB465" s="315" t="s">
        <v>5178</v>
      </c>
      <c r="AC465" s="319">
        <v>1</v>
      </c>
      <c r="AD465" s="320">
        <v>3.8461538461538401E-2</v>
      </c>
      <c r="AE465" s="319">
        <v>1</v>
      </c>
      <c r="AF465" s="320">
        <v>3.8461538461538401E-2</v>
      </c>
      <c r="AG465" s="319">
        <v>0</v>
      </c>
      <c r="AH465" s="320">
        <v>0</v>
      </c>
      <c r="AI465" s="319">
        <v>0</v>
      </c>
      <c r="AJ465" s="320">
        <v>0</v>
      </c>
      <c r="AK465" s="320">
        <v>0</v>
      </c>
      <c r="AL465" s="319">
        <v>5</v>
      </c>
      <c r="AM465" s="319">
        <v>5</v>
      </c>
      <c r="AN465" s="319">
        <v>4.6666666666666599</v>
      </c>
      <c r="AO465" s="319">
        <v>0.48888888888888798</v>
      </c>
      <c r="AP465">
        <v>15</v>
      </c>
      <c r="AQ465">
        <v>15</v>
      </c>
      <c r="AR465" s="136"/>
      <c r="AT465" s="69">
        <v>2.3148</v>
      </c>
      <c r="AU465" s="69">
        <v>2.3148</v>
      </c>
      <c r="AV465" s="69">
        <v>8.1305999999999994</v>
      </c>
      <c r="AW465" s="69">
        <v>0.42530000000000001</v>
      </c>
      <c r="BB465" s="69"/>
    </row>
    <row r="466" spans="1:54" customFormat="1" ht="40" customHeight="1">
      <c r="A466" s="313">
        <v>465</v>
      </c>
      <c r="B466" s="136" t="s">
        <v>1222</v>
      </c>
      <c r="C466" s="136" t="s">
        <v>45</v>
      </c>
      <c r="D466" s="31">
        <f t="shared" si="34"/>
        <v>4</v>
      </c>
      <c r="E466" s="137" t="s">
        <v>664</v>
      </c>
      <c r="F466" s="31">
        <f t="shared" si="35"/>
        <v>1</v>
      </c>
      <c r="G466" s="137" t="s">
        <v>1326</v>
      </c>
      <c r="H466" s="138">
        <v>152</v>
      </c>
      <c r="I466" s="158">
        <f t="shared" si="36"/>
        <v>0.56104617093362952</v>
      </c>
      <c r="J466" s="95">
        <v>0.49340567593625401</v>
      </c>
      <c r="K466" s="137">
        <v>0.62868666593100497</v>
      </c>
      <c r="L466" s="137">
        <v>0.75</v>
      </c>
      <c r="M466" s="137">
        <v>0.44671666482751199</v>
      </c>
      <c r="N466" s="136">
        <v>1</v>
      </c>
      <c r="O466" s="32">
        <v>43557</v>
      </c>
      <c r="P466" s="98">
        <f t="shared" si="37"/>
        <v>0</v>
      </c>
      <c r="Q466">
        <v>2.5499999999999998</v>
      </c>
      <c r="R466">
        <v>0</v>
      </c>
      <c r="S466">
        <v>0</v>
      </c>
      <c r="T466" s="112" t="s">
        <v>48</v>
      </c>
      <c r="U466" s="137" t="s">
        <v>1327</v>
      </c>
      <c r="V466" s="137" t="s">
        <v>1325</v>
      </c>
      <c r="W466" s="69">
        <v>41</v>
      </c>
      <c r="X466" s="136">
        <v>1</v>
      </c>
      <c r="Y466" s="136">
        <v>15</v>
      </c>
      <c r="Z466" s="314"/>
      <c r="AA466" s="319">
        <v>0.5</v>
      </c>
      <c r="AB466" s="315" t="s">
        <v>5178</v>
      </c>
      <c r="AC466" s="319">
        <v>1</v>
      </c>
      <c r="AD466" s="320">
        <v>3.8461538461538401E-2</v>
      </c>
      <c r="AE466" s="319">
        <v>1</v>
      </c>
      <c r="AF466" s="320">
        <v>3.8461538461538401E-2</v>
      </c>
      <c r="AG466" s="319">
        <v>0</v>
      </c>
      <c r="AH466" s="320">
        <v>0</v>
      </c>
      <c r="AI466" s="319">
        <v>0</v>
      </c>
      <c r="AJ466" s="320">
        <v>0</v>
      </c>
      <c r="AK466" s="320">
        <v>0</v>
      </c>
      <c r="AL466" s="319">
        <v>5</v>
      </c>
      <c r="AM466" s="319">
        <v>5</v>
      </c>
      <c r="AN466" s="319">
        <v>2</v>
      </c>
      <c r="AO466" s="319">
        <v>0.4</v>
      </c>
      <c r="AP466">
        <v>15</v>
      </c>
      <c r="AQ466">
        <v>15</v>
      </c>
      <c r="AR466" s="136"/>
      <c r="AT466" s="69">
        <v>2.3148</v>
      </c>
      <c r="AU466" s="69">
        <v>2.3148</v>
      </c>
      <c r="AV466" s="69">
        <v>2.3148</v>
      </c>
      <c r="AW466" s="69">
        <v>0.23150000000000001</v>
      </c>
      <c r="BB466" s="69"/>
    </row>
    <row r="467" spans="1:54" customFormat="1" ht="40" customHeight="1">
      <c r="A467" s="313">
        <v>466</v>
      </c>
      <c r="B467" s="136" t="s">
        <v>1222</v>
      </c>
      <c r="C467" s="136" t="s">
        <v>45</v>
      </c>
      <c r="D467" s="31">
        <f t="shared" si="34"/>
        <v>4</v>
      </c>
      <c r="E467" s="137" t="s">
        <v>664</v>
      </c>
      <c r="F467" s="31">
        <f t="shared" si="35"/>
        <v>1</v>
      </c>
      <c r="G467" s="137" t="s">
        <v>1328</v>
      </c>
      <c r="H467" s="138">
        <v>138</v>
      </c>
      <c r="I467" s="158">
        <f t="shared" si="36"/>
        <v>0.34059550323503612</v>
      </c>
      <c r="J467" s="95">
        <v>1.22124532708767E-14</v>
      </c>
      <c r="K467" s="137">
        <v>0.68119100647006003</v>
      </c>
      <c r="L467" s="137">
        <v>0.82499999999999996</v>
      </c>
      <c r="M467" s="137">
        <v>0.46547751617515098</v>
      </c>
      <c r="N467" s="136">
        <v>1</v>
      </c>
      <c r="O467" s="32">
        <v>43550</v>
      </c>
      <c r="P467" s="98">
        <f t="shared" si="37"/>
        <v>0</v>
      </c>
      <c r="Q467">
        <v>2.5499999999999998</v>
      </c>
      <c r="R467">
        <v>1.65</v>
      </c>
      <c r="S467">
        <v>0</v>
      </c>
      <c r="T467" s="112" t="s">
        <v>48</v>
      </c>
      <c r="U467" s="137" t="s">
        <v>1329</v>
      </c>
      <c r="V467" s="137" t="s">
        <v>1325</v>
      </c>
      <c r="W467" s="69">
        <v>41</v>
      </c>
      <c r="X467" s="136">
        <v>1</v>
      </c>
      <c r="Y467" s="136">
        <v>14</v>
      </c>
      <c r="Z467" s="314"/>
      <c r="AA467" s="319">
        <v>0.59450000000000003</v>
      </c>
      <c r="AB467" s="315" t="s">
        <v>5178</v>
      </c>
      <c r="AC467" s="319">
        <v>1</v>
      </c>
      <c r="AD467" s="320">
        <v>3.8461538461538401E-2</v>
      </c>
      <c r="AE467" s="319">
        <v>1</v>
      </c>
      <c r="AF467" s="320">
        <v>3.8461538461538401E-2</v>
      </c>
      <c r="AG467" s="319">
        <v>0</v>
      </c>
      <c r="AH467" s="320">
        <v>0</v>
      </c>
      <c r="AI467" s="319">
        <v>0</v>
      </c>
      <c r="AJ467" s="320">
        <v>0</v>
      </c>
      <c r="AK467" s="320">
        <v>0</v>
      </c>
      <c r="AL467" s="319">
        <v>5</v>
      </c>
      <c r="AM467" s="319">
        <v>5</v>
      </c>
      <c r="AN467" s="319">
        <v>2</v>
      </c>
      <c r="AO467" s="319">
        <v>0.4</v>
      </c>
      <c r="AP467">
        <v>14</v>
      </c>
      <c r="AQ467">
        <v>14</v>
      </c>
      <c r="AR467" s="136"/>
      <c r="AT467" s="69">
        <v>2.3148</v>
      </c>
      <c r="AU467" s="69">
        <v>2.3148</v>
      </c>
      <c r="AV467" s="69">
        <v>2.3148</v>
      </c>
      <c r="AW467" s="69">
        <v>0.23150000000000001</v>
      </c>
      <c r="BB467" s="69"/>
    </row>
    <row r="468" spans="1:54" customFormat="1" ht="40" customHeight="1">
      <c r="A468" s="313">
        <v>467</v>
      </c>
      <c r="B468" s="136" t="s">
        <v>1222</v>
      </c>
      <c r="C468" s="136" t="s">
        <v>45</v>
      </c>
      <c r="D468" s="31">
        <f t="shared" si="34"/>
        <v>4</v>
      </c>
      <c r="E468" s="137" t="s">
        <v>664</v>
      </c>
      <c r="F468" s="31">
        <f t="shared" si="35"/>
        <v>1</v>
      </c>
      <c r="G468" s="137" t="s">
        <v>1330</v>
      </c>
      <c r="H468" s="138">
        <v>129</v>
      </c>
      <c r="I468" s="158">
        <f t="shared" si="36"/>
        <v>0.29764096247941396</v>
      </c>
      <c r="J468" s="95">
        <v>9.39785793629966E-9</v>
      </c>
      <c r="K468" s="137">
        <v>0.59528191556096999</v>
      </c>
      <c r="L468" s="137">
        <v>0.68181818181818199</v>
      </c>
      <c r="M468" s="137">
        <v>0.46547751617515098</v>
      </c>
      <c r="N468" s="136">
        <v>1</v>
      </c>
      <c r="O468" s="32">
        <v>43550</v>
      </c>
      <c r="P468" s="98">
        <f t="shared" si="37"/>
        <v>2</v>
      </c>
      <c r="Q468">
        <v>0</v>
      </c>
      <c r="R468">
        <v>1.65</v>
      </c>
      <c r="S468">
        <v>1.87</v>
      </c>
      <c r="T468" s="112" t="s">
        <v>64</v>
      </c>
      <c r="U468" s="137" t="s">
        <v>1331</v>
      </c>
      <c r="V468" s="137" t="s">
        <v>1325</v>
      </c>
      <c r="W468" s="69">
        <v>41</v>
      </c>
      <c r="X468" s="136">
        <v>1</v>
      </c>
      <c r="Y468" s="136">
        <v>14</v>
      </c>
      <c r="Z468" s="314"/>
      <c r="AA468" s="319">
        <v>0.54</v>
      </c>
      <c r="AB468" s="315" t="s">
        <v>5178</v>
      </c>
      <c r="AC468" s="319">
        <v>1</v>
      </c>
      <c r="AD468" s="320">
        <v>3.8461538461538401E-2</v>
      </c>
      <c r="AE468" s="319">
        <v>1</v>
      </c>
      <c r="AF468" s="320">
        <v>3.8461538461538401E-2</v>
      </c>
      <c r="AG468" s="319">
        <v>0</v>
      </c>
      <c r="AH468" s="320">
        <v>0</v>
      </c>
      <c r="AI468" s="319">
        <v>0</v>
      </c>
      <c r="AJ468" s="320">
        <v>0</v>
      </c>
      <c r="AK468" s="320">
        <v>0</v>
      </c>
      <c r="AL468" s="319">
        <v>5</v>
      </c>
      <c r="AM468" s="319">
        <v>5</v>
      </c>
      <c r="AN468" s="319">
        <v>4.6666666666666599</v>
      </c>
      <c r="AO468" s="319">
        <v>0.48888888888888798</v>
      </c>
      <c r="AP468">
        <v>14</v>
      </c>
      <c r="AQ468">
        <v>14</v>
      </c>
      <c r="AR468" s="136"/>
      <c r="AT468" s="69">
        <v>2.3148</v>
      </c>
      <c r="AU468" s="69">
        <v>2.3148</v>
      </c>
      <c r="AV468" s="69">
        <v>8.1305999999999994</v>
      </c>
      <c r="AW468" s="69">
        <v>0.42530000000000001</v>
      </c>
      <c r="BB468" s="69"/>
    </row>
    <row r="469" spans="1:54" customFormat="1" ht="40" customHeight="1">
      <c r="A469" s="313">
        <v>468</v>
      </c>
      <c r="B469" s="136" t="s">
        <v>1222</v>
      </c>
      <c r="C469" s="136" t="s">
        <v>45</v>
      </c>
      <c r="D469" s="31">
        <f t="shared" si="34"/>
        <v>4</v>
      </c>
      <c r="E469" s="137" t="s">
        <v>80</v>
      </c>
      <c r="F469" s="31">
        <f t="shared" si="35"/>
        <v>4</v>
      </c>
      <c r="G469" s="137" t="s">
        <v>1332</v>
      </c>
      <c r="H469" s="138">
        <v>80</v>
      </c>
      <c r="I469" s="158">
        <f t="shared" si="36"/>
        <v>0.35762692211273872</v>
      </c>
      <c r="J469" s="95">
        <v>4.9587492205349604E-4</v>
      </c>
      <c r="K469" s="137">
        <v>0.71475796930342395</v>
      </c>
      <c r="L469" s="137">
        <v>0.61983471074380203</v>
      </c>
      <c r="M469" s="137">
        <v>0.85714285714285698</v>
      </c>
      <c r="N469" s="136">
        <v>1</v>
      </c>
      <c r="O469" s="32">
        <v>43543</v>
      </c>
      <c r="P469" s="98">
        <f t="shared" si="37"/>
        <v>1</v>
      </c>
      <c r="Q469">
        <v>0</v>
      </c>
      <c r="R469">
        <v>3.3</v>
      </c>
      <c r="S469">
        <v>0</v>
      </c>
      <c r="T469" s="112" t="s">
        <v>73</v>
      </c>
      <c r="U469" s="137" t="s">
        <v>1333</v>
      </c>
      <c r="V469" s="137" t="s">
        <v>1334</v>
      </c>
      <c r="W469" s="69">
        <v>48</v>
      </c>
      <c r="X469" s="136">
        <v>1</v>
      </c>
      <c r="Y469" s="136">
        <v>1</v>
      </c>
      <c r="Z469" s="314"/>
      <c r="AA469" s="319">
        <v>0.55000000000000004</v>
      </c>
      <c r="AB469" s="315" t="s">
        <v>5178</v>
      </c>
      <c r="AC469" s="319">
        <v>2</v>
      </c>
      <c r="AD469" s="320">
        <v>6.8965517241379296E-2</v>
      </c>
      <c r="AE469" s="319">
        <v>2</v>
      </c>
      <c r="AF469" s="320">
        <v>6.8965517241379296E-2</v>
      </c>
      <c r="AG469" s="319">
        <v>0</v>
      </c>
      <c r="AH469" s="320">
        <v>0</v>
      </c>
      <c r="AI469" s="319">
        <v>0</v>
      </c>
      <c r="AJ469" s="320">
        <v>0</v>
      </c>
      <c r="AK469" s="320">
        <v>3.4482758620689648E-2</v>
      </c>
      <c r="AL469" s="319">
        <v>5</v>
      </c>
      <c r="AM469" s="319">
        <v>7.4</v>
      </c>
      <c r="AN469" s="319">
        <v>2</v>
      </c>
      <c r="AO469" s="319">
        <v>0.48</v>
      </c>
      <c r="AP469">
        <v>1</v>
      </c>
      <c r="AR469" s="136">
        <v>1</v>
      </c>
      <c r="AT469" s="69">
        <v>2.3148</v>
      </c>
      <c r="AU469" s="69">
        <v>7.6852</v>
      </c>
      <c r="AV469" s="69">
        <v>2.3148</v>
      </c>
      <c r="AW469" s="69">
        <v>0.41049999999999998</v>
      </c>
      <c r="BB469" s="69"/>
    </row>
    <row r="470" spans="1:54" customFormat="1" ht="40" customHeight="1">
      <c r="A470" s="313">
        <v>469</v>
      </c>
      <c r="B470" s="136" t="s">
        <v>1222</v>
      </c>
      <c r="C470" s="136" t="s">
        <v>52</v>
      </c>
      <c r="D470" s="31">
        <f t="shared" si="34"/>
        <v>3</v>
      </c>
      <c r="E470" s="137" t="s">
        <v>46</v>
      </c>
      <c r="F470" s="31">
        <f t="shared" si="35"/>
        <v>6</v>
      </c>
      <c r="G470" s="137" t="s">
        <v>1335</v>
      </c>
      <c r="H470" s="138">
        <v>196</v>
      </c>
      <c r="I470" s="158">
        <f t="shared" si="36"/>
        <v>0.836463232448167</v>
      </c>
      <c r="J470" s="95">
        <v>0.99999997031113197</v>
      </c>
      <c r="K470" s="137">
        <v>0.67292649458520204</v>
      </c>
      <c r="L470" s="137">
        <v>0.61983471074380203</v>
      </c>
      <c r="M470" s="137">
        <v>0.75256417034730305</v>
      </c>
      <c r="N470" s="136">
        <v>1</v>
      </c>
      <c r="O470" s="32">
        <v>43528</v>
      </c>
      <c r="P470" s="98">
        <f t="shared" si="37"/>
        <v>1</v>
      </c>
      <c r="Q470">
        <v>0</v>
      </c>
      <c r="R470">
        <v>4.95</v>
      </c>
      <c r="S470">
        <v>1.87</v>
      </c>
      <c r="T470" s="112" t="s">
        <v>73</v>
      </c>
      <c r="U470" s="137" t="s">
        <v>1336</v>
      </c>
      <c r="V470" s="137" t="s">
        <v>1337</v>
      </c>
      <c r="W470" s="69">
        <v>159</v>
      </c>
      <c r="X470" s="136">
        <v>3</v>
      </c>
      <c r="Y470" s="136">
        <v>3</v>
      </c>
      <c r="Z470" s="314"/>
      <c r="AA470" s="319">
        <v>0.55000000000000004</v>
      </c>
      <c r="AB470" s="315" t="s">
        <v>5176</v>
      </c>
      <c r="AC470" s="319">
        <v>1</v>
      </c>
      <c r="AD470" s="320">
        <v>1.0638297872340399E-2</v>
      </c>
      <c r="AE470" s="319">
        <v>5</v>
      </c>
      <c r="AF470" s="320">
        <v>5.31914893617021E-2</v>
      </c>
      <c r="AG470" s="319">
        <v>1</v>
      </c>
      <c r="AH470" s="320">
        <v>1.0638297872340399E-2</v>
      </c>
      <c r="AI470" s="319">
        <v>0</v>
      </c>
      <c r="AJ470" s="320">
        <v>0</v>
      </c>
      <c r="AK470" s="320">
        <v>2.1276595744680851E-2</v>
      </c>
      <c r="AL470" s="319">
        <v>5</v>
      </c>
      <c r="AM470" s="319">
        <v>7.4</v>
      </c>
      <c r="AN470" s="319">
        <v>2</v>
      </c>
      <c r="AO470" s="319">
        <v>0.48</v>
      </c>
      <c r="AP470">
        <v>3</v>
      </c>
      <c r="AR470" s="136">
        <v>3</v>
      </c>
      <c r="AT470" s="69">
        <v>2.3148</v>
      </c>
      <c r="AU470" s="69">
        <v>7.6852</v>
      </c>
      <c r="AV470" s="69">
        <v>2.3148</v>
      </c>
      <c r="AW470" s="69">
        <v>0.41049999999999998</v>
      </c>
      <c r="BB470" s="69"/>
    </row>
    <row r="471" spans="1:54" customFormat="1" ht="40" customHeight="1">
      <c r="A471" s="313">
        <v>470</v>
      </c>
      <c r="B471" s="136" t="s">
        <v>1222</v>
      </c>
      <c r="C471" s="136" t="s">
        <v>45</v>
      </c>
      <c r="D471" s="31">
        <f t="shared" si="34"/>
        <v>4</v>
      </c>
      <c r="E471" s="137" t="s">
        <v>46</v>
      </c>
      <c r="F471" s="31">
        <f t="shared" si="35"/>
        <v>6</v>
      </c>
      <c r="G471" s="137" t="s">
        <v>1338</v>
      </c>
      <c r="H471" s="138">
        <v>147</v>
      </c>
      <c r="I471" s="158">
        <f t="shared" si="36"/>
        <v>0.77472289983137954</v>
      </c>
      <c r="J471" s="95">
        <v>0.99885830728547298</v>
      </c>
      <c r="K471" s="137">
        <v>0.55058749237728599</v>
      </c>
      <c r="L471" s="137">
        <v>0.61983471074380203</v>
      </c>
      <c r="M471" s="137">
        <v>0.44671666482751199</v>
      </c>
      <c r="N471" s="136">
        <v>1</v>
      </c>
      <c r="O471" s="32">
        <v>43516</v>
      </c>
      <c r="P471" s="98">
        <f t="shared" si="37"/>
        <v>1</v>
      </c>
      <c r="Q471">
        <v>0</v>
      </c>
      <c r="R471">
        <v>4.95</v>
      </c>
      <c r="S471">
        <v>0</v>
      </c>
      <c r="T471" s="112" t="s">
        <v>73</v>
      </c>
      <c r="U471" s="137" t="s">
        <v>1339</v>
      </c>
      <c r="V471" s="137" t="s">
        <v>1337</v>
      </c>
      <c r="W471" s="69">
        <v>159</v>
      </c>
      <c r="X471" s="136">
        <v>3</v>
      </c>
      <c r="Y471" s="136">
        <v>15</v>
      </c>
      <c r="Z471" s="314"/>
      <c r="AA471" s="319">
        <v>0.5</v>
      </c>
      <c r="AB471" s="315" t="s">
        <v>5176</v>
      </c>
      <c r="AC471" s="319">
        <v>1</v>
      </c>
      <c r="AD471" s="320">
        <v>1.0638297872340399E-2</v>
      </c>
      <c r="AE471" s="319">
        <v>5</v>
      </c>
      <c r="AF471" s="320">
        <v>5.31914893617021E-2</v>
      </c>
      <c r="AG471" s="319">
        <v>1</v>
      </c>
      <c r="AH471" s="320">
        <v>1.0638297872340399E-2</v>
      </c>
      <c r="AI471" s="319">
        <v>0</v>
      </c>
      <c r="AJ471" s="320">
        <v>0</v>
      </c>
      <c r="AK471" s="320">
        <v>2.1276595744680851E-2</v>
      </c>
      <c r="AL471" s="319">
        <v>5</v>
      </c>
      <c r="AM471" s="319">
        <v>6.2</v>
      </c>
      <c r="AN471" s="319">
        <v>2</v>
      </c>
      <c r="AO471" s="319">
        <v>0.44</v>
      </c>
      <c r="AP471">
        <v>15</v>
      </c>
      <c r="AR471" s="136">
        <v>15</v>
      </c>
      <c r="AT471" s="69">
        <v>2.3148</v>
      </c>
      <c r="AU471" s="69">
        <v>5</v>
      </c>
      <c r="AV471" s="69">
        <v>2.3148</v>
      </c>
      <c r="AW471" s="69">
        <v>0.32100000000000001</v>
      </c>
      <c r="BB471" s="69"/>
    </row>
    <row r="472" spans="1:54" customFormat="1" ht="40" customHeight="1">
      <c r="A472" s="313">
        <v>471</v>
      </c>
      <c r="B472" s="136" t="s">
        <v>1222</v>
      </c>
      <c r="C472" s="136" t="s">
        <v>59</v>
      </c>
      <c r="D472" s="31">
        <f t="shared" si="34"/>
        <v>5</v>
      </c>
      <c r="E472" s="137" t="s">
        <v>1223</v>
      </c>
      <c r="F472" s="31">
        <f t="shared" si="35"/>
        <v>8</v>
      </c>
      <c r="G472" s="137" t="s">
        <v>1340</v>
      </c>
      <c r="H472" s="138">
        <v>88</v>
      </c>
      <c r="I472" s="158">
        <f t="shared" si="36"/>
        <v>0.35883618501313252</v>
      </c>
      <c r="J472" s="95">
        <v>0.12080195864492201</v>
      </c>
      <c r="K472" s="137">
        <v>0.596870411381343</v>
      </c>
      <c r="L472" s="137">
        <v>0.423355447540333</v>
      </c>
      <c r="M472" s="137">
        <v>0.85714285714285698</v>
      </c>
      <c r="N472" s="136">
        <v>1</v>
      </c>
      <c r="O472" s="32">
        <v>43494</v>
      </c>
      <c r="P472" s="98">
        <f t="shared" si="37"/>
        <v>0</v>
      </c>
      <c r="Q472">
        <v>2.5499999999999998</v>
      </c>
      <c r="R472">
        <v>3.3</v>
      </c>
      <c r="S472">
        <v>0</v>
      </c>
      <c r="T472" s="112" t="s">
        <v>48</v>
      </c>
      <c r="U472" s="137" t="s">
        <v>1341</v>
      </c>
      <c r="V472" s="137" t="s">
        <v>1342</v>
      </c>
      <c r="W472" s="69">
        <v>163</v>
      </c>
      <c r="X472" s="136">
        <v>1</v>
      </c>
      <c r="Y472" s="136">
        <v>1</v>
      </c>
      <c r="Z472" s="314"/>
      <c r="AA472" s="319">
        <v>3.6721811145015702E-3</v>
      </c>
      <c r="AB472" s="315" t="s">
        <v>5176</v>
      </c>
      <c r="AC472" s="319">
        <v>0</v>
      </c>
      <c r="AD472" s="320">
        <v>0</v>
      </c>
      <c r="AE472" s="319">
        <v>3</v>
      </c>
      <c r="AF472" s="320">
        <v>3.1578947368420998E-2</v>
      </c>
      <c r="AG472" s="319">
        <v>2</v>
      </c>
      <c r="AH472" s="320">
        <v>2.1052631578947299E-2</v>
      </c>
      <c r="AI472" s="319">
        <v>0</v>
      </c>
      <c r="AJ472" s="320">
        <v>0</v>
      </c>
      <c r="AK472" s="320">
        <v>3.1578947368421047E-2</v>
      </c>
      <c r="AL472" s="319">
        <v>5</v>
      </c>
      <c r="AM472" s="319">
        <v>5</v>
      </c>
      <c r="AN472" s="319">
        <v>3.5</v>
      </c>
      <c r="AO472" s="319">
        <v>0.45</v>
      </c>
      <c r="AP472">
        <v>1</v>
      </c>
      <c r="AR472" s="136">
        <v>1</v>
      </c>
      <c r="AT472" s="69">
        <v>2.3148</v>
      </c>
      <c r="AU472" s="69">
        <v>2.3148</v>
      </c>
      <c r="AV472" s="69">
        <v>5.7443999999999997</v>
      </c>
      <c r="AW472" s="69">
        <v>0.3458</v>
      </c>
      <c r="BB472" s="69"/>
    </row>
    <row r="473" spans="1:54" customFormat="1" ht="40" customHeight="1">
      <c r="A473" s="313">
        <v>472</v>
      </c>
      <c r="B473" s="136" t="s">
        <v>1222</v>
      </c>
      <c r="C473" s="136" t="s">
        <v>45</v>
      </c>
      <c r="D473" s="31">
        <f t="shared" si="34"/>
        <v>4</v>
      </c>
      <c r="E473" s="137" t="s">
        <v>1223</v>
      </c>
      <c r="F473" s="31">
        <f t="shared" si="35"/>
        <v>8</v>
      </c>
      <c r="G473" s="137" t="s">
        <v>1343</v>
      </c>
      <c r="H473" s="138">
        <v>778</v>
      </c>
      <c r="I473" s="158">
        <f t="shared" si="36"/>
        <v>0.17416532028597057</v>
      </c>
      <c r="J473" s="95">
        <v>2.22862548417113E-3</v>
      </c>
      <c r="K473" s="137">
        <v>0.34610201508777</v>
      </c>
      <c r="L473" s="137">
        <v>0.17954403702687199</v>
      </c>
      <c r="M473" s="137">
        <v>0.59593898217911601</v>
      </c>
      <c r="N473" s="136">
        <v>1</v>
      </c>
      <c r="O473" s="32">
        <v>43487</v>
      </c>
      <c r="P473" s="98">
        <f t="shared" si="37"/>
        <v>2</v>
      </c>
      <c r="Q473">
        <v>0</v>
      </c>
      <c r="R473">
        <v>4.95</v>
      </c>
      <c r="S473">
        <v>1.87</v>
      </c>
      <c r="T473" s="112" t="s">
        <v>64</v>
      </c>
      <c r="U473" s="137" t="s">
        <v>1344</v>
      </c>
      <c r="V473" s="137" t="s">
        <v>1345</v>
      </c>
      <c r="W473" s="69">
        <v>259</v>
      </c>
      <c r="X473" s="136">
        <v>1</v>
      </c>
      <c r="Y473" s="136">
        <v>8</v>
      </c>
      <c r="Z473" s="314"/>
      <c r="AA473" s="319">
        <v>5.2175399188020099E-8</v>
      </c>
      <c r="AB473" s="315" t="s">
        <v>5176</v>
      </c>
      <c r="AC473" s="319">
        <v>1</v>
      </c>
      <c r="AD473" s="320">
        <v>6.6666666666666602E-3</v>
      </c>
      <c r="AE473" s="319">
        <v>3</v>
      </c>
      <c r="AF473" s="320">
        <v>0.02</v>
      </c>
      <c r="AG473" s="319">
        <v>2</v>
      </c>
      <c r="AH473" s="320">
        <v>1.3333333333333299E-2</v>
      </c>
      <c r="AI473" s="319">
        <v>0</v>
      </c>
      <c r="AJ473" s="320">
        <v>0</v>
      </c>
      <c r="AK473" s="320">
        <v>0.02</v>
      </c>
      <c r="AL473" s="319">
        <v>8.5</v>
      </c>
      <c r="AM473" s="319">
        <v>5</v>
      </c>
      <c r="AN473" s="319">
        <v>4.6666666666666599</v>
      </c>
      <c r="AO473" s="319">
        <v>0.60555555555555496</v>
      </c>
      <c r="AP473">
        <v>8</v>
      </c>
      <c r="AR473" s="136">
        <v>8</v>
      </c>
      <c r="AT473" s="69">
        <v>9.0888000000000009</v>
      </c>
      <c r="AU473" s="69">
        <v>2.3148</v>
      </c>
      <c r="AV473" s="69">
        <v>8.1305999999999994</v>
      </c>
      <c r="AW473" s="69">
        <v>0.65110000000000001</v>
      </c>
      <c r="BB473" s="69"/>
    </row>
    <row r="474" spans="1:54" customFormat="1" ht="40" customHeight="1">
      <c r="A474" s="313">
        <v>473</v>
      </c>
      <c r="B474" s="136" t="s">
        <v>1222</v>
      </c>
      <c r="C474" s="136" t="s">
        <v>45</v>
      </c>
      <c r="D474" s="31">
        <f t="shared" si="34"/>
        <v>4</v>
      </c>
      <c r="E474" s="137" t="s">
        <v>1223</v>
      </c>
      <c r="F474" s="31">
        <f t="shared" si="35"/>
        <v>8</v>
      </c>
      <c r="G474" s="137" t="s">
        <v>1346</v>
      </c>
      <c r="H474" s="138">
        <v>141</v>
      </c>
      <c r="I474" s="158">
        <f t="shared" si="36"/>
        <v>0.25551921987716764</v>
      </c>
      <c r="J474" s="95">
        <v>8.4450521034229494E-5</v>
      </c>
      <c r="K474" s="137">
        <v>0.51095398923330104</v>
      </c>
      <c r="L474" s="137">
        <v>0.3498805351573</v>
      </c>
      <c r="M474" s="137">
        <v>0.75256417034730305</v>
      </c>
      <c r="N474" s="136">
        <v>1</v>
      </c>
      <c r="O474" s="32">
        <v>43480</v>
      </c>
      <c r="P474" s="98">
        <f t="shared" si="37"/>
        <v>2</v>
      </c>
      <c r="Q474">
        <v>0</v>
      </c>
      <c r="R474">
        <v>3.3</v>
      </c>
      <c r="S474">
        <v>0</v>
      </c>
      <c r="T474" s="112" t="s">
        <v>64</v>
      </c>
      <c r="U474" s="137" t="s">
        <v>1347</v>
      </c>
      <c r="V474" s="137" t="s">
        <v>1348</v>
      </c>
      <c r="W474" s="69">
        <v>229</v>
      </c>
      <c r="X474" s="136">
        <v>1</v>
      </c>
      <c r="Y474" s="136">
        <v>3</v>
      </c>
      <c r="Z474" s="314"/>
      <c r="AA474" s="319">
        <v>1.6773131395125501E-4</v>
      </c>
      <c r="AB474" s="315" t="s">
        <v>5176</v>
      </c>
      <c r="AC474" s="319">
        <v>0</v>
      </c>
      <c r="AD474" s="320">
        <v>0</v>
      </c>
      <c r="AE474" s="319">
        <v>3</v>
      </c>
      <c r="AF474" s="320">
        <v>2.4193548387096701E-2</v>
      </c>
      <c r="AG474" s="319">
        <v>2</v>
      </c>
      <c r="AH474" s="320">
        <v>1.6129032258064498E-2</v>
      </c>
      <c r="AI474" s="319">
        <v>0</v>
      </c>
      <c r="AJ474" s="320">
        <v>0</v>
      </c>
      <c r="AK474" s="320">
        <v>0</v>
      </c>
      <c r="AL474" s="319">
        <v>5</v>
      </c>
      <c r="AM474" s="319">
        <v>5</v>
      </c>
      <c r="AN474" s="319">
        <v>4.6666666666666599</v>
      </c>
      <c r="AO474" s="319">
        <v>0.48888888888888798</v>
      </c>
      <c r="AP474">
        <v>3</v>
      </c>
      <c r="AR474" s="136">
        <v>3</v>
      </c>
      <c r="AT474" s="69">
        <v>2.3148</v>
      </c>
      <c r="AU474" s="69">
        <v>2.3148</v>
      </c>
      <c r="AV474" s="69">
        <v>8.1305999999999994</v>
      </c>
      <c r="AW474" s="69">
        <v>0.42530000000000001</v>
      </c>
      <c r="BB474" s="69"/>
    </row>
    <row r="475" spans="1:54" customFormat="1" ht="40" customHeight="1">
      <c r="A475" s="313">
        <v>474</v>
      </c>
      <c r="B475" s="136" t="s">
        <v>1222</v>
      </c>
      <c r="C475" s="136" t="s">
        <v>119</v>
      </c>
      <c r="D475" s="31">
        <f t="shared" si="34"/>
        <v>1</v>
      </c>
      <c r="E475" s="137" t="s">
        <v>46</v>
      </c>
      <c r="F475" s="31">
        <f t="shared" si="35"/>
        <v>6</v>
      </c>
      <c r="G475" s="137" t="s">
        <v>1349</v>
      </c>
      <c r="H475" s="138">
        <v>193</v>
      </c>
      <c r="I475" s="158">
        <f t="shared" si="36"/>
        <v>0.36785715032102884</v>
      </c>
      <c r="J475" s="95">
        <v>1.49277716854357E-8</v>
      </c>
      <c r="K475" s="137">
        <v>0.73571428571428599</v>
      </c>
      <c r="L475" s="137">
        <v>0.75</v>
      </c>
      <c r="M475" s="137">
        <v>0.71428571428571397</v>
      </c>
      <c r="N475" s="136">
        <v>1</v>
      </c>
      <c r="O475" s="32">
        <v>43463</v>
      </c>
      <c r="P475" s="98">
        <f t="shared" si="37"/>
        <v>2</v>
      </c>
      <c r="Q475">
        <v>0</v>
      </c>
      <c r="R475">
        <v>3.3</v>
      </c>
      <c r="S475">
        <v>1.87</v>
      </c>
      <c r="T475" s="112" t="s">
        <v>64</v>
      </c>
      <c r="U475" s="137" t="s">
        <v>1350</v>
      </c>
      <c r="V475" s="137" t="s">
        <v>1351</v>
      </c>
      <c r="W475" s="69">
        <v>69</v>
      </c>
      <c r="X475" s="136">
        <v>2</v>
      </c>
      <c r="Y475" s="136">
        <v>4</v>
      </c>
      <c r="Z475" s="314"/>
      <c r="AA475" s="319">
        <v>0.55000000000000004</v>
      </c>
      <c r="AB475" s="315" t="s">
        <v>5176</v>
      </c>
      <c r="AC475" s="319">
        <v>1</v>
      </c>
      <c r="AD475" s="320">
        <v>2.4390243902439001E-2</v>
      </c>
      <c r="AE475" s="319">
        <v>2</v>
      </c>
      <c r="AF475" s="320">
        <v>4.8780487804878002E-2</v>
      </c>
      <c r="AG475" s="319">
        <v>0</v>
      </c>
      <c r="AH475" s="320">
        <v>0</v>
      </c>
      <c r="AI475" s="319">
        <v>0</v>
      </c>
      <c r="AJ475" s="320">
        <v>0</v>
      </c>
      <c r="AK475" s="320">
        <v>2.4390243902439029E-2</v>
      </c>
      <c r="AL475" s="319">
        <v>5</v>
      </c>
      <c r="AM475" s="319">
        <v>6.2</v>
      </c>
      <c r="AN475" s="319">
        <v>2</v>
      </c>
      <c r="AO475" s="319">
        <v>0.44</v>
      </c>
      <c r="AP475">
        <v>4</v>
      </c>
      <c r="AQ475">
        <v>4</v>
      </c>
      <c r="AR475" s="136"/>
      <c r="AT475" s="69">
        <v>2.3148</v>
      </c>
      <c r="AU475" s="69">
        <v>5</v>
      </c>
      <c r="AV475" s="69">
        <v>2.3148</v>
      </c>
      <c r="AW475" s="69">
        <v>0.32100000000000001</v>
      </c>
      <c r="BB475" s="69"/>
    </row>
    <row r="476" spans="1:54" customFormat="1" ht="40" customHeight="1">
      <c r="A476" s="313">
        <v>475</v>
      </c>
      <c r="B476" s="136" t="s">
        <v>1222</v>
      </c>
      <c r="C476" s="136" t="s">
        <v>119</v>
      </c>
      <c r="D476" s="31">
        <f t="shared" si="34"/>
        <v>1</v>
      </c>
      <c r="E476" s="137" t="s">
        <v>46</v>
      </c>
      <c r="F476" s="31">
        <f t="shared" si="35"/>
        <v>6</v>
      </c>
      <c r="G476" s="137" t="s">
        <v>1352</v>
      </c>
      <c r="H476" s="138">
        <v>193</v>
      </c>
      <c r="I476" s="158">
        <f t="shared" si="36"/>
        <v>0.35501457877762915</v>
      </c>
      <c r="J476" s="95">
        <v>1.13242748511766E-14</v>
      </c>
      <c r="K476" s="137">
        <v>0.71002915755524698</v>
      </c>
      <c r="L476" s="137">
        <v>0.75</v>
      </c>
      <c r="M476" s="137">
        <v>0.65007289388811795</v>
      </c>
      <c r="N476" s="136">
        <v>1</v>
      </c>
      <c r="O476" s="32">
        <v>43461</v>
      </c>
      <c r="P476" s="98">
        <f t="shared" si="37"/>
        <v>2</v>
      </c>
      <c r="Q476">
        <v>0</v>
      </c>
      <c r="R476">
        <v>3.3</v>
      </c>
      <c r="S476">
        <v>1.87</v>
      </c>
      <c r="T476" s="112" t="s">
        <v>64</v>
      </c>
      <c r="U476" s="137" t="s">
        <v>1350</v>
      </c>
      <c r="V476" s="137" t="s">
        <v>1351</v>
      </c>
      <c r="W476" s="69">
        <v>69</v>
      </c>
      <c r="X476" s="136">
        <v>2</v>
      </c>
      <c r="Y476" s="136">
        <v>6</v>
      </c>
      <c r="Z476" s="314"/>
      <c r="AA476" s="319">
        <v>0.55000000000000004</v>
      </c>
      <c r="AB476" s="315" t="s">
        <v>5176</v>
      </c>
      <c r="AC476" s="319">
        <v>1</v>
      </c>
      <c r="AD476" s="320">
        <v>2.4390243902439001E-2</v>
      </c>
      <c r="AE476" s="319">
        <v>2</v>
      </c>
      <c r="AF476" s="320">
        <v>4.8780487804878002E-2</v>
      </c>
      <c r="AG476" s="319">
        <v>0</v>
      </c>
      <c r="AH476" s="320">
        <v>0</v>
      </c>
      <c r="AI476" s="319">
        <v>0</v>
      </c>
      <c r="AJ476" s="320">
        <v>0</v>
      </c>
      <c r="AK476" s="320">
        <v>2.4390243902439029E-2</v>
      </c>
      <c r="AL476" s="319">
        <v>5</v>
      </c>
      <c r="AM476" s="319">
        <v>6.2</v>
      </c>
      <c r="AN476" s="319">
        <v>2</v>
      </c>
      <c r="AO476" s="319">
        <v>0.44</v>
      </c>
      <c r="AP476">
        <v>6</v>
      </c>
      <c r="AQ476">
        <v>6</v>
      </c>
      <c r="AR476" s="136"/>
      <c r="AT476" s="69">
        <v>2.3148</v>
      </c>
      <c r="AU476" s="69">
        <v>5</v>
      </c>
      <c r="AV476" s="69">
        <v>2.3148</v>
      </c>
      <c r="AW476" s="69">
        <v>0.32100000000000001</v>
      </c>
      <c r="BB476" s="69"/>
    </row>
    <row r="477" spans="1:54" customFormat="1" ht="40" customHeight="1">
      <c r="A477" s="313">
        <v>476</v>
      </c>
      <c r="B477" s="136" t="s">
        <v>1222</v>
      </c>
      <c r="C477" s="136" t="s">
        <v>45</v>
      </c>
      <c r="D477" s="31">
        <f t="shared" si="34"/>
        <v>4</v>
      </c>
      <c r="E477" s="137" t="s">
        <v>1223</v>
      </c>
      <c r="F477" s="31">
        <f t="shared" si="35"/>
        <v>8</v>
      </c>
      <c r="G477" s="137" t="s">
        <v>1353</v>
      </c>
      <c r="H477" s="138">
        <v>359</v>
      </c>
      <c r="I477" s="158">
        <f t="shared" si="36"/>
        <v>0.74782129868772507</v>
      </c>
      <c r="J477" s="95">
        <v>0.99999999056678401</v>
      </c>
      <c r="K477" s="137">
        <v>0.49564260680866601</v>
      </c>
      <c r="L477" s="137">
        <v>0.3498805351573</v>
      </c>
      <c r="M477" s="137">
        <v>0.71428571428571397</v>
      </c>
      <c r="N477" s="136">
        <v>1</v>
      </c>
      <c r="O477" s="32">
        <v>43456</v>
      </c>
      <c r="P477" s="98">
        <f t="shared" si="37"/>
        <v>0</v>
      </c>
      <c r="Q477">
        <v>2.5499999999999998</v>
      </c>
      <c r="R477">
        <v>1.65</v>
      </c>
      <c r="S477">
        <v>1.87</v>
      </c>
      <c r="T477" s="112" t="s">
        <v>48</v>
      </c>
      <c r="U477" s="137" t="s">
        <v>1354</v>
      </c>
      <c r="V477" s="137" t="s">
        <v>1355</v>
      </c>
      <c r="W477" s="69">
        <v>78</v>
      </c>
      <c r="X477" s="136">
        <v>1</v>
      </c>
      <c r="Y477" s="136">
        <v>4</v>
      </c>
      <c r="Z477" s="314"/>
      <c r="AA477" s="319">
        <v>6.1704902043339699E-5</v>
      </c>
      <c r="AB477" s="315" t="s">
        <v>5177</v>
      </c>
      <c r="AC477" s="319">
        <v>0</v>
      </c>
      <c r="AD477" s="320">
        <v>0</v>
      </c>
      <c r="AE477" s="319">
        <v>2</v>
      </c>
      <c r="AF477" s="320">
        <v>4.7619047619047603E-2</v>
      </c>
      <c r="AG477" s="319">
        <v>2</v>
      </c>
      <c r="AH477" s="320">
        <v>4.7619047619047603E-2</v>
      </c>
      <c r="AI477" s="319">
        <v>0</v>
      </c>
      <c r="AJ477" s="320">
        <v>0</v>
      </c>
      <c r="AK477" s="320">
        <v>2.3809523809523812E-2</v>
      </c>
      <c r="AL477" s="319">
        <v>5</v>
      </c>
      <c r="AM477" s="319">
        <v>5</v>
      </c>
      <c r="AN477" s="319">
        <v>6.1666666666666599</v>
      </c>
      <c r="AO477" s="319">
        <v>0.53888888888888797</v>
      </c>
      <c r="AP477">
        <v>4</v>
      </c>
      <c r="AR477" s="136"/>
      <c r="AS477">
        <v>4</v>
      </c>
      <c r="AT477" s="69">
        <v>2.3148</v>
      </c>
      <c r="AU477" s="69">
        <v>2.3148</v>
      </c>
      <c r="AV477" s="69">
        <v>9.5120000000000005</v>
      </c>
      <c r="AW477" s="69">
        <v>0.47139999999999999</v>
      </c>
      <c r="BB477" s="69"/>
    </row>
    <row r="478" spans="1:54" customFormat="1" ht="40" customHeight="1">
      <c r="A478" s="313">
        <v>477</v>
      </c>
      <c r="B478" s="136" t="s">
        <v>1222</v>
      </c>
      <c r="C478" s="136" t="s">
        <v>45</v>
      </c>
      <c r="D478" s="31">
        <f t="shared" si="34"/>
        <v>4</v>
      </c>
      <c r="E478" s="137" t="s">
        <v>80</v>
      </c>
      <c r="F478" s="31">
        <f t="shared" si="35"/>
        <v>4</v>
      </c>
      <c r="G478" s="137" t="s">
        <v>1356</v>
      </c>
      <c r="H478" s="138">
        <v>102</v>
      </c>
      <c r="I478" s="158">
        <f t="shared" si="36"/>
        <v>0.87551282935285246</v>
      </c>
      <c r="J478" s="95">
        <v>0.99999999056678401</v>
      </c>
      <c r="K478" s="137">
        <v>0.75102566813892102</v>
      </c>
      <c r="L478" s="137">
        <v>0.75</v>
      </c>
      <c r="M478" s="137">
        <v>0.75256417034730305</v>
      </c>
      <c r="N478" s="136">
        <v>1</v>
      </c>
      <c r="O478" s="32">
        <v>43456</v>
      </c>
      <c r="P478" s="98">
        <f t="shared" si="37"/>
        <v>0</v>
      </c>
      <c r="Q478">
        <v>2.5499999999999998</v>
      </c>
      <c r="R478">
        <v>1.65</v>
      </c>
      <c r="S478">
        <v>1.87</v>
      </c>
      <c r="T478" s="112" t="s">
        <v>48</v>
      </c>
      <c r="U478" s="137" t="s">
        <v>1357</v>
      </c>
      <c r="V478" s="137" t="s">
        <v>1358</v>
      </c>
      <c r="W478" s="69">
        <v>122</v>
      </c>
      <c r="X478" s="136">
        <v>2</v>
      </c>
      <c r="Y478" s="136">
        <v>3</v>
      </c>
      <c r="Z478" s="314"/>
      <c r="AA478" s="319">
        <v>0.60499999999999998</v>
      </c>
      <c r="AB478" s="315" t="s">
        <v>5177</v>
      </c>
      <c r="AC478" s="319">
        <v>0</v>
      </c>
      <c r="AD478" s="320">
        <v>0</v>
      </c>
      <c r="AE478" s="319">
        <v>2</v>
      </c>
      <c r="AF478" s="320">
        <v>2.8571428571428501E-2</v>
      </c>
      <c r="AG478" s="319">
        <v>2</v>
      </c>
      <c r="AH478" s="320">
        <v>2.8571428571428501E-2</v>
      </c>
      <c r="AI478" s="319">
        <v>0</v>
      </c>
      <c r="AJ478" s="320">
        <v>0</v>
      </c>
      <c r="AK478" s="320">
        <v>1.428571428571429E-2</v>
      </c>
      <c r="AL478" s="319">
        <v>5</v>
      </c>
      <c r="AM478" s="319">
        <v>6.2</v>
      </c>
      <c r="AN478" s="319">
        <v>3.5</v>
      </c>
      <c r="AO478" s="319">
        <v>0.49</v>
      </c>
      <c r="AP478" s="319">
        <v>3</v>
      </c>
      <c r="AR478" s="136"/>
      <c r="AT478" s="69">
        <v>2.3148</v>
      </c>
      <c r="AU478" s="69">
        <v>5</v>
      </c>
      <c r="AV478" s="69">
        <v>5.7443999999999997</v>
      </c>
      <c r="AW478" s="69">
        <v>0.43530000000000002</v>
      </c>
      <c r="BB478" s="69"/>
    </row>
    <row r="479" spans="1:54" customFormat="1" ht="40" customHeight="1">
      <c r="A479" s="313">
        <v>478</v>
      </c>
      <c r="B479" s="136" t="s">
        <v>1222</v>
      </c>
      <c r="C479" s="136" t="s">
        <v>45</v>
      </c>
      <c r="D479" s="31">
        <f t="shared" si="34"/>
        <v>4</v>
      </c>
      <c r="E479" s="137" t="s">
        <v>1223</v>
      </c>
      <c r="F479" s="31">
        <f t="shared" si="35"/>
        <v>8</v>
      </c>
      <c r="G479" s="137" t="s">
        <v>1359</v>
      </c>
      <c r="H479" s="138">
        <v>136</v>
      </c>
      <c r="I479" s="158">
        <f t="shared" si="36"/>
        <v>0.3286397284207665</v>
      </c>
      <c r="J479" s="95">
        <v>0</v>
      </c>
      <c r="K479" s="137">
        <v>0.65727945684153299</v>
      </c>
      <c r="L479" s="137">
        <v>0.56348610067618299</v>
      </c>
      <c r="M479" s="137">
        <v>0.79796949108955795</v>
      </c>
      <c r="N479" s="136">
        <v>1</v>
      </c>
      <c r="O479" s="32">
        <v>43453</v>
      </c>
      <c r="P479" s="98">
        <f t="shared" si="37"/>
        <v>0</v>
      </c>
      <c r="Q479">
        <v>2.5499999999999998</v>
      </c>
      <c r="R479">
        <v>1.65</v>
      </c>
      <c r="S479">
        <v>0</v>
      </c>
      <c r="T479" s="112" t="s">
        <v>48</v>
      </c>
      <c r="U479" s="137" t="s">
        <v>1360</v>
      </c>
      <c r="V479" s="137" t="s">
        <v>1361</v>
      </c>
      <c r="W479" s="69">
        <v>111</v>
      </c>
      <c r="X479" s="136">
        <v>2</v>
      </c>
      <c r="Y479" s="136">
        <v>2</v>
      </c>
      <c r="Z479" s="314"/>
      <c r="AA479" s="319">
        <v>2.7133952260485799E-2</v>
      </c>
      <c r="AB479" s="315" t="s">
        <v>5168</v>
      </c>
      <c r="AC479" s="319">
        <v>0</v>
      </c>
      <c r="AD479" s="320">
        <v>0</v>
      </c>
      <c r="AE479" s="319">
        <v>2</v>
      </c>
      <c r="AF479" s="320">
        <v>3.1746031746031703E-2</v>
      </c>
      <c r="AG479" s="319">
        <v>3</v>
      </c>
      <c r="AH479" s="320">
        <v>4.7619047619047603E-2</v>
      </c>
      <c r="AI479" s="319">
        <v>0</v>
      </c>
      <c r="AJ479" s="320">
        <v>0</v>
      </c>
      <c r="AK479" s="320">
        <v>6.3492063492063489E-2</v>
      </c>
      <c r="AL479" s="319">
        <v>5</v>
      </c>
      <c r="AM479" s="319">
        <v>5</v>
      </c>
      <c r="AN479" s="319">
        <v>4.6666666666666599</v>
      </c>
      <c r="AO479" s="319">
        <v>0.48888888888888798</v>
      </c>
      <c r="AP479">
        <v>2</v>
      </c>
      <c r="AR479" s="136"/>
      <c r="AS479">
        <v>2</v>
      </c>
      <c r="AT479" s="69">
        <v>2.3148</v>
      </c>
      <c r="AU479" s="69">
        <v>2.3148</v>
      </c>
      <c r="AV479" s="69">
        <v>8.1305999999999994</v>
      </c>
      <c r="AW479" s="69">
        <v>0.42530000000000001</v>
      </c>
      <c r="BB479" s="69"/>
    </row>
    <row r="480" spans="1:54" customFormat="1" ht="40" customHeight="1">
      <c r="A480" s="313">
        <v>479</v>
      </c>
      <c r="B480" s="136" t="s">
        <v>1222</v>
      </c>
      <c r="C480" s="136" t="s">
        <v>45</v>
      </c>
      <c r="D480" s="31">
        <f t="shared" si="34"/>
        <v>4</v>
      </c>
      <c r="E480" s="137" t="s">
        <v>80</v>
      </c>
      <c r="F480" s="31">
        <f t="shared" si="35"/>
        <v>4</v>
      </c>
      <c r="G480" s="137" t="s">
        <v>938</v>
      </c>
      <c r="H480" s="138">
        <v>47</v>
      </c>
      <c r="I480" s="158">
        <f t="shared" si="36"/>
        <v>0.85492744260763998</v>
      </c>
      <c r="J480" s="95">
        <v>0.99982572766003297</v>
      </c>
      <c r="K480" s="137">
        <v>0.71002915755524698</v>
      </c>
      <c r="L480" s="137">
        <v>0.75</v>
      </c>
      <c r="M480" s="137">
        <v>0.65007289388811795</v>
      </c>
      <c r="N480" s="136">
        <v>1</v>
      </c>
      <c r="O480" s="32">
        <v>43447</v>
      </c>
      <c r="P480" s="98">
        <f t="shared" si="37"/>
        <v>0</v>
      </c>
      <c r="Q480">
        <v>5.0999999999999996</v>
      </c>
      <c r="R480">
        <v>1.65</v>
      </c>
      <c r="S480">
        <v>0</v>
      </c>
      <c r="T480" s="112" t="s">
        <v>48</v>
      </c>
      <c r="U480" s="137" t="s">
        <v>1362</v>
      </c>
      <c r="V480" s="137" t="s">
        <v>1363</v>
      </c>
      <c r="W480" s="69">
        <v>77</v>
      </c>
      <c r="X480" s="136">
        <v>2</v>
      </c>
      <c r="Y480" s="136">
        <v>6</v>
      </c>
      <c r="Z480" s="314"/>
      <c r="AA480" s="319">
        <v>0.5</v>
      </c>
      <c r="AB480" s="315" t="s">
        <v>5193</v>
      </c>
      <c r="AC480" s="319">
        <v>2</v>
      </c>
      <c r="AD480" s="320">
        <v>4.6511627906976702E-2</v>
      </c>
      <c r="AE480" s="319">
        <v>2</v>
      </c>
      <c r="AF480" s="320">
        <v>4.6511627906976702E-2</v>
      </c>
      <c r="AG480" s="319">
        <v>0</v>
      </c>
      <c r="AH480" s="320">
        <v>0</v>
      </c>
      <c r="AI480" s="319">
        <v>2</v>
      </c>
      <c r="AJ480" s="320">
        <v>4.6511627906976702E-2</v>
      </c>
      <c r="AK480" s="320">
        <v>0</v>
      </c>
      <c r="AL480" s="319">
        <v>6.75</v>
      </c>
      <c r="AM480" s="319">
        <v>5</v>
      </c>
      <c r="AN480" s="319">
        <v>7.3333333333333304</v>
      </c>
      <c r="AO480" s="319">
        <v>0.63611111111111096</v>
      </c>
      <c r="AP480">
        <v>6</v>
      </c>
      <c r="AR480" s="136"/>
      <c r="AS480">
        <v>6</v>
      </c>
      <c r="AT480" s="69">
        <v>6.3414000000000001</v>
      </c>
      <c r="AU480" s="69">
        <v>2.3148</v>
      </c>
      <c r="AV480" s="69">
        <v>9.8416999999999994</v>
      </c>
      <c r="AW480" s="69">
        <v>0.61660000000000004</v>
      </c>
      <c r="BB480" s="69"/>
    </row>
    <row r="481" spans="1:54" customFormat="1" ht="40" customHeight="1">
      <c r="A481" s="313">
        <v>480</v>
      </c>
      <c r="B481" s="136" t="s">
        <v>1222</v>
      </c>
      <c r="C481" s="136" t="s">
        <v>45</v>
      </c>
      <c r="D481" s="31">
        <f t="shared" si="34"/>
        <v>4</v>
      </c>
      <c r="E481" s="137" t="s">
        <v>46</v>
      </c>
      <c r="F481" s="31">
        <f t="shared" si="35"/>
        <v>6</v>
      </c>
      <c r="G481" s="137" t="s">
        <v>1364</v>
      </c>
      <c r="H481" s="138">
        <v>950</v>
      </c>
      <c r="I481" s="158">
        <f t="shared" si="36"/>
        <v>0.28256449475793888</v>
      </c>
      <c r="J481" s="95">
        <v>1.08424972777854E-7</v>
      </c>
      <c r="K481" s="137">
        <v>0.56512888109090498</v>
      </c>
      <c r="L481" s="137">
        <v>0.465690992294366</v>
      </c>
      <c r="M481" s="137">
        <v>0.71428571428571397</v>
      </c>
      <c r="N481" s="136">
        <v>0</v>
      </c>
      <c r="O481" s="32">
        <v>43442</v>
      </c>
      <c r="P481" s="98">
        <f t="shared" si="37"/>
        <v>0</v>
      </c>
      <c r="Q481">
        <v>10.199999999999999</v>
      </c>
      <c r="R481">
        <v>1.65</v>
      </c>
      <c r="S481">
        <v>1.87</v>
      </c>
      <c r="T481" s="112" t="s">
        <v>48</v>
      </c>
      <c r="U481" s="137" t="s">
        <v>1365</v>
      </c>
      <c r="V481" s="137" t="s">
        <v>1366</v>
      </c>
      <c r="W481" s="69">
        <v>116</v>
      </c>
      <c r="X481" s="136">
        <v>1</v>
      </c>
      <c r="Y481" s="136">
        <v>4</v>
      </c>
      <c r="Z481" s="314"/>
      <c r="AA481" s="319">
        <v>1.3385261753998299E-3</v>
      </c>
      <c r="AB481" s="315" t="s">
        <v>5176</v>
      </c>
      <c r="AC481" s="319">
        <v>1</v>
      </c>
      <c r="AD481" s="320">
        <v>1.5873015873015799E-2</v>
      </c>
      <c r="AE481" s="319">
        <v>2</v>
      </c>
      <c r="AF481" s="320">
        <v>3.1746031746031703E-2</v>
      </c>
      <c r="AG481" s="319">
        <v>1</v>
      </c>
      <c r="AH481" s="320">
        <v>1.5873015873015799E-2</v>
      </c>
      <c r="AI481" s="319">
        <v>1</v>
      </c>
      <c r="AJ481" s="320">
        <v>1.5873015873015799E-2</v>
      </c>
      <c r="AK481" s="320">
        <v>0</v>
      </c>
      <c r="AL481" s="319">
        <v>9.0357142857142794</v>
      </c>
      <c r="AM481" s="319">
        <v>7.4</v>
      </c>
      <c r="AN481" s="319">
        <v>7.6666666666666599</v>
      </c>
      <c r="AO481" s="319">
        <v>0.80341269841269802</v>
      </c>
      <c r="AP481">
        <v>4</v>
      </c>
      <c r="AR481" s="136"/>
      <c r="AS481">
        <v>4</v>
      </c>
      <c r="AT481" s="69">
        <v>9.4480000000000004</v>
      </c>
      <c r="AU481" s="69">
        <v>7.6852</v>
      </c>
      <c r="AV481" s="69">
        <v>9.8867999999999991</v>
      </c>
      <c r="AW481" s="69">
        <v>0.90069999999999995</v>
      </c>
      <c r="BB481" s="69"/>
    </row>
    <row r="482" spans="1:54" customFormat="1" ht="40" customHeight="1">
      <c r="A482" s="313">
        <v>481</v>
      </c>
      <c r="B482" s="136" t="s">
        <v>1222</v>
      </c>
      <c r="C482" s="136" t="s">
        <v>59</v>
      </c>
      <c r="D482" s="31">
        <f t="shared" si="34"/>
        <v>5</v>
      </c>
      <c r="E482" s="137" t="s">
        <v>80</v>
      </c>
      <c r="F482" s="31">
        <f t="shared" si="35"/>
        <v>4</v>
      </c>
      <c r="G482" s="137" t="s">
        <v>1367</v>
      </c>
      <c r="H482" s="138">
        <v>143</v>
      </c>
      <c r="I482" s="158">
        <f t="shared" si="36"/>
        <v>0.34742540759523921</v>
      </c>
      <c r="J482" s="95">
        <v>4.5620385283440297E-5</v>
      </c>
      <c r="K482" s="137">
        <v>0.69480519480519498</v>
      </c>
      <c r="L482" s="137">
        <v>0.68181818181818199</v>
      </c>
      <c r="M482" s="137">
        <v>0.71428571428571397</v>
      </c>
      <c r="N482" s="136">
        <v>1</v>
      </c>
      <c r="O482" s="32">
        <v>43433</v>
      </c>
      <c r="P482" s="98">
        <f t="shared" si="37"/>
        <v>0</v>
      </c>
      <c r="Q482">
        <v>2.5499999999999998</v>
      </c>
      <c r="R482">
        <v>1.65</v>
      </c>
      <c r="S482">
        <v>0</v>
      </c>
      <c r="T482" s="112" t="s">
        <v>48</v>
      </c>
      <c r="U482" s="137" t="s">
        <v>1368</v>
      </c>
      <c r="V482" s="137" t="s">
        <v>1369</v>
      </c>
      <c r="W482" s="69">
        <v>81</v>
      </c>
      <c r="X482" s="136">
        <v>1</v>
      </c>
      <c r="Y482" s="136">
        <v>4</v>
      </c>
      <c r="Z482" s="314"/>
      <c r="AA482" s="319">
        <v>0.54500000000000004</v>
      </c>
      <c r="AB482" s="315" t="s">
        <v>5176</v>
      </c>
      <c r="AC482" s="319">
        <v>0</v>
      </c>
      <c r="AD482" s="320">
        <v>0</v>
      </c>
      <c r="AE482" s="319">
        <v>3</v>
      </c>
      <c r="AF482" s="320">
        <v>6.3829787234042507E-2</v>
      </c>
      <c r="AG482" s="319">
        <v>2</v>
      </c>
      <c r="AH482" s="320">
        <v>4.2553191489361701E-2</v>
      </c>
      <c r="AI482" s="319">
        <v>0</v>
      </c>
      <c r="AJ482" s="320">
        <v>0</v>
      </c>
      <c r="AK482" s="320">
        <v>6.3829787234042548E-2</v>
      </c>
      <c r="AL482" s="319">
        <v>6.75</v>
      </c>
      <c r="AM482" s="319">
        <v>6.2</v>
      </c>
      <c r="AN482" s="319">
        <v>5</v>
      </c>
      <c r="AO482" s="319">
        <v>0.59833333333333305</v>
      </c>
      <c r="AP482">
        <v>4</v>
      </c>
      <c r="AQ482">
        <v>4</v>
      </c>
      <c r="AR482" s="136"/>
      <c r="AT482" s="69">
        <v>6.3414000000000001</v>
      </c>
      <c r="AU482" s="69">
        <v>5</v>
      </c>
      <c r="AV482" s="69">
        <v>8.5815000000000001</v>
      </c>
      <c r="AW482" s="69">
        <v>0.66410000000000002</v>
      </c>
      <c r="BB482" s="69"/>
    </row>
    <row r="483" spans="1:54" customFormat="1" ht="40" customHeight="1">
      <c r="A483" s="313">
        <v>482</v>
      </c>
      <c r="B483" s="136" t="s">
        <v>1222</v>
      </c>
      <c r="C483" s="136" t="s">
        <v>45</v>
      </c>
      <c r="D483" s="31">
        <f t="shared" si="34"/>
        <v>4</v>
      </c>
      <c r="E483" s="137" t="s">
        <v>1223</v>
      </c>
      <c r="F483" s="31">
        <f t="shared" si="35"/>
        <v>8</v>
      </c>
      <c r="G483" s="137" t="s">
        <v>1370</v>
      </c>
      <c r="H483" s="138">
        <v>43</v>
      </c>
      <c r="I483" s="158">
        <f t="shared" si="36"/>
        <v>0.34418779643582298</v>
      </c>
      <c r="J483" s="95">
        <v>0</v>
      </c>
      <c r="K483" s="137">
        <v>0.68837559287164596</v>
      </c>
      <c r="L483" s="137">
        <v>0.75</v>
      </c>
      <c r="M483" s="137">
        <v>0.59593898217911601</v>
      </c>
      <c r="N483" s="136">
        <v>1</v>
      </c>
      <c r="O483" s="32">
        <v>43433</v>
      </c>
      <c r="P483" s="98">
        <f t="shared" si="37"/>
        <v>1</v>
      </c>
      <c r="Q483">
        <v>0</v>
      </c>
      <c r="R483">
        <v>0</v>
      </c>
      <c r="S483">
        <v>0</v>
      </c>
      <c r="T483" s="112" t="s">
        <v>73</v>
      </c>
      <c r="U483" s="137" t="s">
        <v>1371</v>
      </c>
      <c r="V483" s="137" t="s">
        <v>1372</v>
      </c>
      <c r="W483" s="69">
        <v>84</v>
      </c>
      <c r="X483" s="136">
        <v>1</v>
      </c>
      <c r="Y483" s="136">
        <v>8</v>
      </c>
      <c r="Z483" s="314"/>
      <c r="AA483" s="319">
        <v>0.54500000000000004</v>
      </c>
      <c r="AB483" s="315" t="s">
        <v>5165</v>
      </c>
      <c r="AC483" s="319">
        <v>3</v>
      </c>
      <c r="AD483" s="320">
        <v>6.9767441860465101E-2</v>
      </c>
      <c r="AE483" s="319">
        <v>0</v>
      </c>
      <c r="AF483" s="320">
        <v>0</v>
      </c>
      <c r="AG483" s="319">
        <v>2</v>
      </c>
      <c r="AH483" s="320">
        <v>4.6511627906976702E-2</v>
      </c>
      <c r="AI483" s="319">
        <v>0</v>
      </c>
      <c r="AJ483" s="320">
        <v>0</v>
      </c>
      <c r="AK483" s="320">
        <v>0</v>
      </c>
      <c r="AL483" s="319">
        <v>5</v>
      </c>
      <c r="AM483" s="319">
        <v>5</v>
      </c>
      <c r="AN483" s="319">
        <v>4.6666666666666599</v>
      </c>
      <c r="AO483" s="319">
        <v>0.48888888888888798</v>
      </c>
      <c r="AP483" s="319">
        <v>8</v>
      </c>
      <c r="AR483" s="136"/>
      <c r="AT483" s="69">
        <v>2.3148</v>
      </c>
      <c r="AU483" s="69">
        <v>2.3148</v>
      </c>
      <c r="AV483" s="69">
        <v>8.1305999999999994</v>
      </c>
      <c r="AW483" s="69">
        <v>0.42530000000000001</v>
      </c>
      <c r="BB483" s="69"/>
    </row>
    <row r="484" spans="1:54" customFormat="1" ht="40" customHeight="1">
      <c r="A484" s="313">
        <v>483</v>
      </c>
      <c r="B484" s="136" t="s">
        <v>1222</v>
      </c>
      <c r="C484" s="136" t="s">
        <v>45</v>
      </c>
      <c r="D484" s="31">
        <f t="shared" si="34"/>
        <v>4</v>
      </c>
      <c r="E484" s="137" t="s">
        <v>46</v>
      </c>
      <c r="F484" s="31">
        <f t="shared" si="35"/>
        <v>6</v>
      </c>
      <c r="G484" s="137" t="s">
        <v>1373</v>
      </c>
      <c r="H484" s="138">
        <v>222</v>
      </c>
      <c r="I484" s="158">
        <f t="shared" si="36"/>
        <v>0.43010269942461854</v>
      </c>
      <c r="J484" s="95">
        <v>0.36824625729246202</v>
      </c>
      <c r="K484" s="137">
        <v>0.491959141556775</v>
      </c>
      <c r="L484" s="137">
        <v>0.61983471074380103</v>
      </c>
      <c r="M484" s="137">
        <v>0.30014578777623502</v>
      </c>
      <c r="N484" s="136">
        <v>1</v>
      </c>
      <c r="O484" s="32">
        <v>43423</v>
      </c>
      <c r="P484" s="98">
        <f t="shared" si="37"/>
        <v>1</v>
      </c>
      <c r="Q484">
        <v>2.5499999999999998</v>
      </c>
      <c r="R484">
        <v>3.3</v>
      </c>
      <c r="S484">
        <v>1.87</v>
      </c>
      <c r="T484" s="112" t="s">
        <v>73</v>
      </c>
      <c r="U484" s="137" t="s">
        <v>1374</v>
      </c>
      <c r="V484" s="137" t="s">
        <v>1375</v>
      </c>
      <c r="W484" s="69">
        <v>60</v>
      </c>
      <c r="X484" s="136">
        <v>2</v>
      </c>
      <c r="Y484" s="136">
        <v>24</v>
      </c>
      <c r="Z484" s="314"/>
      <c r="AA484" s="319">
        <v>3.0661366054349E-2</v>
      </c>
      <c r="AB484" s="315" t="s">
        <v>5165</v>
      </c>
      <c r="AC484" s="319">
        <v>2</v>
      </c>
      <c r="AD484" s="320">
        <v>5.8823529411764698E-2</v>
      </c>
      <c r="AE484" s="319">
        <v>1</v>
      </c>
      <c r="AF484" s="320">
        <v>2.94117647058823E-2</v>
      </c>
      <c r="AG484" s="319">
        <v>1</v>
      </c>
      <c r="AH484" s="320">
        <v>2.94117647058823E-2</v>
      </c>
      <c r="AI484" s="319">
        <v>1</v>
      </c>
      <c r="AJ484" s="320">
        <v>2.94117647058823E-2</v>
      </c>
      <c r="AK484" s="320">
        <v>0</v>
      </c>
      <c r="AL484" s="319">
        <v>6.75</v>
      </c>
      <c r="AM484" s="319">
        <v>7.4</v>
      </c>
      <c r="AN484" s="319">
        <v>6.1666666666666599</v>
      </c>
      <c r="AO484" s="319">
        <v>0.67722222222222195</v>
      </c>
      <c r="AP484">
        <v>24</v>
      </c>
      <c r="AR484" s="136"/>
      <c r="AS484">
        <v>24</v>
      </c>
      <c r="AT484" s="69">
        <v>6.3414000000000001</v>
      </c>
      <c r="AU484" s="69">
        <v>7.6852</v>
      </c>
      <c r="AV484" s="69">
        <v>9.5120000000000005</v>
      </c>
      <c r="AW484" s="69">
        <v>0.78459999999999996</v>
      </c>
      <c r="BB484" s="69"/>
    </row>
    <row r="485" spans="1:54" customFormat="1" ht="40" customHeight="1">
      <c r="A485" s="313">
        <v>484</v>
      </c>
      <c r="B485" s="136" t="s">
        <v>1222</v>
      </c>
      <c r="C485" s="136" t="s">
        <v>45</v>
      </c>
      <c r="D485" s="31">
        <f t="shared" si="34"/>
        <v>4</v>
      </c>
      <c r="E485" s="137" t="s">
        <v>1223</v>
      </c>
      <c r="F485" s="31">
        <f t="shared" si="35"/>
        <v>8</v>
      </c>
      <c r="G485" s="137" t="s">
        <v>1376</v>
      </c>
      <c r="H485" s="138">
        <v>89</v>
      </c>
      <c r="I485" s="158">
        <f t="shared" si="36"/>
        <v>0.50626230822734897</v>
      </c>
      <c r="J485" s="95">
        <v>0.56387260426512398</v>
      </c>
      <c r="K485" s="137">
        <v>0.44865201218957401</v>
      </c>
      <c r="L485" s="137">
        <v>0.61983471074380203</v>
      </c>
      <c r="M485" s="137">
        <v>0.19187796435823101</v>
      </c>
      <c r="N485" s="136">
        <v>1</v>
      </c>
      <c r="O485" s="32">
        <v>43419</v>
      </c>
      <c r="P485" s="98">
        <f t="shared" si="37"/>
        <v>1</v>
      </c>
      <c r="Q485">
        <v>0</v>
      </c>
      <c r="R485">
        <v>0</v>
      </c>
      <c r="S485">
        <v>0</v>
      </c>
      <c r="T485" s="112" t="s">
        <v>73</v>
      </c>
      <c r="U485" s="137" t="s">
        <v>1377</v>
      </c>
      <c r="V485" s="137" t="s">
        <v>1378</v>
      </c>
      <c r="W485" s="69">
        <v>50</v>
      </c>
      <c r="X485" s="136">
        <v>2</v>
      </c>
      <c r="Y485" s="136">
        <v>32</v>
      </c>
      <c r="Z485" s="314"/>
      <c r="AA485" s="319">
        <v>0.5</v>
      </c>
      <c r="AB485" s="315" t="s">
        <v>5165</v>
      </c>
      <c r="AC485" s="319">
        <v>1</v>
      </c>
      <c r="AD485" s="320">
        <v>3.5714285714285698E-2</v>
      </c>
      <c r="AE485" s="319">
        <v>0</v>
      </c>
      <c r="AF485" s="320">
        <v>0</v>
      </c>
      <c r="AG485" s="319">
        <v>0</v>
      </c>
      <c r="AH485" s="320">
        <v>0</v>
      </c>
      <c r="AI485" s="319">
        <v>0</v>
      </c>
      <c r="AJ485" s="320">
        <v>0</v>
      </c>
      <c r="AK485" s="320">
        <v>0</v>
      </c>
      <c r="AL485" s="319">
        <v>5</v>
      </c>
      <c r="AM485" s="319">
        <v>5</v>
      </c>
      <c r="AN485" s="319">
        <v>4.6666666666666599</v>
      </c>
      <c r="AO485" s="319">
        <v>0.48888888888888798</v>
      </c>
      <c r="AP485">
        <v>32</v>
      </c>
      <c r="AR485" s="136"/>
      <c r="AS485">
        <v>32</v>
      </c>
      <c r="AT485" s="69">
        <v>2.3148</v>
      </c>
      <c r="AU485" s="69">
        <v>2.3148</v>
      </c>
      <c r="AV485" s="69">
        <v>8.1305999999999994</v>
      </c>
      <c r="AW485" s="69">
        <v>0.42530000000000001</v>
      </c>
      <c r="BB485" s="69"/>
    </row>
    <row r="486" spans="1:54" customFormat="1" ht="40" customHeight="1">
      <c r="A486" s="313">
        <v>485</v>
      </c>
      <c r="B486" s="136" t="s">
        <v>1222</v>
      </c>
      <c r="C486" s="136" t="s">
        <v>45</v>
      </c>
      <c r="D486" s="31">
        <f t="shared" si="34"/>
        <v>4</v>
      </c>
      <c r="E486" s="137" t="s">
        <v>80</v>
      </c>
      <c r="F486" s="31">
        <f t="shared" si="35"/>
        <v>4</v>
      </c>
      <c r="G486" s="137" t="s">
        <v>159</v>
      </c>
      <c r="H486" s="138">
        <v>61</v>
      </c>
      <c r="I486" s="158">
        <f t="shared" si="36"/>
        <v>0.38361241370800131</v>
      </c>
      <c r="J486" s="95">
        <v>1.4041599061265199E-7</v>
      </c>
      <c r="K486" s="137">
        <v>0.76722468700001201</v>
      </c>
      <c r="L486" s="137">
        <v>0.82499999999999996</v>
      </c>
      <c r="M486" s="137">
        <v>0.68056171750003003</v>
      </c>
      <c r="N486" s="136">
        <v>1</v>
      </c>
      <c r="O486" s="32">
        <v>43418</v>
      </c>
      <c r="P486" s="98">
        <f t="shared" si="37"/>
        <v>0</v>
      </c>
      <c r="Q486">
        <v>5.0999999999999996</v>
      </c>
      <c r="R486">
        <v>0</v>
      </c>
      <c r="S486">
        <v>0</v>
      </c>
      <c r="T486" s="112" t="s">
        <v>48</v>
      </c>
      <c r="U486" s="137" t="s">
        <v>1379</v>
      </c>
      <c r="V486" s="137" t="s">
        <v>1380</v>
      </c>
      <c r="W486" s="69">
        <v>64</v>
      </c>
      <c r="X486" s="136">
        <v>1</v>
      </c>
      <c r="Y486" s="136">
        <v>5</v>
      </c>
      <c r="Z486" s="314"/>
      <c r="AA486" s="319">
        <v>0.54500000000000004</v>
      </c>
      <c r="AB486" s="315" t="s">
        <v>5181</v>
      </c>
      <c r="AC486" s="319">
        <v>1</v>
      </c>
      <c r="AD486" s="320">
        <v>2.94117647058823E-2</v>
      </c>
      <c r="AE486" s="319">
        <v>1</v>
      </c>
      <c r="AF486" s="320">
        <v>2.94117647058823E-2</v>
      </c>
      <c r="AG486" s="319">
        <v>1</v>
      </c>
      <c r="AH486" s="320">
        <v>2.94117647058823E-2</v>
      </c>
      <c r="AI486" s="319">
        <v>1</v>
      </c>
      <c r="AJ486" s="320">
        <v>2.94117647058823E-2</v>
      </c>
      <c r="AK486" s="320">
        <v>0</v>
      </c>
      <c r="AL486" s="319">
        <v>6.75</v>
      </c>
      <c r="AM486" s="319">
        <v>5</v>
      </c>
      <c r="AN486" s="319">
        <v>4.6666666666666599</v>
      </c>
      <c r="AO486" s="319">
        <v>0.54722222222222205</v>
      </c>
      <c r="AP486">
        <v>5</v>
      </c>
      <c r="AR486" s="136"/>
      <c r="AS486">
        <v>5</v>
      </c>
      <c r="AT486" s="69">
        <v>6.3414000000000001</v>
      </c>
      <c r="AU486" s="69">
        <v>2.3148</v>
      </c>
      <c r="AV486" s="69">
        <v>8.1305999999999994</v>
      </c>
      <c r="AW486" s="69">
        <v>0.55959999999999999</v>
      </c>
      <c r="BB486" s="69"/>
    </row>
    <row r="487" spans="1:54" customFormat="1" ht="40" customHeight="1">
      <c r="A487" s="313">
        <v>486</v>
      </c>
      <c r="B487" s="136" t="s">
        <v>1222</v>
      </c>
      <c r="C487" s="136" t="s">
        <v>45</v>
      </c>
      <c r="D487" s="31">
        <f t="shared" si="34"/>
        <v>4</v>
      </c>
      <c r="E487" s="137" t="s">
        <v>80</v>
      </c>
      <c r="F487" s="31">
        <f t="shared" si="35"/>
        <v>4</v>
      </c>
      <c r="G487" s="137" t="s">
        <v>439</v>
      </c>
      <c r="H487" s="138">
        <v>57</v>
      </c>
      <c r="I487" s="158">
        <f t="shared" si="36"/>
        <v>0.515624301823838</v>
      </c>
      <c r="J487" s="95">
        <v>0.35267717507624802</v>
      </c>
      <c r="K487" s="137">
        <v>0.67857142857142805</v>
      </c>
      <c r="L487" s="137">
        <v>0.75</v>
      </c>
      <c r="M487" s="137">
        <v>0.57142857142857095</v>
      </c>
      <c r="N487" s="136">
        <v>1</v>
      </c>
      <c r="O487" s="32">
        <v>43418</v>
      </c>
      <c r="P487" s="98">
        <f t="shared" si="37"/>
        <v>0</v>
      </c>
      <c r="Q487">
        <v>2.5499999999999998</v>
      </c>
      <c r="R487">
        <v>0</v>
      </c>
      <c r="S487">
        <v>0</v>
      </c>
      <c r="T487" s="112" t="s">
        <v>48</v>
      </c>
      <c r="U487" s="137" t="s">
        <v>1381</v>
      </c>
      <c r="V487" s="137" t="s">
        <v>1382</v>
      </c>
      <c r="W487" s="69">
        <v>80</v>
      </c>
      <c r="X487" s="136">
        <v>3</v>
      </c>
      <c r="Y487" s="136">
        <v>9</v>
      </c>
      <c r="Z487" s="314"/>
      <c r="AA487" s="319">
        <v>0.5</v>
      </c>
      <c r="AB487" s="315" t="s">
        <v>5176</v>
      </c>
      <c r="AC487" s="319">
        <v>1</v>
      </c>
      <c r="AD487" s="320">
        <v>2.27272727272727E-2</v>
      </c>
      <c r="AE487" s="319">
        <v>3</v>
      </c>
      <c r="AF487" s="320">
        <v>6.8181818181818094E-2</v>
      </c>
      <c r="AG487" s="319">
        <v>1</v>
      </c>
      <c r="AH487" s="320">
        <v>2.27272727272727E-2</v>
      </c>
      <c r="AI487" s="319">
        <v>2</v>
      </c>
      <c r="AJ487" s="320">
        <v>4.54545454545454E-2</v>
      </c>
      <c r="AK487" s="320">
        <v>2.2727272727272731E-2</v>
      </c>
      <c r="AL487" s="319">
        <v>5</v>
      </c>
      <c r="AM487" s="319">
        <v>5</v>
      </c>
      <c r="AN487" s="319">
        <v>4.6666666666666599</v>
      </c>
      <c r="AO487" s="319">
        <v>0.48888888888888798</v>
      </c>
      <c r="AP487">
        <v>9</v>
      </c>
      <c r="AR487" s="136"/>
      <c r="AS487">
        <v>9</v>
      </c>
      <c r="AT487" s="69">
        <v>2.3148</v>
      </c>
      <c r="AU487" s="69">
        <v>2.3148</v>
      </c>
      <c r="AV487" s="69">
        <v>8.1305999999999994</v>
      </c>
      <c r="AW487" s="69">
        <v>0.42530000000000001</v>
      </c>
      <c r="BB487" s="69"/>
    </row>
    <row r="488" spans="1:54" customFormat="1" ht="40" customHeight="1">
      <c r="A488" s="313">
        <v>487</v>
      </c>
      <c r="B488" s="136" t="s">
        <v>1222</v>
      </c>
      <c r="C488" s="136" t="s">
        <v>45</v>
      </c>
      <c r="D488" s="31">
        <f t="shared" si="34"/>
        <v>4</v>
      </c>
      <c r="E488" s="137" t="s">
        <v>80</v>
      </c>
      <c r="F488" s="31">
        <f t="shared" si="35"/>
        <v>4</v>
      </c>
      <c r="G488" s="137" t="s">
        <v>159</v>
      </c>
      <c r="H488" s="138">
        <v>49</v>
      </c>
      <c r="I488" s="158">
        <f t="shared" si="36"/>
        <v>0.3760195192674593</v>
      </c>
      <c r="J488" s="95">
        <v>1.01337039599758E-3</v>
      </c>
      <c r="K488" s="137">
        <v>0.75102566813892102</v>
      </c>
      <c r="L488" s="137">
        <v>0.75</v>
      </c>
      <c r="M488" s="137">
        <v>0.75256417034730305</v>
      </c>
      <c r="N488" s="136">
        <v>1</v>
      </c>
      <c r="O488" s="32">
        <v>43409</v>
      </c>
      <c r="P488" s="98">
        <f t="shared" si="37"/>
        <v>0</v>
      </c>
      <c r="Q488">
        <v>5.0999999999999996</v>
      </c>
      <c r="R488">
        <v>0</v>
      </c>
      <c r="S488">
        <v>0</v>
      </c>
      <c r="T488" s="112" t="s">
        <v>48</v>
      </c>
      <c r="U488" s="137" t="s">
        <v>1383</v>
      </c>
      <c r="V488" s="137" t="s">
        <v>1384</v>
      </c>
      <c r="W488" s="69">
        <v>95</v>
      </c>
      <c r="X488" s="136">
        <v>1</v>
      </c>
      <c r="Y488" s="136">
        <v>3</v>
      </c>
      <c r="Z488" s="314"/>
      <c r="AA488" s="319">
        <v>0.59450000000000003</v>
      </c>
      <c r="AB488" s="315" t="s">
        <v>5193</v>
      </c>
      <c r="AC488" s="319">
        <v>1</v>
      </c>
      <c r="AD488" s="320">
        <v>1.8181818181818101E-2</v>
      </c>
      <c r="AE488" s="319">
        <v>1</v>
      </c>
      <c r="AF488" s="320">
        <v>1.8181818181818101E-2</v>
      </c>
      <c r="AG488" s="319">
        <v>0</v>
      </c>
      <c r="AH488" s="320">
        <v>0</v>
      </c>
      <c r="AI488" s="319">
        <v>1</v>
      </c>
      <c r="AJ488" s="320">
        <v>1.8181818181818101E-2</v>
      </c>
      <c r="AK488" s="320">
        <v>0</v>
      </c>
      <c r="AL488" s="319">
        <v>6.75</v>
      </c>
      <c r="AM488" s="319">
        <v>6.2</v>
      </c>
      <c r="AN488" s="319">
        <v>4.6666666666666599</v>
      </c>
      <c r="AO488" s="319">
        <v>0.58722222222222198</v>
      </c>
      <c r="AP488">
        <v>3</v>
      </c>
      <c r="AR488" s="136"/>
      <c r="AS488">
        <v>3</v>
      </c>
      <c r="AT488" s="69">
        <v>6.3414000000000001</v>
      </c>
      <c r="AU488" s="69">
        <v>5</v>
      </c>
      <c r="AV488" s="69">
        <v>8.1305999999999994</v>
      </c>
      <c r="AW488" s="69">
        <v>0.64910000000000001</v>
      </c>
      <c r="BB488" s="69"/>
    </row>
    <row r="489" spans="1:54" customFormat="1" ht="40" customHeight="1">
      <c r="A489" s="313">
        <v>488</v>
      </c>
      <c r="B489" s="136" t="s">
        <v>1222</v>
      </c>
      <c r="C489" s="136" t="s">
        <v>45</v>
      </c>
      <c r="D489" s="31">
        <f t="shared" si="34"/>
        <v>4</v>
      </c>
      <c r="E489" s="137" t="s">
        <v>46</v>
      </c>
      <c r="F489" s="31">
        <f t="shared" si="35"/>
        <v>6</v>
      </c>
      <c r="G489" s="137" t="s">
        <v>1385</v>
      </c>
      <c r="H489" s="138">
        <v>422</v>
      </c>
      <c r="I489" s="158">
        <f t="shared" si="36"/>
        <v>0.28842666400311329</v>
      </c>
      <c r="J489" s="95">
        <v>3.86074728870534E-4</v>
      </c>
      <c r="K489" s="137">
        <v>0.57646725327735604</v>
      </c>
      <c r="L489" s="137">
        <v>0.56348610067618299</v>
      </c>
      <c r="M489" s="137">
        <v>0.59593898217911601</v>
      </c>
      <c r="N489" s="136">
        <v>0</v>
      </c>
      <c r="O489" s="32">
        <v>43394</v>
      </c>
      <c r="P489" s="98">
        <f t="shared" si="37"/>
        <v>0</v>
      </c>
      <c r="Q489">
        <v>5.0999999999999996</v>
      </c>
      <c r="R489">
        <v>3.3</v>
      </c>
      <c r="S489">
        <v>0</v>
      </c>
      <c r="T489" s="112" t="s">
        <v>48</v>
      </c>
      <c r="U489" s="137" t="s">
        <v>1386</v>
      </c>
      <c r="V489" s="137" t="s">
        <v>1387</v>
      </c>
      <c r="W489" s="69">
        <v>88</v>
      </c>
      <c r="X489" s="136">
        <v>3</v>
      </c>
      <c r="Y489" s="136">
        <v>8</v>
      </c>
      <c r="Z489" s="314"/>
      <c r="AA489" s="319">
        <v>0.46363636363636301</v>
      </c>
      <c r="AB489" s="315" t="s">
        <v>5176</v>
      </c>
      <c r="AC489" s="319">
        <v>1</v>
      </c>
      <c r="AD489" s="320">
        <v>2.0833333333333301E-2</v>
      </c>
      <c r="AE489" s="319">
        <v>2</v>
      </c>
      <c r="AF489" s="320">
        <v>4.1666666666666602E-2</v>
      </c>
      <c r="AG489" s="319">
        <v>1</v>
      </c>
      <c r="AH489" s="320">
        <v>2.0833333333333301E-2</v>
      </c>
      <c r="AI489" s="319">
        <v>0</v>
      </c>
      <c r="AJ489" s="320">
        <v>0</v>
      </c>
      <c r="AK489" s="320">
        <v>0</v>
      </c>
      <c r="AL489" s="319">
        <v>5</v>
      </c>
      <c r="AM489" s="319">
        <v>5</v>
      </c>
      <c r="AN489" s="319">
        <v>8.8333333333333304</v>
      </c>
      <c r="AO489" s="319">
        <v>0.62777777777777699</v>
      </c>
      <c r="AP489">
        <v>8</v>
      </c>
      <c r="AR489" s="136"/>
      <c r="AS489">
        <v>8</v>
      </c>
      <c r="AT489" s="69">
        <v>2.3148</v>
      </c>
      <c r="AU489" s="69">
        <v>2.3148</v>
      </c>
      <c r="AV489" s="69">
        <v>9.9641999999999999</v>
      </c>
      <c r="AW489" s="69">
        <v>0.48649999999999999</v>
      </c>
      <c r="BB489" s="69"/>
    </row>
    <row r="490" spans="1:54" customFormat="1" ht="40" customHeight="1">
      <c r="A490" s="313">
        <v>489</v>
      </c>
      <c r="B490" s="136" t="s">
        <v>1222</v>
      </c>
      <c r="C490" s="136" t="s">
        <v>45</v>
      </c>
      <c r="D490" s="31">
        <f t="shared" si="34"/>
        <v>4</v>
      </c>
      <c r="E490" s="137" t="s">
        <v>80</v>
      </c>
      <c r="F490" s="31">
        <f t="shared" si="35"/>
        <v>4</v>
      </c>
      <c r="G490" s="137" t="s">
        <v>1388</v>
      </c>
      <c r="H490" s="138">
        <v>124</v>
      </c>
      <c r="I490" s="158">
        <f t="shared" si="36"/>
        <v>0.36237332171738562</v>
      </c>
      <c r="J490" s="95">
        <v>1.17521486334227E-3</v>
      </c>
      <c r="K490" s="137">
        <v>0.72357142857142898</v>
      </c>
      <c r="L490" s="137">
        <v>0.82499999999999996</v>
      </c>
      <c r="M490" s="137">
        <v>0.57142857142857095</v>
      </c>
      <c r="N490" s="136">
        <v>1</v>
      </c>
      <c r="O490" s="32">
        <v>43392</v>
      </c>
      <c r="P490" s="98">
        <f t="shared" si="37"/>
        <v>0</v>
      </c>
      <c r="Q490">
        <v>7.65</v>
      </c>
      <c r="R490">
        <v>1.65</v>
      </c>
      <c r="S490">
        <v>0</v>
      </c>
      <c r="T490" s="112" t="s">
        <v>48</v>
      </c>
      <c r="U490" s="137" t="s">
        <v>1389</v>
      </c>
      <c r="V490" s="137" t="s">
        <v>1390</v>
      </c>
      <c r="W490" s="69">
        <v>170</v>
      </c>
      <c r="X490" s="136">
        <v>3</v>
      </c>
      <c r="Y490" s="136">
        <v>9</v>
      </c>
      <c r="Z490" s="314"/>
      <c r="AA490" s="319">
        <v>0.5</v>
      </c>
      <c r="AB490" s="315" t="s">
        <v>5167</v>
      </c>
      <c r="AC490" s="319">
        <v>1</v>
      </c>
      <c r="AD490" s="320">
        <v>1.09890109890109E-2</v>
      </c>
      <c r="AE490" s="319">
        <v>1</v>
      </c>
      <c r="AF490" s="320">
        <v>1.09890109890109E-2</v>
      </c>
      <c r="AG490" s="319">
        <v>1</v>
      </c>
      <c r="AH490" s="320">
        <v>1.09890109890109E-2</v>
      </c>
      <c r="AI490" s="319">
        <v>2</v>
      </c>
      <c r="AJ490" s="320">
        <v>2.19780219780219E-2</v>
      </c>
      <c r="AK490" s="320">
        <v>1.098901098901099E-2</v>
      </c>
      <c r="AL490" s="319">
        <v>6.75</v>
      </c>
      <c r="AM490" s="319">
        <v>5</v>
      </c>
      <c r="AN490" s="319">
        <v>7.3333333333333304</v>
      </c>
      <c r="AO490" s="319">
        <v>0.63611111111111096</v>
      </c>
      <c r="AP490">
        <v>9</v>
      </c>
      <c r="AR490" s="136"/>
      <c r="AS490">
        <v>9</v>
      </c>
      <c r="AT490" s="69">
        <v>6.3414000000000001</v>
      </c>
      <c r="AU490" s="69">
        <v>2.3148</v>
      </c>
      <c r="AV490" s="69">
        <v>9.8416999999999994</v>
      </c>
      <c r="AW490" s="69">
        <v>0.61660000000000004</v>
      </c>
      <c r="BB490" s="69"/>
    </row>
    <row r="491" spans="1:54" customFormat="1" ht="40" customHeight="1">
      <c r="A491" s="313">
        <v>490</v>
      </c>
      <c r="B491" s="136" t="s">
        <v>1222</v>
      </c>
      <c r="C491" s="136" t="s">
        <v>45</v>
      </c>
      <c r="D491" s="31">
        <f t="shared" si="34"/>
        <v>4</v>
      </c>
      <c r="E491" s="137" t="s">
        <v>80</v>
      </c>
      <c r="F491" s="31">
        <f t="shared" si="35"/>
        <v>4</v>
      </c>
      <c r="G491" s="137" t="s">
        <v>1391</v>
      </c>
      <c r="H491" s="138">
        <v>76</v>
      </c>
      <c r="I491" s="158">
        <f t="shared" si="36"/>
        <v>0.383612343500006</v>
      </c>
      <c r="J491" s="95">
        <v>0</v>
      </c>
      <c r="K491" s="137">
        <v>0.76722468700001201</v>
      </c>
      <c r="L491" s="137">
        <v>0.82499999999999996</v>
      </c>
      <c r="M491" s="137">
        <v>0.68056171750003003</v>
      </c>
      <c r="N491" s="136">
        <v>1</v>
      </c>
      <c r="O491" s="32">
        <v>43391</v>
      </c>
      <c r="P491" s="98">
        <f t="shared" si="37"/>
        <v>0</v>
      </c>
      <c r="Q491">
        <v>7.65</v>
      </c>
      <c r="R491">
        <v>1.65</v>
      </c>
      <c r="S491">
        <v>0</v>
      </c>
      <c r="T491" s="112" t="s">
        <v>48</v>
      </c>
      <c r="U491" s="137" t="s">
        <v>1392</v>
      </c>
      <c r="V491" s="137" t="s">
        <v>1393</v>
      </c>
      <c r="W491" s="69">
        <v>64</v>
      </c>
      <c r="X491" s="136">
        <v>1</v>
      </c>
      <c r="Y491" s="136">
        <v>5</v>
      </c>
      <c r="Z491" s="314"/>
      <c r="AA491" s="319">
        <v>0.70884499999999995</v>
      </c>
      <c r="AB491" s="315" t="s">
        <v>5167</v>
      </c>
      <c r="AC491" s="319">
        <v>1</v>
      </c>
      <c r="AD491" s="320">
        <v>2.8571428571428501E-2</v>
      </c>
      <c r="AE491" s="319">
        <v>1</v>
      </c>
      <c r="AF491" s="320">
        <v>2.8571428571428501E-2</v>
      </c>
      <c r="AG491" s="319">
        <v>0</v>
      </c>
      <c r="AH491" s="320">
        <v>0</v>
      </c>
      <c r="AI491" s="319">
        <v>2</v>
      </c>
      <c r="AJ491" s="320">
        <v>5.7142857142857099E-2</v>
      </c>
      <c r="AK491" s="320">
        <v>2.8571428571428571E-2</v>
      </c>
      <c r="AL491" s="319">
        <v>6.75</v>
      </c>
      <c r="AM491" s="319">
        <v>6.2</v>
      </c>
      <c r="AN491" s="319">
        <v>7.3333333333333304</v>
      </c>
      <c r="AO491" s="319">
        <v>0.676111111111111</v>
      </c>
      <c r="AP491">
        <v>5</v>
      </c>
      <c r="AR491" s="136"/>
      <c r="AS491">
        <v>5</v>
      </c>
      <c r="AT491" s="69">
        <v>6.3414000000000001</v>
      </c>
      <c r="AU491" s="69">
        <v>5</v>
      </c>
      <c r="AV491" s="69">
        <v>9.8416999999999994</v>
      </c>
      <c r="AW491" s="69">
        <v>0.70609999999999995</v>
      </c>
      <c r="BB491" s="69"/>
    </row>
    <row r="492" spans="1:54" customFormat="1" ht="40" customHeight="1">
      <c r="A492" s="313">
        <v>491</v>
      </c>
      <c r="B492" s="136" t="s">
        <v>1222</v>
      </c>
      <c r="C492" s="136" t="s">
        <v>45</v>
      </c>
      <c r="D492" s="31">
        <f t="shared" si="34"/>
        <v>4</v>
      </c>
      <c r="E492" s="137" t="s">
        <v>80</v>
      </c>
      <c r="F492" s="31">
        <f t="shared" si="35"/>
        <v>4</v>
      </c>
      <c r="G492" s="137" t="s">
        <v>159</v>
      </c>
      <c r="H492" s="138">
        <v>65</v>
      </c>
      <c r="I492" s="158">
        <f t="shared" si="36"/>
        <v>0.31353700075033042</v>
      </c>
      <c r="J492" s="95">
        <v>9.7759204856884301E-5</v>
      </c>
      <c r="K492" s="137">
        <v>0.62697624229580395</v>
      </c>
      <c r="L492" s="137">
        <v>0.82499999999999996</v>
      </c>
      <c r="M492" s="137">
        <v>0.32994060573951001</v>
      </c>
      <c r="N492" s="136">
        <v>1</v>
      </c>
      <c r="O492" s="32">
        <v>43391</v>
      </c>
      <c r="P492" s="98">
        <f t="shared" si="37"/>
        <v>0</v>
      </c>
      <c r="Q492">
        <v>5.0999999999999996</v>
      </c>
      <c r="R492">
        <v>0</v>
      </c>
      <c r="S492">
        <v>0</v>
      </c>
      <c r="T492" s="112" t="s">
        <v>48</v>
      </c>
      <c r="U492" s="137" t="s">
        <v>1394</v>
      </c>
      <c r="V492" s="137" t="s">
        <v>1395</v>
      </c>
      <c r="W492" s="69">
        <v>57</v>
      </c>
      <c r="X492" s="136">
        <v>3</v>
      </c>
      <c r="Y492" s="136">
        <v>22</v>
      </c>
      <c r="Z492" s="314"/>
      <c r="AA492" s="319">
        <v>0.54500000000000004</v>
      </c>
      <c r="AB492" s="315" t="s">
        <v>5176</v>
      </c>
      <c r="AC492" s="319">
        <v>2</v>
      </c>
      <c r="AD492" s="320">
        <v>6.25E-2</v>
      </c>
      <c r="AE492" s="319">
        <v>3</v>
      </c>
      <c r="AF492" s="320">
        <v>9.375E-2</v>
      </c>
      <c r="AG492" s="319">
        <v>1</v>
      </c>
      <c r="AH492" s="320">
        <v>3.125E-2</v>
      </c>
      <c r="AI492" s="319">
        <v>0</v>
      </c>
      <c r="AJ492" s="320">
        <v>0</v>
      </c>
      <c r="AK492" s="320">
        <v>0</v>
      </c>
      <c r="AL492" s="319">
        <v>6.75</v>
      </c>
      <c r="AM492" s="319">
        <v>5</v>
      </c>
      <c r="AN492" s="319">
        <v>4.6666666666666599</v>
      </c>
      <c r="AO492" s="319">
        <v>0.54722222222222205</v>
      </c>
      <c r="AP492">
        <v>22</v>
      </c>
      <c r="AR492" s="136"/>
      <c r="AS492">
        <v>22</v>
      </c>
      <c r="AT492" s="69">
        <v>6.3414000000000001</v>
      </c>
      <c r="AU492" s="69">
        <v>2.3148</v>
      </c>
      <c r="AV492" s="69">
        <v>8.1305999999999994</v>
      </c>
      <c r="AW492" s="69">
        <v>0.55959999999999999</v>
      </c>
      <c r="BB492" s="69"/>
    </row>
    <row r="493" spans="1:54" customFormat="1" ht="40" customHeight="1">
      <c r="A493" s="313">
        <v>492</v>
      </c>
      <c r="B493" s="136" t="s">
        <v>1222</v>
      </c>
      <c r="C493" s="136" t="s">
        <v>45</v>
      </c>
      <c r="D493" s="31">
        <f t="shared" si="34"/>
        <v>4</v>
      </c>
      <c r="E493" s="137" t="s">
        <v>80</v>
      </c>
      <c r="F493" s="31">
        <f t="shared" si="35"/>
        <v>4</v>
      </c>
      <c r="G493" s="137" t="s">
        <v>938</v>
      </c>
      <c r="H493" s="138">
        <v>52</v>
      </c>
      <c r="I493" s="158">
        <f t="shared" si="36"/>
        <v>0.35501651960456465</v>
      </c>
      <c r="J493" s="95">
        <v>3.8816538823205298E-6</v>
      </c>
      <c r="K493" s="137">
        <v>0.71002915755524698</v>
      </c>
      <c r="L493" s="137">
        <v>0.75</v>
      </c>
      <c r="M493" s="137">
        <v>0.65007289388811795</v>
      </c>
      <c r="N493" s="136">
        <v>1</v>
      </c>
      <c r="O493" s="32">
        <v>43391</v>
      </c>
      <c r="P493" s="98">
        <f t="shared" si="37"/>
        <v>0</v>
      </c>
      <c r="Q493">
        <v>5.0999999999999996</v>
      </c>
      <c r="R493">
        <v>0</v>
      </c>
      <c r="S493">
        <v>0</v>
      </c>
      <c r="T493" s="112" t="s">
        <v>48</v>
      </c>
      <c r="U493" s="137" t="s">
        <v>1396</v>
      </c>
      <c r="V493" s="137" t="s">
        <v>1397</v>
      </c>
      <c r="W493" s="69">
        <v>57</v>
      </c>
      <c r="X493" s="136">
        <v>3</v>
      </c>
      <c r="Y493" s="136">
        <v>6</v>
      </c>
      <c r="Z493" s="314"/>
      <c r="AA493" s="319">
        <v>0.5</v>
      </c>
      <c r="AB493" s="315" t="s">
        <v>5177</v>
      </c>
      <c r="AC493" s="319">
        <v>0</v>
      </c>
      <c r="AD493" s="320">
        <v>0</v>
      </c>
      <c r="AE493" s="319">
        <v>2</v>
      </c>
      <c r="AF493" s="320">
        <v>6.6666666666666596E-2</v>
      </c>
      <c r="AG493" s="319">
        <v>2</v>
      </c>
      <c r="AH493" s="320">
        <v>6.6666666666666596E-2</v>
      </c>
      <c r="AI493" s="319">
        <v>0</v>
      </c>
      <c r="AJ493" s="320">
        <v>0</v>
      </c>
      <c r="AK493" s="320">
        <v>3.3333333333333333E-2</v>
      </c>
      <c r="AL493" s="319">
        <v>6.75</v>
      </c>
      <c r="AM493" s="319">
        <v>5</v>
      </c>
      <c r="AN493" s="319">
        <v>7.3333333333333304</v>
      </c>
      <c r="AO493" s="319">
        <v>0.63611111111111096</v>
      </c>
      <c r="AP493">
        <v>6</v>
      </c>
      <c r="AR493" s="136"/>
      <c r="AS493">
        <v>6</v>
      </c>
      <c r="AT493" s="69">
        <v>6.3414000000000001</v>
      </c>
      <c r="AU493" s="69">
        <v>2.3148</v>
      </c>
      <c r="AV493" s="69">
        <v>9.8416999999999994</v>
      </c>
      <c r="AW493" s="69">
        <v>0.61660000000000004</v>
      </c>
      <c r="BB493" s="69"/>
    </row>
    <row r="494" spans="1:54" customFormat="1" ht="40" customHeight="1">
      <c r="A494" s="313">
        <v>493</v>
      </c>
      <c r="B494" s="136" t="s">
        <v>1222</v>
      </c>
      <c r="C494" s="136" t="s">
        <v>45</v>
      </c>
      <c r="D494" s="31">
        <f t="shared" si="34"/>
        <v>4</v>
      </c>
      <c r="E494" s="137" t="s">
        <v>80</v>
      </c>
      <c r="F494" s="31">
        <f t="shared" si="35"/>
        <v>4</v>
      </c>
      <c r="G494" s="137" t="s">
        <v>938</v>
      </c>
      <c r="H494" s="138">
        <v>67</v>
      </c>
      <c r="I494" s="158">
        <f t="shared" si="36"/>
        <v>0.35062550204384452</v>
      </c>
      <c r="J494" s="95">
        <v>2.43679329138002E-3</v>
      </c>
      <c r="K494" s="137">
        <v>0.69881421079630901</v>
      </c>
      <c r="L494" s="137">
        <v>0.75</v>
      </c>
      <c r="M494" s="137">
        <v>0.62203552699077302</v>
      </c>
      <c r="N494" s="136">
        <v>1</v>
      </c>
      <c r="O494" s="32">
        <v>43390</v>
      </c>
      <c r="P494" s="98">
        <f t="shared" si="37"/>
        <v>0</v>
      </c>
      <c r="Q494">
        <v>7.65</v>
      </c>
      <c r="R494">
        <v>0</v>
      </c>
      <c r="S494">
        <v>0</v>
      </c>
      <c r="T494" s="112" t="s">
        <v>48</v>
      </c>
      <c r="U494" s="137" t="s">
        <v>1398</v>
      </c>
      <c r="V494" s="137" t="s">
        <v>1399</v>
      </c>
      <c r="W494" s="69">
        <v>83</v>
      </c>
      <c r="X494" s="136">
        <v>3</v>
      </c>
      <c r="Y494" s="136">
        <v>7</v>
      </c>
      <c r="Z494" s="314"/>
      <c r="AA494" s="319">
        <v>0.5</v>
      </c>
      <c r="AB494" s="315" t="s">
        <v>5176</v>
      </c>
      <c r="AC494" s="319">
        <v>2</v>
      </c>
      <c r="AD494" s="320">
        <v>4.4444444444444398E-2</v>
      </c>
      <c r="AE494" s="319">
        <v>3</v>
      </c>
      <c r="AF494" s="320">
        <v>6.6666666666666596E-2</v>
      </c>
      <c r="AG494" s="319">
        <v>2</v>
      </c>
      <c r="AH494" s="320">
        <v>4.4444444444444398E-2</v>
      </c>
      <c r="AI494" s="319">
        <v>0</v>
      </c>
      <c r="AJ494" s="320">
        <v>0</v>
      </c>
      <c r="AK494" s="320">
        <v>2.222222222222222E-2</v>
      </c>
      <c r="AL494" s="319">
        <v>6.75</v>
      </c>
      <c r="AM494" s="319">
        <v>5</v>
      </c>
      <c r="AN494" s="319">
        <v>7.3333333333333304</v>
      </c>
      <c r="AO494" s="319">
        <v>0.63611111111111096</v>
      </c>
      <c r="AP494">
        <v>7</v>
      </c>
      <c r="AR494" s="136"/>
      <c r="AS494">
        <v>7</v>
      </c>
      <c r="AT494" s="69">
        <v>6.3414000000000001</v>
      </c>
      <c r="AU494" s="69">
        <v>2.3148</v>
      </c>
      <c r="AV494" s="69">
        <v>9.8416999999999994</v>
      </c>
      <c r="AW494" s="69">
        <v>0.61660000000000004</v>
      </c>
      <c r="BB494" s="69"/>
    </row>
    <row r="495" spans="1:54" customFormat="1" ht="40" customHeight="1">
      <c r="A495" s="313">
        <v>494</v>
      </c>
      <c r="B495" s="136" t="s">
        <v>1222</v>
      </c>
      <c r="C495" s="136" t="s">
        <v>45</v>
      </c>
      <c r="D495" s="31">
        <f t="shared" si="34"/>
        <v>4</v>
      </c>
      <c r="E495" s="137" t="s">
        <v>80</v>
      </c>
      <c r="F495" s="31">
        <f t="shared" si="35"/>
        <v>4</v>
      </c>
      <c r="G495" s="137" t="s">
        <v>159</v>
      </c>
      <c r="H495" s="138">
        <v>43</v>
      </c>
      <c r="I495" s="158">
        <f t="shared" si="36"/>
        <v>0.37190724288626015</v>
      </c>
      <c r="J495" s="95">
        <v>2.7497621124528101E-7</v>
      </c>
      <c r="K495" s="137">
        <v>0.74381421079630905</v>
      </c>
      <c r="L495" s="137">
        <v>0.82499999999999996</v>
      </c>
      <c r="M495" s="137">
        <v>0.62203552699077302</v>
      </c>
      <c r="N495" s="136">
        <v>1</v>
      </c>
      <c r="O495" s="32">
        <v>43388</v>
      </c>
      <c r="P495" s="98">
        <f t="shared" si="37"/>
        <v>0</v>
      </c>
      <c r="Q495">
        <v>5.0999999999999996</v>
      </c>
      <c r="R495">
        <v>1.65</v>
      </c>
      <c r="S495">
        <v>0</v>
      </c>
      <c r="T495" s="112" t="s">
        <v>48</v>
      </c>
      <c r="U495" s="137" t="s">
        <v>1400</v>
      </c>
      <c r="V495" s="137" t="s">
        <v>1401</v>
      </c>
      <c r="W495" s="69">
        <v>56</v>
      </c>
      <c r="X495" s="136">
        <v>3</v>
      </c>
      <c r="Y495" s="136">
        <v>7</v>
      </c>
      <c r="Z495" s="314"/>
      <c r="AA495" s="319">
        <v>0.54500000000000004</v>
      </c>
      <c r="AB495" s="315" t="s">
        <v>5193</v>
      </c>
      <c r="AC495" s="319">
        <v>2</v>
      </c>
      <c r="AD495" s="320">
        <v>6.6666666666666596E-2</v>
      </c>
      <c r="AE495" s="319">
        <v>2</v>
      </c>
      <c r="AF495" s="320">
        <v>6.6666666666666596E-2</v>
      </c>
      <c r="AG495" s="319">
        <v>0</v>
      </c>
      <c r="AH495" s="320">
        <v>0</v>
      </c>
      <c r="AI495" s="319">
        <v>2</v>
      </c>
      <c r="AJ495" s="320">
        <v>6.6666666666666596E-2</v>
      </c>
      <c r="AK495" s="320">
        <v>0</v>
      </c>
      <c r="AL495" s="319">
        <v>6.75</v>
      </c>
      <c r="AM495" s="319">
        <v>5</v>
      </c>
      <c r="AN495" s="319">
        <v>4.6666666666666599</v>
      </c>
      <c r="AO495" s="319">
        <v>0.54722222222222205</v>
      </c>
      <c r="AP495">
        <v>7</v>
      </c>
      <c r="AR495" s="136"/>
      <c r="AS495">
        <v>7</v>
      </c>
      <c r="AT495" s="69">
        <v>6.3414000000000001</v>
      </c>
      <c r="AU495" s="69">
        <v>2.3148</v>
      </c>
      <c r="AV495" s="69">
        <v>8.1305999999999994</v>
      </c>
      <c r="AW495" s="69">
        <v>0.55959999999999999</v>
      </c>
      <c r="BB495" s="69"/>
    </row>
    <row r="496" spans="1:54" customFormat="1" ht="40" customHeight="1">
      <c r="A496" s="313">
        <v>495</v>
      </c>
      <c r="B496" s="136" t="s">
        <v>1222</v>
      </c>
      <c r="C496" s="136" t="s">
        <v>45</v>
      </c>
      <c r="D496" s="31">
        <f t="shared" si="34"/>
        <v>4</v>
      </c>
      <c r="E496" s="137" t="s">
        <v>80</v>
      </c>
      <c r="F496" s="31">
        <f t="shared" si="35"/>
        <v>4</v>
      </c>
      <c r="G496" s="137" t="s">
        <v>1402</v>
      </c>
      <c r="H496" s="138">
        <v>76</v>
      </c>
      <c r="I496" s="158">
        <f t="shared" si="36"/>
        <v>0.37194957144027713</v>
      </c>
      <c r="J496" s="95">
        <v>8.4932084245203904E-5</v>
      </c>
      <c r="K496" s="137">
        <v>0.74381421079630905</v>
      </c>
      <c r="L496" s="137">
        <v>0.82499999999999996</v>
      </c>
      <c r="M496" s="137">
        <v>0.62203552699077302</v>
      </c>
      <c r="N496" s="136">
        <v>1</v>
      </c>
      <c r="O496" s="32">
        <v>43388</v>
      </c>
      <c r="P496" s="98">
        <f t="shared" si="37"/>
        <v>0</v>
      </c>
      <c r="Q496">
        <v>7.65</v>
      </c>
      <c r="R496">
        <v>1.65</v>
      </c>
      <c r="S496">
        <v>0</v>
      </c>
      <c r="T496" s="112" t="s">
        <v>48</v>
      </c>
      <c r="U496" s="137" t="s">
        <v>1403</v>
      </c>
      <c r="V496" s="137" t="s">
        <v>1404</v>
      </c>
      <c r="W496" s="69">
        <v>82</v>
      </c>
      <c r="X496" s="136">
        <v>3</v>
      </c>
      <c r="Y496" s="136">
        <v>7</v>
      </c>
      <c r="Z496" s="314"/>
      <c r="AA496" s="319">
        <v>0.54500000000000004</v>
      </c>
      <c r="AB496" s="315" t="s">
        <v>5165</v>
      </c>
      <c r="AC496" s="319">
        <v>3</v>
      </c>
      <c r="AD496" s="320">
        <v>6.8181818181818094E-2</v>
      </c>
      <c r="AE496" s="319">
        <v>1</v>
      </c>
      <c r="AF496" s="320">
        <v>2.27272727272727E-2</v>
      </c>
      <c r="AG496" s="319">
        <v>0</v>
      </c>
      <c r="AH496" s="320">
        <v>0</v>
      </c>
      <c r="AI496" s="319">
        <v>2</v>
      </c>
      <c r="AJ496" s="320">
        <v>4.54545454545454E-2</v>
      </c>
      <c r="AK496" s="320">
        <v>0</v>
      </c>
      <c r="AL496" s="319">
        <v>6.75</v>
      </c>
      <c r="AM496" s="319">
        <v>5</v>
      </c>
      <c r="AN496" s="319">
        <v>7.3333333333333304</v>
      </c>
      <c r="AO496" s="319">
        <v>0.63611111111111096</v>
      </c>
      <c r="AP496">
        <v>7</v>
      </c>
      <c r="AR496" s="136"/>
      <c r="AS496">
        <v>7</v>
      </c>
      <c r="AT496" s="69">
        <v>6.3414000000000001</v>
      </c>
      <c r="AU496" s="69">
        <v>2.3148</v>
      </c>
      <c r="AV496" s="69">
        <v>9.8416999999999994</v>
      </c>
      <c r="AW496" s="69">
        <v>0.61660000000000004</v>
      </c>
      <c r="BB496" s="69"/>
    </row>
    <row r="497" spans="1:54" customFormat="1" ht="40" customHeight="1">
      <c r="A497" s="313">
        <v>496</v>
      </c>
      <c r="B497" s="136" t="s">
        <v>1222</v>
      </c>
      <c r="C497" s="136" t="s">
        <v>45</v>
      </c>
      <c r="D497" s="31">
        <f t="shared" si="34"/>
        <v>4</v>
      </c>
      <c r="E497" s="137" t="s">
        <v>80</v>
      </c>
      <c r="F497" s="31">
        <f t="shared" si="35"/>
        <v>4</v>
      </c>
      <c r="G497" s="137" t="s">
        <v>1405</v>
      </c>
      <c r="H497" s="138">
        <v>54</v>
      </c>
      <c r="I497" s="158">
        <f t="shared" si="36"/>
        <v>0.38130635392924817</v>
      </c>
      <c r="J497" s="95">
        <v>5.7134124450233401E-2</v>
      </c>
      <c r="K497" s="137">
        <v>0.70547858340826297</v>
      </c>
      <c r="L497" s="137">
        <v>0.82499999999999996</v>
      </c>
      <c r="M497" s="137">
        <v>0.526196458520657</v>
      </c>
      <c r="N497" s="136">
        <v>1</v>
      </c>
      <c r="O497" s="32">
        <v>43388</v>
      </c>
      <c r="P497" s="98">
        <f t="shared" si="37"/>
        <v>0</v>
      </c>
      <c r="Q497">
        <v>5.0999999999999996</v>
      </c>
      <c r="R497">
        <v>1.65</v>
      </c>
      <c r="S497">
        <v>0</v>
      </c>
      <c r="T497" s="112" t="s">
        <v>48</v>
      </c>
      <c r="U497" s="137" t="s">
        <v>1406</v>
      </c>
      <c r="V497" s="137" t="s">
        <v>1407</v>
      </c>
      <c r="W497" s="69">
        <v>124</v>
      </c>
      <c r="X497" s="136">
        <v>4</v>
      </c>
      <c r="Y497" s="136">
        <v>11</v>
      </c>
      <c r="Z497" s="314"/>
      <c r="AA497" s="319">
        <v>0.54500000000000004</v>
      </c>
      <c r="AB497" s="315" t="s">
        <v>5171</v>
      </c>
      <c r="AC497" s="319">
        <v>2</v>
      </c>
      <c r="AD497" s="320">
        <v>3.125E-2</v>
      </c>
      <c r="AE497" s="319">
        <v>1</v>
      </c>
      <c r="AF497" s="320">
        <v>1.5625E-2</v>
      </c>
      <c r="AG497" s="319">
        <v>2</v>
      </c>
      <c r="AH497" s="320">
        <v>3.125E-2</v>
      </c>
      <c r="AI497" s="319">
        <v>2</v>
      </c>
      <c r="AJ497" s="320">
        <v>3.125E-2</v>
      </c>
      <c r="AK497" s="320">
        <v>0</v>
      </c>
      <c r="AL497" s="319">
        <v>6.75</v>
      </c>
      <c r="AM497" s="319">
        <v>5</v>
      </c>
      <c r="AN497" s="319">
        <v>7.3333333333333304</v>
      </c>
      <c r="AO497" s="319">
        <v>0.63611111111111096</v>
      </c>
      <c r="AP497">
        <v>11</v>
      </c>
      <c r="AR497" s="136"/>
      <c r="AS497">
        <v>11</v>
      </c>
      <c r="AT497" s="69">
        <v>6.3414000000000001</v>
      </c>
      <c r="AU497" s="69">
        <v>2.3148</v>
      </c>
      <c r="AV497" s="69">
        <v>9.8416999999999994</v>
      </c>
      <c r="AW497" s="69">
        <v>0.61660000000000004</v>
      </c>
      <c r="BB497" s="69"/>
    </row>
    <row r="498" spans="1:54" customFormat="1" ht="40" customHeight="1">
      <c r="A498" s="313">
        <v>497</v>
      </c>
      <c r="B498" s="136" t="s">
        <v>1222</v>
      </c>
      <c r="C498" s="136" t="s">
        <v>45</v>
      </c>
      <c r="D498" s="31">
        <f t="shared" si="34"/>
        <v>4</v>
      </c>
      <c r="E498" s="137" t="s">
        <v>80</v>
      </c>
      <c r="F498" s="31">
        <f t="shared" si="35"/>
        <v>4</v>
      </c>
      <c r="G498" s="137" t="s">
        <v>1408</v>
      </c>
      <c r="H498" s="138">
        <v>70</v>
      </c>
      <c r="I498" s="158">
        <f t="shared" si="36"/>
        <v>0.2681841013675717</v>
      </c>
      <c r="J498" s="95">
        <v>7.3412038443354505E-5</v>
      </c>
      <c r="K498" s="137">
        <v>0.53629479069670005</v>
      </c>
      <c r="L498" s="137">
        <v>0.61983471074380103</v>
      </c>
      <c r="M498" s="137">
        <v>0.41098491062604903</v>
      </c>
      <c r="N498" s="136">
        <v>1</v>
      </c>
      <c r="O498" s="32">
        <v>43388</v>
      </c>
      <c r="P498" s="98">
        <f t="shared" si="37"/>
        <v>1</v>
      </c>
      <c r="Q498">
        <v>0</v>
      </c>
      <c r="R498">
        <v>3.3</v>
      </c>
      <c r="S498">
        <v>0</v>
      </c>
      <c r="T498" s="112" t="s">
        <v>73</v>
      </c>
      <c r="U498" s="137" t="s">
        <v>1409</v>
      </c>
      <c r="V498" s="137" t="s">
        <v>1410</v>
      </c>
      <c r="W498" s="69">
        <v>89</v>
      </c>
      <c r="X498" s="136">
        <v>2</v>
      </c>
      <c r="Y498" s="136">
        <v>17</v>
      </c>
      <c r="Z498" s="314"/>
      <c r="AA498" s="319">
        <v>2.7133952260485799E-2</v>
      </c>
      <c r="AB498" s="315" t="s">
        <v>5168</v>
      </c>
      <c r="AC498" s="319">
        <v>0</v>
      </c>
      <c r="AD498" s="320">
        <v>0</v>
      </c>
      <c r="AE498" s="319">
        <v>0</v>
      </c>
      <c r="AF498" s="320">
        <v>0</v>
      </c>
      <c r="AG498" s="319">
        <v>1</v>
      </c>
      <c r="AH498" s="320">
        <v>1.9230769230769201E-2</v>
      </c>
      <c r="AI498" s="319">
        <v>0</v>
      </c>
      <c r="AJ498" s="320">
        <v>0</v>
      </c>
      <c r="AK498" s="320">
        <v>1.9230769230769228E-2</v>
      </c>
      <c r="AL498" s="319">
        <v>5</v>
      </c>
      <c r="AM498" s="319">
        <v>5</v>
      </c>
      <c r="AN498" s="319">
        <v>4.6666666666666599</v>
      </c>
      <c r="AO498" s="319">
        <v>0.48888888888888798</v>
      </c>
      <c r="AP498" s="319">
        <v>17</v>
      </c>
      <c r="AR498" s="136"/>
      <c r="AT498" s="69">
        <v>2.3148</v>
      </c>
      <c r="AU498" s="69">
        <v>2.3148</v>
      </c>
      <c r="AV498" s="69">
        <v>8.1305999999999994</v>
      </c>
      <c r="AW498" s="69">
        <v>0.42530000000000001</v>
      </c>
      <c r="BB498" s="69"/>
    </row>
    <row r="499" spans="1:54" customFormat="1" ht="40" customHeight="1">
      <c r="A499" s="313">
        <v>498</v>
      </c>
      <c r="B499" s="136" t="s">
        <v>1222</v>
      </c>
      <c r="C499" s="136" t="s">
        <v>45</v>
      </c>
      <c r="D499" s="31">
        <f t="shared" si="34"/>
        <v>4</v>
      </c>
      <c r="E499" s="137" t="s">
        <v>80</v>
      </c>
      <c r="F499" s="31">
        <f t="shared" si="35"/>
        <v>4</v>
      </c>
      <c r="G499" s="137" t="s">
        <v>1411</v>
      </c>
      <c r="H499" s="138">
        <v>64</v>
      </c>
      <c r="I499" s="158">
        <f t="shared" si="36"/>
        <v>0.42942608462662851</v>
      </c>
      <c r="J499" s="95">
        <v>0.125476576381611</v>
      </c>
      <c r="K499" s="137">
        <v>0.733375592871646</v>
      </c>
      <c r="L499" s="137">
        <v>0.82499999999999996</v>
      </c>
      <c r="M499" s="137">
        <v>0.59593898217911601</v>
      </c>
      <c r="N499" s="136">
        <v>1</v>
      </c>
      <c r="O499" s="32">
        <v>43388</v>
      </c>
      <c r="P499" s="98">
        <f t="shared" si="37"/>
        <v>0</v>
      </c>
      <c r="Q499">
        <v>5.0999999999999996</v>
      </c>
      <c r="R499">
        <v>4.95</v>
      </c>
      <c r="S499">
        <v>0</v>
      </c>
      <c r="T499" s="112" t="s">
        <v>48</v>
      </c>
      <c r="U499" s="137" t="s">
        <v>1412</v>
      </c>
      <c r="V499" s="137" t="s">
        <v>1407</v>
      </c>
      <c r="W499" s="69">
        <v>124</v>
      </c>
      <c r="X499" s="136">
        <v>3</v>
      </c>
      <c r="Y499" s="136">
        <v>8</v>
      </c>
      <c r="Z499" s="314"/>
      <c r="AA499" s="319">
        <v>0.54500000000000004</v>
      </c>
      <c r="AB499" s="315" t="s">
        <v>5171</v>
      </c>
      <c r="AC499" s="319">
        <v>2</v>
      </c>
      <c r="AD499" s="320">
        <v>3.125E-2</v>
      </c>
      <c r="AE499" s="319">
        <v>1</v>
      </c>
      <c r="AF499" s="320">
        <v>1.5625E-2</v>
      </c>
      <c r="AG499" s="319">
        <v>2</v>
      </c>
      <c r="AH499" s="320">
        <v>3.125E-2</v>
      </c>
      <c r="AI499" s="319">
        <v>2</v>
      </c>
      <c r="AJ499" s="320">
        <v>3.125E-2</v>
      </c>
      <c r="AK499" s="320">
        <v>0</v>
      </c>
      <c r="AL499" s="319">
        <v>8.5</v>
      </c>
      <c r="AM499" s="319">
        <v>5</v>
      </c>
      <c r="AN499" s="319">
        <v>7.3333333333333304</v>
      </c>
      <c r="AO499" s="319">
        <v>0.69444444444444398</v>
      </c>
      <c r="AP499">
        <v>8</v>
      </c>
      <c r="AR499" s="136"/>
      <c r="AS499">
        <v>8</v>
      </c>
      <c r="AT499" s="69">
        <v>9.0888000000000009</v>
      </c>
      <c r="AU499" s="69">
        <v>2.3148</v>
      </c>
      <c r="AV499" s="69">
        <v>9.8416999999999994</v>
      </c>
      <c r="AW499" s="69">
        <v>0.70820000000000005</v>
      </c>
      <c r="BB499" s="69"/>
    </row>
    <row r="500" spans="1:54" customFormat="1" ht="40" customHeight="1">
      <c r="A500" s="313">
        <v>499</v>
      </c>
      <c r="B500" s="136" t="s">
        <v>1222</v>
      </c>
      <c r="C500" s="136" t="s">
        <v>45</v>
      </c>
      <c r="D500" s="31">
        <f t="shared" si="34"/>
        <v>4</v>
      </c>
      <c r="E500" s="137" t="s">
        <v>80</v>
      </c>
      <c r="F500" s="31">
        <f t="shared" si="35"/>
        <v>4</v>
      </c>
      <c r="G500" s="137" t="s">
        <v>1413</v>
      </c>
      <c r="H500" s="138">
        <v>49</v>
      </c>
      <c r="I500" s="158">
        <f t="shared" si="36"/>
        <v>0.37190711880995986</v>
      </c>
      <c r="J500" s="95">
        <v>2.68236106659714E-8</v>
      </c>
      <c r="K500" s="137">
        <v>0.74381421079630905</v>
      </c>
      <c r="L500" s="137">
        <v>0.82499999999999996</v>
      </c>
      <c r="M500" s="137">
        <v>0.62203552699077302</v>
      </c>
      <c r="N500" s="136">
        <v>1</v>
      </c>
      <c r="O500" s="32">
        <v>43388</v>
      </c>
      <c r="P500" s="98">
        <f t="shared" si="37"/>
        <v>2</v>
      </c>
      <c r="Q500">
        <v>0</v>
      </c>
      <c r="R500">
        <v>0</v>
      </c>
      <c r="S500">
        <v>0</v>
      </c>
      <c r="T500" s="112" t="s">
        <v>64</v>
      </c>
      <c r="U500" s="137" t="s">
        <v>1414</v>
      </c>
      <c r="V500" s="137" t="s">
        <v>1415</v>
      </c>
      <c r="W500" s="69">
        <v>205</v>
      </c>
      <c r="X500" s="136">
        <v>3</v>
      </c>
      <c r="Y500" s="136">
        <v>7</v>
      </c>
      <c r="Z500" s="314"/>
      <c r="AA500" s="319">
        <v>0.45909090909090899</v>
      </c>
      <c r="AB500" s="315" t="s">
        <v>5168</v>
      </c>
      <c r="AC500" s="319">
        <v>2</v>
      </c>
      <c r="AD500" s="320">
        <v>1.7094017094016999E-2</v>
      </c>
      <c r="AE500" s="319">
        <v>1</v>
      </c>
      <c r="AF500" s="320">
        <v>8.5470085470085392E-3</v>
      </c>
      <c r="AG500" s="319">
        <v>3</v>
      </c>
      <c r="AH500" s="320">
        <v>2.5641025641025599E-2</v>
      </c>
      <c r="AI500" s="319">
        <v>0</v>
      </c>
      <c r="AJ500" s="320">
        <v>0</v>
      </c>
      <c r="AK500" s="320">
        <v>1.7094017094017099E-2</v>
      </c>
      <c r="AL500" s="319">
        <v>5</v>
      </c>
      <c r="AM500" s="319">
        <v>5</v>
      </c>
      <c r="AN500" s="319">
        <v>4.6666666666666599</v>
      </c>
      <c r="AO500" s="319">
        <v>0.48888888888888798</v>
      </c>
      <c r="AP500">
        <v>7</v>
      </c>
      <c r="AR500" s="136">
        <v>7</v>
      </c>
      <c r="AT500" s="69">
        <v>2.3148</v>
      </c>
      <c r="AU500" s="69">
        <v>2.3148</v>
      </c>
      <c r="AV500" s="69">
        <v>8.1305999999999994</v>
      </c>
      <c r="AW500" s="69">
        <v>0.42530000000000001</v>
      </c>
      <c r="BB500" s="69"/>
    </row>
    <row r="501" spans="1:54" customFormat="1" ht="40" customHeight="1">
      <c r="A501" s="313">
        <v>500</v>
      </c>
      <c r="B501" s="136" t="s">
        <v>1222</v>
      </c>
      <c r="C501" s="136" t="s">
        <v>45</v>
      </c>
      <c r="D501" s="31">
        <f t="shared" si="34"/>
        <v>4</v>
      </c>
      <c r="E501" s="137" t="s">
        <v>46</v>
      </c>
      <c r="F501" s="31">
        <f t="shared" si="35"/>
        <v>6</v>
      </c>
      <c r="G501" s="137" t="s">
        <v>1416</v>
      </c>
      <c r="H501" s="138">
        <v>449</v>
      </c>
      <c r="I501" s="158">
        <f t="shared" si="36"/>
        <v>0.20925406569574756</v>
      </c>
      <c r="J501" s="95">
        <v>1.00898616876122E-4</v>
      </c>
      <c r="K501" s="137">
        <v>0.418407232774619</v>
      </c>
      <c r="L501" s="137">
        <v>0.423355447540333</v>
      </c>
      <c r="M501" s="137">
        <v>0.41098491062604903</v>
      </c>
      <c r="N501" s="136">
        <v>1</v>
      </c>
      <c r="O501" s="32">
        <v>43388</v>
      </c>
      <c r="P501" s="98">
        <f t="shared" si="37"/>
        <v>0</v>
      </c>
      <c r="Q501">
        <v>7.65</v>
      </c>
      <c r="R501">
        <v>3.3</v>
      </c>
      <c r="S501">
        <v>0</v>
      </c>
      <c r="T501" s="112" t="s">
        <v>48</v>
      </c>
      <c r="U501" s="137" t="s">
        <v>1417</v>
      </c>
      <c r="V501" s="137" t="s">
        <v>1418</v>
      </c>
      <c r="W501" s="69">
        <v>94</v>
      </c>
      <c r="X501" s="136">
        <v>2</v>
      </c>
      <c r="Y501" s="136">
        <v>17</v>
      </c>
      <c r="Z501" s="314"/>
      <c r="AA501" s="319">
        <v>4.00570949095631E-3</v>
      </c>
      <c r="AB501" s="315" t="s">
        <v>5176</v>
      </c>
      <c r="AC501" s="319">
        <v>2</v>
      </c>
      <c r="AD501" s="320">
        <v>3.6363636363636299E-2</v>
      </c>
      <c r="AE501" s="319">
        <v>4</v>
      </c>
      <c r="AF501" s="320">
        <v>7.2727272727272696E-2</v>
      </c>
      <c r="AG501" s="319">
        <v>0</v>
      </c>
      <c r="AH501" s="320">
        <v>0</v>
      </c>
      <c r="AI501" s="319">
        <v>0</v>
      </c>
      <c r="AJ501" s="320">
        <v>0</v>
      </c>
      <c r="AK501" s="320">
        <v>1.8181818181818181E-2</v>
      </c>
      <c r="AL501" s="319">
        <v>9.0357142857142794</v>
      </c>
      <c r="AM501" s="319">
        <v>5</v>
      </c>
      <c r="AN501" s="319">
        <v>7.6666666666666599</v>
      </c>
      <c r="AO501" s="319">
        <v>0.72341269841269795</v>
      </c>
      <c r="AP501">
        <v>17</v>
      </c>
      <c r="AR501" s="136"/>
      <c r="AS501">
        <v>17</v>
      </c>
      <c r="AT501" s="69">
        <v>9.4480000000000004</v>
      </c>
      <c r="AU501" s="69">
        <v>2.3148</v>
      </c>
      <c r="AV501" s="69">
        <v>9.8867999999999991</v>
      </c>
      <c r="AW501" s="69">
        <v>0.72170000000000001</v>
      </c>
      <c r="BB501" s="69"/>
    </row>
    <row r="502" spans="1:54" customFormat="1" ht="40" customHeight="1">
      <c r="A502" s="313">
        <v>501</v>
      </c>
      <c r="B502" s="136" t="s">
        <v>1222</v>
      </c>
      <c r="C502" s="136" t="s">
        <v>45</v>
      </c>
      <c r="D502" s="31">
        <f t="shared" si="34"/>
        <v>4</v>
      </c>
      <c r="E502" s="137" t="s">
        <v>80</v>
      </c>
      <c r="F502" s="31">
        <f t="shared" si="35"/>
        <v>4</v>
      </c>
      <c r="G502" s="137" t="s">
        <v>180</v>
      </c>
      <c r="H502" s="138">
        <v>62</v>
      </c>
      <c r="I502" s="158">
        <f t="shared" si="36"/>
        <v>0.785388230694962</v>
      </c>
      <c r="J502" s="95">
        <v>0.80355177438991199</v>
      </c>
      <c r="K502" s="137">
        <v>0.76722468700001201</v>
      </c>
      <c r="L502" s="137">
        <v>0.82499999999999996</v>
      </c>
      <c r="M502" s="137">
        <v>0.68056171750003003</v>
      </c>
      <c r="N502" s="136">
        <v>1</v>
      </c>
      <c r="O502" s="32">
        <v>43386</v>
      </c>
      <c r="P502" s="98">
        <f t="shared" si="37"/>
        <v>0</v>
      </c>
      <c r="Q502">
        <v>5.0999999999999996</v>
      </c>
      <c r="R502">
        <v>0</v>
      </c>
      <c r="S502">
        <v>0</v>
      </c>
      <c r="T502" s="112" t="s">
        <v>48</v>
      </c>
      <c r="U502" s="137" t="s">
        <v>1419</v>
      </c>
      <c r="V502" s="137" t="s">
        <v>1420</v>
      </c>
      <c r="W502" s="69">
        <v>122</v>
      </c>
      <c r="X502" s="136">
        <v>3</v>
      </c>
      <c r="Y502" s="136">
        <v>5</v>
      </c>
      <c r="Z502" s="314"/>
      <c r="AA502" s="319">
        <v>0.54500000000000004</v>
      </c>
      <c r="AB502" s="315" t="s">
        <v>5168</v>
      </c>
      <c r="AC502" s="319">
        <v>2</v>
      </c>
      <c r="AD502" s="320">
        <v>3.03030303030303E-2</v>
      </c>
      <c r="AE502" s="319">
        <v>1</v>
      </c>
      <c r="AF502" s="320">
        <v>1.51515151515151E-2</v>
      </c>
      <c r="AG502" s="319">
        <v>3</v>
      </c>
      <c r="AH502" s="320">
        <v>4.54545454545454E-2</v>
      </c>
      <c r="AI502" s="319">
        <v>0</v>
      </c>
      <c r="AJ502" s="320">
        <v>0</v>
      </c>
      <c r="AK502" s="320">
        <v>3.03030303030303E-2</v>
      </c>
      <c r="AL502" s="319">
        <v>6.75</v>
      </c>
      <c r="AM502" s="319">
        <v>5</v>
      </c>
      <c r="AN502" s="319">
        <v>7.3333333333333304</v>
      </c>
      <c r="AO502" s="319">
        <v>0.63611111111111096</v>
      </c>
      <c r="AP502">
        <v>5</v>
      </c>
      <c r="AR502" s="136">
        <v>5</v>
      </c>
      <c r="AT502" s="69">
        <v>6.3414000000000001</v>
      </c>
      <c r="AU502" s="69">
        <v>2.3148</v>
      </c>
      <c r="AV502" s="69">
        <v>9.8416999999999994</v>
      </c>
      <c r="AW502" s="69">
        <v>0.61660000000000004</v>
      </c>
      <c r="BB502" s="69"/>
    </row>
    <row r="503" spans="1:54" customFormat="1" ht="40" customHeight="1">
      <c r="A503" s="313">
        <v>502</v>
      </c>
      <c r="B503" s="136" t="s">
        <v>1222</v>
      </c>
      <c r="C503" s="136" t="s">
        <v>45</v>
      </c>
      <c r="D503" s="31">
        <f t="shared" si="34"/>
        <v>4</v>
      </c>
      <c r="E503" s="137" t="s">
        <v>80</v>
      </c>
      <c r="F503" s="31">
        <f t="shared" si="35"/>
        <v>4</v>
      </c>
      <c r="G503" s="137" t="s">
        <v>159</v>
      </c>
      <c r="H503" s="138">
        <v>75</v>
      </c>
      <c r="I503" s="158">
        <f t="shared" si="36"/>
        <v>0.383612343500006</v>
      </c>
      <c r="J503" s="95">
        <v>0</v>
      </c>
      <c r="K503" s="137">
        <v>0.76722468700001201</v>
      </c>
      <c r="L503" s="137">
        <v>0.82499999999999996</v>
      </c>
      <c r="M503" s="137">
        <v>0.68056171750003003</v>
      </c>
      <c r="N503" s="136">
        <v>1</v>
      </c>
      <c r="O503" s="32">
        <v>43385</v>
      </c>
      <c r="P503" s="98">
        <f t="shared" si="37"/>
        <v>0</v>
      </c>
      <c r="Q503">
        <v>12.75</v>
      </c>
      <c r="R503">
        <v>0</v>
      </c>
      <c r="S503">
        <v>0</v>
      </c>
      <c r="T503" s="112" t="s">
        <v>48</v>
      </c>
      <c r="U503" s="137" t="s">
        <v>1421</v>
      </c>
      <c r="V503" s="137" t="s">
        <v>1420</v>
      </c>
      <c r="W503" s="69">
        <v>122</v>
      </c>
      <c r="X503" s="136">
        <v>3</v>
      </c>
      <c r="Y503" s="136">
        <v>5</v>
      </c>
      <c r="Z503" s="314"/>
      <c r="AA503" s="319">
        <v>0.5</v>
      </c>
      <c r="AB503" s="315" t="s">
        <v>5168</v>
      </c>
      <c r="AC503" s="319">
        <v>2</v>
      </c>
      <c r="AD503" s="320">
        <v>3.03030303030303E-2</v>
      </c>
      <c r="AE503" s="319">
        <v>1</v>
      </c>
      <c r="AF503" s="320">
        <v>1.51515151515151E-2</v>
      </c>
      <c r="AG503" s="319">
        <v>3</v>
      </c>
      <c r="AH503" s="320">
        <v>4.54545454545454E-2</v>
      </c>
      <c r="AI503" s="319">
        <v>0</v>
      </c>
      <c r="AJ503" s="320">
        <v>0</v>
      </c>
      <c r="AK503" s="320">
        <v>3.03030303030303E-2</v>
      </c>
      <c r="AL503" s="319">
        <v>6.75</v>
      </c>
      <c r="AM503" s="319">
        <v>5</v>
      </c>
      <c r="AN503" s="319">
        <v>7.3333333333333304</v>
      </c>
      <c r="AO503" s="319">
        <v>0.63611111111111096</v>
      </c>
      <c r="AP503">
        <v>5</v>
      </c>
      <c r="AR503" s="136">
        <v>5</v>
      </c>
      <c r="AT503" s="69">
        <v>6.3414000000000001</v>
      </c>
      <c r="AU503" s="69">
        <v>2.3148</v>
      </c>
      <c r="AV503" s="69">
        <v>9.8416999999999994</v>
      </c>
      <c r="AW503" s="69">
        <v>0.61660000000000004</v>
      </c>
      <c r="BB503" s="69"/>
    </row>
    <row r="504" spans="1:54" customFormat="1" ht="40" customHeight="1">
      <c r="A504" s="313">
        <v>503</v>
      </c>
      <c r="B504" s="136" t="s">
        <v>1222</v>
      </c>
      <c r="C504" s="136" t="s">
        <v>45</v>
      </c>
      <c r="D504" s="31">
        <f t="shared" si="34"/>
        <v>4</v>
      </c>
      <c r="E504" s="137" t="s">
        <v>46</v>
      </c>
      <c r="F504" s="31">
        <f t="shared" si="35"/>
        <v>6</v>
      </c>
      <c r="G504" s="137" t="s">
        <v>1422</v>
      </c>
      <c r="H504" s="138">
        <v>204</v>
      </c>
      <c r="I504" s="158">
        <f t="shared" si="36"/>
        <v>0.35775766376581997</v>
      </c>
      <c r="J504" s="95">
        <v>1.2169081126899299E-3</v>
      </c>
      <c r="K504" s="137">
        <v>0.71429841941895</v>
      </c>
      <c r="L504" s="137">
        <v>0.82499999999999996</v>
      </c>
      <c r="M504" s="137">
        <v>0.54824604854737402</v>
      </c>
      <c r="N504" s="136">
        <v>1</v>
      </c>
      <c r="O504" s="32">
        <v>43385</v>
      </c>
      <c r="P504" s="98">
        <f t="shared" si="37"/>
        <v>0</v>
      </c>
      <c r="Q504">
        <v>2.5499999999999998</v>
      </c>
      <c r="R504">
        <v>3.3</v>
      </c>
      <c r="S504">
        <v>0</v>
      </c>
      <c r="T504" s="112" t="s">
        <v>48</v>
      </c>
      <c r="U504" s="137" t="s">
        <v>1423</v>
      </c>
      <c r="V504" s="137" t="s">
        <v>1424</v>
      </c>
      <c r="W504" s="69">
        <v>77</v>
      </c>
      <c r="X504" s="136">
        <v>2</v>
      </c>
      <c r="Y504" s="136">
        <v>10</v>
      </c>
      <c r="Z504" s="314"/>
      <c r="AA504" s="319">
        <v>0.58399999999999996</v>
      </c>
      <c r="AB504" s="315" t="s">
        <v>5167</v>
      </c>
      <c r="AC504" s="319">
        <v>1</v>
      </c>
      <c r="AD504" s="320">
        <v>2.3255813953488299E-2</v>
      </c>
      <c r="AE504" s="319">
        <v>1</v>
      </c>
      <c r="AF504" s="320">
        <v>2.3255813953488299E-2</v>
      </c>
      <c r="AG504" s="319">
        <v>1</v>
      </c>
      <c r="AH504" s="320">
        <v>2.3255813953488299E-2</v>
      </c>
      <c r="AI504" s="319">
        <v>2</v>
      </c>
      <c r="AJ504" s="320">
        <v>4.6511627906976702E-2</v>
      </c>
      <c r="AK504" s="320">
        <v>0</v>
      </c>
      <c r="AL504" s="319">
        <v>5</v>
      </c>
      <c r="AM504" s="319">
        <v>6.2</v>
      </c>
      <c r="AN504" s="319">
        <v>10</v>
      </c>
      <c r="AO504" s="319">
        <v>0.706666666666666</v>
      </c>
      <c r="AP504">
        <v>10</v>
      </c>
      <c r="AR504" s="136"/>
      <c r="AS504">
        <v>10</v>
      </c>
      <c r="AT504" s="69">
        <v>2.3148</v>
      </c>
      <c r="AU504" s="69">
        <v>5</v>
      </c>
      <c r="AV504" s="69">
        <v>9.9920000000000009</v>
      </c>
      <c r="AW504" s="69">
        <v>0.57689999999999997</v>
      </c>
      <c r="BB504" s="69"/>
    </row>
    <row r="505" spans="1:54" customFormat="1" ht="40" customHeight="1">
      <c r="A505" s="313">
        <v>504</v>
      </c>
      <c r="B505" s="136" t="s">
        <v>1222</v>
      </c>
      <c r="C505" s="136" t="s">
        <v>45</v>
      </c>
      <c r="D505" s="31">
        <f t="shared" si="34"/>
        <v>4</v>
      </c>
      <c r="E505" s="137" t="s">
        <v>80</v>
      </c>
      <c r="F505" s="31">
        <f t="shared" si="35"/>
        <v>4</v>
      </c>
      <c r="G505" s="137" t="s">
        <v>159</v>
      </c>
      <c r="H505" s="138">
        <v>54</v>
      </c>
      <c r="I505" s="158">
        <f t="shared" si="36"/>
        <v>0.5066274325593535</v>
      </c>
      <c r="J505" s="95">
        <v>0.19906706868288401</v>
      </c>
      <c r="K505" s="137">
        <v>0.81418779643582295</v>
      </c>
      <c r="L505" s="137">
        <v>0.82499999999999996</v>
      </c>
      <c r="M505" s="137">
        <v>0.79796949108955795</v>
      </c>
      <c r="N505" s="136">
        <v>1</v>
      </c>
      <c r="O505" s="32">
        <v>43382</v>
      </c>
      <c r="P505" s="98">
        <f t="shared" si="37"/>
        <v>0</v>
      </c>
      <c r="Q505">
        <v>5.0999999999999996</v>
      </c>
      <c r="R505">
        <v>0</v>
      </c>
      <c r="S505">
        <v>0</v>
      </c>
      <c r="T505" s="112" t="s">
        <v>48</v>
      </c>
      <c r="U505" s="137" t="s">
        <v>1425</v>
      </c>
      <c r="V505" s="137" t="s">
        <v>1426</v>
      </c>
      <c r="W505" s="69">
        <v>95</v>
      </c>
      <c r="X505" s="136">
        <v>1</v>
      </c>
      <c r="Y505" s="136">
        <v>2</v>
      </c>
      <c r="Z505" s="314"/>
      <c r="AA505" s="319">
        <v>0.54500000000000004</v>
      </c>
      <c r="AB505" s="315" t="s">
        <v>5167</v>
      </c>
      <c r="AC505" s="319">
        <v>1</v>
      </c>
      <c r="AD505" s="320">
        <v>1.8181818181818101E-2</v>
      </c>
      <c r="AE505" s="319">
        <v>1</v>
      </c>
      <c r="AF505" s="320">
        <v>1.8181818181818101E-2</v>
      </c>
      <c r="AG505" s="319">
        <v>1</v>
      </c>
      <c r="AH505" s="320">
        <v>1.8181818181818101E-2</v>
      </c>
      <c r="AI505" s="319">
        <v>2</v>
      </c>
      <c r="AJ505" s="320">
        <v>3.6363636363636299E-2</v>
      </c>
      <c r="AK505" s="320">
        <v>1.8181818181818181E-2</v>
      </c>
      <c r="AL505" s="319">
        <v>6.75</v>
      </c>
      <c r="AM505" s="319">
        <v>5</v>
      </c>
      <c r="AN505" s="319">
        <v>4.6666666666666599</v>
      </c>
      <c r="AO505" s="319">
        <v>0.54722222222222205</v>
      </c>
      <c r="AP505">
        <v>2</v>
      </c>
      <c r="AR505" s="136"/>
      <c r="AS505">
        <v>2</v>
      </c>
      <c r="AT505" s="69">
        <v>6.3414000000000001</v>
      </c>
      <c r="AU505" s="69">
        <v>2.3148</v>
      </c>
      <c r="AV505" s="69">
        <v>8.1305999999999994</v>
      </c>
      <c r="AW505" s="69">
        <v>0.55959999999999999</v>
      </c>
      <c r="BB505" s="69"/>
    </row>
    <row r="506" spans="1:54" customFormat="1" ht="40" customHeight="1">
      <c r="A506" s="313">
        <v>505</v>
      </c>
      <c r="B506" s="136" t="s">
        <v>1222</v>
      </c>
      <c r="C506" s="136" t="s">
        <v>45</v>
      </c>
      <c r="D506" s="31">
        <f t="shared" si="34"/>
        <v>4</v>
      </c>
      <c r="E506" s="137" t="s">
        <v>80</v>
      </c>
      <c r="F506" s="31">
        <f t="shared" si="35"/>
        <v>4</v>
      </c>
      <c r="G506" s="137" t="s">
        <v>1427</v>
      </c>
      <c r="H506" s="138">
        <v>93</v>
      </c>
      <c r="I506" s="158">
        <f t="shared" si="36"/>
        <v>0.39801285942444664</v>
      </c>
      <c r="J506" s="95">
        <v>5.07099723323634E-8</v>
      </c>
      <c r="K506" s="137">
        <v>0.79602566813892095</v>
      </c>
      <c r="L506" s="137">
        <v>0.82499999999999996</v>
      </c>
      <c r="M506" s="137">
        <v>0.75256417034730305</v>
      </c>
      <c r="N506" s="136">
        <v>1</v>
      </c>
      <c r="O506" s="32">
        <v>43357</v>
      </c>
      <c r="P506" s="98">
        <f t="shared" si="37"/>
        <v>0</v>
      </c>
      <c r="Q506">
        <v>2.5499999999999998</v>
      </c>
      <c r="R506">
        <v>0</v>
      </c>
      <c r="S506">
        <v>0</v>
      </c>
      <c r="T506" s="112" t="s">
        <v>48</v>
      </c>
      <c r="U506" s="137" t="s">
        <v>1428</v>
      </c>
      <c r="V506" s="137" t="s">
        <v>1429</v>
      </c>
      <c r="W506" s="69">
        <v>15</v>
      </c>
      <c r="X506" s="136">
        <v>1</v>
      </c>
      <c r="Y506" s="136">
        <v>3</v>
      </c>
      <c r="Z506" s="314"/>
      <c r="AA506" s="319">
        <v>0.5</v>
      </c>
      <c r="AB506" s="315" t="s">
        <v>5169</v>
      </c>
      <c r="AC506" s="319">
        <v>1</v>
      </c>
      <c r="AD506" s="320">
        <v>0.125</v>
      </c>
      <c r="AE506" s="319">
        <v>0</v>
      </c>
      <c r="AF506" s="320">
        <v>0</v>
      </c>
      <c r="AG506" s="319">
        <v>1</v>
      </c>
      <c r="AH506" s="320">
        <v>0.125</v>
      </c>
      <c r="AI506" s="319">
        <v>0</v>
      </c>
      <c r="AJ506" s="320">
        <v>0</v>
      </c>
      <c r="AK506" s="320">
        <v>0</v>
      </c>
      <c r="AL506" s="319">
        <v>5</v>
      </c>
      <c r="AM506" s="319">
        <v>5</v>
      </c>
      <c r="AN506" s="319">
        <v>4.6666666666666599</v>
      </c>
      <c r="AO506" s="319">
        <v>0.48888888888888798</v>
      </c>
      <c r="AP506">
        <v>3</v>
      </c>
      <c r="AR506" s="136"/>
      <c r="AS506">
        <v>3</v>
      </c>
      <c r="AT506" s="69">
        <v>2.3148</v>
      </c>
      <c r="AU506" s="69">
        <v>2.3148</v>
      </c>
      <c r="AV506" s="69">
        <v>8.1305999999999994</v>
      </c>
      <c r="AW506" s="69">
        <v>0.42530000000000001</v>
      </c>
      <c r="BB506" s="69"/>
    </row>
    <row r="507" spans="1:54" customFormat="1" ht="40" customHeight="1">
      <c r="A507" s="313">
        <v>506</v>
      </c>
      <c r="B507" s="136" t="s">
        <v>1222</v>
      </c>
      <c r="C507" s="136" t="s">
        <v>45</v>
      </c>
      <c r="D507" s="31">
        <f t="shared" si="34"/>
        <v>4</v>
      </c>
      <c r="E507" s="137" t="s">
        <v>80</v>
      </c>
      <c r="F507" s="31">
        <f t="shared" si="35"/>
        <v>4</v>
      </c>
      <c r="G507" s="137" t="s">
        <v>305</v>
      </c>
      <c r="H507" s="138">
        <v>50</v>
      </c>
      <c r="I507" s="158">
        <f t="shared" si="36"/>
        <v>0.377796506119637</v>
      </c>
      <c r="J507" s="95">
        <v>5.6385468402697604E-4</v>
      </c>
      <c r="K507" s="137">
        <v>0.75502915755524702</v>
      </c>
      <c r="L507" s="137">
        <v>0.82499999999999996</v>
      </c>
      <c r="M507" s="137">
        <v>0.65007289388811795</v>
      </c>
      <c r="N507" s="136">
        <v>1</v>
      </c>
      <c r="O507" s="32">
        <v>43351</v>
      </c>
      <c r="P507" s="98">
        <f t="shared" si="37"/>
        <v>0</v>
      </c>
      <c r="Q507">
        <v>5.0999999999999996</v>
      </c>
      <c r="R507">
        <v>1.65</v>
      </c>
      <c r="S507">
        <v>0</v>
      </c>
      <c r="T507" s="112" t="s">
        <v>48</v>
      </c>
      <c r="U507" s="137" t="s">
        <v>1430</v>
      </c>
      <c r="V507" s="137" t="s">
        <v>1431</v>
      </c>
      <c r="W507" s="69">
        <v>42</v>
      </c>
      <c r="X507" s="136">
        <v>1</v>
      </c>
      <c r="Y507" s="136">
        <v>6</v>
      </c>
      <c r="Z507" s="314"/>
      <c r="AA507" s="319">
        <v>0.54500000000000004</v>
      </c>
      <c r="AB507" s="315" t="s">
        <v>5176</v>
      </c>
      <c r="AC507" s="319">
        <v>0</v>
      </c>
      <c r="AD507" s="320">
        <v>0</v>
      </c>
      <c r="AE507" s="319">
        <v>3</v>
      </c>
      <c r="AF507" s="320">
        <v>0.13636363636363599</v>
      </c>
      <c r="AG507" s="319">
        <v>1</v>
      </c>
      <c r="AH507" s="320">
        <v>4.54545454545454E-2</v>
      </c>
      <c r="AI507" s="319">
        <v>0</v>
      </c>
      <c r="AJ507" s="320">
        <v>0</v>
      </c>
      <c r="AK507" s="320">
        <v>4.5454545454545463E-2</v>
      </c>
      <c r="AL507" s="319">
        <v>6.75</v>
      </c>
      <c r="AM507" s="319">
        <v>5</v>
      </c>
      <c r="AN507" s="319">
        <v>7.3333333333333304</v>
      </c>
      <c r="AO507" s="319">
        <v>0.63611111111111096</v>
      </c>
      <c r="AP507">
        <v>6</v>
      </c>
      <c r="AR507" s="136"/>
      <c r="AS507">
        <v>6</v>
      </c>
      <c r="AT507" s="69">
        <v>6.3414000000000001</v>
      </c>
      <c r="AU507" s="69">
        <v>2.3148</v>
      </c>
      <c r="AV507" s="69">
        <v>9.8416999999999994</v>
      </c>
      <c r="AW507" s="69">
        <v>0.61660000000000004</v>
      </c>
      <c r="BB507" s="69"/>
    </row>
    <row r="508" spans="1:54" customFormat="1" ht="40" customHeight="1">
      <c r="A508" s="313">
        <v>507</v>
      </c>
      <c r="B508" s="136" t="s">
        <v>1222</v>
      </c>
      <c r="C508" s="136" t="s">
        <v>45</v>
      </c>
      <c r="D508" s="31">
        <f t="shared" si="34"/>
        <v>4</v>
      </c>
      <c r="E508" s="137" t="s">
        <v>1223</v>
      </c>
      <c r="F508" s="31">
        <f t="shared" si="35"/>
        <v>8</v>
      </c>
      <c r="G508" s="137" t="s">
        <v>1432</v>
      </c>
      <c r="H508" s="138">
        <v>198</v>
      </c>
      <c r="I508" s="158">
        <f t="shared" si="36"/>
        <v>0.70488266238428143</v>
      </c>
      <c r="J508" s="95">
        <v>0.91708304808945096</v>
      </c>
      <c r="K508" s="137">
        <v>0.49268227667911202</v>
      </c>
      <c r="L508" s="137">
        <v>0.28915746707214901</v>
      </c>
      <c r="M508" s="137">
        <v>0.79796949108955795</v>
      </c>
      <c r="N508" s="136">
        <v>1</v>
      </c>
      <c r="O508" s="32">
        <v>43337</v>
      </c>
      <c r="P508" s="98">
        <f t="shared" si="37"/>
        <v>0</v>
      </c>
      <c r="Q508">
        <v>7.65</v>
      </c>
      <c r="R508">
        <v>3.3</v>
      </c>
      <c r="S508">
        <v>0</v>
      </c>
      <c r="T508" s="112" t="s">
        <v>48</v>
      </c>
      <c r="U508" s="137" t="s">
        <v>1433</v>
      </c>
      <c r="V508" s="137" t="s">
        <v>1434</v>
      </c>
      <c r="W508" s="69">
        <v>119</v>
      </c>
      <c r="X508" s="136">
        <v>1</v>
      </c>
      <c r="Y508" s="136">
        <v>2</v>
      </c>
      <c r="Z508" s="314"/>
      <c r="AA508" s="319">
        <v>3.0721061766640998E-6</v>
      </c>
      <c r="AB508" s="315" t="s">
        <v>5176</v>
      </c>
      <c r="AC508" s="319">
        <v>4</v>
      </c>
      <c r="AD508" s="320">
        <v>5.7142857142857099E-2</v>
      </c>
      <c r="AE508" s="319">
        <v>5</v>
      </c>
      <c r="AF508" s="320">
        <v>7.1428571428571397E-2</v>
      </c>
      <c r="AG508" s="319">
        <v>1</v>
      </c>
      <c r="AH508" s="320">
        <v>1.42857142857142E-2</v>
      </c>
      <c r="AI508" s="319">
        <v>0</v>
      </c>
      <c r="AJ508" s="320">
        <v>0</v>
      </c>
      <c r="AK508" s="320">
        <v>4.2857142857142858E-2</v>
      </c>
      <c r="AL508" s="319">
        <v>6.75</v>
      </c>
      <c r="AM508" s="319">
        <v>5</v>
      </c>
      <c r="AN508" s="319">
        <v>7.3333333333333304</v>
      </c>
      <c r="AO508" s="319">
        <v>0.63611111111111096</v>
      </c>
      <c r="AP508">
        <v>2</v>
      </c>
      <c r="AR508" s="136">
        <v>2</v>
      </c>
      <c r="AT508" s="69">
        <v>6.3414000000000001</v>
      </c>
      <c r="AU508" s="69">
        <v>2.3148</v>
      </c>
      <c r="AV508" s="69">
        <v>9.8416999999999994</v>
      </c>
      <c r="AW508" s="69">
        <v>0.61660000000000004</v>
      </c>
      <c r="BB508" s="69"/>
    </row>
    <row r="509" spans="1:54" customFormat="1" ht="40" customHeight="1">
      <c r="A509" s="313">
        <v>508</v>
      </c>
      <c r="B509" s="136" t="s">
        <v>1222</v>
      </c>
      <c r="C509" s="136" t="s">
        <v>45</v>
      </c>
      <c r="D509" s="31">
        <f t="shared" si="34"/>
        <v>4</v>
      </c>
      <c r="E509" s="137" t="s">
        <v>80</v>
      </c>
      <c r="F509" s="31">
        <f t="shared" si="35"/>
        <v>4</v>
      </c>
      <c r="G509" s="137" t="s">
        <v>1435</v>
      </c>
      <c r="H509" s="138">
        <v>46</v>
      </c>
      <c r="I509" s="158">
        <f t="shared" si="36"/>
        <v>0.36598567485768174</v>
      </c>
      <c r="J509" s="95">
        <v>2.1942192160116499E-2</v>
      </c>
      <c r="K509" s="137">
        <v>0.71002915755524698</v>
      </c>
      <c r="L509" s="137">
        <v>0.75</v>
      </c>
      <c r="M509" s="137">
        <v>0.65007289388811795</v>
      </c>
      <c r="N509" s="136">
        <v>1</v>
      </c>
      <c r="O509" s="32">
        <v>43327</v>
      </c>
      <c r="P509" s="98">
        <f t="shared" si="37"/>
        <v>1</v>
      </c>
      <c r="Q509">
        <v>0</v>
      </c>
      <c r="R509">
        <v>0</v>
      </c>
      <c r="S509">
        <v>0</v>
      </c>
      <c r="T509" s="112" t="s">
        <v>73</v>
      </c>
      <c r="U509" s="137" t="s">
        <v>1436</v>
      </c>
      <c r="V509" s="137" t="s">
        <v>1437</v>
      </c>
      <c r="W509" s="69">
        <v>102</v>
      </c>
      <c r="X509" s="136">
        <v>2</v>
      </c>
      <c r="Y509" s="136">
        <v>6</v>
      </c>
      <c r="Z509" s="314"/>
      <c r="AA509" s="319">
        <v>0.5</v>
      </c>
      <c r="AB509" s="315" t="s">
        <v>5168</v>
      </c>
      <c r="AC509" s="319">
        <v>1</v>
      </c>
      <c r="AD509" s="320">
        <v>1.72413793103448E-2</v>
      </c>
      <c r="AE509" s="319">
        <v>1</v>
      </c>
      <c r="AF509" s="320">
        <v>1.72413793103448E-2</v>
      </c>
      <c r="AG509" s="319">
        <v>2</v>
      </c>
      <c r="AH509" s="320">
        <v>3.4482758620689599E-2</v>
      </c>
      <c r="AI509" s="319">
        <v>0</v>
      </c>
      <c r="AJ509" s="320">
        <v>0</v>
      </c>
      <c r="AK509" s="320">
        <v>1.7241379310344831E-2</v>
      </c>
      <c r="AL509" s="319">
        <v>5</v>
      </c>
      <c r="AM509" s="319">
        <v>5</v>
      </c>
      <c r="AN509" s="319">
        <v>4.6666666666666599</v>
      </c>
      <c r="AO509" s="319">
        <v>0.48888888888888798</v>
      </c>
      <c r="AP509">
        <v>6</v>
      </c>
      <c r="AR509" s="136"/>
      <c r="AS509">
        <v>6</v>
      </c>
      <c r="AT509" s="69">
        <v>2.3148</v>
      </c>
      <c r="AU509" s="69">
        <v>2.3148</v>
      </c>
      <c r="AV509" s="69">
        <v>8.1305999999999994</v>
      </c>
      <c r="AW509" s="69">
        <v>0.42530000000000001</v>
      </c>
      <c r="BB509" s="69"/>
    </row>
    <row r="510" spans="1:54" customFormat="1" ht="40" customHeight="1">
      <c r="A510" s="313">
        <v>509</v>
      </c>
      <c r="B510" s="136" t="s">
        <v>1222</v>
      </c>
      <c r="C510" s="136" t="s">
        <v>45</v>
      </c>
      <c r="D510" s="31">
        <f t="shared" si="34"/>
        <v>4</v>
      </c>
      <c r="E510" s="137" t="s">
        <v>80</v>
      </c>
      <c r="F510" s="31">
        <f t="shared" si="35"/>
        <v>4</v>
      </c>
      <c r="G510" s="137" t="s">
        <v>159</v>
      </c>
      <c r="H510" s="138">
        <v>98</v>
      </c>
      <c r="I510" s="158">
        <f t="shared" si="36"/>
        <v>0.38459411651823472</v>
      </c>
      <c r="J510" s="95">
        <v>4.3660064641404299E-7</v>
      </c>
      <c r="K510" s="137">
        <v>0.76918779643582302</v>
      </c>
      <c r="L510" s="137">
        <v>0.75</v>
      </c>
      <c r="M510" s="137">
        <v>0.79796949108955795</v>
      </c>
      <c r="N510" s="136">
        <v>1</v>
      </c>
      <c r="O510" s="32">
        <v>43325</v>
      </c>
      <c r="P510" s="98">
        <f t="shared" si="37"/>
        <v>2</v>
      </c>
      <c r="Q510">
        <v>0</v>
      </c>
      <c r="R510">
        <v>0</v>
      </c>
      <c r="S510">
        <v>1.87</v>
      </c>
      <c r="T510" s="112" t="s">
        <v>64</v>
      </c>
      <c r="U510" s="137" t="s">
        <v>1438</v>
      </c>
      <c r="V510" s="137" t="s">
        <v>1439</v>
      </c>
      <c r="W510" s="69">
        <v>31</v>
      </c>
      <c r="X510" s="136">
        <v>1</v>
      </c>
      <c r="Y510" s="136">
        <v>2</v>
      </c>
      <c r="Z510" s="314"/>
      <c r="AA510" s="319">
        <v>0.54500000000000004</v>
      </c>
      <c r="AB510" s="315" t="s">
        <v>5193</v>
      </c>
      <c r="AC510" s="319">
        <v>1</v>
      </c>
      <c r="AD510" s="320">
        <v>5.2631578947368397E-2</v>
      </c>
      <c r="AE510" s="319">
        <v>1</v>
      </c>
      <c r="AF510" s="320">
        <v>5.2631578947368397E-2</v>
      </c>
      <c r="AG510" s="319">
        <v>0</v>
      </c>
      <c r="AH510" s="320">
        <v>0</v>
      </c>
      <c r="AI510" s="319">
        <v>1</v>
      </c>
      <c r="AJ510" s="320">
        <v>5.2631578947368397E-2</v>
      </c>
      <c r="AK510" s="320">
        <v>0</v>
      </c>
      <c r="AL510" s="319">
        <v>5</v>
      </c>
      <c r="AM510" s="319">
        <v>5</v>
      </c>
      <c r="AN510" s="319">
        <v>4.6666666666666599</v>
      </c>
      <c r="AO510" s="319">
        <v>0.48888888888888798</v>
      </c>
      <c r="AP510">
        <v>2</v>
      </c>
      <c r="AQ510">
        <v>2</v>
      </c>
      <c r="AR510" s="136"/>
      <c r="AT510" s="69">
        <v>2.3148</v>
      </c>
      <c r="AU510" s="69">
        <v>2.3148</v>
      </c>
      <c r="AV510" s="69">
        <v>8.1305999999999994</v>
      </c>
      <c r="AW510" s="69">
        <v>0.42530000000000001</v>
      </c>
      <c r="BB510" s="69"/>
    </row>
    <row r="511" spans="1:54" customFormat="1" ht="40" customHeight="1">
      <c r="A511" s="313">
        <v>510</v>
      </c>
      <c r="B511" s="136" t="s">
        <v>1222</v>
      </c>
      <c r="C511" s="136" t="s">
        <v>45</v>
      </c>
      <c r="D511" s="31">
        <f t="shared" si="34"/>
        <v>4</v>
      </c>
      <c r="E511" s="137" t="s">
        <v>80</v>
      </c>
      <c r="F511" s="31">
        <f t="shared" si="35"/>
        <v>4</v>
      </c>
      <c r="G511" s="137" t="s">
        <v>439</v>
      </c>
      <c r="H511" s="138">
        <v>59</v>
      </c>
      <c r="I511" s="158">
        <f t="shared" si="36"/>
        <v>0.34970541539781175</v>
      </c>
      <c r="J511" s="95">
        <v>2.5724164864618499E-2</v>
      </c>
      <c r="K511" s="137">
        <v>0.67368666593100501</v>
      </c>
      <c r="L511" s="137">
        <v>0.82499999999999996</v>
      </c>
      <c r="M511" s="137">
        <v>0.44671666482751199</v>
      </c>
      <c r="N511" s="136">
        <v>1</v>
      </c>
      <c r="O511" s="32">
        <v>43321</v>
      </c>
      <c r="P511" s="98">
        <f t="shared" si="37"/>
        <v>0</v>
      </c>
      <c r="Q511">
        <v>7.65</v>
      </c>
      <c r="R511">
        <v>1.65</v>
      </c>
      <c r="S511">
        <v>0</v>
      </c>
      <c r="T511" s="112" t="s">
        <v>48</v>
      </c>
      <c r="U511" s="137" t="s">
        <v>1440</v>
      </c>
      <c r="V511" s="137" t="s">
        <v>1441</v>
      </c>
      <c r="W511" s="69">
        <v>95</v>
      </c>
      <c r="X511" s="136">
        <v>4</v>
      </c>
      <c r="Y511" s="136">
        <v>15</v>
      </c>
      <c r="Z511" s="314"/>
      <c r="AA511" s="319">
        <v>0.55000000000000004</v>
      </c>
      <c r="AB511" s="315" t="s">
        <v>5167</v>
      </c>
      <c r="AC511" s="319">
        <v>1</v>
      </c>
      <c r="AD511" s="320">
        <v>1.8181818181818101E-2</v>
      </c>
      <c r="AE511" s="319">
        <v>1</v>
      </c>
      <c r="AF511" s="320">
        <v>1.8181818181818101E-2</v>
      </c>
      <c r="AG511" s="319">
        <v>1</v>
      </c>
      <c r="AH511" s="320">
        <v>1.8181818181818101E-2</v>
      </c>
      <c r="AI511" s="319">
        <v>2</v>
      </c>
      <c r="AJ511" s="320">
        <v>3.6363636363636299E-2</v>
      </c>
      <c r="AK511" s="320">
        <v>1.8181818181818181E-2</v>
      </c>
      <c r="AL511" s="319">
        <v>6.75</v>
      </c>
      <c r="AM511" s="319">
        <v>5</v>
      </c>
      <c r="AN511" s="319">
        <v>4.6666666666666599</v>
      </c>
      <c r="AO511" s="319">
        <v>0.54722222222222205</v>
      </c>
      <c r="AP511">
        <v>15</v>
      </c>
      <c r="AR511" s="136">
        <v>15</v>
      </c>
      <c r="AT511" s="69">
        <v>6.3414000000000001</v>
      </c>
      <c r="AU511" s="69">
        <v>2.3148</v>
      </c>
      <c r="AV511" s="69">
        <v>8.1305999999999994</v>
      </c>
      <c r="AW511" s="69">
        <v>0.55959999999999999</v>
      </c>
      <c r="BB511" s="69"/>
    </row>
    <row r="512" spans="1:54" customFormat="1" ht="40" customHeight="1">
      <c r="A512" s="313">
        <v>511</v>
      </c>
      <c r="B512" s="136" t="s">
        <v>1222</v>
      </c>
      <c r="C512" s="136" t="s">
        <v>45</v>
      </c>
      <c r="D512" s="31">
        <f t="shared" si="34"/>
        <v>4</v>
      </c>
      <c r="E512" s="137" t="s">
        <v>80</v>
      </c>
      <c r="F512" s="31">
        <f t="shared" si="35"/>
        <v>4</v>
      </c>
      <c r="G512" s="137" t="s">
        <v>1442</v>
      </c>
      <c r="H512" s="138">
        <v>55</v>
      </c>
      <c r="I512" s="158">
        <f t="shared" si="36"/>
        <v>0.42158012469038181</v>
      </c>
      <c r="J512" s="95">
        <v>5.3031065236206496E-3</v>
      </c>
      <c r="K512" s="137">
        <v>0.83785714285714297</v>
      </c>
      <c r="L512" s="137">
        <v>0.82499999999999996</v>
      </c>
      <c r="M512" s="137">
        <v>0.85714285714285698</v>
      </c>
      <c r="N512" s="136">
        <v>1</v>
      </c>
      <c r="O512" s="32">
        <v>43272</v>
      </c>
      <c r="P512" s="98">
        <f t="shared" si="37"/>
        <v>0</v>
      </c>
      <c r="Q512">
        <v>0</v>
      </c>
      <c r="R512">
        <v>0</v>
      </c>
      <c r="S512">
        <v>0</v>
      </c>
      <c r="T512" s="112" t="s">
        <v>48</v>
      </c>
      <c r="U512" s="137" t="s">
        <v>1443</v>
      </c>
      <c r="V512" s="137" t="s">
        <v>1444</v>
      </c>
      <c r="W512" s="69">
        <v>197</v>
      </c>
      <c r="X512" s="136">
        <v>4</v>
      </c>
      <c r="Y512" s="136">
        <v>1</v>
      </c>
      <c r="Z512" s="314"/>
      <c r="AA512" s="319">
        <v>0.5</v>
      </c>
      <c r="AB512" s="315" t="s">
        <v>5165</v>
      </c>
      <c r="AC512" s="319">
        <v>2</v>
      </c>
      <c r="AD512" s="320">
        <v>1.8181818181818101E-2</v>
      </c>
      <c r="AE512" s="319">
        <v>1</v>
      </c>
      <c r="AF512" s="320">
        <v>9.0909090909090905E-3</v>
      </c>
      <c r="AG512" s="319">
        <v>1</v>
      </c>
      <c r="AH512" s="320">
        <v>9.0909090909090905E-3</v>
      </c>
      <c r="AI512" s="319">
        <v>0</v>
      </c>
      <c r="AJ512" s="320">
        <v>0</v>
      </c>
      <c r="AK512" s="320">
        <v>0</v>
      </c>
      <c r="AL512" s="319">
        <v>5</v>
      </c>
      <c r="AM512" s="319">
        <v>5</v>
      </c>
      <c r="AN512" s="319">
        <v>4.6666666666666599</v>
      </c>
      <c r="AO512" s="319">
        <v>0.48888888888888798</v>
      </c>
      <c r="AP512">
        <v>1</v>
      </c>
      <c r="AR512" s="136">
        <v>1</v>
      </c>
      <c r="AT512" s="69">
        <v>2.3148</v>
      </c>
      <c r="AU512" s="69">
        <v>2.3148</v>
      </c>
      <c r="AV512" s="69">
        <v>8.1305999999999994</v>
      </c>
      <c r="AW512" s="69">
        <v>0.42530000000000001</v>
      </c>
      <c r="BB512" s="69"/>
    </row>
    <row r="513" spans="1:54" customFormat="1" ht="40" customHeight="1">
      <c r="A513" s="313">
        <v>512</v>
      </c>
      <c r="B513" s="136" t="s">
        <v>1222</v>
      </c>
      <c r="C513" s="136" t="s">
        <v>45</v>
      </c>
      <c r="D513" s="31">
        <f t="shared" si="34"/>
        <v>4</v>
      </c>
      <c r="E513" s="137" t="s">
        <v>664</v>
      </c>
      <c r="F513" s="31">
        <f t="shared" si="35"/>
        <v>1</v>
      </c>
      <c r="G513" s="137" t="s">
        <v>1445</v>
      </c>
      <c r="H513" s="138">
        <v>275</v>
      </c>
      <c r="I513" s="158">
        <f t="shared" si="36"/>
        <v>0.35088279695061397</v>
      </c>
      <c r="J513" s="95">
        <v>0.22298096755837499</v>
      </c>
      <c r="K513" s="137">
        <v>0.47878462634285301</v>
      </c>
      <c r="L513" s="137">
        <v>0.51226009152380303</v>
      </c>
      <c r="M513" s="137">
        <v>0.42857142857142899</v>
      </c>
      <c r="N513" s="136">
        <v>0</v>
      </c>
      <c r="O513" s="32">
        <v>43264</v>
      </c>
      <c r="P513" s="98">
        <f t="shared" si="37"/>
        <v>1</v>
      </c>
      <c r="Q513">
        <v>0</v>
      </c>
      <c r="R513">
        <v>3.3</v>
      </c>
      <c r="S513">
        <v>1.87</v>
      </c>
      <c r="T513" s="112" t="s">
        <v>73</v>
      </c>
      <c r="U513" s="137" t="s">
        <v>1446</v>
      </c>
      <c r="V513" s="137" t="s">
        <v>1447</v>
      </c>
      <c r="W513" s="69">
        <v>64</v>
      </c>
      <c r="X513" s="136">
        <v>1</v>
      </c>
      <c r="Y513" s="136">
        <v>16</v>
      </c>
      <c r="Z513" s="314"/>
      <c r="AA513" s="319">
        <v>9.1578194443670893E-3</v>
      </c>
      <c r="AB513" s="331" t="s">
        <v>5162</v>
      </c>
      <c r="AC513" s="319">
        <v>0</v>
      </c>
      <c r="AD513" s="320">
        <v>0</v>
      </c>
      <c r="AE513" s="319">
        <v>0</v>
      </c>
      <c r="AF513" s="320">
        <v>0</v>
      </c>
      <c r="AG513" s="319">
        <v>0</v>
      </c>
      <c r="AH513" s="320">
        <v>0</v>
      </c>
      <c r="AI513" s="319">
        <v>0</v>
      </c>
      <c r="AJ513" s="320">
        <v>0</v>
      </c>
      <c r="AK513" s="320">
        <v>0</v>
      </c>
      <c r="AL513" s="319">
        <v>6.75</v>
      </c>
      <c r="AM513" s="319">
        <v>5</v>
      </c>
      <c r="AN513" s="319">
        <v>4.6666666666666599</v>
      </c>
      <c r="AO513" s="319">
        <v>0.54722222222222205</v>
      </c>
      <c r="AP513" s="319">
        <v>16</v>
      </c>
      <c r="AR513" s="136"/>
      <c r="AT513" s="69">
        <v>6.3414000000000001</v>
      </c>
      <c r="AU513" s="69">
        <v>2.3148</v>
      </c>
      <c r="AV513" s="69">
        <v>8.1305999999999994</v>
      </c>
      <c r="AW513" s="69">
        <v>0.55959999999999999</v>
      </c>
      <c r="BB513" s="69"/>
    </row>
    <row r="514" spans="1:54" customFormat="1" ht="40" customHeight="1">
      <c r="A514" s="313">
        <v>513</v>
      </c>
      <c r="B514" s="136" t="s">
        <v>1222</v>
      </c>
      <c r="C514" s="136" t="s">
        <v>45</v>
      </c>
      <c r="D514" s="31">
        <f t="shared" ref="D514:D577" si="38">IF(C514="投诉",4,IF(C514="建议",1,IF(C514="举报",2,IF(C514="求助",3,5))))</f>
        <v>4</v>
      </c>
      <c r="E514" s="137" t="s">
        <v>1223</v>
      </c>
      <c r="F514" s="31">
        <f t="shared" ref="F514:F577" si="39">IF(E514="12345app",1,IF(E514="e福州app",2,IF(E514="qq",3,IF(E514="电话",4,IF(E514="短信",5,IF(E514="网站",6,IF(E514="微博",7,IF(E514="微信",8,9))))))))</f>
        <v>8</v>
      </c>
      <c r="G514" s="137" t="s">
        <v>1448</v>
      </c>
      <c r="H514" s="138">
        <v>268</v>
      </c>
      <c r="I514" s="158">
        <f t="shared" ref="I514:I577" si="40">(J514+K514)/2</f>
        <v>0.21250558282813251</v>
      </c>
      <c r="J514" s="95">
        <v>2.6052386411777002E-2</v>
      </c>
      <c r="K514" s="137">
        <v>0.39895877924448803</v>
      </c>
      <c r="L514" s="137">
        <v>0.16322185184261101</v>
      </c>
      <c r="M514" s="137">
        <v>0.75256417034730305</v>
      </c>
      <c r="N514" s="136">
        <v>1</v>
      </c>
      <c r="O514" s="32">
        <v>43263</v>
      </c>
      <c r="P514" s="98">
        <f t="shared" ref="P514:P577" si="41">IF(T514="利己",0,IF(T514="生态",2,1))</f>
        <v>0</v>
      </c>
      <c r="Q514">
        <v>2.5499999999999998</v>
      </c>
      <c r="R514">
        <v>1.65</v>
      </c>
      <c r="S514">
        <v>0</v>
      </c>
      <c r="T514" s="112" t="s">
        <v>48</v>
      </c>
      <c r="U514" s="137" t="s">
        <v>1449</v>
      </c>
      <c r="V514" s="137" t="s">
        <v>1450</v>
      </c>
      <c r="W514" s="69">
        <v>126</v>
      </c>
      <c r="X514" s="136">
        <v>1</v>
      </c>
      <c r="Y514" s="136">
        <v>3</v>
      </c>
      <c r="Z514" s="314"/>
      <c r="AA514" s="319">
        <v>1.32003237367693E-6</v>
      </c>
      <c r="AB514" s="315" t="s">
        <v>5169</v>
      </c>
      <c r="AC514" s="319">
        <v>4</v>
      </c>
      <c r="AD514" s="320">
        <v>5.6338028169014003E-2</v>
      </c>
      <c r="AE514" s="319">
        <v>2</v>
      </c>
      <c r="AF514" s="320">
        <v>2.8169014084507001E-2</v>
      </c>
      <c r="AG514" s="319">
        <v>4</v>
      </c>
      <c r="AH514" s="320">
        <v>5.6338028169014003E-2</v>
      </c>
      <c r="AI514" s="319">
        <v>0</v>
      </c>
      <c r="AJ514" s="320">
        <v>0</v>
      </c>
      <c r="AK514" s="320">
        <v>1.408450704225352E-2</v>
      </c>
      <c r="AL514" s="319">
        <v>5</v>
      </c>
      <c r="AM514" s="319">
        <v>5</v>
      </c>
      <c r="AN514" s="319">
        <v>7.6666666666666599</v>
      </c>
      <c r="AO514" s="319">
        <v>0.58888888888888802</v>
      </c>
      <c r="AP514">
        <v>3</v>
      </c>
      <c r="AR514" s="136">
        <v>3</v>
      </c>
      <c r="AT514" s="69">
        <v>2.3148</v>
      </c>
      <c r="AU514" s="69">
        <v>2.3148</v>
      </c>
      <c r="AV514" s="69">
        <v>9.8867999999999991</v>
      </c>
      <c r="AW514" s="69">
        <v>0.4839</v>
      </c>
      <c r="BB514" s="69"/>
    </row>
    <row r="515" spans="1:54" customFormat="1" ht="40" customHeight="1">
      <c r="A515" s="313">
        <v>514</v>
      </c>
      <c r="B515" s="136" t="s">
        <v>1222</v>
      </c>
      <c r="C515" s="136" t="s">
        <v>45</v>
      </c>
      <c r="D515" s="31">
        <f t="shared" si="38"/>
        <v>4</v>
      </c>
      <c r="E515" s="137" t="s">
        <v>46</v>
      </c>
      <c r="F515" s="31">
        <f t="shared" si="39"/>
        <v>6</v>
      </c>
      <c r="G515" s="137" t="s">
        <v>1451</v>
      </c>
      <c r="H515" s="138">
        <v>227</v>
      </c>
      <c r="I515" s="158">
        <f t="shared" si="40"/>
        <v>0.30046006613848841</v>
      </c>
      <c r="J515" s="95">
        <v>7.1907872878362906E-8</v>
      </c>
      <c r="K515" s="137">
        <v>0.60092006036910395</v>
      </c>
      <c r="L515" s="137">
        <v>0.75</v>
      </c>
      <c r="M515" s="137">
        <v>0.37730015092276098</v>
      </c>
      <c r="N515" s="136">
        <v>0</v>
      </c>
      <c r="O515" s="32">
        <v>43259</v>
      </c>
      <c r="P515" s="98">
        <f t="shared" si="41"/>
        <v>1</v>
      </c>
      <c r="Q515">
        <v>2.5499999999999998</v>
      </c>
      <c r="R515">
        <v>6.6</v>
      </c>
      <c r="S515">
        <v>0</v>
      </c>
      <c r="T515" s="112" t="s">
        <v>73</v>
      </c>
      <c r="U515" s="137" t="s">
        <v>1452</v>
      </c>
      <c r="V515" s="137" t="s">
        <v>1453</v>
      </c>
      <c r="W515" s="69">
        <v>31</v>
      </c>
      <c r="X515" s="136">
        <v>2</v>
      </c>
      <c r="Y515" s="136">
        <v>19</v>
      </c>
      <c r="Z515" s="314"/>
      <c r="AA515" s="319">
        <v>0.45454545454545398</v>
      </c>
      <c r="AB515" s="315" t="s">
        <v>5165</v>
      </c>
      <c r="AC515" s="319">
        <v>1</v>
      </c>
      <c r="AD515" s="320">
        <v>5.2631578947368397E-2</v>
      </c>
      <c r="AE515" s="319">
        <v>0</v>
      </c>
      <c r="AF515" s="320">
        <v>0</v>
      </c>
      <c r="AG515" s="319">
        <v>0</v>
      </c>
      <c r="AH515" s="320">
        <v>0</v>
      </c>
      <c r="AI515" s="319">
        <v>0</v>
      </c>
      <c r="AJ515" s="320">
        <v>0</v>
      </c>
      <c r="AK515" s="320">
        <v>0</v>
      </c>
      <c r="AL515" s="319">
        <v>6.75</v>
      </c>
      <c r="AM515" s="319">
        <v>5</v>
      </c>
      <c r="AN515" s="319">
        <v>4.6666666666666599</v>
      </c>
      <c r="AO515" s="319">
        <v>0.54722222222222205</v>
      </c>
      <c r="AP515">
        <v>19</v>
      </c>
      <c r="AQ515">
        <v>19</v>
      </c>
      <c r="AR515" s="136"/>
      <c r="AT515" s="69">
        <v>6.3414000000000001</v>
      </c>
      <c r="AU515" s="69">
        <v>2.3148</v>
      </c>
      <c r="AV515" s="69">
        <v>8.1305999999999994</v>
      </c>
      <c r="AW515" s="69">
        <v>0.55959999999999999</v>
      </c>
      <c r="BB515" s="69"/>
    </row>
    <row r="516" spans="1:54" customFormat="1" ht="40" customHeight="1">
      <c r="A516" s="313">
        <v>515</v>
      </c>
      <c r="B516" s="136" t="s">
        <v>1222</v>
      </c>
      <c r="C516" s="136" t="s">
        <v>45</v>
      </c>
      <c r="D516" s="31">
        <f t="shared" si="38"/>
        <v>4</v>
      </c>
      <c r="E516" s="137" t="s">
        <v>80</v>
      </c>
      <c r="F516" s="31">
        <f t="shared" si="39"/>
        <v>4</v>
      </c>
      <c r="G516" s="137" t="s">
        <v>159</v>
      </c>
      <c r="H516" s="138">
        <v>44</v>
      </c>
      <c r="I516" s="158">
        <f t="shared" si="40"/>
        <v>0.37551283406946806</v>
      </c>
      <c r="J516" s="95">
        <v>1.5099033134902101E-14</v>
      </c>
      <c r="K516" s="137">
        <v>0.75102566813892102</v>
      </c>
      <c r="L516" s="137">
        <v>0.75</v>
      </c>
      <c r="M516" s="137">
        <v>0.75256417034730305</v>
      </c>
      <c r="N516" s="136">
        <v>1</v>
      </c>
      <c r="O516" s="32">
        <v>43240</v>
      </c>
      <c r="P516" s="98">
        <f t="shared" si="41"/>
        <v>0</v>
      </c>
      <c r="Q516">
        <v>5.0999999999999996</v>
      </c>
      <c r="R516">
        <v>0</v>
      </c>
      <c r="S516">
        <v>0</v>
      </c>
      <c r="T516" s="112" t="s">
        <v>48</v>
      </c>
      <c r="U516" s="137" t="s">
        <v>1454</v>
      </c>
      <c r="V516" s="137" t="s">
        <v>1455</v>
      </c>
      <c r="W516" s="69">
        <v>121</v>
      </c>
      <c r="X516" s="136">
        <v>1</v>
      </c>
      <c r="Y516" s="136">
        <v>3</v>
      </c>
      <c r="Z516" s="314"/>
      <c r="AA516" s="319">
        <v>0.66549999999999998</v>
      </c>
      <c r="AB516" s="315" t="s">
        <v>5193</v>
      </c>
      <c r="AC516" s="319">
        <v>2</v>
      </c>
      <c r="AD516" s="320">
        <v>2.94117647058823E-2</v>
      </c>
      <c r="AE516" s="319">
        <v>2</v>
      </c>
      <c r="AF516" s="320">
        <v>2.94117647058823E-2</v>
      </c>
      <c r="AG516" s="319">
        <v>1</v>
      </c>
      <c r="AH516" s="320">
        <v>1.47058823529411E-2</v>
      </c>
      <c r="AI516" s="319">
        <v>2</v>
      </c>
      <c r="AJ516" s="320">
        <v>2.94117647058823E-2</v>
      </c>
      <c r="AK516" s="320">
        <v>1.470588235294118E-2</v>
      </c>
      <c r="AL516" s="319">
        <v>6.75</v>
      </c>
      <c r="AM516" s="319">
        <v>7.4</v>
      </c>
      <c r="AN516" s="319">
        <v>2</v>
      </c>
      <c r="AO516" s="319">
        <v>0.538333333333333</v>
      </c>
      <c r="AP516">
        <v>3</v>
      </c>
      <c r="AR516" s="136">
        <v>3</v>
      </c>
      <c r="AT516" s="69">
        <v>6.3414000000000001</v>
      </c>
      <c r="AU516" s="69">
        <v>7.6852</v>
      </c>
      <c r="AV516" s="69">
        <v>2.3148</v>
      </c>
      <c r="AW516" s="69">
        <v>0.54469999999999996</v>
      </c>
      <c r="BB516" s="69"/>
    </row>
    <row r="517" spans="1:54" customFormat="1" ht="40" customHeight="1">
      <c r="A517" s="313">
        <v>516</v>
      </c>
      <c r="B517" s="136" t="s">
        <v>1222</v>
      </c>
      <c r="C517" s="136" t="s">
        <v>45</v>
      </c>
      <c r="D517" s="31">
        <f t="shared" si="38"/>
        <v>4</v>
      </c>
      <c r="E517" s="137" t="s">
        <v>1223</v>
      </c>
      <c r="F517" s="31">
        <f t="shared" si="39"/>
        <v>8</v>
      </c>
      <c r="G517" s="137" t="s">
        <v>1456</v>
      </c>
      <c r="H517" s="138">
        <v>123</v>
      </c>
      <c r="I517" s="158">
        <f t="shared" si="40"/>
        <v>0.30419412486966385</v>
      </c>
      <c r="J517" s="95">
        <v>6.5266861246637797E-6</v>
      </c>
      <c r="K517" s="137">
        <v>0.60838172305320304</v>
      </c>
      <c r="L517" s="137">
        <v>0.51226009152380303</v>
      </c>
      <c r="M517" s="137">
        <v>0.75256417034730305</v>
      </c>
      <c r="N517" s="136">
        <v>1</v>
      </c>
      <c r="O517" s="32">
        <v>43239</v>
      </c>
      <c r="P517" s="98">
        <f t="shared" si="41"/>
        <v>2</v>
      </c>
      <c r="Q517">
        <v>0</v>
      </c>
      <c r="R517">
        <v>1.65</v>
      </c>
      <c r="S517">
        <v>3.74</v>
      </c>
      <c r="T517" s="112" t="s">
        <v>64</v>
      </c>
      <c r="U517" s="137" t="s">
        <v>1457</v>
      </c>
      <c r="V517" s="137" t="s">
        <v>1458</v>
      </c>
      <c r="W517" s="69">
        <v>84</v>
      </c>
      <c r="X517" s="136">
        <v>1</v>
      </c>
      <c r="Y517" s="136">
        <v>3</v>
      </c>
      <c r="Z517" s="314"/>
      <c r="AA517" s="319">
        <v>1.08886473193524E-2</v>
      </c>
      <c r="AB517" s="315" t="s">
        <v>5168</v>
      </c>
      <c r="AC517" s="319">
        <v>2</v>
      </c>
      <c r="AD517" s="320">
        <v>3.8461538461538401E-2</v>
      </c>
      <c r="AE517" s="319">
        <v>2</v>
      </c>
      <c r="AF517" s="320">
        <v>3.8461538461538401E-2</v>
      </c>
      <c r="AG517" s="319">
        <v>3</v>
      </c>
      <c r="AH517" s="320">
        <v>5.7692307692307598E-2</v>
      </c>
      <c r="AI517" s="319">
        <v>0</v>
      </c>
      <c r="AJ517" s="320">
        <v>0</v>
      </c>
      <c r="AK517" s="320">
        <v>0</v>
      </c>
      <c r="AL517" s="319">
        <v>5</v>
      </c>
      <c r="AM517" s="319">
        <v>5</v>
      </c>
      <c r="AN517" s="319">
        <v>3.5</v>
      </c>
      <c r="AO517" s="319">
        <v>0.45</v>
      </c>
      <c r="AP517">
        <v>3</v>
      </c>
      <c r="AQ517">
        <v>3</v>
      </c>
      <c r="AR517" s="136"/>
      <c r="AT517" s="69">
        <v>2.3148</v>
      </c>
      <c r="AU517" s="69">
        <v>2.3148</v>
      </c>
      <c r="AV517" s="69">
        <v>5.7443999999999997</v>
      </c>
      <c r="AW517" s="69">
        <v>0.3458</v>
      </c>
      <c r="BB517" s="69"/>
    </row>
    <row r="518" spans="1:54" customFormat="1" ht="40" customHeight="1">
      <c r="A518" s="313">
        <v>517</v>
      </c>
      <c r="B518" s="136" t="s">
        <v>1222</v>
      </c>
      <c r="C518" s="136" t="s">
        <v>45</v>
      </c>
      <c r="D518" s="31">
        <f t="shared" si="38"/>
        <v>4</v>
      </c>
      <c r="E518" s="137" t="s">
        <v>80</v>
      </c>
      <c r="F518" s="31">
        <f t="shared" si="39"/>
        <v>4</v>
      </c>
      <c r="G518" s="137" t="s">
        <v>1459</v>
      </c>
      <c r="H518" s="138">
        <v>45</v>
      </c>
      <c r="I518" s="158">
        <f t="shared" si="40"/>
        <v>0.38061158430007619</v>
      </c>
      <c r="J518" s="95">
        <v>6.1940110449053599E-3</v>
      </c>
      <c r="K518" s="137">
        <v>0.75502915755524702</v>
      </c>
      <c r="L518" s="137">
        <v>0.82499999999999996</v>
      </c>
      <c r="M518" s="137">
        <v>0.65007289388811795</v>
      </c>
      <c r="N518" s="136">
        <v>1</v>
      </c>
      <c r="O518" s="32">
        <v>43237</v>
      </c>
      <c r="P518" s="98">
        <f t="shared" si="41"/>
        <v>0</v>
      </c>
      <c r="Q518">
        <v>5.0999999999999996</v>
      </c>
      <c r="R518">
        <v>0</v>
      </c>
      <c r="S518">
        <v>0</v>
      </c>
      <c r="T518" s="112" t="s">
        <v>48</v>
      </c>
      <c r="U518" s="137" t="s">
        <v>1460</v>
      </c>
      <c r="V518" s="137" t="s">
        <v>1461</v>
      </c>
      <c r="W518" s="69">
        <v>141</v>
      </c>
      <c r="X518" s="136">
        <v>3</v>
      </c>
      <c r="Y518" s="136">
        <v>6</v>
      </c>
      <c r="Z518" s="314"/>
      <c r="AA518" s="319">
        <v>0.59450000000000003</v>
      </c>
      <c r="AB518" s="315" t="s">
        <v>5166</v>
      </c>
      <c r="AC518" s="319">
        <v>2</v>
      </c>
      <c r="AD518" s="320">
        <v>2.7397260273972601E-2</v>
      </c>
      <c r="AE518" s="319">
        <v>1</v>
      </c>
      <c r="AF518" s="320">
        <v>1.3698630136986301E-2</v>
      </c>
      <c r="AG518" s="319">
        <v>1</v>
      </c>
      <c r="AH518" s="320">
        <v>1.3698630136986301E-2</v>
      </c>
      <c r="AI518" s="319">
        <v>2</v>
      </c>
      <c r="AJ518" s="320">
        <v>2.7397260273972601E-2</v>
      </c>
      <c r="AK518" s="320">
        <v>1.3698630136986301E-2</v>
      </c>
      <c r="AL518" s="319">
        <v>5</v>
      </c>
      <c r="AM518" s="319">
        <v>5</v>
      </c>
      <c r="AN518" s="319">
        <v>7.3333333333333304</v>
      </c>
      <c r="AO518" s="319">
        <v>0.57777777777777695</v>
      </c>
      <c r="AP518">
        <v>6</v>
      </c>
      <c r="AR518" s="136"/>
      <c r="AS518">
        <v>6</v>
      </c>
      <c r="AT518" s="69">
        <v>2.3148</v>
      </c>
      <c r="AU518" s="69">
        <v>2.3148</v>
      </c>
      <c r="AV518" s="69">
        <v>9.8416999999999994</v>
      </c>
      <c r="AW518" s="69">
        <v>0.4824</v>
      </c>
      <c r="BB518" s="69"/>
    </row>
    <row r="519" spans="1:54" customFormat="1" ht="40" customHeight="1">
      <c r="A519" s="313">
        <v>518</v>
      </c>
      <c r="B519" s="136" t="s">
        <v>1222</v>
      </c>
      <c r="C519" s="136" t="s">
        <v>45</v>
      </c>
      <c r="D519" s="31">
        <f t="shared" si="38"/>
        <v>4</v>
      </c>
      <c r="E519" s="137" t="s">
        <v>80</v>
      </c>
      <c r="F519" s="31">
        <f t="shared" si="39"/>
        <v>4</v>
      </c>
      <c r="G519" s="137" t="s">
        <v>1462</v>
      </c>
      <c r="H519" s="138">
        <v>42</v>
      </c>
      <c r="I519" s="158">
        <f t="shared" si="40"/>
        <v>0.39801283408129157</v>
      </c>
      <c r="J519" s="95">
        <v>2.3662183323836E-11</v>
      </c>
      <c r="K519" s="137">
        <v>0.79602566813892095</v>
      </c>
      <c r="L519" s="137">
        <v>0.82499999999999996</v>
      </c>
      <c r="M519" s="137">
        <v>0.75256417034730305</v>
      </c>
      <c r="N519" s="136">
        <v>1</v>
      </c>
      <c r="O519" s="32">
        <v>43232</v>
      </c>
      <c r="P519" s="98">
        <f t="shared" si="41"/>
        <v>0</v>
      </c>
      <c r="Q519">
        <v>5.0999999999999996</v>
      </c>
      <c r="R519">
        <v>1.65</v>
      </c>
      <c r="S519">
        <v>0</v>
      </c>
      <c r="T519" s="112" t="s">
        <v>48</v>
      </c>
      <c r="U519" s="137" t="s">
        <v>1463</v>
      </c>
      <c r="V519" s="137" t="s">
        <v>1464</v>
      </c>
      <c r="W519" s="69">
        <v>151</v>
      </c>
      <c r="X519" s="136">
        <v>1</v>
      </c>
      <c r="Y519" s="136">
        <v>3</v>
      </c>
      <c r="Z519" s="314"/>
      <c r="AA519" s="319">
        <v>0.54500000000000004</v>
      </c>
      <c r="AB519" s="315" t="s">
        <v>5166</v>
      </c>
      <c r="AC519" s="319">
        <v>2</v>
      </c>
      <c r="AD519" s="320">
        <v>2.5641025641025599E-2</v>
      </c>
      <c r="AE519" s="319">
        <v>1</v>
      </c>
      <c r="AF519" s="320">
        <v>1.2820512820512799E-2</v>
      </c>
      <c r="AG519" s="319">
        <v>1</v>
      </c>
      <c r="AH519" s="320">
        <v>1.2820512820512799E-2</v>
      </c>
      <c r="AI519" s="319">
        <v>2</v>
      </c>
      <c r="AJ519" s="320">
        <v>2.5641025641025599E-2</v>
      </c>
      <c r="AK519" s="320">
        <v>1.282051282051282E-2</v>
      </c>
      <c r="AL519" s="319">
        <v>6.75</v>
      </c>
      <c r="AM519" s="319">
        <v>5</v>
      </c>
      <c r="AN519" s="319">
        <v>4.6666666666666599</v>
      </c>
      <c r="AO519" s="319">
        <v>0.54722222222222205</v>
      </c>
      <c r="AP519">
        <v>3</v>
      </c>
      <c r="AR519" s="136"/>
      <c r="AS519">
        <v>3</v>
      </c>
      <c r="AT519" s="69">
        <v>6.3414000000000001</v>
      </c>
      <c r="AU519" s="69">
        <v>2.3148</v>
      </c>
      <c r="AV519" s="69">
        <v>8.1305999999999994</v>
      </c>
      <c r="AW519" s="69">
        <v>0.55959999999999999</v>
      </c>
      <c r="BB519" s="69"/>
    </row>
    <row r="520" spans="1:54" customFormat="1" ht="40" customHeight="1">
      <c r="A520" s="313">
        <v>519</v>
      </c>
      <c r="B520" s="136" t="s">
        <v>1222</v>
      </c>
      <c r="C520" s="136" t="s">
        <v>45</v>
      </c>
      <c r="D520" s="31">
        <f t="shared" si="38"/>
        <v>4</v>
      </c>
      <c r="E520" s="137" t="s">
        <v>80</v>
      </c>
      <c r="F520" s="31">
        <f t="shared" si="39"/>
        <v>4</v>
      </c>
      <c r="G520" s="137" t="s">
        <v>1465</v>
      </c>
      <c r="H520" s="138">
        <v>65</v>
      </c>
      <c r="I520" s="158">
        <f t="shared" si="40"/>
        <v>0.45096612040613748</v>
      </c>
      <c r="J520" s="95">
        <v>0.179707553812263</v>
      </c>
      <c r="K520" s="137">
        <v>0.72222468700001197</v>
      </c>
      <c r="L520" s="137">
        <v>0.75</v>
      </c>
      <c r="M520" s="137">
        <v>0.68056171750003003</v>
      </c>
      <c r="N520" s="136">
        <v>1</v>
      </c>
      <c r="O520" s="32">
        <v>43230</v>
      </c>
      <c r="P520" s="98">
        <f t="shared" si="41"/>
        <v>0</v>
      </c>
      <c r="Q520">
        <v>5.0999999999999996</v>
      </c>
      <c r="R520">
        <v>1.65</v>
      </c>
      <c r="S520">
        <v>0</v>
      </c>
      <c r="T520" s="112" t="s">
        <v>48</v>
      </c>
      <c r="U520" s="137" t="s">
        <v>1466</v>
      </c>
      <c r="V520" s="137" t="s">
        <v>1467</v>
      </c>
      <c r="W520" s="69">
        <v>141</v>
      </c>
      <c r="X520" s="136">
        <v>1</v>
      </c>
      <c r="Y520" s="136">
        <v>5</v>
      </c>
      <c r="Z520" s="314"/>
      <c r="AA520" s="319">
        <v>0.64895000000000003</v>
      </c>
      <c r="AB520" s="315" t="s">
        <v>5166</v>
      </c>
      <c r="AC520" s="319">
        <v>2</v>
      </c>
      <c r="AD520" s="320">
        <v>2.7397260273972601E-2</v>
      </c>
      <c r="AE520" s="319">
        <v>1</v>
      </c>
      <c r="AF520" s="320">
        <v>1.3698630136986301E-2</v>
      </c>
      <c r="AG520" s="319">
        <v>1</v>
      </c>
      <c r="AH520" s="320">
        <v>1.3698630136986301E-2</v>
      </c>
      <c r="AI520" s="319">
        <v>2</v>
      </c>
      <c r="AJ520" s="320">
        <v>2.7397260273972601E-2</v>
      </c>
      <c r="AK520" s="320">
        <v>1.3698630136986301E-2</v>
      </c>
      <c r="AL520" s="319">
        <v>6.75</v>
      </c>
      <c r="AM520" s="319">
        <v>7.4</v>
      </c>
      <c r="AN520" s="319">
        <v>4.6666666666666599</v>
      </c>
      <c r="AO520" s="319">
        <v>0.62722222222222201</v>
      </c>
      <c r="AP520">
        <v>5</v>
      </c>
      <c r="AQ520">
        <v>5</v>
      </c>
      <c r="AR520" s="136"/>
      <c r="AT520" s="69">
        <v>6.3414000000000001</v>
      </c>
      <c r="AU520" s="69">
        <v>7.6852</v>
      </c>
      <c r="AV520" s="69">
        <v>8.1305999999999994</v>
      </c>
      <c r="AW520" s="69">
        <v>0.73860000000000003</v>
      </c>
      <c r="BB520" s="69"/>
    </row>
    <row r="521" spans="1:54" customFormat="1" ht="40" customHeight="1">
      <c r="A521" s="313">
        <v>520</v>
      </c>
      <c r="B521" s="136" t="s">
        <v>1222</v>
      </c>
      <c r="C521" s="136" t="s">
        <v>45</v>
      </c>
      <c r="D521" s="31">
        <f t="shared" si="38"/>
        <v>4</v>
      </c>
      <c r="E521" s="137" t="s">
        <v>46</v>
      </c>
      <c r="F521" s="31">
        <f t="shared" si="39"/>
        <v>6</v>
      </c>
      <c r="G521" s="137" t="s">
        <v>1468</v>
      </c>
      <c r="H521" s="138">
        <v>512</v>
      </c>
      <c r="I521" s="158">
        <f t="shared" si="40"/>
        <v>0.44354072531583849</v>
      </c>
      <c r="J521" s="95">
        <v>0.22980199379014399</v>
      </c>
      <c r="K521" s="137">
        <v>0.65727945684153299</v>
      </c>
      <c r="L521" s="137">
        <v>0.56348610067618299</v>
      </c>
      <c r="M521" s="137">
        <v>0.79796949108955795</v>
      </c>
      <c r="N521" s="136">
        <v>1</v>
      </c>
      <c r="O521" s="32">
        <v>43229</v>
      </c>
      <c r="P521" s="98">
        <f t="shared" si="41"/>
        <v>0</v>
      </c>
      <c r="Q521">
        <v>2.5499999999999998</v>
      </c>
      <c r="R521">
        <v>0</v>
      </c>
      <c r="S521">
        <v>0</v>
      </c>
      <c r="T521" s="112" t="s">
        <v>48</v>
      </c>
      <c r="U521" s="137" t="s">
        <v>1469</v>
      </c>
      <c r="V521" s="137" t="s">
        <v>1470</v>
      </c>
      <c r="W521" s="69">
        <v>120</v>
      </c>
      <c r="X521" s="136">
        <v>1</v>
      </c>
      <c r="Y521" s="136">
        <v>2</v>
      </c>
      <c r="Z521" s="314"/>
      <c r="AA521" s="319">
        <v>3.36897349954273E-3</v>
      </c>
      <c r="AB521" s="315" t="s">
        <v>5193</v>
      </c>
      <c r="AC521" s="319">
        <v>2</v>
      </c>
      <c r="AD521" s="320">
        <v>2.94117647058823E-2</v>
      </c>
      <c r="AE521" s="319">
        <v>2</v>
      </c>
      <c r="AF521" s="320">
        <v>2.94117647058823E-2</v>
      </c>
      <c r="AG521" s="319">
        <v>1</v>
      </c>
      <c r="AH521" s="320">
        <v>1.47058823529411E-2</v>
      </c>
      <c r="AI521" s="319">
        <v>2</v>
      </c>
      <c r="AJ521" s="320">
        <v>2.94117647058823E-2</v>
      </c>
      <c r="AK521" s="320">
        <v>1.470588235294118E-2</v>
      </c>
      <c r="AL521" s="319">
        <v>6.75</v>
      </c>
      <c r="AM521" s="319">
        <v>6.2</v>
      </c>
      <c r="AN521" s="319">
        <v>3.5</v>
      </c>
      <c r="AO521" s="319">
        <v>0.54833333333333301</v>
      </c>
      <c r="AP521">
        <v>2</v>
      </c>
      <c r="AQ521">
        <v>2</v>
      </c>
      <c r="AR521" s="136"/>
      <c r="AT521" s="69">
        <v>6.3414000000000001</v>
      </c>
      <c r="AU521" s="69">
        <v>5</v>
      </c>
      <c r="AV521" s="69">
        <v>5.7443999999999997</v>
      </c>
      <c r="AW521" s="69">
        <v>0.56950000000000001</v>
      </c>
      <c r="BB521" s="69"/>
    </row>
    <row r="522" spans="1:54" customFormat="1" ht="40" customHeight="1">
      <c r="A522" s="313">
        <v>521</v>
      </c>
      <c r="B522" s="136" t="s">
        <v>1222</v>
      </c>
      <c r="C522" s="136" t="s">
        <v>45</v>
      </c>
      <c r="D522" s="31">
        <f t="shared" si="38"/>
        <v>4</v>
      </c>
      <c r="E522" s="137" t="s">
        <v>80</v>
      </c>
      <c r="F522" s="31">
        <f t="shared" si="39"/>
        <v>4</v>
      </c>
      <c r="G522" s="137" t="s">
        <v>200</v>
      </c>
      <c r="H522" s="138">
        <v>59</v>
      </c>
      <c r="I522" s="158">
        <f t="shared" si="40"/>
        <v>0.38636307554702287</v>
      </c>
      <c r="J522" s="95">
        <v>3.5383546582227199E-3</v>
      </c>
      <c r="K522" s="137">
        <v>0.76918779643582302</v>
      </c>
      <c r="L522" s="137">
        <v>0.75</v>
      </c>
      <c r="M522" s="137">
        <v>0.79796949108955795</v>
      </c>
      <c r="N522" s="136">
        <v>1</v>
      </c>
      <c r="O522" s="32">
        <v>43229</v>
      </c>
      <c r="P522" s="98">
        <f t="shared" si="41"/>
        <v>0</v>
      </c>
      <c r="Q522">
        <v>7.65</v>
      </c>
      <c r="R522">
        <v>0</v>
      </c>
      <c r="S522">
        <v>0</v>
      </c>
      <c r="T522" s="112" t="s">
        <v>48</v>
      </c>
      <c r="U522" s="137" t="s">
        <v>1471</v>
      </c>
      <c r="V522" s="137" t="s">
        <v>1470</v>
      </c>
      <c r="W522" s="69">
        <v>120</v>
      </c>
      <c r="X522" s="136">
        <v>1</v>
      </c>
      <c r="Y522" s="136">
        <v>2</v>
      </c>
      <c r="Z522" s="314"/>
      <c r="AA522" s="319">
        <v>0.59450000000000003</v>
      </c>
      <c r="AB522" s="315" t="s">
        <v>5193</v>
      </c>
      <c r="AC522" s="319">
        <v>2</v>
      </c>
      <c r="AD522" s="320">
        <v>2.94117647058823E-2</v>
      </c>
      <c r="AE522" s="319">
        <v>2</v>
      </c>
      <c r="AF522" s="320">
        <v>2.94117647058823E-2</v>
      </c>
      <c r="AG522" s="319">
        <v>1</v>
      </c>
      <c r="AH522" s="320">
        <v>1.47058823529411E-2</v>
      </c>
      <c r="AI522" s="319">
        <v>2</v>
      </c>
      <c r="AJ522" s="320">
        <v>2.94117647058823E-2</v>
      </c>
      <c r="AK522" s="320">
        <v>1.470588235294118E-2</v>
      </c>
      <c r="AL522" s="319">
        <v>5</v>
      </c>
      <c r="AM522" s="319">
        <v>5</v>
      </c>
      <c r="AN522" s="319">
        <v>4.6666666666666599</v>
      </c>
      <c r="AO522" s="319">
        <v>0.48888888888888798</v>
      </c>
      <c r="AP522">
        <v>2</v>
      </c>
      <c r="AR522" s="136">
        <v>2</v>
      </c>
      <c r="AT522" s="69">
        <v>2.3148</v>
      </c>
      <c r="AU522" s="69">
        <v>2.3148</v>
      </c>
      <c r="AV522" s="69">
        <v>8.1305999999999994</v>
      </c>
      <c r="AW522" s="69">
        <v>0.42530000000000001</v>
      </c>
      <c r="BB522" s="69"/>
    </row>
    <row r="523" spans="1:54" customFormat="1" ht="40" customHeight="1">
      <c r="A523" s="313">
        <v>522</v>
      </c>
      <c r="B523" s="136" t="s">
        <v>1222</v>
      </c>
      <c r="C523" s="136" t="s">
        <v>45</v>
      </c>
      <c r="D523" s="31">
        <f t="shared" si="38"/>
        <v>4</v>
      </c>
      <c r="E523" s="137" t="s">
        <v>46</v>
      </c>
      <c r="F523" s="31">
        <f t="shared" si="39"/>
        <v>6</v>
      </c>
      <c r="G523" s="137" t="s">
        <v>1472</v>
      </c>
      <c r="H523" s="138">
        <v>130</v>
      </c>
      <c r="I523" s="158">
        <f t="shared" si="40"/>
        <v>0.34448424927245752</v>
      </c>
      <c r="J523" s="95">
        <v>0</v>
      </c>
      <c r="K523" s="137">
        <v>0.68896849854491504</v>
      </c>
      <c r="L523" s="137">
        <v>0.82499999999999996</v>
      </c>
      <c r="M523" s="137">
        <v>0.48492124636228701</v>
      </c>
      <c r="N523" s="136">
        <v>0</v>
      </c>
      <c r="O523" s="32">
        <v>43224</v>
      </c>
      <c r="P523" s="98">
        <f t="shared" si="41"/>
        <v>0</v>
      </c>
      <c r="Q523">
        <v>5.0999999999999996</v>
      </c>
      <c r="R523">
        <v>0</v>
      </c>
      <c r="S523">
        <v>0</v>
      </c>
      <c r="T523" s="112" t="s">
        <v>48</v>
      </c>
      <c r="U523" s="137" t="s">
        <v>1473</v>
      </c>
      <c r="V523" s="137" t="s">
        <v>1474</v>
      </c>
      <c r="W523" s="69">
        <v>90</v>
      </c>
      <c r="X523" s="136">
        <v>1</v>
      </c>
      <c r="Y523" s="136">
        <v>13</v>
      </c>
      <c r="Z523" s="314"/>
      <c r="AA523" s="319">
        <v>0.73204999999999998</v>
      </c>
      <c r="AB523" s="315" t="s">
        <v>5176</v>
      </c>
      <c r="AC523" s="319">
        <v>1</v>
      </c>
      <c r="AD523" s="320">
        <v>1.85185185185185E-2</v>
      </c>
      <c r="AE523" s="319">
        <v>2</v>
      </c>
      <c r="AF523" s="320">
        <v>3.7037037037037E-2</v>
      </c>
      <c r="AG523" s="319">
        <v>0</v>
      </c>
      <c r="AH523" s="320">
        <v>0</v>
      </c>
      <c r="AI523" s="319">
        <v>1</v>
      </c>
      <c r="AJ523" s="320">
        <v>1.85185185185185E-2</v>
      </c>
      <c r="AK523" s="320">
        <v>1.8518518518518521E-2</v>
      </c>
      <c r="AL523" s="319">
        <v>5</v>
      </c>
      <c r="AM523" s="319">
        <v>6.2</v>
      </c>
      <c r="AN523" s="319">
        <v>4.6666666666666599</v>
      </c>
      <c r="AO523" s="319">
        <v>0.52888888888888796</v>
      </c>
      <c r="AP523">
        <v>13</v>
      </c>
      <c r="AR523" s="136">
        <v>13</v>
      </c>
      <c r="AT523" s="69">
        <v>2.3148</v>
      </c>
      <c r="AU523" s="69">
        <v>5</v>
      </c>
      <c r="AV523" s="69">
        <v>8.1305999999999994</v>
      </c>
      <c r="AW523" s="69">
        <v>0.51480000000000004</v>
      </c>
      <c r="BB523" s="69"/>
    </row>
    <row r="524" spans="1:54" customFormat="1" ht="40" customHeight="1">
      <c r="A524" s="313">
        <v>523</v>
      </c>
      <c r="B524" s="136" t="s">
        <v>1222</v>
      </c>
      <c r="C524" s="136" t="s">
        <v>45</v>
      </c>
      <c r="D524" s="31">
        <f t="shared" si="38"/>
        <v>4</v>
      </c>
      <c r="E524" s="137" t="s">
        <v>80</v>
      </c>
      <c r="F524" s="31">
        <f t="shared" si="39"/>
        <v>4</v>
      </c>
      <c r="G524" s="137" t="s">
        <v>159</v>
      </c>
      <c r="H524" s="138">
        <v>46</v>
      </c>
      <c r="I524" s="158">
        <f t="shared" si="40"/>
        <v>0.39044023926832988</v>
      </c>
      <c r="J524" s="95">
        <v>1.6619282237373401E-4</v>
      </c>
      <c r="K524" s="137">
        <v>0.78071428571428603</v>
      </c>
      <c r="L524" s="137">
        <v>0.82499999999999996</v>
      </c>
      <c r="M524" s="137">
        <v>0.71428571428571397</v>
      </c>
      <c r="N524" s="136">
        <v>1</v>
      </c>
      <c r="O524" s="32">
        <v>43223</v>
      </c>
      <c r="P524" s="98">
        <f t="shared" si="41"/>
        <v>0</v>
      </c>
      <c r="Q524">
        <v>7.65</v>
      </c>
      <c r="R524">
        <v>0</v>
      </c>
      <c r="S524">
        <v>0</v>
      </c>
      <c r="T524" s="112" t="s">
        <v>48</v>
      </c>
      <c r="U524" s="137" t="s">
        <v>1475</v>
      </c>
      <c r="V524" s="137" t="s">
        <v>1476</v>
      </c>
      <c r="W524" s="69">
        <v>120</v>
      </c>
      <c r="X524" s="136">
        <v>1</v>
      </c>
      <c r="Y524" s="136">
        <v>4</v>
      </c>
      <c r="Z524" s="314"/>
      <c r="AA524" s="319">
        <v>0.60499999999999998</v>
      </c>
      <c r="AB524" s="315" t="s">
        <v>5193</v>
      </c>
      <c r="AC524" s="319">
        <v>2</v>
      </c>
      <c r="AD524" s="320">
        <v>2.94117647058823E-2</v>
      </c>
      <c r="AE524" s="319">
        <v>2</v>
      </c>
      <c r="AF524" s="320">
        <v>2.94117647058823E-2</v>
      </c>
      <c r="AG524" s="319">
        <v>1</v>
      </c>
      <c r="AH524" s="320">
        <v>1.47058823529411E-2</v>
      </c>
      <c r="AI524" s="319">
        <v>2</v>
      </c>
      <c r="AJ524" s="320">
        <v>2.94117647058823E-2</v>
      </c>
      <c r="AK524" s="320">
        <v>1.470588235294118E-2</v>
      </c>
      <c r="AL524" s="319">
        <v>5</v>
      </c>
      <c r="AM524" s="319">
        <v>5</v>
      </c>
      <c r="AN524" s="319">
        <v>2</v>
      </c>
      <c r="AO524" s="319">
        <v>0.4</v>
      </c>
      <c r="AP524">
        <v>4</v>
      </c>
      <c r="AR524" s="136">
        <v>4</v>
      </c>
      <c r="AT524" s="69">
        <v>2.3148</v>
      </c>
      <c r="AU524" s="69">
        <v>2.3148</v>
      </c>
      <c r="AV524" s="69">
        <v>2.3148</v>
      </c>
      <c r="AW524" s="69">
        <v>0.23150000000000001</v>
      </c>
      <c r="BB524" s="69"/>
    </row>
    <row r="525" spans="1:54" customFormat="1" ht="40" customHeight="1">
      <c r="A525" s="313">
        <v>524</v>
      </c>
      <c r="B525" s="136" t="s">
        <v>1222</v>
      </c>
      <c r="C525" s="136" t="s">
        <v>45</v>
      </c>
      <c r="D525" s="31">
        <f t="shared" si="38"/>
        <v>4</v>
      </c>
      <c r="E525" s="137" t="s">
        <v>80</v>
      </c>
      <c r="F525" s="31">
        <f t="shared" si="39"/>
        <v>4</v>
      </c>
      <c r="G525" s="137" t="s">
        <v>364</v>
      </c>
      <c r="H525" s="138">
        <v>43</v>
      </c>
      <c r="I525" s="158">
        <f t="shared" si="40"/>
        <v>0.39801283409026572</v>
      </c>
      <c r="J525" s="95">
        <v>4.1610492829136099E-11</v>
      </c>
      <c r="K525" s="137">
        <v>0.79602566813892095</v>
      </c>
      <c r="L525" s="137">
        <v>0.82499999999999996</v>
      </c>
      <c r="M525" s="137">
        <v>0.75256417034730305</v>
      </c>
      <c r="N525" s="136">
        <v>1</v>
      </c>
      <c r="O525" s="32">
        <v>43221</v>
      </c>
      <c r="P525" s="98">
        <f t="shared" si="41"/>
        <v>0</v>
      </c>
      <c r="Q525">
        <v>5.0999999999999996</v>
      </c>
      <c r="R525">
        <v>1.65</v>
      </c>
      <c r="S525">
        <v>0</v>
      </c>
      <c r="T525" s="112" t="s">
        <v>48</v>
      </c>
      <c r="U525" s="137" t="s">
        <v>1477</v>
      </c>
      <c r="V525" s="137" t="s">
        <v>1478</v>
      </c>
      <c r="W525" s="69">
        <v>120</v>
      </c>
      <c r="X525" s="136">
        <v>1</v>
      </c>
      <c r="Y525" s="136">
        <v>3</v>
      </c>
      <c r="Z525" s="314"/>
      <c r="AA525" s="319">
        <v>0.54500000000000004</v>
      </c>
      <c r="AB525" s="315" t="s">
        <v>5193</v>
      </c>
      <c r="AC525" s="319">
        <v>2</v>
      </c>
      <c r="AD525" s="320">
        <v>2.94117647058823E-2</v>
      </c>
      <c r="AE525" s="319">
        <v>2</v>
      </c>
      <c r="AF525" s="320">
        <v>2.94117647058823E-2</v>
      </c>
      <c r="AG525" s="319">
        <v>1</v>
      </c>
      <c r="AH525" s="320">
        <v>1.47058823529411E-2</v>
      </c>
      <c r="AI525" s="319">
        <v>2</v>
      </c>
      <c r="AJ525" s="320">
        <v>2.94117647058823E-2</v>
      </c>
      <c r="AK525" s="320">
        <v>1.470588235294118E-2</v>
      </c>
      <c r="AL525" s="319">
        <v>6.75</v>
      </c>
      <c r="AM525" s="319">
        <v>5</v>
      </c>
      <c r="AN525" s="319">
        <v>7.3333333333333304</v>
      </c>
      <c r="AO525" s="319">
        <v>0.63611111111111096</v>
      </c>
      <c r="AP525">
        <v>3</v>
      </c>
      <c r="AR525" s="136">
        <v>3</v>
      </c>
      <c r="AT525" s="69">
        <v>6.3414000000000001</v>
      </c>
      <c r="AU525" s="69">
        <v>2.3148</v>
      </c>
      <c r="AV525" s="69">
        <v>9.8416999999999994</v>
      </c>
      <c r="AW525" s="69">
        <v>0.61660000000000004</v>
      </c>
      <c r="BB525" s="69"/>
    </row>
    <row r="526" spans="1:54" customFormat="1" ht="40" customHeight="1">
      <c r="A526" s="313">
        <v>525</v>
      </c>
      <c r="B526" s="136" t="s">
        <v>1222</v>
      </c>
      <c r="C526" s="136" t="s">
        <v>45</v>
      </c>
      <c r="D526" s="31">
        <f t="shared" si="38"/>
        <v>4</v>
      </c>
      <c r="E526" s="137" t="s">
        <v>46</v>
      </c>
      <c r="F526" s="31">
        <f t="shared" si="39"/>
        <v>6</v>
      </c>
      <c r="G526" s="137" t="s">
        <v>1479</v>
      </c>
      <c r="H526" s="138">
        <v>449</v>
      </c>
      <c r="I526" s="158">
        <f t="shared" si="40"/>
        <v>0.39107337259392561</v>
      </c>
      <c r="J526" s="95">
        <v>3.1121077048930201E-2</v>
      </c>
      <c r="K526" s="137">
        <v>0.75102566813892102</v>
      </c>
      <c r="L526" s="137">
        <v>0.75</v>
      </c>
      <c r="M526" s="137">
        <v>0.75256417034730305</v>
      </c>
      <c r="N526" s="136">
        <v>1</v>
      </c>
      <c r="O526" s="32">
        <v>43220</v>
      </c>
      <c r="P526" s="98">
        <f t="shared" si="41"/>
        <v>0</v>
      </c>
      <c r="Q526">
        <v>7.65</v>
      </c>
      <c r="R526">
        <v>1.65</v>
      </c>
      <c r="S526">
        <v>0</v>
      </c>
      <c r="T526" s="112" t="s">
        <v>48</v>
      </c>
      <c r="U526" s="137" t="s">
        <v>1480</v>
      </c>
      <c r="V526" s="137" t="s">
        <v>1478</v>
      </c>
      <c r="W526" s="69">
        <v>120</v>
      </c>
      <c r="X526" s="136">
        <v>1</v>
      </c>
      <c r="Y526" s="136">
        <v>3</v>
      </c>
      <c r="Z526" s="314"/>
      <c r="AA526" s="319">
        <v>0.5</v>
      </c>
      <c r="AB526" s="315" t="s">
        <v>5193</v>
      </c>
      <c r="AC526" s="319">
        <v>2</v>
      </c>
      <c r="AD526" s="320">
        <v>2.94117647058823E-2</v>
      </c>
      <c r="AE526" s="319">
        <v>2</v>
      </c>
      <c r="AF526" s="320">
        <v>2.94117647058823E-2</v>
      </c>
      <c r="AG526" s="319">
        <v>1</v>
      </c>
      <c r="AH526" s="320">
        <v>1.47058823529411E-2</v>
      </c>
      <c r="AI526" s="319">
        <v>2</v>
      </c>
      <c r="AJ526" s="320">
        <v>2.94117647058823E-2</v>
      </c>
      <c r="AK526" s="320">
        <v>1.470588235294118E-2</v>
      </c>
      <c r="AL526" s="319">
        <v>5</v>
      </c>
      <c r="AM526" s="319">
        <v>6.2</v>
      </c>
      <c r="AN526" s="319">
        <v>6.1666666666666599</v>
      </c>
      <c r="AO526" s="319">
        <v>0.57888888888888801</v>
      </c>
      <c r="AP526">
        <v>3</v>
      </c>
      <c r="AR526" s="136">
        <v>3</v>
      </c>
      <c r="AT526" s="69">
        <v>2.3148</v>
      </c>
      <c r="AU526" s="69">
        <v>5</v>
      </c>
      <c r="AV526" s="69">
        <v>9.5120000000000005</v>
      </c>
      <c r="AW526" s="69">
        <v>0.56089999999999995</v>
      </c>
      <c r="BB526" s="69"/>
    </row>
    <row r="527" spans="1:54" customFormat="1" ht="40" customHeight="1">
      <c r="A527" s="313">
        <v>526</v>
      </c>
      <c r="B527" s="136" t="s">
        <v>1222</v>
      </c>
      <c r="C527" s="136" t="s">
        <v>45</v>
      </c>
      <c r="D527" s="31">
        <f t="shared" si="38"/>
        <v>4</v>
      </c>
      <c r="E527" s="137" t="s">
        <v>46</v>
      </c>
      <c r="F527" s="31">
        <f t="shared" si="39"/>
        <v>6</v>
      </c>
      <c r="G527" s="137" t="s">
        <v>1041</v>
      </c>
      <c r="H527" s="138">
        <v>78</v>
      </c>
      <c r="I527" s="158">
        <f t="shared" si="40"/>
        <v>0.4067965134259473</v>
      </c>
      <c r="J527" s="95">
        <v>2.0735883994751601E-2</v>
      </c>
      <c r="K527" s="137">
        <v>0.79285714285714304</v>
      </c>
      <c r="L527" s="137">
        <v>0.75</v>
      </c>
      <c r="M527" s="137">
        <v>0.85714285714285698</v>
      </c>
      <c r="N527" s="136">
        <v>1</v>
      </c>
      <c r="O527" s="32">
        <v>43193</v>
      </c>
      <c r="P527" s="98">
        <f t="shared" si="41"/>
        <v>0</v>
      </c>
      <c r="Q527">
        <v>10.199999999999999</v>
      </c>
      <c r="R527">
        <v>0</v>
      </c>
      <c r="S527">
        <v>0</v>
      </c>
      <c r="T527" s="112" t="s">
        <v>48</v>
      </c>
      <c r="U527" s="137" t="s">
        <v>1042</v>
      </c>
      <c r="V527" s="137" t="s">
        <v>1043</v>
      </c>
      <c r="W527" s="69">
        <v>151</v>
      </c>
      <c r="X527" s="136">
        <v>1</v>
      </c>
      <c r="Y527" s="136">
        <v>1</v>
      </c>
      <c r="Z527" s="314"/>
      <c r="AA527" s="319">
        <v>0.60499999999999998</v>
      </c>
      <c r="AB527" s="315" t="s">
        <v>5193</v>
      </c>
      <c r="AC527" s="319">
        <v>2</v>
      </c>
      <c r="AD527" s="320">
        <v>2.3809523809523801E-2</v>
      </c>
      <c r="AE527" s="319">
        <v>2</v>
      </c>
      <c r="AF527" s="320">
        <v>2.3809523809523801E-2</v>
      </c>
      <c r="AG527" s="319">
        <v>1</v>
      </c>
      <c r="AH527" s="320">
        <v>1.1904761904761901E-2</v>
      </c>
      <c r="AI527" s="319">
        <v>2</v>
      </c>
      <c r="AJ527" s="320">
        <v>2.3809523809523801E-2</v>
      </c>
      <c r="AK527" s="320">
        <v>1.1904761904761901E-2</v>
      </c>
      <c r="AL527" s="319">
        <v>6.75</v>
      </c>
      <c r="AM527" s="319">
        <v>6.2</v>
      </c>
      <c r="AN527" s="319">
        <v>4.6666666666666599</v>
      </c>
      <c r="AO527" s="319">
        <v>0.58722222222222198</v>
      </c>
      <c r="AP527">
        <v>1</v>
      </c>
      <c r="AR527" s="136">
        <v>1</v>
      </c>
      <c r="AT527" s="69">
        <v>6.3414000000000001</v>
      </c>
      <c r="AU527" s="69">
        <v>5</v>
      </c>
      <c r="AV527" s="69">
        <v>8.1305999999999994</v>
      </c>
      <c r="AW527" s="69">
        <v>0.64910000000000001</v>
      </c>
      <c r="BB527" s="69"/>
    </row>
    <row r="528" spans="1:54" customFormat="1" ht="40" customHeight="1">
      <c r="A528" s="313">
        <v>527</v>
      </c>
      <c r="B528" s="136" t="s">
        <v>1222</v>
      </c>
      <c r="C528" s="136" t="s">
        <v>45</v>
      </c>
      <c r="D528" s="31">
        <f t="shared" si="38"/>
        <v>4</v>
      </c>
      <c r="E528" s="137" t="s">
        <v>46</v>
      </c>
      <c r="F528" s="31">
        <f t="shared" si="39"/>
        <v>6</v>
      </c>
      <c r="G528" s="137" t="s">
        <v>1044</v>
      </c>
      <c r="H528" s="138">
        <v>55</v>
      </c>
      <c r="I528" s="158">
        <f t="shared" si="40"/>
        <v>0.41892857142857148</v>
      </c>
      <c r="J528" s="95">
        <v>0</v>
      </c>
      <c r="K528" s="137">
        <v>0.83785714285714297</v>
      </c>
      <c r="L528" s="137">
        <v>0.82499999999999996</v>
      </c>
      <c r="M528" s="137">
        <v>0.85714285714285698</v>
      </c>
      <c r="N528" s="136">
        <v>1</v>
      </c>
      <c r="O528" s="32">
        <v>43193</v>
      </c>
      <c r="P528" s="98">
        <f t="shared" si="41"/>
        <v>0</v>
      </c>
      <c r="Q528">
        <v>5.0999999999999996</v>
      </c>
      <c r="R528">
        <v>0</v>
      </c>
      <c r="S528">
        <v>0</v>
      </c>
      <c r="T528" s="112" t="s">
        <v>48</v>
      </c>
      <c r="U528" s="137" t="s">
        <v>1045</v>
      </c>
      <c r="V528" s="137" t="s">
        <v>1046</v>
      </c>
      <c r="W528" s="69">
        <v>154</v>
      </c>
      <c r="X528" s="136">
        <v>1</v>
      </c>
      <c r="Y528" s="136">
        <v>1</v>
      </c>
      <c r="Z528" s="314"/>
      <c r="AA528" s="319">
        <v>0.54500000000000004</v>
      </c>
      <c r="AB528" s="315" t="s">
        <v>5193</v>
      </c>
      <c r="AC528" s="319">
        <v>2</v>
      </c>
      <c r="AD528" s="320">
        <v>2.3255813953488299E-2</v>
      </c>
      <c r="AE528" s="319">
        <v>2</v>
      </c>
      <c r="AF528" s="320">
        <v>2.3255813953488299E-2</v>
      </c>
      <c r="AG528" s="319">
        <v>1</v>
      </c>
      <c r="AH528" s="320">
        <v>1.1627906976744099E-2</v>
      </c>
      <c r="AI528" s="319">
        <v>2</v>
      </c>
      <c r="AJ528" s="320">
        <v>2.3255813953488299E-2</v>
      </c>
      <c r="AK528" s="320">
        <v>1.1627906976744189E-2</v>
      </c>
      <c r="AL528" s="319">
        <v>6.75</v>
      </c>
      <c r="AM528" s="319">
        <v>5</v>
      </c>
      <c r="AN528" s="319">
        <v>7.3333333333333304</v>
      </c>
      <c r="AO528" s="319">
        <v>0.63611111111111096</v>
      </c>
      <c r="AP528">
        <v>1</v>
      </c>
      <c r="AQ528">
        <v>1</v>
      </c>
      <c r="AR528" s="136"/>
      <c r="AT528" s="69">
        <v>6.3414000000000001</v>
      </c>
      <c r="AU528" s="69">
        <v>2.3148</v>
      </c>
      <c r="AV528" s="69">
        <v>9.8416999999999994</v>
      </c>
      <c r="AW528" s="69">
        <v>0.61660000000000004</v>
      </c>
      <c r="BB528" s="69"/>
    </row>
    <row r="529" spans="1:54" customFormat="1" ht="40" customHeight="1">
      <c r="A529" s="313">
        <v>528</v>
      </c>
      <c r="B529" s="136" t="s">
        <v>1222</v>
      </c>
      <c r="C529" s="136" t="s">
        <v>45</v>
      </c>
      <c r="D529" s="31">
        <f t="shared" si="38"/>
        <v>4</v>
      </c>
      <c r="E529" s="137" t="s">
        <v>80</v>
      </c>
      <c r="F529" s="31">
        <f t="shared" si="39"/>
        <v>4</v>
      </c>
      <c r="G529" s="137" t="s">
        <v>159</v>
      </c>
      <c r="H529" s="138">
        <v>74</v>
      </c>
      <c r="I529" s="158">
        <f t="shared" si="40"/>
        <v>0.40747399567076059</v>
      </c>
      <c r="J529" s="95">
        <v>1.8922323202600198E-2</v>
      </c>
      <c r="K529" s="137">
        <v>0.79602566813892095</v>
      </c>
      <c r="L529" s="137">
        <v>0.82499999999999996</v>
      </c>
      <c r="M529" s="137">
        <v>0.75256417034730305</v>
      </c>
      <c r="N529" s="136">
        <v>1</v>
      </c>
      <c r="O529" s="32">
        <v>43185</v>
      </c>
      <c r="P529" s="98">
        <f t="shared" si="41"/>
        <v>0</v>
      </c>
      <c r="Q529">
        <v>10.199999999999999</v>
      </c>
      <c r="R529">
        <v>0</v>
      </c>
      <c r="S529">
        <v>0</v>
      </c>
      <c r="T529" s="112" t="s">
        <v>48</v>
      </c>
      <c r="U529" s="137" t="s">
        <v>1481</v>
      </c>
      <c r="V529" s="137" t="s">
        <v>1482</v>
      </c>
      <c r="W529" s="69">
        <v>146</v>
      </c>
      <c r="X529" s="136">
        <v>2</v>
      </c>
      <c r="Y529" s="136">
        <v>3</v>
      </c>
      <c r="Z529" s="314"/>
      <c r="AA529" s="319">
        <v>0.54500000000000004</v>
      </c>
      <c r="AB529" s="315" t="s">
        <v>5193</v>
      </c>
      <c r="AC529" s="319">
        <v>2</v>
      </c>
      <c r="AD529" s="320">
        <v>2.4390243902439001E-2</v>
      </c>
      <c r="AE529" s="319">
        <v>2</v>
      </c>
      <c r="AF529" s="320">
        <v>2.4390243902439001E-2</v>
      </c>
      <c r="AG529" s="319">
        <v>1</v>
      </c>
      <c r="AH529" s="320">
        <v>1.21951219512195E-2</v>
      </c>
      <c r="AI529" s="319">
        <v>2</v>
      </c>
      <c r="AJ529" s="320">
        <v>2.4390243902439001E-2</v>
      </c>
      <c r="AK529" s="320">
        <v>1.2195121951219509E-2</v>
      </c>
      <c r="AL529" s="319">
        <v>6.75</v>
      </c>
      <c r="AM529" s="319">
        <v>5</v>
      </c>
      <c r="AN529" s="319">
        <v>7.3333333333333304</v>
      </c>
      <c r="AO529" s="319">
        <v>0.63611111111111096</v>
      </c>
      <c r="AP529">
        <v>3</v>
      </c>
      <c r="AQ529">
        <v>3</v>
      </c>
      <c r="AR529" s="136"/>
      <c r="AT529" s="69">
        <v>6.3414000000000001</v>
      </c>
      <c r="AU529" s="69">
        <v>2.3148</v>
      </c>
      <c r="AV529" s="69">
        <v>9.8416999999999994</v>
      </c>
      <c r="AW529" s="69">
        <v>0.61660000000000004</v>
      </c>
      <c r="BB529" s="69"/>
    </row>
    <row r="530" spans="1:54" customFormat="1" ht="40" customHeight="1">
      <c r="A530" s="313">
        <v>529</v>
      </c>
      <c r="B530" s="136" t="s">
        <v>1222</v>
      </c>
      <c r="C530" s="136" t="s">
        <v>45</v>
      </c>
      <c r="D530" s="31">
        <f t="shared" si="38"/>
        <v>4</v>
      </c>
      <c r="E530" s="137" t="s">
        <v>80</v>
      </c>
      <c r="F530" s="31">
        <f t="shared" si="39"/>
        <v>4</v>
      </c>
      <c r="G530" s="137" t="s">
        <v>1483</v>
      </c>
      <c r="H530" s="138">
        <v>48</v>
      </c>
      <c r="I530" s="158">
        <f t="shared" si="40"/>
        <v>0.37386919429034216</v>
      </c>
      <c r="J530" s="95">
        <v>1.20241028663983E-2</v>
      </c>
      <c r="K530" s="137">
        <v>0.73571428571428599</v>
      </c>
      <c r="L530" s="137">
        <v>0.75</v>
      </c>
      <c r="M530" s="137">
        <v>0.71428571428571397</v>
      </c>
      <c r="N530" s="136">
        <v>1</v>
      </c>
      <c r="O530" s="32">
        <v>43184</v>
      </c>
      <c r="P530" s="98">
        <f t="shared" si="41"/>
        <v>0</v>
      </c>
      <c r="Q530">
        <v>5.0999999999999996</v>
      </c>
      <c r="R530">
        <v>0</v>
      </c>
      <c r="S530">
        <v>0</v>
      </c>
      <c r="T530" s="112" t="s">
        <v>48</v>
      </c>
      <c r="U530" s="137" t="s">
        <v>1484</v>
      </c>
      <c r="V530" s="137" t="s">
        <v>1485</v>
      </c>
      <c r="W530" s="69">
        <v>155</v>
      </c>
      <c r="X530" s="136">
        <v>2</v>
      </c>
      <c r="Y530" s="136">
        <v>4</v>
      </c>
      <c r="Z530" s="314"/>
      <c r="AA530" s="319">
        <v>0.5</v>
      </c>
      <c r="AB530" s="315" t="s">
        <v>5193</v>
      </c>
      <c r="AC530" s="319">
        <v>2</v>
      </c>
      <c r="AD530" s="320">
        <v>2.27272727272727E-2</v>
      </c>
      <c r="AE530" s="319">
        <v>2</v>
      </c>
      <c r="AF530" s="320">
        <v>2.27272727272727E-2</v>
      </c>
      <c r="AG530" s="319">
        <v>1</v>
      </c>
      <c r="AH530" s="320">
        <v>1.13636363636363E-2</v>
      </c>
      <c r="AI530" s="319">
        <v>2</v>
      </c>
      <c r="AJ530" s="320">
        <v>2.27272727272727E-2</v>
      </c>
      <c r="AK530" s="320">
        <v>1.136363636363636E-2</v>
      </c>
      <c r="AL530" s="319">
        <v>6.75</v>
      </c>
      <c r="AM530" s="319">
        <v>5</v>
      </c>
      <c r="AN530" s="319">
        <v>7.3333333333333304</v>
      </c>
      <c r="AO530" s="319">
        <v>0.63611111111111096</v>
      </c>
      <c r="AP530">
        <v>4</v>
      </c>
      <c r="AR530" s="136">
        <v>4</v>
      </c>
      <c r="AT530" s="69">
        <v>6.3414000000000001</v>
      </c>
      <c r="AU530" s="69">
        <v>2.3148</v>
      </c>
      <c r="AV530" s="69">
        <v>9.8416999999999994</v>
      </c>
      <c r="AW530" s="69">
        <v>0.61660000000000004</v>
      </c>
      <c r="BB530" s="69"/>
    </row>
    <row r="531" spans="1:54" customFormat="1" ht="40" customHeight="1">
      <c r="A531" s="313">
        <v>530</v>
      </c>
      <c r="B531" s="136" t="s">
        <v>1222</v>
      </c>
      <c r="C531" s="136" t="s">
        <v>45</v>
      </c>
      <c r="D531" s="31">
        <f t="shared" si="38"/>
        <v>4</v>
      </c>
      <c r="E531" s="137" t="s">
        <v>46</v>
      </c>
      <c r="F531" s="31">
        <f t="shared" si="39"/>
        <v>6</v>
      </c>
      <c r="G531" s="137" t="s">
        <v>1486</v>
      </c>
      <c r="H531" s="138">
        <v>174</v>
      </c>
      <c r="I531" s="158">
        <f t="shared" si="40"/>
        <v>0.32257222606517649</v>
      </c>
      <c r="J531" s="95">
        <v>1.0189386840600001E-3</v>
      </c>
      <c r="K531" s="137">
        <v>0.64412551344629299</v>
      </c>
      <c r="L531" s="137">
        <v>0.61983471074380103</v>
      </c>
      <c r="M531" s="137">
        <v>0.68056171750003003</v>
      </c>
      <c r="N531" s="136">
        <v>1</v>
      </c>
      <c r="O531" s="32">
        <v>43168</v>
      </c>
      <c r="P531" s="98">
        <f t="shared" si="41"/>
        <v>2</v>
      </c>
      <c r="Q531">
        <v>0</v>
      </c>
      <c r="R531">
        <v>0</v>
      </c>
      <c r="S531">
        <v>0</v>
      </c>
      <c r="T531" s="112" t="s">
        <v>64</v>
      </c>
      <c r="U531" s="137" t="s">
        <v>1487</v>
      </c>
      <c r="V531" s="137" t="s">
        <v>1488</v>
      </c>
      <c r="W531" s="69">
        <v>39</v>
      </c>
      <c r="X531" s="136">
        <v>2</v>
      </c>
      <c r="Y531" s="136">
        <v>5</v>
      </c>
      <c r="Z531" s="314"/>
      <c r="AA531" s="319">
        <v>0.5</v>
      </c>
      <c r="AB531" s="315" t="s">
        <v>5176</v>
      </c>
      <c r="AC531" s="319">
        <v>0</v>
      </c>
      <c r="AD531" s="320">
        <v>0</v>
      </c>
      <c r="AE531" s="319">
        <v>1</v>
      </c>
      <c r="AF531" s="320">
        <v>4.7619047619047603E-2</v>
      </c>
      <c r="AG531" s="319">
        <v>0</v>
      </c>
      <c r="AH531" s="320">
        <v>0</v>
      </c>
      <c r="AI531" s="319">
        <v>0</v>
      </c>
      <c r="AJ531" s="320">
        <v>0</v>
      </c>
      <c r="AK531" s="320">
        <v>0</v>
      </c>
      <c r="AL531" s="319">
        <v>5</v>
      </c>
      <c r="AM531" s="319">
        <v>5</v>
      </c>
      <c r="AN531" s="319">
        <v>3.5</v>
      </c>
      <c r="AO531" s="319">
        <v>0.45</v>
      </c>
      <c r="AP531" s="319">
        <v>5</v>
      </c>
      <c r="AR531" s="136"/>
      <c r="AT531" s="69">
        <v>2.3148</v>
      </c>
      <c r="AU531" s="69">
        <v>2.3148</v>
      </c>
      <c r="AV531" s="69">
        <v>5.7443999999999997</v>
      </c>
      <c r="AW531" s="69">
        <v>0.3458</v>
      </c>
      <c r="BB531" s="69"/>
    </row>
    <row r="532" spans="1:54" customFormat="1" ht="40" customHeight="1">
      <c r="A532" s="313">
        <v>531</v>
      </c>
      <c r="B532" s="136" t="s">
        <v>1222</v>
      </c>
      <c r="C532" s="136" t="s">
        <v>45</v>
      </c>
      <c r="D532" s="31">
        <f t="shared" si="38"/>
        <v>4</v>
      </c>
      <c r="E532" s="137" t="s">
        <v>46</v>
      </c>
      <c r="F532" s="31">
        <f t="shared" si="39"/>
        <v>6</v>
      </c>
      <c r="G532" s="137" t="s">
        <v>1489</v>
      </c>
      <c r="H532" s="138">
        <v>175</v>
      </c>
      <c r="I532" s="158">
        <f t="shared" si="40"/>
        <v>0.1313022993259039</v>
      </c>
      <c r="J532" s="95">
        <v>1.0428802435659801E-2</v>
      </c>
      <c r="K532" s="137">
        <v>0.252175796216148</v>
      </c>
      <c r="L532" s="137">
        <v>0.17954403702687199</v>
      </c>
      <c r="M532" s="137">
        <v>0.36112343500006</v>
      </c>
      <c r="N532" s="136">
        <v>1</v>
      </c>
      <c r="O532" s="32">
        <v>43167</v>
      </c>
      <c r="P532" s="98">
        <f t="shared" si="41"/>
        <v>1</v>
      </c>
      <c r="Q532">
        <v>0</v>
      </c>
      <c r="R532">
        <v>1.65</v>
      </c>
      <c r="S532">
        <v>0</v>
      </c>
      <c r="T532" s="112" t="s">
        <v>73</v>
      </c>
      <c r="U532" s="137" t="s">
        <v>1490</v>
      </c>
      <c r="V532" s="137" t="s">
        <v>1491</v>
      </c>
      <c r="W532" s="69">
        <v>94</v>
      </c>
      <c r="X532" s="136">
        <v>3</v>
      </c>
      <c r="Y532" s="136">
        <v>20</v>
      </c>
      <c r="Z532" s="314"/>
      <c r="AA532" s="319">
        <v>1.9006077708968201E-8</v>
      </c>
      <c r="AB532" s="315" t="s">
        <v>5179</v>
      </c>
      <c r="AC532" s="319">
        <v>1</v>
      </c>
      <c r="AD532" s="320">
        <v>0.02</v>
      </c>
      <c r="AE532" s="319">
        <v>1</v>
      </c>
      <c r="AF532" s="320">
        <v>0.02</v>
      </c>
      <c r="AG532" s="319">
        <v>1</v>
      </c>
      <c r="AH532" s="320">
        <v>0.02</v>
      </c>
      <c r="AI532" s="319">
        <v>0</v>
      </c>
      <c r="AJ532" s="320">
        <v>0</v>
      </c>
      <c r="AK532" s="320">
        <v>0</v>
      </c>
      <c r="AL532" s="319">
        <v>5</v>
      </c>
      <c r="AM532" s="319">
        <v>5</v>
      </c>
      <c r="AN532" s="319">
        <v>4.6666666666666599</v>
      </c>
      <c r="AO532" s="319">
        <v>0.48888888888888798</v>
      </c>
      <c r="AP532">
        <v>20</v>
      </c>
      <c r="AR532" s="136"/>
      <c r="AS532">
        <v>20</v>
      </c>
      <c r="AT532" s="69">
        <v>2.3148</v>
      </c>
      <c r="AU532" s="69">
        <v>2.3148</v>
      </c>
      <c r="AV532" s="69">
        <v>8.1305999999999994</v>
      </c>
      <c r="AW532" s="69">
        <v>0.42530000000000001</v>
      </c>
      <c r="BB532" s="69"/>
    </row>
    <row r="533" spans="1:54" customFormat="1" ht="40" customHeight="1">
      <c r="A533" s="313">
        <v>532</v>
      </c>
      <c r="B533" s="136" t="s">
        <v>1222</v>
      </c>
      <c r="C533" s="136" t="s">
        <v>59</v>
      </c>
      <c r="D533" s="31">
        <f t="shared" si="38"/>
        <v>5</v>
      </c>
      <c r="E533" s="137" t="s">
        <v>46</v>
      </c>
      <c r="F533" s="31">
        <f t="shared" si="39"/>
        <v>6</v>
      </c>
      <c r="G533" s="137" t="s">
        <v>1492</v>
      </c>
      <c r="H533" s="138">
        <v>221</v>
      </c>
      <c r="I533" s="158">
        <f t="shared" si="40"/>
        <v>0.35505829043225007</v>
      </c>
      <c r="J533" s="95">
        <v>3.63467012043373E-9</v>
      </c>
      <c r="K533" s="137">
        <v>0.71011657722983001</v>
      </c>
      <c r="L533" s="137">
        <v>0.68181818181818199</v>
      </c>
      <c r="M533" s="137">
        <v>0.75256417034730305</v>
      </c>
      <c r="N533" s="136">
        <v>1</v>
      </c>
      <c r="O533" s="32">
        <v>43158</v>
      </c>
      <c r="P533" s="98">
        <f t="shared" si="41"/>
        <v>0</v>
      </c>
      <c r="Q533">
        <v>5.0999999999999996</v>
      </c>
      <c r="R533">
        <v>0</v>
      </c>
      <c r="S533">
        <v>0</v>
      </c>
      <c r="T533" s="112" t="s">
        <v>48</v>
      </c>
      <c r="U533" s="137" t="s">
        <v>1493</v>
      </c>
      <c r="V533" s="137" t="s">
        <v>1494</v>
      </c>
      <c r="W533" s="69">
        <v>125</v>
      </c>
      <c r="X533" s="136">
        <v>2</v>
      </c>
      <c r="Y533" s="136">
        <v>3</v>
      </c>
      <c r="Z533" s="314"/>
      <c r="AA533" s="319">
        <v>0.5</v>
      </c>
      <c r="AB533" s="315" t="s">
        <v>5168</v>
      </c>
      <c r="AC533" s="319">
        <v>1</v>
      </c>
      <c r="AD533" s="320">
        <v>1.5873015873015799E-2</v>
      </c>
      <c r="AE533" s="319">
        <v>0</v>
      </c>
      <c r="AF533" s="320">
        <v>0</v>
      </c>
      <c r="AG533" s="319">
        <v>3</v>
      </c>
      <c r="AH533" s="320">
        <v>4.7619047619047603E-2</v>
      </c>
      <c r="AI533" s="319">
        <v>0</v>
      </c>
      <c r="AJ533" s="320">
        <v>0</v>
      </c>
      <c r="AK533" s="320">
        <v>0</v>
      </c>
      <c r="AL533" s="319">
        <v>5</v>
      </c>
      <c r="AM533" s="319">
        <v>6.2</v>
      </c>
      <c r="AN533" s="319">
        <v>2</v>
      </c>
      <c r="AO533" s="319">
        <v>0.44</v>
      </c>
      <c r="AP533" s="319">
        <v>3</v>
      </c>
      <c r="AR533" s="136"/>
      <c r="AT533" s="69">
        <v>2.3148</v>
      </c>
      <c r="AU533" s="69">
        <v>5</v>
      </c>
      <c r="AV533" s="69">
        <v>2.3148</v>
      </c>
      <c r="AW533" s="69">
        <v>0.32100000000000001</v>
      </c>
      <c r="BB533" s="69"/>
    </row>
    <row r="534" spans="1:54" customFormat="1" ht="40" customHeight="1">
      <c r="A534" s="313">
        <v>533</v>
      </c>
      <c r="B534" s="136" t="s">
        <v>1222</v>
      </c>
      <c r="C534" s="136" t="s">
        <v>45</v>
      </c>
      <c r="D534" s="31">
        <f t="shared" si="38"/>
        <v>4</v>
      </c>
      <c r="E534" s="137" t="s">
        <v>46</v>
      </c>
      <c r="F534" s="31">
        <f t="shared" si="39"/>
        <v>6</v>
      </c>
      <c r="G534" s="137" t="s">
        <v>1495</v>
      </c>
      <c r="H534" s="138">
        <v>215</v>
      </c>
      <c r="I534" s="158">
        <f t="shared" si="40"/>
        <v>0.34418779643584618</v>
      </c>
      <c r="J534" s="95">
        <v>4.6407322429331499E-14</v>
      </c>
      <c r="K534" s="137">
        <v>0.68837559287164596</v>
      </c>
      <c r="L534" s="137">
        <v>0.75</v>
      </c>
      <c r="M534" s="137">
        <v>0.59593898217911601</v>
      </c>
      <c r="N534" s="136">
        <v>1</v>
      </c>
      <c r="O534" s="32">
        <v>43157</v>
      </c>
      <c r="P534" s="98">
        <f t="shared" si="41"/>
        <v>1</v>
      </c>
      <c r="Q534">
        <v>0</v>
      </c>
      <c r="R534">
        <v>0</v>
      </c>
      <c r="S534">
        <v>0</v>
      </c>
      <c r="T534" s="112" t="s">
        <v>73</v>
      </c>
      <c r="U534" s="137" t="s">
        <v>1496</v>
      </c>
      <c r="V534" s="137" t="s">
        <v>1494</v>
      </c>
      <c r="W534" s="69">
        <v>125</v>
      </c>
      <c r="X534" s="136">
        <v>2</v>
      </c>
      <c r="Y534" s="136">
        <v>8</v>
      </c>
      <c r="Z534" s="314"/>
      <c r="AA534" s="319">
        <v>0.63239999999999996</v>
      </c>
      <c r="AB534" s="315" t="s">
        <v>5168</v>
      </c>
      <c r="AC534" s="319">
        <v>1</v>
      </c>
      <c r="AD534" s="320">
        <v>1.5873015873015799E-2</v>
      </c>
      <c r="AE534" s="319">
        <v>0</v>
      </c>
      <c r="AF534" s="320">
        <v>0</v>
      </c>
      <c r="AG534" s="319">
        <v>3</v>
      </c>
      <c r="AH534" s="320">
        <v>4.7619047619047603E-2</v>
      </c>
      <c r="AI534" s="319">
        <v>0</v>
      </c>
      <c r="AJ534" s="320">
        <v>0</v>
      </c>
      <c r="AK534" s="320">
        <v>0</v>
      </c>
      <c r="AL534" s="319">
        <v>5</v>
      </c>
      <c r="AM534" s="319">
        <v>6.2</v>
      </c>
      <c r="AN534" s="319">
        <v>2</v>
      </c>
      <c r="AO534" s="319">
        <v>0.44</v>
      </c>
      <c r="AP534" s="319">
        <v>8</v>
      </c>
      <c r="AR534" s="136"/>
      <c r="AT534" s="69">
        <v>2.3148</v>
      </c>
      <c r="AU534" s="69">
        <v>5</v>
      </c>
      <c r="AV534" s="69">
        <v>2.3148</v>
      </c>
      <c r="AW534" s="69">
        <v>0.32100000000000001</v>
      </c>
      <c r="BB534" s="69"/>
    </row>
    <row r="535" spans="1:54" customFormat="1" ht="40" customHeight="1">
      <c r="A535" s="313">
        <v>534</v>
      </c>
      <c r="B535" s="136" t="s">
        <v>1222</v>
      </c>
      <c r="C535" s="136" t="s">
        <v>45</v>
      </c>
      <c r="D535" s="31">
        <f t="shared" si="38"/>
        <v>4</v>
      </c>
      <c r="E535" s="137" t="s">
        <v>80</v>
      </c>
      <c r="F535" s="31">
        <f t="shared" si="39"/>
        <v>4</v>
      </c>
      <c r="G535" s="137" t="s">
        <v>159</v>
      </c>
      <c r="H535" s="138">
        <v>62</v>
      </c>
      <c r="I535" s="158">
        <f t="shared" si="40"/>
        <v>0.38397103920826797</v>
      </c>
      <c r="J535" s="95">
        <v>7.1739141652393801E-4</v>
      </c>
      <c r="K535" s="137">
        <v>0.76722468700001201</v>
      </c>
      <c r="L535" s="137">
        <v>0.82499999999999996</v>
      </c>
      <c r="M535" s="137">
        <v>0.68056171750003003</v>
      </c>
      <c r="N535" s="136">
        <v>1</v>
      </c>
      <c r="O535" s="32">
        <v>43118</v>
      </c>
      <c r="P535" s="98">
        <f t="shared" si="41"/>
        <v>0</v>
      </c>
      <c r="Q535">
        <v>7.65</v>
      </c>
      <c r="R535">
        <v>0</v>
      </c>
      <c r="S535">
        <v>0</v>
      </c>
      <c r="T535" s="112" t="s">
        <v>48</v>
      </c>
      <c r="U535" s="137" t="s">
        <v>1497</v>
      </c>
      <c r="V535" s="137" t="s">
        <v>1498</v>
      </c>
      <c r="W535" s="69">
        <v>101</v>
      </c>
      <c r="X535" s="136">
        <v>2</v>
      </c>
      <c r="Y535" s="136">
        <v>5</v>
      </c>
      <c r="Z535" s="314"/>
      <c r="AA535" s="319">
        <v>0.59450000000000003</v>
      </c>
      <c r="AB535" s="315" t="s">
        <v>5168</v>
      </c>
      <c r="AC535" s="319">
        <v>1</v>
      </c>
      <c r="AD535" s="320">
        <v>1.72413793103448E-2</v>
      </c>
      <c r="AE535" s="319">
        <v>2</v>
      </c>
      <c r="AF535" s="320">
        <v>3.4482758620689599E-2</v>
      </c>
      <c r="AG535" s="319">
        <v>3</v>
      </c>
      <c r="AH535" s="320">
        <v>5.1724137931034399E-2</v>
      </c>
      <c r="AI535" s="319">
        <v>0</v>
      </c>
      <c r="AJ535" s="320">
        <v>0</v>
      </c>
      <c r="AK535" s="320">
        <v>1.7241379310344831E-2</v>
      </c>
      <c r="AL535" s="319">
        <v>5</v>
      </c>
      <c r="AM535" s="319">
        <v>5</v>
      </c>
      <c r="AN535" s="319">
        <v>4.6666666666666599</v>
      </c>
      <c r="AO535" s="319">
        <v>0.48888888888888798</v>
      </c>
      <c r="AP535">
        <v>5</v>
      </c>
      <c r="AR535" s="136"/>
      <c r="AS535">
        <v>5</v>
      </c>
      <c r="AT535" s="69">
        <v>2.3148</v>
      </c>
      <c r="AU535" s="69">
        <v>2.3148</v>
      </c>
      <c r="AV535" s="69">
        <v>8.1305999999999994</v>
      </c>
      <c r="AW535" s="69">
        <v>0.42530000000000001</v>
      </c>
      <c r="BB535" s="69"/>
    </row>
    <row r="536" spans="1:54" customFormat="1" ht="40" customHeight="1">
      <c r="A536" s="313">
        <v>535</v>
      </c>
      <c r="B536" s="136" t="s">
        <v>1222</v>
      </c>
      <c r="C536" s="136" t="s">
        <v>45</v>
      </c>
      <c r="D536" s="31">
        <f t="shared" si="38"/>
        <v>4</v>
      </c>
      <c r="E536" s="137" t="s">
        <v>46</v>
      </c>
      <c r="F536" s="31">
        <f t="shared" si="39"/>
        <v>6</v>
      </c>
      <c r="G536" s="137" t="s">
        <v>1499</v>
      </c>
      <c r="H536" s="138">
        <v>150</v>
      </c>
      <c r="I536" s="158">
        <f t="shared" si="40"/>
        <v>0.84644116355956545</v>
      </c>
      <c r="J536" s="95">
        <v>0.99807713231393602</v>
      </c>
      <c r="K536" s="137">
        <v>0.69480519480519498</v>
      </c>
      <c r="L536" s="137">
        <v>0.68181818181818199</v>
      </c>
      <c r="M536" s="137">
        <v>0.71428571428571397</v>
      </c>
      <c r="N536" s="136">
        <v>1</v>
      </c>
      <c r="O536" s="32">
        <v>43104</v>
      </c>
      <c r="P536" s="98">
        <f t="shared" si="41"/>
        <v>1</v>
      </c>
      <c r="Q536">
        <v>0</v>
      </c>
      <c r="R536">
        <v>1.65</v>
      </c>
      <c r="S536">
        <v>0</v>
      </c>
      <c r="T536" s="112" t="s">
        <v>73</v>
      </c>
      <c r="U536" s="137" t="s">
        <v>1500</v>
      </c>
      <c r="V536" s="137" t="s">
        <v>1501</v>
      </c>
      <c r="W536" s="69">
        <v>58</v>
      </c>
      <c r="X536" s="136">
        <v>1</v>
      </c>
      <c r="Y536" s="136">
        <v>4</v>
      </c>
      <c r="Z536" s="314"/>
      <c r="AA536" s="319">
        <v>0.55000000000000004</v>
      </c>
      <c r="AB536" s="315" t="s">
        <v>5178</v>
      </c>
      <c r="AC536" s="319">
        <v>2</v>
      </c>
      <c r="AD536" s="320">
        <v>6.0606060606060601E-2</v>
      </c>
      <c r="AE536" s="319">
        <v>2</v>
      </c>
      <c r="AF536" s="320">
        <v>6.0606060606060601E-2</v>
      </c>
      <c r="AG536" s="319">
        <v>0</v>
      </c>
      <c r="AH536" s="320">
        <v>0</v>
      </c>
      <c r="AI536" s="319">
        <v>0</v>
      </c>
      <c r="AJ536" s="320">
        <v>0</v>
      </c>
      <c r="AK536" s="320">
        <v>0</v>
      </c>
      <c r="AL536" s="319">
        <v>5</v>
      </c>
      <c r="AM536" s="319">
        <v>5</v>
      </c>
      <c r="AN536" s="319">
        <v>3.5</v>
      </c>
      <c r="AO536" s="319">
        <v>0.45</v>
      </c>
      <c r="AP536">
        <v>4</v>
      </c>
      <c r="AR536" s="136">
        <v>4</v>
      </c>
      <c r="AT536" s="69">
        <v>2.3148</v>
      </c>
      <c r="AU536" s="69">
        <v>2.3148</v>
      </c>
      <c r="AV536" s="69">
        <v>5.7443999999999997</v>
      </c>
      <c r="AW536" s="69">
        <v>0.3458</v>
      </c>
      <c r="BB536" s="69"/>
    </row>
    <row r="537" spans="1:54" customFormat="1" ht="40" customHeight="1">
      <c r="A537" s="313">
        <v>536</v>
      </c>
      <c r="B537" s="136" t="s">
        <v>1222</v>
      </c>
      <c r="C537" s="136" t="s">
        <v>45</v>
      </c>
      <c r="D537" s="31">
        <f t="shared" si="38"/>
        <v>4</v>
      </c>
      <c r="E537" s="137" t="s">
        <v>46</v>
      </c>
      <c r="F537" s="31">
        <f t="shared" si="39"/>
        <v>6</v>
      </c>
      <c r="G537" s="137" t="s">
        <v>1502</v>
      </c>
      <c r="H537" s="138">
        <v>311</v>
      </c>
      <c r="I537" s="158">
        <f t="shared" si="40"/>
        <v>0.72075683639742405</v>
      </c>
      <c r="J537" s="95">
        <v>0.99807713231393602</v>
      </c>
      <c r="K537" s="137">
        <v>0.44343654048091202</v>
      </c>
      <c r="L537" s="137">
        <v>0.26287042461104398</v>
      </c>
      <c r="M537" s="137">
        <v>0.71428571428571397</v>
      </c>
      <c r="N537" s="136">
        <v>1</v>
      </c>
      <c r="O537" s="32">
        <v>43104</v>
      </c>
      <c r="P537" s="98">
        <f t="shared" si="41"/>
        <v>0</v>
      </c>
      <c r="Q537">
        <v>2.5499999999999998</v>
      </c>
      <c r="R537">
        <v>1.65</v>
      </c>
      <c r="S537">
        <v>0</v>
      </c>
      <c r="T537" s="112" t="s">
        <v>48</v>
      </c>
      <c r="U537" s="137" t="s">
        <v>1503</v>
      </c>
      <c r="V537" s="137" t="s">
        <v>1504</v>
      </c>
      <c r="W537" s="69">
        <v>72</v>
      </c>
      <c r="X537" s="136">
        <v>1</v>
      </c>
      <c r="Y537" s="136">
        <v>4</v>
      </c>
      <c r="Z537" s="314"/>
      <c r="AA537" s="319">
        <v>9.1859354346351095E-6</v>
      </c>
      <c r="AB537" s="315" t="s">
        <v>5176</v>
      </c>
      <c r="AC537" s="319">
        <v>1</v>
      </c>
      <c r="AD537" s="320">
        <v>2.2222222222222199E-2</v>
      </c>
      <c r="AE537" s="319">
        <v>2</v>
      </c>
      <c r="AF537" s="320">
        <v>4.4444444444444398E-2</v>
      </c>
      <c r="AG537" s="319">
        <v>0</v>
      </c>
      <c r="AH537" s="320">
        <v>0</v>
      </c>
      <c r="AI537" s="319">
        <v>1</v>
      </c>
      <c r="AJ537" s="320">
        <v>2.2222222222222199E-2</v>
      </c>
      <c r="AK537" s="320">
        <v>0</v>
      </c>
      <c r="AL537" s="319">
        <v>5</v>
      </c>
      <c r="AM537" s="319">
        <v>5</v>
      </c>
      <c r="AN537" s="319">
        <v>4.6666666666666599</v>
      </c>
      <c r="AO537" s="319">
        <v>0.48888888888888798</v>
      </c>
      <c r="AP537">
        <v>4</v>
      </c>
      <c r="AR537" s="136">
        <v>4</v>
      </c>
      <c r="AT537" s="69">
        <v>2.3148</v>
      </c>
      <c r="AU537" s="69">
        <v>2.3148</v>
      </c>
      <c r="AV537" s="69">
        <v>8.1305999999999994</v>
      </c>
      <c r="AW537" s="69">
        <v>0.42530000000000001</v>
      </c>
      <c r="BB537" s="69"/>
    </row>
    <row r="538" spans="1:54" customFormat="1" ht="40" customHeight="1">
      <c r="A538" s="313">
        <v>537</v>
      </c>
      <c r="B538" s="136" t="s">
        <v>1222</v>
      </c>
      <c r="C538" s="136" t="s">
        <v>45</v>
      </c>
      <c r="D538" s="31">
        <f t="shared" si="38"/>
        <v>4</v>
      </c>
      <c r="E538" s="137" t="s">
        <v>46</v>
      </c>
      <c r="F538" s="31">
        <f t="shared" si="39"/>
        <v>6</v>
      </c>
      <c r="G538" s="137" t="s">
        <v>1505</v>
      </c>
      <c r="H538" s="138">
        <v>166</v>
      </c>
      <c r="I538" s="158">
        <f t="shared" si="40"/>
        <v>0.31190694740875197</v>
      </c>
      <c r="J538" s="95">
        <v>7.9486975079756695E-6</v>
      </c>
      <c r="K538" s="137">
        <v>0.62380594611999596</v>
      </c>
      <c r="L538" s="137">
        <v>0.56348610067618299</v>
      </c>
      <c r="M538" s="137">
        <v>0.71428571428571397</v>
      </c>
      <c r="N538" s="136">
        <v>1</v>
      </c>
      <c r="O538" s="32">
        <v>43085</v>
      </c>
      <c r="P538" s="98">
        <f t="shared" si="41"/>
        <v>0</v>
      </c>
      <c r="Q538">
        <v>2.5499999999999998</v>
      </c>
      <c r="R538">
        <v>0</v>
      </c>
      <c r="S538">
        <v>1.87</v>
      </c>
      <c r="T538" s="112" t="s">
        <v>48</v>
      </c>
      <c r="U538" s="137" t="s">
        <v>1506</v>
      </c>
      <c r="V538" s="137" t="s">
        <v>1507</v>
      </c>
      <c r="W538" s="69">
        <v>17</v>
      </c>
      <c r="X538" s="136">
        <v>1</v>
      </c>
      <c r="Y538" s="136">
        <v>4</v>
      </c>
      <c r="Z538" s="314"/>
      <c r="AA538" s="319">
        <v>3.6721811145015702E-3</v>
      </c>
      <c r="AB538" s="315" t="s">
        <v>5176</v>
      </c>
      <c r="AC538" s="319">
        <v>0</v>
      </c>
      <c r="AD538" s="320">
        <v>0</v>
      </c>
      <c r="AE538" s="319">
        <v>1</v>
      </c>
      <c r="AF538" s="320">
        <v>9.0909090909090898E-2</v>
      </c>
      <c r="AG538" s="319">
        <v>0</v>
      </c>
      <c r="AH538" s="320">
        <v>0</v>
      </c>
      <c r="AI538" s="319">
        <v>0</v>
      </c>
      <c r="AJ538" s="320">
        <v>0</v>
      </c>
      <c r="AK538" s="320">
        <v>0</v>
      </c>
      <c r="AL538" s="319">
        <v>5</v>
      </c>
      <c r="AM538" s="319">
        <v>5</v>
      </c>
      <c r="AN538" s="319">
        <v>4.6666666666666599</v>
      </c>
      <c r="AO538" s="319">
        <v>0.48888888888888798</v>
      </c>
      <c r="AP538">
        <v>4</v>
      </c>
      <c r="AQ538">
        <v>4</v>
      </c>
      <c r="AR538" s="136"/>
      <c r="AT538" s="69">
        <v>2.3148</v>
      </c>
      <c r="AU538" s="69">
        <v>2.3148</v>
      </c>
      <c r="AV538" s="69">
        <v>8.1305999999999994</v>
      </c>
      <c r="AW538" s="69">
        <v>0.42530000000000001</v>
      </c>
      <c r="BB538" s="69"/>
    </row>
    <row r="539" spans="1:54" customFormat="1" ht="40" customHeight="1">
      <c r="A539" s="313">
        <v>538</v>
      </c>
      <c r="B539" s="136" t="s">
        <v>1222</v>
      </c>
      <c r="C539" s="136" t="s">
        <v>45</v>
      </c>
      <c r="D539" s="31">
        <f t="shared" si="38"/>
        <v>4</v>
      </c>
      <c r="E539" s="137" t="s">
        <v>80</v>
      </c>
      <c r="F539" s="31">
        <f t="shared" si="39"/>
        <v>4</v>
      </c>
      <c r="G539" s="137" t="s">
        <v>1508</v>
      </c>
      <c r="H539" s="138">
        <v>148</v>
      </c>
      <c r="I539" s="158">
        <f t="shared" si="40"/>
        <v>0.36111798026772429</v>
      </c>
      <c r="J539" s="95">
        <v>1.12735354366178E-5</v>
      </c>
      <c r="K539" s="137">
        <v>0.72222468700001197</v>
      </c>
      <c r="L539" s="137">
        <v>0.75</v>
      </c>
      <c r="M539" s="137">
        <v>0.68056171750003003</v>
      </c>
      <c r="N539" s="136">
        <v>1</v>
      </c>
      <c r="O539" s="32">
        <v>43069</v>
      </c>
      <c r="P539" s="98">
        <f t="shared" si="41"/>
        <v>1</v>
      </c>
      <c r="Q539">
        <v>0</v>
      </c>
      <c r="R539">
        <v>1.65</v>
      </c>
      <c r="S539">
        <v>0</v>
      </c>
      <c r="T539" s="112" t="s">
        <v>73</v>
      </c>
      <c r="U539" s="137" t="s">
        <v>1509</v>
      </c>
      <c r="V539" s="137" t="s">
        <v>1510</v>
      </c>
      <c r="W539" s="69">
        <v>160</v>
      </c>
      <c r="X539" s="136">
        <v>1</v>
      </c>
      <c r="Y539" s="136">
        <v>5</v>
      </c>
      <c r="Z539" s="314"/>
      <c r="AA539" s="319">
        <v>0.59450000000000003</v>
      </c>
      <c r="AB539" s="315" t="s">
        <v>5165</v>
      </c>
      <c r="AC539" s="319">
        <v>4</v>
      </c>
      <c r="AD539" s="320">
        <v>4.49438202247191E-2</v>
      </c>
      <c r="AE539" s="319">
        <v>3</v>
      </c>
      <c r="AF539" s="320">
        <v>3.3707865168539297E-2</v>
      </c>
      <c r="AG539" s="319">
        <v>3</v>
      </c>
      <c r="AH539" s="320">
        <v>3.3707865168539297E-2</v>
      </c>
      <c r="AI539" s="319">
        <v>2</v>
      </c>
      <c r="AJ539" s="320">
        <v>2.2471910112359501E-2</v>
      </c>
      <c r="AK539" s="320">
        <v>2.247191011235955E-2</v>
      </c>
      <c r="AL539" s="319">
        <v>5</v>
      </c>
      <c r="AM539" s="319">
        <v>6.2</v>
      </c>
      <c r="AN539" s="319">
        <v>4.6666666666666599</v>
      </c>
      <c r="AO539" s="319">
        <v>0.52888888888888796</v>
      </c>
      <c r="AP539">
        <v>5</v>
      </c>
      <c r="AR539" s="136">
        <v>5</v>
      </c>
      <c r="AT539" s="69">
        <v>2.3148</v>
      </c>
      <c r="AU539" s="69">
        <v>5</v>
      </c>
      <c r="AV539" s="69">
        <v>8.1305999999999994</v>
      </c>
      <c r="AW539" s="69">
        <v>0.51480000000000004</v>
      </c>
      <c r="BB539" s="69"/>
    </row>
    <row r="540" spans="1:54" customFormat="1" ht="40" customHeight="1">
      <c r="A540" s="313">
        <v>539</v>
      </c>
      <c r="B540" s="136" t="s">
        <v>1222</v>
      </c>
      <c r="C540" s="136" t="s">
        <v>45</v>
      </c>
      <c r="D540" s="31">
        <f t="shared" si="38"/>
        <v>4</v>
      </c>
      <c r="E540" s="137" t="s">
        <v>46</v>
      </c>
      <c r="F540" s="31">
        <f t="shared" si="39"/>
        <v>6</v>
      </c>
      <c r="G540" s="137" t="s">
        <v>1511</v>
      </c>
      <c r="H540" s="138">
        <v>117</v>
      </c>
      <c r="I540" s="158">
        <f t="shared" si="40"/>
        <v>0.27581964556239236</v>
      </c>
      <c r="J540" s="95">
        <v>8.7481527577537593E-9</v>
      </c>
      <c r="K540" s="137">
        <v>0.55163928237663196</v>
      </c>
      <c r="L540" s="137">
        <v>0.465690992294366</v>
      </c>
      <c r="M540" s="137">
        <v>0.68056171750003003</v>
      </c>
      <c r="N540" s="136">
        <v>0</v>
      </c>
      <c r="O540" s="32">
        <v>43056</v>
      </c>
      <c r="P540" s="98">
        <f t="shared" si="41"/>
        <v>0</v>
      </c>
      <c r="Q540">
        <v>2.5499999999999998</v>
      </c>
      <c r="R540">
        <v>0</v>
      </c>
      <c r="S540">
        <v>0</v>
      </c>
      <c r="T540" s="112" t="s">
        <v>48</v>
      </c>
      <c r="U540" s="137" t="s">
        <v>1512</v>
      </c>
      <c r="V540" s="137" t="s">
        <v>1513</v>
      </c>
      <c r="W540" s="69">
        <v>42</v>
      </c>
      <c r="X540" s="136">
        <v>3</v>
      </c>
      <c r="Y540" s="136">
        <v>5</v>
      </c>
      <c r="Z540" s="314"/>
      <c r="AA540" s="319">
        <v>1.10809615276841E-2</v>
      </c>
      <c r="AB540" s="315" t="s">
        <v>5193</v>
      </c>
      <c r="AC540" s="319">
        <v>1</v>
      </c>
      <c r="AD540" s="320">
        <v>3.8461538461538401E-2</v>
      </c>
      <c r="AE540" s="319">
        <v>1</v>
      </c>
      <c r="AF540" s="320">
        <v>3.8461538461538401E-2</v>
      </c>
      <c r="AG540" s="319">
        <v>0</v>
      </c>
      <c r="AH540" s="320">
        <v>0</v>
      </c>
      <c r="AI540" s="319">
        <v>1</v>
      </c>
      <c r="AJ540" s="320">
        <v>3.8461538461538401E-2</v>
      </c>
      <c r="AK540" s="320">
        <v>0</v>
      </c>
      <c r="AL540" s="319">
        <v>5</v>
      </c>
      <c r="AM540" s="319">
        <v>5</v>
      </c>
      <c r="AN540" s="319">
        <v>5</v>
      </c>
      <c r="AO540" s="319">
        <v>0.5</v>
      </c>
      <c r="AP540">
        <v>5</v>
      </c>
      <c r="AR540" s="136"/>
      <c r="AS540">
        <v>5</v>
      </c>
      <c r="AT540" s="69">
        <v>2.3148</v>
      </c>
      <c r="AU540" s="69">
        <v>2.3148</v>
      </c>
      <c r="AV540" s="69">
        <v>8.5815000000000001</v>
      </c>
      <c r="AW540" s="69">
        <v>0.44040000000000001</v>
      </c>
      <c r="BB540" s="69"/>
    </row>
    <row r="541" spans="1:54" customFormat="1" ht="40" customHeight="1">
      <c r="A541" s="313">
        <v>540</v>
      </c>
      <c r="B541" s="136" t="s">
        <v>1222</v>
      </c>
      <c r="C541" s="136" t="s">
        <v>45</v>
      </c>
      <c r="D541" s="31">
        <f t="shared" si="38"/>
        <v>4</v>
      </c>
      <c r="E541" s="137" t="s">
        <v>46</v>
      </c>
      <c r="F541" s="31">
        <f t="shared" si="39"/>
        <v>6</v>
      </c>
      <c r="G541" s="137" t="s">
        <v>1514</v>
      </c>
      <c r="H541" s="138">
        <v>247</v>
      </c>
      <c r="I541" s="158">
        <f t="shared" si="40"/>
        <v>0.2833315452595484</v>
      </c>
      <c r="J541" s="95">
        <v>1.54195878288022E-9</v>
      </c>
      <c r="K541" s="137">
        <v>0.56666308897713802</v>
      </c>
      <c r="L541" s="137">
        <v>0.56348610067618299</v>
      </c>
      <c r="M541" s="137">
        <v>0.57142857142857095</v>
      </c>
      <c r="N541" s="136">
        <v>1</v>
      </c>
      <c r="O541" s="32">
        <v>43047</v>
      </c>
      <c r="P541" s="98">
        <f t="shared" si="41"/>
        <v>0</v>
      </c>
      <c r="Q541">
        <v>2.5499999999999998</v>
      </c>
      <c r="R541">
        <v>0</v>
      </c>
      <c r="S541">
        <v>0</v>
      </c>
      <c r="T541" s="112" t="s">
        <v>48</v>
      </c>
      <c r="U541" s="137" t="s">
        <v>1515</v>
      </c>
      <c r="V541" s="137" t="s">
        <v>1516</v>
      </c>
      <c r="W541" s="69">
        <v>77</v>
      </c>
      <c r="X541" s="136">
        <v>3</v>
      </c>
      <c r="Y541" s="136">
        <v>9</v>
      </c>
      <c r="Z541" s="314"/>
      <c r="AA541" s="319">
        <v>2.4893534183931899E-2</v>
      </c>
      <c r="AB541" s="315" t="s">
        <v>5168</v>
      </c>
      <c r="AC541" s="319">
        <v>1</v>
      </c>
      <c r="AD541" s="320">
        <v>2.2222222222222199E-2</v>
      </c>
      <c r="AE541" s="319">
        <v>1</v>
      </c>
      <c r="AF541" s="320">
        <v>2.2222222222222199E-2</v>
      </c>
      <c r="AG541" s="319">
        <v>3</v>
      </c>
      <c r="AH541" s="320">
        <v>6.6666666666666596E-2</v>
      </c>
      <c r="AI541" s="319">
        <v>0</v>
      </c>
      <c r="AJ541" s="320">
        <v>0</v>
      </c>
      <c r="AK541" s="320">
        <v>2.222222222222222E-2</v>
      </c>
      <c r="AL541" s="319">
        <v>5</v>
      </c>
      <c r="AM541" s="319">
        <v>5</v>
      </c>
      <c r="AN541" s="319">
        <v>2</v>
      </c>
      <c r="AO541" s="319">
        <v>0.4</v>
      </c>
      <c r="AP541">
        <v>9</v>
      </c>
      <c r="AQ541">
        <v>9</v>
      </c>
      <c r="AR541" s="136"/>
      <c r="AT541" s="69">
        <v>2.3148</v>
      </c>
      <c r="AU541" s="69">
        <v>2.3148</v>
      </c>
      <c r="AV541" s="69">
        <v>2.3148</v>
      </c>
      <c r="AW541" s="69">
        <v>0.23150000000000001</v>
      </c>
      <c r="BB541" s="69"/>
    </row>
    <row r="542" spans="1:54" customFormat="1" ht="40" customHeight="1">
      <c r="A542" s="313">
        <v>541</v>
      </c>
      <c r="B542" s="136" t="s">
        <v>1222</v>
      </c>
      <c r="C542" s="136" t="s">
        <v>45</v>
      </c>
      <c r="D542" s="31">
        <f t="shared" si="38"/>
        <v>4</v>
      </c>
      <c r="E542" s="137" t="s">
        <v>80</v>
      </c>
      <c r="F542" s="31">
        <f t="shared" si="39"/>
        <v>4</v>
      </c>
      <c r="G542" s="137" t="s">
        <v>1517</v>
      </c>
      <c r="H542" s="138">
        <v>50</v>
      </c>
      <c r="I542" s="158">
        <f t="shared" si="40"/>
        <v>0.35231586842208423</v>
      </c>
      <c r="J542" s="95">
        <v>3.5333317425218502E-2</v>
      </c>
      <c r="K542" s="137">
        <v>0.66929841941894996</v>
      </c>
      <c r="L542" s="137">
        <v>0.75</v>
      </c>
      <c r="M542" s="137">
        <v>0.54824604854737402</v>
      </c>
      <c r="N542" s="136">
        <v>1</v>
      </c>
      <c r="O542" s="32">
        <v>43031</v>
      </c>
      <c r="P542" s="98">
        <f t="shared" si="41"/>
        <v>0</v>
      </c>
      <c r="Q542">
        <v>2.5499999999999998</v>
      </c>
      <c r="R542">
        <v>0</v>
      </c>
      <c r="S542">
        <v>0</v>
      </c>
      <c r="T542" s="112" t="s">
        <v>48</v>
      </c>
      <c r="U542" s="137" t="s">
        <v>1518</v>
      </c>
      <c r="V542" s="137" t="s">
        <v>1519</v>
      </c>
      <c r="W542" s="69">
        <v>50</v>
      </c>
      <c r="X542" s="136">
        <v>1</v>
      </c>
      <c r="Y542" s="136">
        <v>10</v>
      </c>
      <c r="Z542" s="314"/>
      <c r="AA542" s="319">
        <v>0.59450000000000003</v>
      </c>
      <c r="AB542" s="315" t="s">
        <v>5165</v>
      </c>
      <c r="AC542" s="319">
        <v>3</v>
      </c>
      <c r="AD542" s="320">
        <v>0.11111111111111099</v>
      </c>
      <c r="AE542" s="319">
        <v>0</v>
      </c>
      <c r="AF542" s="320">
        <v>0</v>
      </c>
      <c r="AG542" s="319">
        <v>0</v>
      </c>
      <c r="AH542" s="320">
        <v>0</v>
      </c>
      <c r="AI542" s="319">
        <v>1</v>
      </c>
      <c r="AJ542" s="320">
        <v>3.7037037037037E-2</v>
      </c>
      <c r="AK542" s="320">
        <v>0</v>
      </c>
      <c r="AL542" s="319">
        <v>6.75</v>
      </c>
      <c r="AM542" s="319">
        <v>6.2</v>
      </c>
      <c r="AN542" s="319">
        <v>7.3333333333333304</v>
      </c>
      <c r="AO542" s="319">
        <v>0.676111111111111</v>
      </c>
      <c r="AP542">
        <v>10</v>
      </c>
      <c r="AQ542">
        <v>10</v>
      </c>
      <c r="AR542" s="136"/>
      <c r="AT542" s="69">
        <v>6.3414000000000001</v>
      </c>
      <c r="AU542" s="69">
        <v>5</v>
      </c>
      <c r="AV542" s="69">
        <v>9.8416999999999994</v>
      </c>
      <c r="AW542" s="69">
        <v>0.70609999999999995</v>
      </c>
      <c r="BB542" s="69"/>
    </row>
    <row r="543" spans="1:54" customFormat="1" ht="40" customHeight="1">
      <c r="A543" s="313">
        <v>542</v>
      </c>
      <c r="B543" s="136" t="s">
        <v>1222</v>
      </c>
      <c r="C543" s="136" t="s">
        <v>45</v>
      </c>
      <c r="D543" s="31">
        <f t="shared" si="38"/>
        <v>4</v>
      </c>
      <c r="E543" s="137" t="s">
        <v>80</v>
      </c>
      <c r="F543" s="31">
        <f t="shared" si="39"/>
        <v>4</v>
      </c>
      <c r="G543" s="137" t="s">
        <v>1508</v>
      </c>
      <c r="H543" s="138">
        <v>106</v>
      </c>
      <c r="I543" s="158">
        <f t="shared" si="40"/>
        <v>0.33466261253316593</v>
      </c>
      <c r="J543" s="95">
        <v>2.6805647381888899E-5</v>
      </c>
      <c r="K543" s="137">
        <v>0.66929841941894996</v>
      </c>
      <c r="L543" s="137">
        <v>0.75</v>
      </c>
      <c r="M543" s="137">
        <v>0.54824604854737402</v>
      </c>
      <c r="N543" s="136">
        <v>1</v>
      </c>
      <c r="O543" s="32">
        <v>43030</v>
      </c>
      <c r="P543" s="98">
        <f t="shared" si="41"/>
        <v>1</v>
      </c>
      <c r="Q543">
        <v>0</v>
      </c>
      <c r="R543">
        <v>0</v>
      </c>
      <c r="S543">
        <v>0</v>
      </c>
      <c r="T543" s="112" t="s">
        <v>73</v>
      </c>
      <c r="U543" s="137" t="s">
        <v>1520</v>
      </c>
      <c r="V543" s="137" t="s">
        <v>1521</v>
      </c>
      <c r="W543" s="69">
        <v>42</v>
      </c>
      <c r="X543" s="136">
        <v>1</v>
      </c>
      <c r="Y543" s="136">
        <v>10</v>
      </c>
      <c r="Z543" s="314"/>
      <c r="AA543" s="319">
        <v>0.60499999999999998</v>
      </c>
      <c r="AB543" s="315" t="s">
        <v>5178</v>
      </c>
      <c r="AC543" s="319">
        <v>2</v>
      </c>
      <c r="AD543" s="320">
        <v>0.08</v>
      </c>
      <c r="AE543" s="319">
        <v>2</v>
      </c>
      <c r="AF543" s="320">
        <v>0.08</v>
      </c>
      <c r="AG543" s="319">
        <v>0</v>
      </c>
      <c r="AH543" s="320">
        <v>0</v>
      </c>
      <c r="AI543" s="319">
        <v>0</v>
      </c>
      <c r="AJ543" s="320">
        <v>0</v>
      </c>
      <c r="AK543" s="320">
        <v>0.04</v>
      </c>
      <c r="AL543" s="319">
        <v>5</v>
      </c>
      <c r="AM543" s="319">
        <v>7.4</v>
      </c>
      <c r="AN543" s="319">
        <v>2</v>
      </c>
      <c r="AO543" s="319">
        <v>0.48</v>
      </c>
      <c r="AP543">
        <v>10</v>
      </c>
      <c r="AQ543">
        <v>10</v>
      </c>
      <c r="AR543" s="136"/>
      <c r="AT543" s="69">
        <v>2.3148</v>
      </c>
      <c r="AU543" s="69">
        <v>7.6852</v>
      </c>
      <c r="AV543" s="69">
        <v>2.3148</v>
      </c>
      <c r="AW543" s="69">
        <v>0.41049999999999998</v>
      </c>
      <c r="BB543" s="69"/>
    </row>
    <row r="544" spans="1:54" customFormat="1" ht="40" customHeight="1">
      <c r="A544" s="313">
        <v>543</v>
      </c>
      <c r="B544" s="136" t="s">
        <v>1222</v>
      </c>
      <c r="C544" s="136" t="s">
        <v>45</v>
      </c>
      <c r="D544" s="31">
        <f t="shared" si="38"/>
        <v>4</v>
      </c>
      <c r="E544" s="137" t="s">
        <v>80</v>
      </c>
      <c r="F544" s="31">
        <f t="shared" si="39"/>
        <v>4</v>
      </c>
      <c r="G544" s="137" t="s">
        <v>1356</v>
      </c>
      <c r="H544" s="138">
        <v>69</v>
      </c>
      <c r="I544" s="158">
        <f t="shared" si="40"/>
        <v>0.41510717296048155</v>
      </c>
      <c r="J544" s="95">
        <v>6.0206677088281397E-8</v>
      </c>
      <c r="K544" s="137">
        <v>0.83021428571428602</v>
      </c>
      <c r="L544" s="137">
        <v>0.90749999999999997</v>
      </c>
      <c r="M544" s="137">
        <v>0.71428571428571397</v>
      </c>
      <c r="N544" s="136">
        <v>1</v>
      </c>
      <c r="O544" s="32">
        <v>43027</v>
      </c>
      <c r="P544" s="98">
        <f t="shared" si="41"/>
        <v>0</v>
      </c>
      <c r="Q544">
        <v>5.0999999999999996</v>
      </c>
      <c r="R544">
        <v>0</v>
      </c>
      <c r="S544">
        <v>0</v>
      </c>
      <c r="T544" s="112" t="s">
        <v>48</v>
      </c>
      <c r="U544" s="137" t="s">
        <v>1522</v>
      </c>
      <c r="V544" s="137" t="s">
        <v>1523</v>
      </c>
      <c r="W544" s="69">
        <v>110</v>
      </c>
      <c r="X544" s="136">
        <v>4</v>
      </c>
      <c r="Y544" s="136">
        <v>4</v>
      </c>
      <c r="Z544" s="314"/>
      <c r="AA544" s="319">
        <v>0.64895000000000003</v>
      </c>
      <c r="AB544" s="315" t="s">
        <v>5168</v>
      </c>
      <c r="AC544" s="319">
        <v>1</v>
      </c>
      <c r="AD544" s="320">
        <v>1.6666666666666601E-2</v>
      </c>
      <c r="AE544" s="319">
        <v>1</v>
      </c>
      <c r="AF544" s="320">
        <v>1.6666666666666601E-2</v>
      </c>
      <c r="AG544" s="319">
        <v>4</v>
      </c>
      <c r="AH544" s="320">
        <v>6.6666666666666596E-2</v>
      </c>
      <c r="AI544" s="319">
        <v>0</v>
      </c>
      <c r="AJ544" s="320">
        <v>0</v>
      </c>
      <c r="AK544" s="320">
        <v>1.666666666666667E-2</v>
      </c>
      <c r="AL544" s="319">
        <v>6.75</v>
      </c>
      <c r="AM544" s="319">
        <v>6.2</v>
      </c>
      <c r="AN544" s="319">
        <v>4.6666666666666599</v>
      </c>
      <c r="AO544" s="319">
        <v>0.58722222222222198</v>
      </c>
      <c r="AP544">
        <v>4</v>
      </c>
      <c r="AR544" s="136"/>
      <c r="AS544">
        <v>4</v>
      </c>
      <c r="AT544" s="69">
        <v>6.3414000000000001</v>
      </c>
      <c r="AU544" s="69">
        <v>5</v>
      </c>
      <c r="AV544" s="69">
        <v>8.1305999999999994</v>
      </c>
      <c r="AW544" s="69">
        <v>0.64910000000000001</v>
      </c>
      <c r="BB544" s="69"/>
    </row>
    <row r="545" spans="1:54" customFormat="1" ht="40" customHeight="1">
      <c r="A545" s="313">
        <v>544</v>
      </c>
      <c r="B545" s="136" t="s">
        <v>1222</v>
      </c>
      <c r="C545" s="136" t="s">
        <v>45</v>
      </c>
      <c r="D545" s="31">
        <f t="shared" si="38"/>
        <v>4</v>
      </c>
      <c r="E545" s="137" t="s">
        <v>80</v>
      </c>
      <c r="F545" s="31">
        <f t="shared" si="39"/>
        <v>4</v>
      </c>
      <c r="G545" s="137" t="s">
        <v>1524</v>
      </c>
      <c r="H545" s="138">
        <v>32</v>
      </c>
      <c r="I545" s="158">
        <f t="shared" si="40"/>
        <v>0.4001351670099984</v>
      </c>
      <c r="J545" s="95">
        <v>7.4131911628537699E-3</v>
      </c>
      <c r="K545" s="137">
        <v>0.79285714285714304</v>
      </c>
      <c r="L545" s="137">
        <v>0.75</v>
      </c>
      <c r="M545" s="137">
        <v>0.85714285714285698</v>
      </c>
      <c r="N545" s="136">
        <v>1</v>
      </c>
      <c r="O545" s="32">
        <v>42988</v>
      </c>
      <c r="P545" s="98">
        <f t="shared" si="41"/>
        <v>1</v>
      </c>
      <c r="Q545">
        <v>0</v>
      </c>
      <c r="R545">
        <v>0</v>
      </c>
      <c r="S545">
        <v>0</v>
      </c>
      <c r="T545" s="112" t="s">
        <v>73</v>
      </c>
      <c r="U545" s="137" t="s">
        <v>1525</v>
      </c>
      <c r="V545" s="137" t="s">
        <v>1526</v>
      </c>
      <c r="W545" s="69">
        <v>60</v>
      </c>
      <c r="X545" s="136">
        <v>1</v>
      </c>
      <c r="Y545" s="136">
        <v>1</v>
      </c>
      <c r="Z545" s="314"/>
      <c r="AA545" s="319">
        <v>0.5</v>
      </c>
      <c r="AB545" s="315" t="s">
        <v>5176</v>
      </c>
      <c r="AC545" s="319">
        <v>1</v>
      </c>
      <c r="AD545" s="320">
        <v>2.8571428571428501E-2</v>
      </c>
      <c r="AE545" s="319">
        <v>3</v>
      </c>
      <c r="AF545" s="320">
        <v>8.5714285714285701E-2</v>
      </c>
      <c r="AG545" s="319">
        <v>1</v>
      </c>
      <c r="AH545" s="320">
        <v>2.8571428571428501E-2</v>
      </c>
      <c r="AI545" s="319">
        <v>0</v>
      </c>
      <c r="AJ545" s="320">
        <v>0</v>
      </c>
      <c r="AK545" s="320">
        <v>2.8571428571428571E-2</v>
      </c>
      <c r="AL545" s="319">
        <v>5</v>
      </c>
      <c r="AM545" s="319">
        <v>5</v>
      </c>
      <c r="AN545" s="319">
        <v>3.5</v>
      </c>
      <c r="AO545" s="319">
        <v>0.45</v>
      </c>
      <c r="AP545">
        <v>1</v>
      </c>
      <c r="AQ545">
        <v>1</v>
      </c>
      <c r="AR545" s="136"/>
      <c r="AT545" s="69">
        <v>2.3148</v>
      </c>
      <c r="AU545" s="69">
        <v>2.3148</v>
      </c>
      <c r="AV545" s="69">
        <v>5.7443999999999997</v>
      </c>
      <c r="AW545" s="69">
        <v>0.3458</v>
      </c>
      <c r="BB545" s="69"/>
    </row>
    <row r="546" spans="1:54" customFormat="1" ht="40" customHeight="1">
      <c r="A546" s="313">
        <v>545</v>
      </c>
      <c r="B546" s="136" t="s">
        <v>1222</v>
      </c>
      <c r="C546" s="136" t="s">
        <v>45</v>
      </c>
      <c r="D546" s="31">
        <f t="shared" si="38"/>
        <v>4</v>
      </c>
      <c r="E546" s="137" t="s">
        <v>46</v>
      </c>
      <c r="F546" s="31">
        <f t="shared" si="39"/>
        <v>6</v>
      </c>
      <c r="G546" s="137" t="s">
        <v>1527</v>
      </c>
      <c r="H546" s="138">
        <v>207</v>
      </c>
      <c r="I546" s="158">
        <f t="shared" si="40"/>
        <v>0.2445532566607479</v>
      </c>
      <c r="J546" s="95">
        <v>9.6211248776034805E-2</v>
      </c>
      <c r="K546" s="137">
        <v>0.39289526454546098</v>
      </c>
      <c r="L546" s="137">
        <v>0.31807321377936298</v>
      </c>
      <c r="M546" s="137">
        <v>0.50512834069460699</v>
      </c>
      <c r="N546" s="136">
        <v>1</v>
      </c>
      <c r="O546" s="32">
        <v>42977</v>
      </c>
      <c r="P546" s="98">
        <f t="shared" si="41"/>
        <v>1</v>
      </c>
      <c r="Q546">
        <v>0</v>
      </c>
      <c r="R546">
        <v>0</v>
      </c>
      <c r="S546">
        <v>0</v>
      </c>
      <c r="T546" s="112" t="s">
        <v>73</v>
      </c>
      <c r="U546" s="137" t="s">
        <v>1528</v>
      </c>
      <c r="V546" s="137" t="s">
        <v>1526</v>
      </c>
      <c r="W546" s="69">
        <v>60</v>
      </c>
      <c r="X546" s="136">
        <v>1</v>
      </c>
      <c r="Y546" s="136">
        <v>12</v>
      </c>
      <c r="Z546" s="314"/>
      <c r="AA546" s="319">
        <v>1.02427775895304E-3</v>
      </c>
      <c r="AB546" s="315" t="s">
        <v>5176</v>
      </c>
      <c r="AC546" s="319">
        <v>1</v>
      </c>
      <c r="AD546" s="320">
        <v>2.8571428571428501E-2</v>
      </c>
      <c r="AE546" s="319">
        <v>3</v>
      </c>
      <c r="AF546" s="320">
        <v>8.5714285714285701E-2</v>
      </c>
      <c r="AG546" s="319">
        <v>1</v>
      </c>
      <c r="AH546" s="320">
        <v>2.8571428571428501E-2</v>
      </c>
      <c r="AI546" s="319">
        <v>0</v>
      </c>
      <c r="AJ546" s="320">
        <v>0</v>
      </c>
      <c r="AK546" s="320">
        <v>2.8571428571428571E-2</v>
      </c>
      <c r="AL546" s="319">
        <v>5</v>
      </c>
      <c r="AM546" s="319">
        <v>5</v>
      </c>
      <c r="AN546" s="319">
        <v>2</v>
      </c>
      <c r="AO546" s="319">
        <v>0.4</v>
      </c>
      <c r="AP546">
        <v>12</v>
      </c>
      <c r="AQ546">
        <v>12</v>
      </c>
      <c r="AR546" s="136"/>
      <c r="AT546" s="69">
        <v>2.3148</v>
      </c>
      <c r="AU546" s="69">
        <v>2.3148</v>
      </c>
      <c r="AV546" s="69">
        <v>2.3148</v>
      </c>
      <c r="AW546" s="69">
        <v>0.23150000000000001</v>
      </c>
      <c r="BB546" s="69"/>
    </row>
    <row r="547" spans="1:54" customFormat="1" ht="40" customHeight="1">
      <c r="A547" s="313">
        <v>546</v>
      </c>
      <c r="B547" s="136" t="s">
        <v>1222</v>
      </c>
      <c r="C547" s="136" t="s">
        <v>45</v>
      </c>
      <c r="D547" s="31">
        <f t="shared" si="38"/>
        <v>4</v>
      </c>
      <c r="E547" s="137" t="s">
        <v>80</v>
      </c>
      <c r="F547" s="31">
        <f t="shared" si="39"/>
        <v>4</v>
      </c>
      <c r="G547" s="137" t="s">
        <v>1529</v>
      </c>
      <c r="H547" s="138">
        <v>100</v>
      </c>
      <c r="I547" s="158">
        <f t="shared" si="40"/>
        <v>0.32198806423084436</v>
      </c>
      <c r="J547" s="95">
        <v>7.6299167737214901E-6</v>
      </c>
      <c r="K547" s="137">
        <v>0.643968498544915</v>
      </c>
      <c r="L547" s="137">
        <v>0.75</v>
      </c>
      <c r="M547" s="137">
        <v>0.48492124636228701</v>
      </c>
      <c r="N547" s="136">
        <v>1</v>
      </c>
      <c r="O547" s="32">
        <v>42935</v>
      </c>
      <c r="P547" s="98">
        <f t="shared" si="41"/>
        <v>1</v>
      </c>
      <c r="Q547">
        <v>0</v>
      </c>
      <c r="R547">
        <v>1.65</v>
      </c>
      <c r="S547">
        <v>0</v>
      </c>
      <c r="T547" s="112" t="s">
        <v>73</v>
      </c>
      <c r="U547" s="137" t="s">
        <v>1530</v>
      </c>
      <c r="V547" s="137" t="s">
        <v>1531</v>
      </c>
      <c r="W547" s="69">
        <v>94</v>
      </c>
      <c r="X547" s="136">
        <v>1</v>
      </c>
      <c r="Y547" s="136">
        <v>13</v>
      </c>
      <c r="Z547" s="314"/>
      <c r="AA547" s="319">
        <v>0.5</v>
      </c>
      <c r="AB547" s="315" t="s">
        <v>5176</v>
      </c>
      <c r="AC547" s="319">
        <v>1</v>
      </c>
      <c r="AD547" s="320">
        <v>1.9230769230769201E-2</v>
      </c>
      <c r="AE547" s="319">
        <v>4</v>
      </c>
      <c r="AF547" s="320">
        <v>7.69230769230769E-2</v>
      </c>
      <c r="AG547" s="319">
        <v>0</v>
      </c>
      <c r="AH547" s="320">
        <v>0</v>
      </c>
      <c r="AI547" s="319">
        <v>1</v>
      </c>
      <c r="AJ547" s="320">
        <v>1.9230769230769201E-2</v>
      </c>
      <c r="AK547" s="320">
        <v>0</v>
      </c>
      <c r="AL547" s="319">
        <v>5</v>
      </c>
      <c r="AM547" s="319">
        <v>5</v>
      </c>
      <c r="AN547" s="319">
        <v>6.1666666666666599</v>
      </c>
      <c r="AO547" s="319">
        <v>0.53888888888888797</v>
      </c>
      <c r="AP547" s="319">
        <v>13</v>
      </c>
      <c r="AR547" s="136"/>
      <c r="AT547" s="69">
        <v>2.3148</v>
      </c>
      <c r="AU547" s="69">
        <v>2.3148</v>
      </c>
      <c r="AV547" s="69">
        <v>9.5120000000000005</v>
      </c>
      <c r="AW547" s="69">
        <v>0.47139999999999999</v>
      </c>
      <c r="BB547" s="69"/>
    </row>
    <row r="548" spans="1:54" customFormat="1" ht="40" customHeight="1">
      <c r="A548" s="313">
        <v>547</v>
      </c>
      <c r="B548" s="136" t="s">
        <v>1222</v>
      </c>
      <c r="C548" s="136" t="s">
        <v>59</v>
      </c>
      <c r="D548" s="31">
        <f t="shared" si="38"/>
        <v>5</v>
      </c>
      <c r="E548" s="137" t="s">
        <v>46</v>
      </c>
      <c r="F548" s="31">
        <f t="shared" si="39"/>
        <v>6</v>
      </c>
      <c r="G548" s="137" t="s">
        <v>1532</v>
      </c>
      <c r="H548" s="138">
        <v>121</v>
      </c>
      <c r="I548" s="158">
        <f t="shared" si="40"/>
        <v>0.42494431583860004</v>
      </c>
      <c r="J548" s="95">
        <v>0.22917359443461</v>
      </c>
      <c r="K548" s="137">
        <v>0.62071503724259003</v>
      </c>
      <c r="L548" s="137">
        <v>0.61983471074380203</v>
      </c>
      <c r="M548" s="137">
        <v>0.62203552699077302</v>
      </c>
      <c r="N548" s="136">
        <v>1</v>
      </c>
      <c r="O548" s="32">
        <v>42914</v>
      </c>
      <c r="P548" s="98">
        <f t="shared" si="41"/>
        <v>1</v>
      </c>
      <c r="Q548">
        <v>0</v>
      </c>
      <c r="R548">
        <v>1.65</v>
      </c>
      <c r="S548">
        <v>0</v>
      </c>
      <c r="T548" s="112" t="s">
        <v>73</v>
      </c>
      <c r="U548" s="137" t="s">
        <v>1533</v>
      </c>
      <c r="V548" s="137" t="s">
        <v>1534</v>
      </c>
      <c r="W548" s="69">
        <v>135</v>
      </c>
      <c r="X548" s="136">
        <v>3</v>
      </c>
      <c r="Y548" s="136">
        <v>7</v>
      </c>
      <c r="Z548" s="314"/>
      <c r="AA548" s="319">
        <v>0.55000000000000004</v>
      </c>
      <c r="AB548" s="315" t="s">
        <v>5169</v>
      </c>
      <c r="AC548" s="319">
        <v>3</v>
      </c>
      <c r="AD548" s="320">
        <v>3.7974683544303701E-2</v>
      </c>
      <c r="AE548" s="319">
        <v>1</v>
      </c>
      <c r="AF548" s="320">
        <v>1.26582278481012E-2</v>
      </c>
      <c r="AG548" s="319">
        <v>3</v>
      </c>
      <c r="AH548" s="320">
        <v>3.7974683544303701E-2</v>
      </c>
      <c r="AI548" s="319">
        <v>0</v>
      </c>
      <c r="AJ548" s="320">
        <v>0</v>
      </c>
      <c r="AK548" s="320">
        <v>0</v>
      </c>
      <c r="AL548" s="319">
        <v>5</v>
      </c>
      <c r="AM548" s="319">
        <v>5</v>
      </c>
      <c r="AN548" s="319">
        <v>3.5</v>
      </c>
      <c r="AO548" s="319">
        <v>0.45</v>
      </c>
      <c r="AP548">
        <v>7</v>
      </c>
      <c r="AR548" s="136">
        <v>7</v>
      </c>
      <c r="AT548" s="69">
        <v>2.3148</v>
      </c>
      <c r="AU548" s="69">
        <v>2.3148</v>
      </c>
      <c r="AV548" s="69">
        <v>5.7443999999999997</v>
      </c>
      <c r="AW548" s="69">
        <v>0.3458</v>
      </c>
      <c r="BB548" s="69"/>
    </row>
    <row r="549" spans="1:54" customFormat="1" ht="40" customHeight="1">
      <c r="A549" s="313">
        <v>548</v>
      </c>
      <c r="B549" s="136" t="s">
        <v>1222</v>
      </c>
      <c r="C549" s="136" t="s">
        <v>59</v>
      </c>
      <c r="D549" s="31">
        <f t="shared" si="38"/>
        <v>5</v>
      </c>
      <c r="E549" s="137" t="s">
        <v>46</v>
      </c>
      <c r="F549" s="31">
        <f t="shared" si="39"/>
        <v>6</v>
      </c>
      <c r="G549" s="137" t="s">
        <v>1535</v>
      </c>
      <c r="H549" s="138">
        <v>57</v>
      </c>
      <c r="I549" s="158">
        <f t="shared" si="40"/>
        <v>0.30513942256929855</v>
      </c>
      <c r="J549" s="95">
        <v>2.4258206701155399E-6</v>
      </c>
      <c r="K549" s="137">
        <v>0.61027641931792698</v>
      </c>
      <c r="L549" s="137">
        <v>0.61983471074380203</v>
      </c>
      <c r="M549" s="137">
        <v>0.59593898217911601</v>
      </c>
      <c r="N549" s="136">
        <v>1</v>
      </c>
      <c r="O549" s="32">
        <v>42914</v>
      </c>
      <c r="P549" s="98">
        <f t="shared" si="41"/>
        <v>1</v>
      </c>
      <c r="Q549">
        <v>0</v>
      </c>
      <c r="R549">
        <v>0</v>
      </c>
      <c r="S549">
        <v>0</v>
      </c>
      <c r="T549" s="112" t="s">
        <v>73</v>
      </c>
      <c r="U549" s="137" t="s">
        <v>1536</v>
      </c>
      <c r="V549" s="137" t="s">
        <v>1537</v>
      </c>
      <c r="W549" s="69">
        <v>41</v>
      </c>
      <c r="X549" s="136">
        <v>2</v>
      </c>
      <c r="Y549" s="136">
        <v>8</v>
      </c>
      <c r="Z549" s="314"/>
      <c r="AA549" s="319">
        <v>0.54500000000000004</v>
      </c>
      <c r="AB549" s="315" t="s">
        <v>5168</v>
      </c>
      <c r="AC549" s="319">
        <v>1</v>
      </c>
      <c r="AD549" s="320">
        <v>4.3478260869565202E-2</v>
      </c>
      <c r="AE549" s="319">
        <v>1</v>
      </c>
      <c r="AF549" s="320">
        <v>4.3478260869565202E-2</v>
      </c>
      <c r="AG549" s="319">
        <v>2</v>
      </c>
      <c r="AH549" s="320">
        <v>8.6956521739130405E-2</v>
      </c>
      <c r="AI549" s="319">
        <v>0</v>
      </c>
      <c r="AJ549" s="320">
        <v>0</v>
      </c>
      <c r="AK549" s="320">
        <v>0</v>
      </c>
      <c r="AL549" s="319">
        <v>5</v>
      </c>
      <c r="AM549" s="319">
        <v>5</v>
      </c>
      <c r="AN549" s="319">
        <v>3.5</v>
      </c>
      <c r="AO549" s="319">
        <v>0.45</v>
      </c>
      <c r="AP549">
        <v>8</v>
      </c>
      <c r="AR549" s="136">
        <v>8</v>
      </c>
      <c r="AT549" s="69">
        <v>2.3148</v>
      </c>
      <c r="AU549" s="69">
        <v>2.3148</v>
      </c>
      <c r="AV549" s="69">
        <v>5.7443999999999997</v>
      </c>
      <c r="AW549" s="69">
        <v>0.3458</v>
      </c>
      <c r="BB549" s="69"/>
    </row>
    <row r="550" spans="1:54" customFormat="1" ht="40" customHeight="1">
      <c r="A550" s="313">
        <v>549</v>
      </c>
      <c r="B550" s="136" t="s">
        <v>1222</v>
      </c>
      <c r="C550" s="136" t="s">
        <v>45</v>
      </c>
      <c r="D550" s="31">
        <f t="shared" si="38"/>
        <v>4</v>
      </c>
      <c r="E550" s="137" t="s">
        <v>80</v>
      </c>
      <c r="F550" s="31">
        <f t="shared" si="39"/>
        <v>4</v>
      </c>
      <c r="G550" s="137" t="s">
        <v>1538</v>
      </c>
      <c r="H550" s="138">
        <v>38</v>
      </c>
      <c r="I550" s="158">
        <f t="shared" si="40"/>
        <v>0.334657457347034</v>
      </c>
      <c r="J550" s="95">
        <v>1.64952751180447E-5</v>
      </c>
      <c r="K550" s="137">
        <v>0.66929841941894996</v>
      </c>
      <c r="L550" s="137">
        <v>0.75</v>
      </c>
      <c r="M550" s="137">
        <v>0.54824604854737402</v>
      </c>
      <c r="N550" s="136">
        <v>1</v>
      </c>
      <c r="O550" s="32">
        <v>42895</v>
      </c>
      <c r="P550" s="98">
        <f t="shared" si="41"/>
        <v>0</v>
      </c>
      <c r="Q550">
        <v>2.5499999999999998</v>
      </c>
      <c r="R550">
        <v>0</v>
      </c>
      <c r="S550">
        <v>0</v>
      </c>
      <c r="T550" s="112" t="s">
        <v>48</v>
      </c>
      <c r="U550" s="137" t="s">
        <v>1539</v>
      </c>
      <c r="V550" s="137" t="s">
        <v>1540</v>
      </c>
      <c r="W550" s="69">
        <v>70</v>
      </c>
      <c r="X550" s="136">
        <v>1</v>
      </c>
      <c r="Y550" s="136">
        <v>10</v>
      </c>
      <c r="Z550" s="314"/>
      <c r="AA550" s="319">
        <v>0.55000000000000004</v>
      </c>
      <c r="AB550" s="315" t="s">
        <v>5168</v>
      </c>
      <c r="AC550" s="319">
        <v>0</v>
      </c>
      <c r="AD550" s="320">
        <v>0</v>
      </c>
      <c r="AE550" s="319">
        <v>0</v>
      </c>
      <c r="AF550" s="320">
        <v>0</v>
      </c>
      <c r="AG550" s="319">
        <v>3</v>
      </c>
      <c r="AH550" s="320">
        <v>8.5714285714285701E-2</v>
      </c>
      <c r="AI550" s="319">
        <v>0</v>
      </c>
      <c r="AJ550" s="320">
        <v>0</v>
      </c>
      <c r="AK550" s="320">
        <v>0</v>
      </c>
      <c r="AL550" s="319">
        <v>5</v>
      </c>
      <c r="AM550" s="319">
        <v>6.2</v>
      </c>
      <c r="AN550" s="319">
        <v>2</v>
      </c>
      <c r="AO550" s="319">
        <v>0.44</v>
      </c>
      <c r="AP550">
        <v>10</v>
      </c>
      <c r="AR550" s="136">
        <v>10</v>
      </c>
      <c r="AT550" s="69">
        <v>2.3148</v>
      </c>
      <c r="AU550" s="69">
        <v>5</v>
      </c>
      <c r="AV550" s="69">
        <v>2.3148</v>
      </c>
      <c r="AW550" s="69">
        <v>0.32100000000000001</v>
      </c>
      <c r="BB550" s="69"/>
    </row>
    <row r="551" spans="1:54" customFormat="1" ht="40" customHeight="1">
      <c r="A551" s="313">
        <v>550</v>
      </c>
      <c r="B551" s="136" t="s">
        <v>1222</v>
      </c>
      <c r="C551" s="136" t="s">
        <v>45</v>
      </c>
      <c r="D551" s="31">
        <f t="shared" si="38"/>
        <v>4</v>
      </c>
      <c r="E551" s="137" t="s">
        <v>80</v>
      </c>
      <c r="F551" s="31">
        <f t="shared" si="39"/>
        <v>4</v>
      </c>
      <c r="G551" s="137" t="s">
        <v>1538</v>
      </c>
      <c r="H551" s="138">
        <v>80</v>
      </c>
      <c r="I551" s="158">
        <f t="shared" si="40"/>
        <v>0.3142122101626007</v>
      </c>
      <c r="J551" s="95">
        <v>3.5091815342447299E-5</v>
      </c>
      <c r="K551" s="137">
        <v>0.62838932850985896</v>
      </c>
      <c r="L551" s="137">
        <v>0.68181818181818199</v>
      </c>
      <c r="M551" s="137">
        <v>0.54824604854737402</v>
      </c>
      <c r="N551" s="136">
        <v>1</v>
      </c>
      <c r="O551" s="32">
        <v>42883</v>
      </c>
      <c r="P551" s="98">
        <f t="shared" si="41"/>
        <v>0</v>
      </c>
      <c r="Q551">
        <v>2.5499999999999998</v>
      </c>
      <c r="R551">
        <v>0</v>
      </c>
      <c r="S551">
        <v>0</v>
      </c>
      <c r="T551" s="112" t="s">
        <v>48</v>
      </c>
      <c r="U551" s="137" t="s">
        <v>1541</v>
      </c>
      <c r="V551" s="137" t="s">
        <v>1542</v>
      </c>
      <c r="W551" s="69">
        <v>111</v>
      </c>
      <c r="X551" s="136">
        <v>1</v>
      </c>
      <c r="Y551" s="136">
        <v>10</v>
      </c>
      <c r="Z551" s="314"/>
      <c r="AA551" s="319">
        <v>0.54500000000000004</v>
      </c>
      <c r="AB551" s="315" t="s">
        <v>5168</v>
      </c>
      <c r="AC551" s="319">
        <v>0</v>
      </c>
      <c r="AD551" s="320">
        <v>0</v>
      </c>
      <c r="AE551" s="319">
        <v>0</v>
      </c>
      <c r="AF551" s="320">
        <v>0</v>
      </c>
      <c r="AG551" s="319">
        <v>3</v>
      </c>
      <c r="AH551" s="320">
        <v>4.8387096774193498E-2</v>
      </c>
      <c r="AI551" s="319">
        <v>0</v>
      </c>
      <c r="AJ551" s="320">
        <v>0</v>
      </c>
      <c r="AK551" s="320">
        <v>0</v>
      </c>
      <c r="AL551" s="319">
        <v>5</v>
      </c>
      <c r="AM551" s="319">
        <v>6.2</v>
      </c>
      <c r="AN551" s="319">
        <v>5</v>
      </c>
      <c r="AO551" s="319">
        <v>0.53999999999999904</v>
      </c>
      <c r="AP551">
        <v>10</v>
      </c>
      <c r="AR551" s="136">
        <v>10</v>
      </c>
      <c r="AT551" s="69">
        <v>2.3148</v>
      </c>
      <c r="AU551" s="69">
        <v>5</v>
      </c>
      <c r="AV551" s="69">
        <v>8.5815000000000001</v>
      </c>
      <c r="AW551" s="69">
        <v>0.52990000000000004</v>
      </c>
      <c r="BB551" s="69"/>
    </row>
    <row r="552" spans="1:54" customFormat="1" ht="40" customHeight="1">
      <c r="A552" s="313">
        <v>551</v>
      </c>
      <c r="B552" s="136" t="s">
        <v>1222</v>
      </c>
      <c r="C552" s="136" t="s">
        <v>45</v>
      </c>
      <c r="D552" s="31">
        <f t="shared" si="38"/>
        <v>4</v>
      </c>
      <c r="E552" s="137" t="s">
        <v>46</v>
      </c>
      <c r="F552" s="31">
        <f t="shared" si="39"/>
        <v>6</v>
      </c>
      <c r="G552" s="137" t="s">
        <v>1543</v>
      </c>
      <c r="H552" s="138">
        <v>92</v>
      </c>
      <c r="I552" s="158">
        <f t="shared" si="40"/>
        <v>0.49572227456694751</v>
      </c>
      <c r="J552" s="95">
        <v>0.33096596572563203</v>
      </c>
      <c r="K552" s="137">
        <v>0.66047858340826304</v>
      </c>
      <c r="L552" s="137">
        <v>0.75</v>
      </c>
      <c r="M552" s="137">
        <v>0.526196458520657</v>
      </c>
      <c r="N552" s="136">
        <v>0</v>
      </c>
      <c r="O552" s="32">
        <v>42881</v>
      </c>
      <c r="P552" s="98">
        <f t="shared" si="41"/>
        <v>2</v>
      </c>
      <c r="Q552">
        <v>0</v>
      </c>
      <c r="R552">
        <v>0</v>
      </c>
      <c r="S552">
        <v>0</v>
      </c>
      <c r="T552" s="112" t="s">
        <v>64</v>
      </c>
      <c r="U552" s="137" t="s">
        <v>1544</v>
      </c>
      <c r="V552" s="137" t="s">
        <v>1545</v>
      </c>
      <c r="W552" s="69">
        <v>111</v>
      </c>
      <c r="X552" s="136">
        <v>1</v>
      </c>
      <c r="Y552" s="136">
        <v>11</v>
      </c>
      <c r="Z552" s="314"/>
      <c r="AA552" s="319">
        <v>0.55000000000000004</v>
      </c>
      <c r="AB552" s="315" t="s">
        <v>5168</v>
      </c>
      <c r="AC552" s="319">
        <v>0</v>
      </c>
      <c r="AD552" s="320">
        <v>0</v>
      </c>
      <c r="AE552" s="319">
        <v>0</v>
      </c>
      <c r="AF552" s="320">
        <v>0</v>
      </c>
      <c r="AG552" s="319">
        <v>3</v>
      </c>
      <c r="AH552" s="320">
        <v>4.8387096774193498E-2</v>
      </c>
      <c r="AI552" s="319">
        <v>0</v>
      </c>
      <c r="AJ552" s="320">
        <v>0</v>
      </c>
      <c r="AK552" s="320">
        <v>0</v>
      </c>
      <c r="AL552" s="319">
        <v>5</v>
      </c>
      <c r="AM552" s="319">
        <v>5</v>
      </c>
      <c r="AN552" s="319">
        <v>2</v>
      </c>
      <c r="AO552" s="319">
        <v>0.4</v>
      </c>
      <c r="AP552">
        <v>11</v>
      </c>
      <c r="AQ552">
        <v>11</v>
      </c>
      <c r="AR552" s="136"/>
      <c r="AT552" s="69">
        <v>2.3148</v>
      </c>
      <c r="AU552" s="69">
        <v>2.3148</v>
      </c>
      <c r="AV552" s="69">
        <v>2.3148</v>
      </c>
      <c r="AW552" s="69">
        <v>0.23150000000000001</v>
      </c>
      <c r="BB552" s="69"/>
    </row>
    <row r="553" spans="1:54" customFormat="1" ht="40" customHeight="1">
      <c r="A553" s="313">
        <v>552</v>
      </c>
      <c r="B553" s="136" t="s">
        <v>1222</v>
      </c>
      <c r="C553" s="136" t="s">
        <v>45</v>
      </c>
      <c r="D553" s="31">
        <f t="shared" si="38"/>
        <v>4</v>
      </c>
      <c r="E553" s="137" t="s">
        <v>80</v>
      </c>
      <c r="F553" s="31">
        <f t="shared" si="39"/>
        <v>4</v>
      </c>
      <c r="G553" s="137" t="s">
        <v>1546</v>
      </c>
      <c r="H553" s="138">
        <v>84</v>
      </c>
      <c r="I553" s="158">
        <f t="shared" si="40"/>
        <v>0.34869382194288584</v>
      </c>
      <c r="J553" s="95">
        <v>2.8089224466821699E-2</v>
      </c>
      <c r="K553" s="137">
        <v>0.66929841941894996</v>
      </c>
      <c r="L553" s="137">
        <v>0.75</v>
      </c>
      <c r="M553" s="137">
        <v>0.54824604854737402</v>
      </c>
      <c r="N553" s="136">
        <v>1</v>
      </c>
      <c r="O553" s="32">
        <v>42877</v>
      </c>
      <c r="P553" s="98">
        <f t="shared" si="41"/>
        <v>2</v>
      </c>
      <c r="Q553">
        <v>0</v>
      </c>
      <c r="R553">
        <v>0</v>
      </c>
      <c r="S553">
        <v>0</v>
      </c>
      <c r="T553" s="112" t="s">
        <v>64</v>
      </c>
      <c r="U553" s="137" t="s">
        <v>1547</v>
      </c>
      <c r="V553" s="137" t="s">
        <v>1548</v>
      </c>
      <c r="W553" s="69">
        <v>121</v>
      </c>
      <c r="X553" s="136">
        <v>1</v>
      </c>
      <c r="Y553" s="136">
        <v>10</v>
      </c>
      <c r="Z553" s="314"/>
      <c r="AA553" s="319">
        <v>0.66549999999999998</v>
      </c>
      <c r="AB553" s="315" t="s">
        <v>5168</v>
      </c>
      <c r="AC553" s="319">
        <v>0</v>
      </c>
      <c r="AD553" s="320">
        <v>0</v>
      </c>
      <c r="AE553" s="319">
        <v>1</v>
      </c>
      <c r="AF553" s="320">
        <v>1.47058823529411E-2</v>
      </c>
      <c r="AG553" s="319">
        <v>3</v>
      </c>
      <c r="AH553" s="320">
        <v>4.4117647058823498E-2</v>
      </c>
      <c r="AI553" s="319">
        <v>0</v>
      </c>
      <c r="AJ553" s="320">
        <v>0</v>
      </c>
      <c r="AK553" s="320">
        <v>0</v>
      </c>
      <c r="AL553" s="319">
        <v>5</v>
      </c>
      <c r="AM553" s="319">
        <v>7.4</v>
      </c>
      <c r="AN553" s="319">
        <v>2</v>
      </c>
      <c r="AO553" s="319">
        <v>0.48</v>
      </c>
      <c r="AP553">
        <v>10</v>
      </c>
      <c r="AR553" s="136">
        <v>10</v>
      </c>
      <c r="AT553" s="69">
        <v>2.3148</v>
      </c>
      <c r="AU553" s="69">
        <v>7.6852</v>
      </c>
      <c r="AV553" s="69">
        <v>2.3148</v>
      </c>
      <c r="AW553" s="69">
        <v>0.41049999999999998</v>
      </c>
      <c r="BB553" s="69"/>
    </row>
    <row r="554" spans="1:54" customFormat="1" ht="40" customHeight="1">
      <c r="A554" s="313">
        <v>553</v>
      </c>
      <c r="B554" s="136" t="s">
        <v>1222</v>
      </c>
      <c r="C554" s="136" t="s">
        <v>45</v>
      </c>
      <c r="D554" s="31">
        <f t="shared" si="38"/>
        <v>4</v>
      </c>
      <c r="E554" s="137" t="s">
        <v>80</v>
      </c>
      <c r="F554" s="31">
        <f t="shared" si="39"/>
        <v>4</v>
      </c>
      <c r="G554" s="137" t="s">
        <v>1549</v>
      </c>
      <c r="H554" s="138">
        <v>56</v>
      </c>
      <c r="I554" s="158">
        <f t="shared" si="40"/>
        <v>0.3392972189013817</v>
      </c>
      <c r="J554" s="95">
        <v>2.3009231335358001E-5</v>
      </c>
      <c r="K554" s="137">
        <v>0.67857142857142805</v>
      </c>
      <c r="L554" s="137">
        <v>0.75</v>
      </c>
      <c r="M554" s="137">
        <v>0.57142857142857095</v>
      </c>
      <c r="N554" s="136">
        <v>1</v>
      </c>
      <c r="O554" s="32">
        <v>42877</v>
      </c>
      <c r="P554" s="98">
        <f t="shared" si="41"/>
        <v>0</v>
      </c>
      <c r="Q554">
        <v>2.5499999999999998</v>
      </c>
      <c r="R554">
        <v>0</v>
      </c>
      <c r="S554">
        <v>0</v>
      </c>
      <c r="T554" s="112" t="s">
        <v>48</v>
      </c>
      <c r="U554" s="137" t="s">
        <v>1550</v>
      </c>
      <c r="V554" s="137" t="s">
        <v>1551</v>
      </c>
      <c r="W554" s="69">
        <v>91</v>
      </c>
      <c r="X554" s="136">
        <v>1</v>
      </c>
      <c r="Y554" s="136">
        <v>9</v>
      </c>
      <c r="Z554" s="314"/>
      <c r="AA554" s="319">
        <v>0.5</v>
      </c>
      <c r="AB554" s="315" t="s">
        <v>5168</v>
      </c>
      <c r="AC554" s="319">
        <v>0</v>
      </c>
      <c r="AD554" s="320">
        <v>0</v>
      </c>
      <c r="AE554" s="319">
        <v>1</v>
      </c>
      <c r="AF554" s="320">
        <v>2.1276595744680799E-2</v>
      </c>
      <c r="AG554" s="319">
        <v>3</v>
      </c>
      <c r="AH554" s="320">
        <v>6.3829787234042507E-2</v>
      </c>
      <c r="AI554" s="319">
        <v>0</v>
      </c>
      <c r="AJ554" s="320">
        <v>0</v>
      </c>
      <c r="AK554" s="320">
        <v>0</v>
      </c>
      <c r="AL554" s="319">
        <v>5</v>
      </c>
      <c r="AM554" s="319">
        <v>5</v>
      </c>
      <c r="AN554" s="319">
        <v>2</v>
      </c>
      <c r="AO554" s="319">
        <v>0.4</v>
      </c>
      <c r="AP554">
        <v>9</v>
      </c>
      <c r="AR554" s="136">
        <v>9</v>
      </c>
      <c r="AT554" s="69">
        <v>2.3148</v>
      </c>
      <c r="AU554" s="69">
        <v>2.3148</v>
      </c>
      <c r="AV554" s="69">
        <v>2.3148</v>
      </c>
      <c r="AW554" s="69">
        <v>0.23150000000000001</v>
      </c>
      <c r="BB554" s="69"/>
    </row>
    <row r="555" spans="1:54" customFormat="1" ht="40" customHeight="1">
      <c r="A555" s="313">
        <v>554</v>
      </c>
      <c r="B555" s="136" t="s">
        <v>1222</v>
      </c>
      <c r="C555" s="136" t="s">
        <v>1191</v>
      </c>
      <c r="D555" s="31">
        <f t="shared" si="38"/>
        <v>2</v>
      </c>
      <c r="E555" s="137" t="s">
        <v>848</v>
      </c>
      <c r="F555" s="31">
        <f t="shared" si="39"/>
        <v>9</v>
      </c>
      <c r="G555" s="137" t="s">
        <v>1552</v>
      </c>
      <c r="H555" s="138">
        <v>50</v>
      </c>
      <c r="I555" s="158">
        <f t="shared" si="40"/>
        <v>0.37192131017317653</v>
      </c>
      <c r="J555" s="95">
        <v>2.8409550044017398E-5</v>
      </c>
      <c r="K555" s="137">
        <v>0.74381421079630905</v>
      </c>
      <c r="L555" s="137">
        <v>0.82499999999999996</v>
      </c>
      <c r="M555" s="137">
        <v>0.62203552699077302</v>
      </c>
      <c r="N555" s="136">
        <v>1</v>
      </c>
      <c r="O555" s="32">
        <v>42870</v>
      </c>
      <c r="P555" s="98">
        <f t="shared" si="41"/>
        <v>2</v>
      </c>
      <c r="Q555">
        <v>0</v>
      </c>
      <c r="R555">
        <v>1.65</v>
      </c>
      <c r="S555">
        <v>1.87</v>
      </c>
      <c r="T555" s="112" t="s">
        <v>64</v>
      </c>
      <c r="U555" s="137" t="s">
        <v>1553</v>
      </c>
      <c r="V555" s="137" t="s">
        <v>1554</v>
      </c>
      <c r="W555" s="69">
        <v>197</v>
      </c>
      <c r="X555" s="136">
        <v>2</v>
      </c>
      <c r="Y555" s="136">
        <v>7</v>
      </c>
      <c r="Z555" s="314"/>
      <c r="AA555" s="319">
        <v>0.5</v>
      </c>
      <c r="AB555" s="315" t="s">
        <v>5176</v>
      </c>
      <c r="AC555" s="319">
        <v>2</v>
      </c>
      <c r="AD555" s="320">
        <v>1.9047619047619001E-2</v>
      </c>
      <c r="AE555" s="319">
        <v>3</v>
      </c>
      <c r="AF555" s="320">
        <v>2.8571428571428501E-2</v>
      </c>
      <c r="AG555" s="319">
        <v>2</v>
      </c>
      <c r="AH555" s="320">
        <v>1.9047619047619001E-2</v>
      </c>
      <c r="AI555" s="319">
        <v>0</v>
      </c>
      <c r="AJ555" s="320">
        <v>0</v>
      </c>
      <c r="AK555" s="320">
        <v>0</v>
      </c>
      <c r="AL555" s="319">
        <v>5</v>
      </c>
      <c r="AM555" s="319">
        <v>5</v>
      </c>
      <c r="AN555" s="319">
        <v>4.6666666666666599</v>
      </c>
      <c r="AO555" s="319">
        <v>0.48888888888888798</v>
      </c>
      <c r="AP555">
        <v>7</v>
      </c>
      <c r="AQ555">
        <v>7</v>
      </c>
      <c r="AR555" s="136"/>
      <c r="AT555" s="69">
        <v>2.3148</v>
      </c>
      <c r="AU555" s="69">
        <v>2.3148</v>
      </c>
      <c r="AV555" s="69">
        <v>8.1305999999999994</v>
      </c>
      <c r="AW555" s="69">
        <v>0.42530000000000001</v>
      </c>
      <c r="BB555" s="69"/>
    </row>
    <row r="556" spans="1:54" customFormat="1" ht="40" customHeight="1">
      <c r="A556" s="313">
        <v>555</v>
      </c>
      <c r="B556" s="136" t="s">
        <v>1222</v>
      </c>
      <c r="C556" s="136" t="s">
        <v>45</v>
      </c>
      <c r="D556" s="31">
        <f t="shared" si="38"/>
        <v>4</v>
      </c>
      <c r="E556" s="137" t="s">
        <v>80</v>
      </c>
      <c r="F556" s="31">
        <f t="shared" si="39"/>
        <v>4</v>
      </c>
      <c r="G556" s="137" t="s">
        <v>1555</v>
      </c>
      <c r="H556" s="138">
        <v>89</v>
      </c>
      <c r="I556" s="158">
        <f t="shared" si="40"/>
        <v>0.35626011957859999</v>
      </c>
      <c r="J556" s="95">
        <v>7.6329232687139995E-2</v>
      </c>
      <c r="K556" s="137">
        <v>0.63619100647005999</v>
      </c>
      <c r="L556" s="137">
        <v>0.75</v>
      </c>
      <c r="M556" s="137">
        <v>0.46547751617515098</v>
      </c>
      <c r="N556" s="136">
        <v>1</v>
      </c>
      <c r="O556" s="32">
        <v>42866</v>
      </c>
      <c r="P556" s="98">
        <f t="shared" si="41"/>
        <v>2</v>
      </c>
      <c r="Q556">
        <v>0</v>
      </c>
      <c r="R556">
        <v>0</v>
      </c>
      <c r="S556">
        <v>0</v>
      </c>
      <c r="T556" s="112" t="s">
        <v>64</v>
      </c>
      <c r="U556" s="137" t="s">
        <v>1556</v>
      </c>
      <c r="V556" s="137" t="s">
        <v>1548</v>
      </c>
      <c r="W556" s="69">
        <v>121</v>
      </c>
      <c r="X556" s="136">
        <v>2</v>
      </c>
      <c r="Y556" s="136">
        <v>14</v>
      </c>
      <c r="Z556" s="314"/>
      <c r="AA556" s="319">
        <v>0.55000000000000004</v>
      </c>
      <c r="AB556" s="315" t="s">
        <v>5168</v>
      </c>
      <c r="AC556" s="319">
        <v>0</v>
      </c>
      <c r="AD556" s="320">
        <v>0</v>
      </c>
      <c r="AE556" s="319">
        <v>1</v>
      </c>
      <c r="AF556" s="320">
        <v>1.47058823529411E-2</v>
      </c>
      <c r="AG556" s="319">
        <v>3</v>
      </c>
      <c r="AH556" s="320">
        <v>4.4117647058823498E-2</v>
      </c>
      <c r="AI556" s="319">
        <v>0</v>
      </c>
      <c r="AJ556" s="320">
        <v>0</v>
      </c>
      <c r="AK556" s="320">
        <v>0</v>
      </c>
      <c r="AL556" s="319">
        <v>5</v>
      </c>
      <c r="AM556" s="319">
        <v>6.2</v>
      </c>
      <c r="AN556" s="319">
        <v>2</v>
      </c>
      <c r="AO556" s="319">
        <v>0.44</v>
      </c>
      <c r="AP556">
        <v>14</v>
      </c>
      <c r="AQ556">
        <v>14</v>
      </c>
      <c r="AR556" s="136"/>
      <c r="AT556" s="69">
        <v>2.3148</v>
      </c>
      <c r="AU556" s="69">
        <v>5</v>
      </c>
      <c r="AV556" s="69">
        <v>2.3148</v>
      </c>
      <c r="AW556" s="69">
        <v>0.32100000000000001</v>
      </c>
      <c r="BB556" s="69"/>
    </row>
    <row r="557" spans="1:54" customFormat="1" ht="40" customHeight="1">
      <c r="A557" s="313">
        <v>556</v>
      </c>
      <c r="B557" s="136" t="s">
        <v>1222</v>
      </c>
      <c r="C557" s="136" t="s">
        <v>45</v>
      </c>
      <c r="D557" s="31">
        <f t="shared" si="38"/>
        <v>4</v>
      </c>
      <c r="E557" s="137" t="s">
        <v>46</v>
      </c>
      <c r="F557" s="31">
        <f t="shared" si="39"/>
        <v>6</v>
      </c>
      <c r="G557" s="137" t="s">
        <v>1557</v>
      </c>
      <c r="H557" s="138">
        <v>326</v>
      </c>
      <c r="I557" s="158">
        <f t="shared" si="40"/>
        <v>0.34528062675876531</v>
      </c>
      <c r="J557" s="95">
        <v>2.1856606458846599E-3</v>
      </c>
      <c r="K557" s="137">
        <v>0.68837559287164596</v>
      </c>
      <c r="L557" s="137">
        <v>0.75</v>
      </c>
      <c r="M557" s="137">
        <v>0.59593898217911601</v>
      </c>
      <c r="N557" s="136">
        <v>1</v>
      </c>
      <c r="O557" s="32">
        <v>42866</v>
      </c>
      <c r="P557" s="98">
        <f t="shared" si="41"/>
        <v>2</v>
      </c>
      <c r="Q557">
        <v>2.5499999999999998</v>
      </c>
      <c r="R557">
        <v>3.3</v>
      </c>
      <c r="S557">
        <v>3.74</v>
      </c>
      <c r="T557" s="112" t="s">
        <v>64</v>
      </c>
      <c r="U557" s="137" t="s">
        <v>1558</v>
      </c>
      <c r="V557" s="137" t="s">
        <v>1559</v>
      </c>
      <c r="W557" s="69">
        <v>100</v>
      </c>
      <c r="X557" s="136">
        <v>1</v>
      </c>
      <c r="Y557" s="136">
        <v>8</v>
      </c>
      <c r="Z557" s="314"/>
      <c r="AA557" s="319">
        <v>0.68564000000000003</v>
      </c>
      <c r="AB557" s="315" t="s">
        <v>5168</v>
      </c>
      <c r="AC557" s="319">
        <v>0</v>
      </c>
      <c r="AD557" s="320">
        <v>0</v>
      </c>
      <c r="AE557" s="319">
        <v>1</v>
      </c>
      <c r="AF557" s="320">
        <v>1.72413793103448E-2</v>
      </c>
      <c r="AG557" s="319">
        <v>2</v>
      </c>
      <c r="AH557" s="320">
        <v>3.4482758620689599E-2</v>
      </c>
      <c r="AI557" s="319">
        <v>0</v>
      </c>
      <c r="AJ557" s="320">
        <v>0</v>
      </c>
      <c r="AK557" s="320">
        <v>0</v>
      </c>
      <c r="AL557" s="319">
        <v>5</v>
      </c>
      <c r="AM557" s="319">
        <v>7.4</v>
      </c>
      <c r="AN557" s="319">
        <v>6.1666666666666599</v>
      </c>
      <c r="AO557" s="319">
        <v>0.61888888888888804</v>
      </c>
      <c r="AP557">
        <v>8</v>
      </c>
      <c r="AQ557">
        <v>8</v>
      </c>
      <c r="AR557" s="136"/>
      <c r="AT557" s="69">
        <v>2.3148</v>
      </c>
      <c r="AU557" s="69">
        <v>7.6852</v>
      </c>
      <c r="AV557" s="69">
        <v>9.5120000000000005</v>
      </c>
      <c r="AW557" s="69">
        <v>0.65039999999999998</v>
      </c>
      <c r="BB557" s="69"/>
    </row>
    <row r="558" spans="1:54" customFormat="1" ht="40" customHeight="1">
      <c r="A558" s="313">
        <v>557</v>
      </c>
      <c r="B558" s="136" t="s">
        <v>1222</v>
      </c>
      <c r="C558" s="136" t="s">
        <v>45</v>
      </c>
      <c r="D558" s="31">
        <f t="shared" si="38"/>
        <v>4</v>
      </c>
      <c r="E558" s="137" t="s">
        <v>80</v>
      </c>
      <c r="F558" s="31">
        <f t="shared" si="39"/>
        <v>4</v>
      </c>
      <c r="G558" s="137" t="s">
        <v>1560</v>
      </c>
      <c r="H558" s="138">
        <v>55</v>
      </c>
      <c r="I558" s="158">
        <f t="shared" si="40"/>
        <v>0.3494199360180183</v>
      </c>
      <c r="J558" s="95">
        <v>2.5661239727581299E-5</v>
      </c>
      <c r="K558" s="137">
        <v>0.69881421079630901</v>
      </c>
      <c r="L558" s="137">
        <v>0.75</v>
      </c>
      <c r="M558" s="137">
        <v>0.62203552699077302</v>
      </c>
      <c r="N558" s="136">
        <v>1</v>
      </c>
      <c r="O558" s="32">
        <v>42866</v>
      </c>
      <c r="P558" s="98">
        <f t="shared" si="41"/>
        <v>0</v>
      </c>
      <c r="Q558">
        <v>2.5499999999999998</v>
      </c>
      <c r="R558">
        <v>0</v>
      </c>
      <c r="S558">
        <v>0</v>
      </c>
      <c r="T558" s="112" t="s">
        <v>48</v>
      </c>
      <c r="U558" s="137" t="s">
        <v>1561</v>
      </c>
      <c r="V558" s="137" t="s">
        <v>1562</v>
      </c>
      <c r="W558" s="69">
        <v>111</v>
      </c>
      <c r="X558" s="136">
        <v>1</v>
      </c>
      <c r="Y558" s="136">
        <v>7</v>
      </c>
      <c r="Z558" s="314"/>
      <c r="AA558" s="319">
        <v>0.54</v>
      </c>
      <c r="AB558" s="315" t="s">
        <v>5168</v>
      </c>
      <c r="AC558" s="319">
        <v>0</v>
      </c>
      <c r="AD558" s="320">
        <v>0</v>
      </c>
      <c r="AE558" s="319">
        <v>1</v>
      </c>
      <c r="AF558" s="320">
        <v>1.6129032258064498E-2</v>
      </c>
      <c r="AG558" s="319">
        <v>3</v>
      </c>
      <c r="AH558" s="320">
        <v>4.8387096774193498E-2</v>
      </c>
      <c r="AI558" s="319">
        <v>0</v>
      </c>
      <c r="AJ558" s="320">
        <v>0</v>
      </c>
      <c r="AK558" s="320">
        <v>0</v>
      </c>
      <c r="AL558" s="319">
        <v>5</v>
      </c>
      <c r="AM558" s="319">
        <v>6.2</v>
      </c>
      <c r="AN558" s="319">
        <v>4.6666666666666599</v>
      </c>
      <c r="AO558" s="319">
        <v>0.52888888888888796</v>
      </c>
      <c r="AP558">
        <v>7</v>
      </c>
      <c r="AQ558">
        <v>7</v>
      </c>
      <c r="AR558" s="136"/>
      <c r="AT558" s="69">
        <v>2.3148</v>
      </c>
      <c r="AU558" s="69">
        <v>5</v>
      </c>
      <c r="AV558" s="69">
        <v>8.1305999999999994</v>
      </c>
      <c r="AW558" s="69">
        <v>0.51480000000000004</v>
      </c>
      <c r="BB558" s="69"/>
    </row>
    <row r="559" spans="1:54" customFormat="1" ht="40" customHeight="1">
      <c r="A559" s="313">
        <v>558</v>
      </c>
      <c r="B559" s="136" t="s">
        <v>1222</v>
      </c>
      <c r="C559" s="136" t="s">
        <v>45</v>
      </c>
      <c r="D559" s="31">
        <f t="shared" si="38"/>
        <v>4</v>
      </c>
      <c r="E559" s="137" t="s">
        <v>46</v>
      </c>
      <c r="F559" s="31">
        <f t="shared" si="39"/>
        <v>6</v>
      </c>
      <c r="G559" s="137" t="s">
        <v>1563</v>
      </c>
      <c r="H559" s="138">
        <v>108</v>
      </c>
      <c r="I559" s="158">
        <f t="shared" si="40"/>
        <v>0.46713223319105401</v>
      </c>
      <c r="J559" s="95">
        <v>0.43038739764002298</v>
      </c>
      <c r="K559" s="137">
        <v>0.50387706874208504</v>
      </c>
      <c r="L559" s="137">
        <v>0.61983471074380203</v>
      </c>
      <c r="M559" s="137">
        <v>0.32994060573951001</v>
      </c>
      <c r="N559" s="136">
        <v>1</v>
      </c>
      <c r="O559" s="32">
        <v>42866</v>
      </c>
      <c r="P559" s="98">
        <f t="shared" si="41"/>
        <v>0</v>
      </c>
      <c r="Q559">
        <v>2.5499999999999998</v>
      </c>
      <c r="R559">
        <v>1.65</v>
      </c>
      <c r="S559">
        <v>0</v>
      </c>
      <c r="T559" s="112" t="s">
        <v>48</v>
      </c>
      <c r="U559" s="137" t="s">
        <v>1564</v>
      </c>
      <c r="V559" s="137" t="s">
        <v>1565</v>
      </c>
      <c r="W559" s="69">
        <v>43</v>
      </c>
      <c r="X559" s="136">
        <v>3</v>
      </c>
      <c r="Y559" s="136">
        <v>22</v>
      </c>
      <c r="Z559" s="314"/>
      <c r="AA559" s="319">
        <v>0.5</v>
      </c>
      <c r="AB559" s="315" t="s">
        <v>5176</v>
      </c>
      <c r="AC559" s="319">
        <v>0</v>
      </c>
      <c r="AD559" s="320">
        <v>0</v>
      </c>
      <c r="AE559" s="319">
        <v>1</v>
      </c>
      <c r="AF559" s="320">
        <v>3.5714285714285698E-2</v>
      </c>
      <c r="AG559" s="319">
        <v>0</v>
      </c>
      <c r="AH559" s="320">
        <v>0</v>
      </c>
      <c r="AI559" s="319">
        <v>0</v>
      </c>
      <c r="AJ559" s="320">
        <v>0</v>
      </c>
      <c r="AK559" s="320">
        <v>0</v>
      </c>
      <c r="AL559" s="319">
        <v>5</v>
      </c>
      <c r="AM559" s="319">
        <v>5</v>
      </c>
      <c r="AN559" s="319">
        <v>2</v>
      </c>
      <c r="AO559" s="319">
        <v>0.4</v>
      </c>
      <c r="AP559">
        <v>22</v>
      </c>
      <c r="AR559" s="136">
        <v>22</v>
      </c>
      <c r="AT559" s="69">
        <v>2.3148</v>
      </c>
      <c r="AU559" s="69">
        <v>2.3148</v>
      </c>
      <c r="AV559" s="69">
        <v>2.3148</v>
      </c>
      <c r="AW559" s="69">
        <v>0.23150000000000001</v>
      </c>
      <c r="BB559" s="69"/>
    </row>
    <row r="560" spans="1:54" customFormat="1" ht="40" customHeight="1">
      <c r="A560" s="313">
        <v>559</v>
      </c>
      <c r="B560" s="136" t="s">
        <v>1222</v>
      </c>
      <c r="C560" s="136" t="s">
        <v>59</v>
      </c>
      <c r="D560" s="31">
        <f t="shared" si="38"/>
        <v>5</v>
      </c>
      <c r="E560" s="137" t="s">
        <v>46</v>
      </c>
      <c r="F560" s="31">
        <f t="shared" si="39"/>
        <v>6</v>
      </c>
      <c r="G560" s="137" t="s">
        <v>1566</v>
      </c>
      <c r="H560" s="138">
        <v>155</v>
      </c>
      <c r="I560" s="158">
        <f t="shared" si="40"/>
        <v>0.8345599682059065</v>
      </c>
      <c r="J560" s="95">
        <v>0.99999986976565702</v>
      </c>
      <c r="K560" s="137">
        <v>0.66912006664615598</v>
      </c>
      <c r="L560" s="137">
        <v>0.68181818181818199</v>
      </c>
      <c r="M560" s="137">
        <v>0.65007289388811795</v>
      </c>
      <c r="N560" s="136">
        <v>1</v>
      </c>
      <c r="O560" s="32">
        <v>42866</v>
      </c>
      <c r="P560" s="98">
        <f t="shared" si="41"/>
        <v>1</v>
      </c>
      <c r="Q560">
        <v>0</v>
      </c>
      <c r="R560">
        <v>0</v>
      </c>
      <c r="S560">
        <v>0</v>
      </c>
      <c r="T560" s="112" t="s">
        <v>73</v>
      </c>
      <c r="U560" s="137" t="s">
        <v>1567</v>
      </c>
      <c r="V560" s="137" t="s">
        <v>1568</v>
      </c>
      <c r="W560" s="69">
        <v>121</v>
      </c>
      <c r="X560" s="136">
        <v>1</v>
      </c>
      <c r="Y560" s="136">
        <v>6</v>
      </c>
      <c r="Z560" s="314"/>
      <c r="AA560" s="319">
        <v>0.54</v>
      </c>
      <c r="AB560" s="315" t="s">
        <v>5165</v>
      </c>
      <c r="AC560" s="319">
        <v>2</v>
      </c>
      <c r="AD560" s="320">
        <v>2.8985507246376802E-2</v>
      </c>
      <c r="AE560" s="319">
        <v>1</v>
      </c>
      <c r="AF560" s="320">
        <v>1.4492753623188401E-2</v>
      </c>
      <c r="AG560" s="319">
        <v>1</v>
      </c>
      <c r="AH560" s="320">
        <v>1.4492753623188401E-2</v>
      </c>
      <c r="AI560" s="319">
        <v>0</v>
      </c>
      <c r="AJ560" s="320">
        <v>0</v>
      </c>
      <c r="AK560" s="320">
        <v>0</v>
      </c>
      <c r="AL560" s="319">
        <v>5</v>
      </c>
      <c r="AM560" s="319">
        <v>5</v>
      </c>
      <c r="AN560" s="319">
        <v>6.5</v>
      </c>
      <c r="AO560" s="319">
        <v>0.55000000000000004</v>
      </c>
      <c r="AP560">
        <v>6</v>
      </c>
      <c r="AR560" s="136">
        <v>6</v>
      </c>
      <c r="AT560" s="69">
        <v>2.3148</v>
      </c>
      <c r="AU560" s="69">
        <v>2.3148</v>
      </c>
      <c r="AV560" s="69">
        <v>9.6442999999999994</v>
      </c>
      <c r="AW560" s="69">
        <v>0.4758</v>
      </c>
      <c r="BB560" s="69"/>
    </row>
    <row r="561" spans="1:54" customFormat="1" ht="40" customHeight="1">
      <c r="A561" s="313">
        <v>560</v>
      </c>
      <c r="B561" s="136" t="s">
        <v>1222</v>
      </c>
      <c r="C561" s="136" t="s">
        <v>59</v>
      </c>
      <c r="D561" s="31">
        <f t="shared" si="38"/>
        <v>5</v>
      </c>
      <c r="E561" s="137" t="s">
        <v>46</v>
      </c>
      <c r="F561" s="31">
        <f t="shared" si="39"/>
        <v>6</v>
      </c>
      <c r="G561" s="137" t="s">
        <v>1130</v>
      </c>
      <c r="H561" s="138">
        <v>162</v>
      </c>
      <c r="I561" s="158">
        <f t="shared" si="40"/>
        <v>0.35896195239586304</v>
      </c>
      <c r="J561" s="95">
        <v>7.8073275618960603E-3</v>
      </c>
      <c r="K561" s="137">
        <v>0.71011657722983001</v>
      </c>
      <c r="L561" s="137">
        <v>0.68181818181818199</v>
      </c>
      <c r="M561" s="137">
        <v>0.75256417034730305</v>
      </c>
      <c r="N561" s="136">
        <v>1</v>
      </c>
      <c r="O561" s="32">
        <v>42856</v>
      </c>
      <c r="P561" s="98">
        <f t="shared" si="41"/>
        <v>0</v>
      </c>
      <c r="Q561">
        <v>2.5499999999999998</v>
      </c>
      <c r="R561">
        <v>1.65</v>
      </c>
      <c r="S561">
        <v>1.87</v>
      </c>
      <c r="T561" s="112" t="s">
        <v>48</v>
      </c>
      <c r="U561" s="137" t="s">
        <v>1131</v>
      </c>
      <c r="V561" s="137" t="s">
        <v>1569</v>
      </c>
      <c r="W561" s="69">
        <v>271</v>
      </c>
      <c r="X561" s="136">
        <v>1</v>
      </c>
      <c r="Y561" s="136">
        <v>3</v>
      </c>
      <c r="Z561" s="314"/>
      <c r="AA561" s="319">
        <v>0.55000000000000004</v>
      </c>
      <c r="AB561" s="315" t="s">
        <v>5169</v>
      </c>
      <c r="AC561" s="319">
        <v>3</v>
      </c>
      <c r="AD561" s="320">
        <v>1.9736842105263101E-2</v>
      </c>
      <c r="AE561" s="319">
        <v>1</v>
      </c>
      <c r="AF561" s="320">
        <v>6.5789473684210497E-3</v>
      </c>
      <c r="AG561" s="319">
        <v>3</v>
      </c>
      <c r="AH561" s="320">
        <v>1.9736842105263101E-2</v>
      </c>
      <c r="AI561" s="319">
        <v>0</v>
      </c>
      <c r="AJ561" s="320">
        <v>0</v>
      </c>
      <c r="AK561" s="320">
        <v>0</v>
      </c>
      <c r="AL561" s="319">
        <v>5</v>
      </c>
      <c r="AM561" s="319">
        <v>5</v>
      </c>
      <c r="AN561" s="319">
        <v>3.5</v>
      </c>
      <c r="AO561" s="319">
        <v>0.45</v>
      </c>
      <c r="AP561">
        <v>3</v>
      </c>
      <c r="AR561" s="136">
        <v>3</v>
      </c>
      <c r="AT561" s="69">
        <v>2.3148</v>
      </c>
      <c r="AU561" s="69">
        <v>2.3148</v>
      </c>
      <c r="AV561" s="69">
        <v>5.7443999999999997</v>
      </c>
      <c r="AW561" s="69">
        <v>0.3458</v>
      </c>
      <c r="BB561" s="69"/>
    </row>
    <row r="562" spans="1:54" customFormat="1" ht="40" customHeight="1">
      <c r="A562" s="313">
        <v>561</v>
      </c>
      <c r="B562" s="136" t="s">
        <v>1222</v>
      </c>
      <c r="C562" s="136" t="s">
        <v>59</v>
      </c>
      <c r="D562" s="31">
        <f t="shared" si="38"/>
        <v>5</v>
      </c>
      <c r="E562" s="137" t="s">
        <v>46</v>
      </c>
      <c r="F562" s="31">
        <f t="shared" si="39"/>
        <v>6</v>
      </c>
      <c r="G562" s="137" t="s">
        <v>1570</v>
      </c>
      <c r="H562" s="138">
        <v>51</v>
      </c>
      <c r="I562" s="158">
        <f t="shared" si="40"/>
        <v>0.33666317018922415</v>
      </c>
      <c r="J562" s="95">
        <v>3.9984579324625603E-4</v>
      </c>
      <c r="K562" s="137">
        <v>0.67292649458520204</v>
      </c>
      <c r="L562" s="137">
        <v>0.61983471074380203</v>
      </c>
      <c r="M562" s="137">
        <v>0.75256417034730305</v>
      </c>
      <c r="N562" s="136">
        <v>1</v>
      </c>
      <c r="O562" s="32">
        <v>42856</v>
      </c>
      <c r="P562" s="98">
        <f t="shared" si="41"/>
        <v>1</v>
      </c>
      <c r="Q562">
        <v>0</v>
      </c>
      <c r="R562">
        <v>0</v>
      </c>
      <c r="S562">
        <v>0</v>
      </c>
      <c r="T562" s="112" t="s">
        <v>73</v>
      </c>
      <c r="U562" s="137" t="s">
        <v>1571</v>
      </c>
      <c r="V562" s="137" t="s">
        <v>1572</v>
      </c>
      <c r="W562" s="69">
        <v>162</v>
      </c>
      <c r="X562" s="136">
        <v>1</v>
      </c>
      <c r="Y562" s="136">
        <v>3</v>
      </c>
      <c r="Z562" s="314"/>
      <c r="AA562" s="319">
        <v>0.5</v>
      </c>
      <c r="AB562" s="315" t="s">
        <v>5179</v>
      </c>
      <c r="AC562" s="319">
        <v>2</v>
      </c>
      <c r="AD562" s="320">
        <v>2.1739130434782601E-2</v>
      </c>
      <c r="AE562" s="319">
        <v>2</v>
      </c>
      <c r="AF562" s="320">
        <v>2.1739130434782601E-2</v>
      </c>
      <c r="AG562" s="319">
        <v>2</v>
      </c>
      <c r="AH562" s="320">
        <v>2.1739130434782601E-2</v>
      </c>
      <c r="AI562" s="319">
        <v>0</v>
      </c>
      <c r="AJ562" s="320">
        <v>0</v>
      </c>
      <c r="AK562" s="320">
        <v>1.0869565217391301E-2</v>
      </c>
      <c r="AL562" s="319">
        <v>5</v>
      </c>
      <c r="AM562" s="319">
        <v>5</v>
      </c>
      <c r="AN562" s="319">
        <v>3.5</v>
      </c>
      <c r="AO562" s="319">
        <v>0.45</v>
      </c>
      <c r="AP562">
        <v>3</v>
      </c>
      <c r="AQ562">
        <v>3</v>
      </c>
      <c r="AR562" s="136"/>
      <c r="AT562" s="69">
        <v>2.3148</v>
      </c>
      <c r="AU562" s="69">
        <v>2.3148</v>
      </c>
      <c r="AV562" s="69">
        <v>5.7443999999999997</v>
      </c>
      <c r="AW562" s="69">
        <v>0.3458</v>
      </c>
      <c r="BB562" s="69"/>
    </row>
    <row r="563" spans="1:54" customFormat="1" ht="40" customHeight="1">
      <c r="A563" s="313">
        <v>562</v>
      </c>
      <c r="B563" s="136" t="s">
        <v>1222</v>
      </c>
      <c r="C563" s="136" t="s">
        <v>45</v>
      </c>
      <c r="D563" s="31">
        <f t="shared" si="38"/>
        <v>4</v>
      </c>
      <c r="E563" s="137" t="s">
        <v>46</v>
      </c>
      <c r="F563" s="31">
        <f t="shared" si="39"/>
        <v>6</v>
      </c>
      <c r="G563" s="137" t="s">
        <v>1573</v>
      </c>
      <c r="H563" s="138">
        <v>134</v>
      </c>
      <c r="I563" s="158">
        <f t="shared" si="40"/>
        <v>0.64326496792541898</v>
      </c>
      <c r="J563" s="95">
        <v>0.96998995849926795</v>
      </c>
      <c r="K563" s="137">
        <v>0.31653997735157002</v>
      </c>
      <c r="L563" s="137">
        <v>0.21724828480251601</v>
      </c>
      <c r="M563" s="137">
        <v>0.46547751617515098</v>
      </c>
      <c r="N563" s="136">
        <v>1</v>
      </c>
      <c r="O563" s="32">
        <v>42818</v>
      </c>
      <c r="P563" s="98">
        <f t="shared" si="41"/>
        <v>0</v>
      </c>
      <c r="Q563">
        <v>5.0999999999999996</v>
      </c>
      <c r="R563">
        <v>0</v>
      </c>
      <c r="S563">
        <v>0</v>
      </c>
      <c r="T563" s="112" t="s">
        <v>48</v>
      </c>
      <c r="U563" s="137" t="s">
        <v>1574</v>
      </c>
      <c r="V563" s="137" t="s">
        <v>1575</v>
      </c>
      <c r="W563" s="69">
        <v>82</v>
      </c>
      <c r="X563" s="136">
        <v>1</v>
      </c>
      <c r="Y563" s="136">
        <v>14</v>
      </c>
      <c r="Z563" s="314"/>
      <c r="AA563" s="319">
        <v>1.2431811738395799E-6</v>
      </c>
      <c r="AB563" s="315" t="s">
        <v>5165</v>
      </c>
      <c r="AC563" s="319">
        <v>2</v>
      </c>
      <c r="AD563" s="320">
        <v>4.08163265306122E-2</v>
      </c>
      <c r="AE563" s="319">
        <v>0</v>
      </c>
      <c r="AF563" s="320">
        <v>0</v>
      </c>
      <c r="AG563" s="319">
        <v>0</v>
      </c>
      <c r="AH563" s="320">
        <v>0</v>
      </c>
      <c r="AI563" s="319">
        <v>0</v>
      </c>
      <c r="AJ563" s="320">
        <v>0</v>
      </c>
      <c r="AK563" s="320">
        <v>0</v>
      </c>
      <c r="AL563" s="319">
        <v>5</v>
      </c>
      <c r="AM563" s="319">
        <v>5</v>
      </c>
      <c r="AN563" s="319">
        <v>4.6666666666666599</v>
      </c>
      <c r="AO563" s="319">
        <v>0.48888888888888798</v>
      </c>
      <c r="AP563">
        <v>14</v>
      </c>
      <c r="AQ563">
        <v>14</v>
      </c>
      <c r="AR563" s="136"/>
      <c r="AT563" s="69">
        <v>2.3148</v>
      </c>
      <c r="AU563" s="69">
        <v>2.3148</v>
      </c>
      <c r="AV563" s="69">
        <v>8.1305999999999994</v>
      </c>
      <c r="AW563" s="69">
        <v>0.42530000000000001</v>
      </c>
      <c r="BB563" s="69"/>
    </row>
    <row r="564" spans="1:54" customFormat="1" ht="40" customHeight="1">
      <c r="A564" s="313">
        <v>563</v>
      </c>
      <c r="B564" s="136" t="s">
        <v>1222</v>
      </c>
      <c r="C564" s="136" t="s">
        <v>59</v>
      </c>
      <c r="D564" s="31">
        <f t="shared" si="38"/>
        <v>5</v>
      </c>
      <c r="E564" s="137" t="s">
        <v>46</v>
      </c>
      <c r="F564" s="31">
        <f t="shared" si="39"/>
        <v>6</v>
      </c>
      <c r="G564" s="137" t="s">
        <v>1576</v>
      </c>
      <c r="H564" s="138">
        <v>117</v>
      </c>
      <c r="I564" s="158">
        <f t="shared" si="40"/>
        <v>0.37551324810933301</v>
      </c>
      <c r="J564" s="95">
        <v>8.2807974499665704E-7</v>
      </c>
      <c r="K564" s="137">
        <v>0.75102566813892102</v>
      </c>
      <c r="L564" s="137">
        <v>0.75</v>
      </c>
      <c r="M564" s="137">
        <v>0.75256417034730305</v>
      </c>
      <c r="N564" s="136">
        <v>1</v>
      </c>
      <c r="O564" s="32">
        <v>42814</v>
      </c>
      <c r="P564" s="98">
        <f t="shared" si="41"/>
        <v>0</v>
      </c>
      <c r="Q564">
        <v>2.5499999999999998</v>
      </c>
      <c r="R564">
        <v>1.65</v>
      </c>
      <c r="S564">
        <v>0</v>
      </c>
      <c r="T564" s="112" t="s">
        <v>48</v>
      </c>
      <c r="U564" s="137" t="s">
        <v>1577</v>
      </c>
      <c r="V564" s="137" t="s">
        <v>1578</v>
      </c>
      <c r="W564" s="69">
        <v>83</v>
      </c>
      <c r="X564" s="136">
        <v>1</v>
      </c>
      <c r="Y564" s="136">
        <v>3</v>
      </c>
      <c r="Z564" s="314"/>
      <c r="AA564" s="319">
        <v>0.55000000000000004</v>
      </c>
      <c r="AB564" s="331" t="s">
        <v>5164</v>
      </c>
      <c r="AC564" s="319">
        <v>0</v>
      </c>
      <c r="AD564" s="320">
        <v>0</v>
      </c>
      <c r="AE564" s="319">
        <v>0</v>
      </c>
      <c r="AF564" s="320">
        <v>0</v>
      </c>
      <c r="AG564" s="319">
        <v>0</v>
      </c>
      <c r="AH564" s="320">
        <v>0</v>
      </c>
      <c r="AI564" s="319">
        <v>0</v>
      </c>
      <c r="AJ564" s="320">
        <v>0</v>
      </c>
      <c r="AK564" s="320">
        <v>0</v>
      </c>
      <c r="AL564" s="319">
        <v>5</v>
      </c>
      <c r="AM564" s="319">
        <v>5</v>
      </c>
      <c r="AN564" s="319">
        <v>2</v>
      </c>
      <c r="AO564" s="319">
        <v>0.4</v>
      </c>
      <c r="AP564">
        <v>3</v>
      </c>
      <c r="AR564" s="136">
        <v>3</v>
      </c>
      <c r="AT564" s="69">
        <v>2.3148</v>
      </c>
      <c r="AU564" s="69">
        <v>2.3148</v>
      </c>
      <c r="AV564" s="69">
        <v>2.3148</v>
      </c>
      <c r="AW564" s="69">
        <v>0.23150000000000001</v>
      </c>
      <c r="BB564" s="69"/>
    </row>
    <row r="565" spans="1:54" customFormat="1" ht="40" customHeight="1">
      <c r="A565" s="313">
        <v>564</v>
      </c>
      <c r="B565" s="136" t="s">
        <v>1222</v>
      </c>
      <c r="C565" s="136" t="s">
        <v>45</v>
      </c>
      <c r="D565" s="31">
        <f t="shared" si="38"/>
        <v>4</v>
      </c>
      <c r="E565" s="137" t="s">
        <v>46</v>
      </c>
      <c r="F565" s="31">
        <f t="shared" si="39"/>
        <v>6</v>
      </c>
      <c r="G565" s="137" t="s">
        <v>1579</v>
      </c>
      <c r="H565" s="138">
        <v>25</v>
      </c>
      <c r="I565" s="158">
        <f t="shared" si="40"/>
        <v>0.80571404442135797</v>
      </c>
      <c r="J565" s="95">
        <v>0.950949505434453</v>
      </c>
      <c r="K565" s="137">
        <v>0.66047858340826304</v>
      </c>
      <c r="L565" s="137">
        <v>0.75</v>
      </c>
      <c r="M565" s="137">
        <v>0.526196458520657</v>
      </c>
      <c r="N565" s="136">
        <v>1</v>
      </c>
      <c r="O565" s="32">
        <v>42793</v>
      </c>
      <c r="P565" s="98">
        <f t="shared" si="41"/>
        <v>1</v>
      </c>
      <c r="Q565">
        <v>0</v>
      </c>
      <c r="R565">
        <v>0</v>
      </c>
      <c r="S565">
        <v>0</v>
      </c>
      <c r="T565" s="112" t="s">
        <v>73</v>
      </c>
      <c r="U565" s="137" t="s">
        <v>1580</v>
      </c>
      <c r="V565" s="137" t="s">
        <v>1581</v>
      </c>
      <c r="W565" s="69">
        <v>142</v>
      </c>
      <c r="X565" s="136">
        <v>1</v>
      </c>
      <c r="Y565" s="136">
        <v>11</v>
      </c>
      <c r="Z565" s="314"/>
      <c r="AA565" s="319">
        <v>0.5</v>
      </c>
      <c r="AB565" s="315" t="s">
        <v>5194</v>
      </c>
      <c r="AC565" s="319">
        <v>0</v>
      </c>
      <c r="AD565" s="320">
        <v>0</v>
      </c>
      <c r="AE565" s="319">
        <v>2</v>
      </c>
      <c r="AF565" s="320">
        <v>2.3255813953488299E-2</v>
      </c>
      <c r="AG565" s="319">
        <v>0</v>
      </c>
      <c r="AH565" s="320">
        <v>0</v>
      </c>
      <c r="AI565" s="319">
        <v>2</v>
      </c>
      <c r="AJ565" s="320">
        <v>2.3255813953488299E-2</v>
      </c>
      <c r="AK565" s="320">
        <v>0</v>
      </c>
      <c r="AL565" s="319">
        <v>5</v>
      </c>
      <c r="AM565" s="319">
        <v>5</v>
      </c>
      <c r="AN565" s="319">
        <v>2</v>
      </c>
      <c r="AO565" s="319">
        <v>0.4</v>
      </c>
      <c r="AP565">
        <v>11</v>
      </c>
      <c r="AR565" s="136">
        <v>11</v>
      </c>
      <c r="AT565" s="69">
        <v>2.3148</v>
      </c>
      <c r="AU565" s="69">
        <v>2.3148</v>
      </c>
      <c r="AV565" s="69">
        <v>2.3148</v>
      </c>
      <c r="AW565" s="69">
        <v>0.23150000000000001</v>
      </c>
      <c r="BB565" s="69"/>
    </row>
    <row r="566" spans="1:54" customFormat="1" ht="40" customHeight="1">
      <c r="A566" s="313">
        <v>565</v>
      </c>
      <c r="B566" s="136" t="s">
        <v>1222</v>
      </c>
      <c r="C566" s="136" t="s">
        <v>1191</v>
      </c>
      <c r="D566" s="31">
        <f t="shared" si="38"/>
        <v>2</v>
      </c>
      <c r="E566" s="137" t="s">
        <v>46</v>
      </c>
      <c r="F566" s="31">
        <f t="shared" si="39"/>
        <v>6</v>
      </c>
      <c r="G566" s="137" t="s">
        <v>1582</v>
      </c>
      <c r="H566" s="138">
        <v>210</v>
      </c>
      <c r="I566" s="158">
        <f t="shared" si="40"/>
        <v>0.30181566781597519</v>
      </c>
      <c r="J566" s="95">
        <v>3.8792658233477397E-6</v>
      </c>
      <c r="K566" s="137">
        <v>0.60362745636612702</v>
      </c>
      <c r="L566" s="137">
        <v>0.82499999999999996</v>
      </c>
      <c r="M566" s="137">
        <v>0.27156864091531702</v>
      </c>
      <c r="N566" s="136">
        <v>0</v>
      </c>
      <c r="O566" s="32">
        <v>42778</v>
      </c>
      <c r="P566" s="98">
        <f t="shared" si="41"/>
        <v>1</v>
      </c>
      <c r="Q566">
        <v>0</v>
      </c>
      <c r="R566">
        <v>3.3</v>
      </c>
      <c r="S566">
        <v>1.87</v>
      </c>
      <c r="T566" s="112" t="s">
        <v>73</v>
      </c>
      <c r="U566" s="137" t="s">
        <v>1583</v>
      </c>
      <c r="V566" s="137" t="s">
        <v>1584</v>
      </c>
      <c r="W566" s="69">
        <v>67</v>
      </c>
      <c r="X566" s="136">
        <v>3</v>
      </c>
      <c r="Y566" s="136">
        <v>26</v>
      </c>
      <c r="Z566" s="314"/>
      <c r="AA566" s="319">
        <v>0.5</v>
      </c>
      <c r="AB566" s="315" t="s">
        <v>5165</v>
      </c>
      <c r="AC566" s="319">
        <v>2</v>
      </c>
      <c r="AD566" s="320">
        <v>4.8780487804878002E-2</v>
      </c>
      <c r="AE566" s="319">
        <v>1</v>
      </c>
      <c r="AF566" s="320">
        <v>2.4390243902439001E-2</v>
      </c>
      <c r="AG566" s="319">
        <v>1</v>
      </c>
      <c r="AH566" s="320">
        <v>2.4390243902439001E-2</v>
      </c>
      <c r="AI566" s="319">
        <v>0</v>
      </c>
      <c r="AJ566" s="320">
        <v>0</v>
      </c>
      <c r="AK566" s="320">
        <v>0</v>
      </c>
      <c r="AL566" s="319">
        <v>5</v>
      </c>
      <c r="AM566" s="319">
        <v>5</v>
      </c>
      <c r="AN566" s="319">
        <v>2</v>
      </c>
      <c r="AO566" s="319">
        <v>0.4</v>
      </c>
      <c r="AP566">
        <v>26</v>
      </c>
      <c r="AR566" s="136"/>
      <c r="AS566">
        <v>26</v>
      </c>
      <c r="AT566" s="69">
        <v>2.3148</v>
      </c>
      <c r="AU566" s="69">
        <v>2.3148</v>
      </c>
      <c r="AV566" s="69">
        <v>2.3148</v>
      </c>
      <c r="AW566" s="69">
        <v>0.23150000000000001</v>
      </c>
      <c r="BB566" s="69"/>
    </row>
    <row r="567" spans="1:54" customFormat="1" ht="40" customHeight="1">
      <c r="A567" s="313">
        <v>566</v>
      </c>
      <c r="B567" s="136" t="s">
        <v>1222</v>
      </c>
      <c r="C567" s="136" t="s">
        <v>45</v>
      </c>
      <c r="D567" s="31">
        <f t="shared" si="38"/>
        <v>4</v>
      </c>
      <c r="E567" s="137" t="s">
        <v>46</v>
      </c>
      <c r="F567" s="31">
        <f t="shared" si="39"/>
        <v>6</v>
      </c>
      <c r="G567" s="137" t="s">
        <v>1585</v>
      </c>
      <c r="H567" s="138">
        <v>145</v>
      </c>
      <c r="I567" s="158">
        <f t="shared" si="40"/>
        <v>0.33789594290275504</v>
      </c>
      <c r="J567" s="95">
        <v>2.1052198745050701E-3</v>
      </c>
      <c r="K567" s="137">
        <v>0.67368666593100501</v>
      </c>
      <c r="L567" s="137">
        <v>0.82499999999999996</v>
      </c>
      <c r="M567" s="137">
        <v>0.44671666482751199</v>
      </c>
      <c r="N567" s="136">
        <v>1</v>
      </c>
      <c r="O567" s="32">
        <v>42743</v>
      </c>
      <c r="P567" s="98">
        <f t="shared" si="41"/>
        <v>1</v>
      </c>
      <c r="Q567">
        <v>2.5499999999999998</v>
      </c>
      <c r="R567">
        <v>3.3</v>
      </c>
      <c r="S567">
        <v>0</v>
      </c>
      <c r="T567" s="112" t="s">
        <v>73</v>
      </c>
      <c r="U567" s="137" t="s">
        <v>1586</v>
      </c>
      <c r="V567" s="137" t="s">
        <v>1587</v>
      </c>
      <c r="W567" s="69">
        <v>227</v>
      </c>
      <c r="X567" s="136">
        <v>1</v>
      </c>
      <c r="Y567" s="136">
        <v>15</v>
      </c>
      <c r="Z567" s="314"/>
      <c r="AA567" s="319">
        <v>0.58399999999999996</v>
      </c>
      <c r="AB567" s="315" t="s">
        <v>5165</v>
      </c>
      <c r="AC567" s="319">
        <v>4</v>
      </c>
      <c r="AD567" s="320">
        <v>3.125E-2</v>
      </c>
      <c r="AE567" s="319">
        <v>1</v>
      </c>
      <c r="AF567" s="320">
        <v>7.8125E-3</v>
      </c>
      <c r="AG567" s="319">
        <v>2</v>
      </c>
      <c r="AH567" s="320">
        <v>1.5625E-2</v>
      </c>
      <c r="AI567" s="319">
        <v>0</v>
      </c>
      <c r="AJ567" s="320">
        <v>0</v>
      </c>
      <c r="AK567" s="320">
        <v>0</v>
      </c>
      <c r="AL567" s="319">
        <v>5</v>
      </c>
      <c r="AM567" s="319">
        <v>5</v>
      </c>
      <c r="AN567" s="319">
        <v>7.3333333333333304</v>
      </c>
      <c r="AO567" s="319">
        <v>0.57777777777777695</v>
      </c>
      <c r="AP567">
        <v>15</v>
      </c>
      <c r="AR567" s="136">
        <v>15</v>
      </c>
      <c r="AT567" s="69">
        <v>2.3148</v>
      </c>
      <c r="AU567" s="69">
        <v>2.3148</v>
      </c>
      <c r="AV567" s="69">
        <v>9.8416999999999994</v>
      </c>
      <c r="AW567" s="69">
        <v>0.4824</v>
      </c>
      <c r="BB567" s="69"/>
    </row>
    <row r="568" spans="1:54" customFormat="1" ht="40" customHeight="1">
      <c r="A568" s="313">
        <v>567</v>
      </c>
      <c r="B568" s="136" t="s">
        <v>1222</v>
      </c>
      <c r="C568" s="136" t="s">
        <v>45</v>
      </c>
      <c r="D568" s="31">
        <f t="shared" si="38"/>
        <v>4</v>
      </c>
      <c r="E568" s="137" t="s">
        <v>46</v>
      </c>
      <c r="F568" s="31">
        <f t="shared" si="39"/>
        <v>6</v>
      </c>
      <c r="G568" s="137" t="s">
        <v>1588</v>
      </c>
      <c r="H568" s="138">
        <v>396</v>
      </c>
      <c r="I568" s="158">
        <f t="shared" si="40"/>
        <v>0.74120912095769798</v>
      </c>
      <c r="J568" s="95">
        <v>0.87214182259746897</v>
      </c>
      <c r="K568" s="137">
        <v>0.61027641931792698</v>
      </c>
      <c r="L568" s="137">
        <v>0.61983471074380103</v>
      </c>
      <c r="M568" s="137">
        <v>0.59593898217911601</v>
      </c>
      <c r="N568" s="136">
        <v>0</v>
      </c>
      <c r="O568" s="32">
        <v>42663</v>
      </c>
      <c r="P568" s="98">
        <f t="shared" si="41"/>
        <v>0</v>
      </c>
      <c r="Q568">
        <v>5.0999999999999996</v>
      </c>
      <c r="R568">
        <v>0</v>
      </c>
      <c r="S568">
        <v>1.87</v>
      </c>
      <c r="T568" s="112" t="s">
        <v>48</v>
      </c>
      <c r="U568" s="137" t="s">
        <v>1589</v>
      </c>
      <c r="V568" s="137" t="s">
        <v>1590</v>
      </c>
      <c r="W568" s="69">
        <v>129</v>
      </c>
      <c r="X568" s="136">
        <v>1</v>
      </c>
      <c r="Y568" s="136">
        <v>8</v>
      </c>
      <c r="Z568" s="314"/>
      <c r="AA568" s="319">
        <v>0.43057851239669398</v>
      </c>
      <c r="AB568" s="315" t="s">
        <v>5169</v>
      </c>
      <c r="AC568" s="319">
        <v>3</v>
      </c>
      <c r="AD568" s="320">
        <v>4.1666666666666602E-2</v>
      </c>
      <c r="AE568" s="319">
        <v>0</v>
      </c>
      <c r="AF568" s="320">
        <v>0</v>
      </c>
      <c r="AG568" s="319">
        <v>3</v>
      </c>
      <c r="AH568" s="320">
        <v>4.1666666666666602E-2</v>
      </c>
      <c r="AI568" s="319">
        <v>0</v>
      </c>
      <c r="AJ568" s="320">
        <v>0</v>
      </c>
      <c r="AK568" s="320">
        <v>0</v>
      </c>
      <c r="AL568" s="319">
        <v>5</v>
      </c>
      <c r="AM568" s="319">
        <v>5</v>
      </c>
      <c r="AN568" s="319">
        <v>6.1666666666666599</v>
      </c>
      <c r="AO568" s="319">
        <v>0.53888888888888797</v>
      </c>
      <c r="AP568">
        <v>8</v>
      </c>
      <c r="AR568" s="136">
        <v>8</v>
      </c>
      <c r="AT568" s="69">
        <v>2.3148</v>
      </c>
      <c r="AU568" s="69">
        <v>2.3148</v>
      </c>
      <c r="AV568" s="69">
        <v>9.5120000000000005</v>
      </c>
      <c r="AW568" s="69">
        <v>0.47139999999999999</v>
      </c>
      <c r="BB568" s="69"/>
    </row>
    <row r="569" spans="1:54" customFormat="1" ht="40" customHeight="1">
      <c r="A569" s="313">
        <v>568</v>
      </c>
      <c r="B569" s="136" t="s">
        <v>1222</v>
      </c>
      <c r="C569" s="136" t="s">
        <v>45</v>
      </c>
      <c r="D569" s="31">
        <f t="shared" si="38"/>
        <v>4</v>
      </c>
      <c r="E569" s="137" t="s">
        <v>833</v>
      </c>
      <c r="F569" s="31">
        <f t="shared" si="39"/>
        <v>3</v>
      </c>
      <c r="G569" s="137" t="s">
        <v>1591</v>
      </c>
      <c r="H569" s="138">
        <v>130</v>
      </c>
      <c r="I569" s="158">
        <f t="shared" si="40"/>
        <v>0.24026414140734564</v>
      </c>
      <c r="J569" s="95">
        <v>2.2832846724441002E-12</v>
      </c>
      <c r="K569" s="137">
        <v>0.480528282812408</v>
      </c>
      <c r="L569" s="137">
        <v>0.61983471074380203</v>
      </c>
      <c r="M569" s="137">
        <v>0.27156864091531702</v>
      </c>
      <c r="N569" s="136">
        <v>1</v>
      </c>
      <c r="O569" s="32">
        <v>42655</v>
      </c>
      <c r="P569" s="98">
        <f t="shared" si="41"/>
        <v>0</v>
      </c>
      <c r="Q569">
        <v>2.5499999999999998</v>
      </c>
      <c r="R569">
        <v>1.65</v>
      </c>
      <c r="S569">
        <v>0</v>
      </c>
      <c r="T569" s="112" t="s">
        <v>48</v>
      </c>
      <c r="U569" s="137" t="s">
        <v>1592</v>
      </c>
      <c r="V569" s="137" t="s">
        <v>1593</v>
      </c>
      <c r="W569" s="69">
        <v>81</v>
      </c>
      <c r="X569" s="136">
        <v>3</v>
      </c>
      <c r="Y569" s="136">
        <v>26</v>
      </c>
      <c r="Z569" s="314"/>
      <c r="AA569" s="319">
        <v>0.5</v>
      </c>
      <c r="AB569" s="315" t="s">
        <v>5178</v>
      </c>
      <c r="AC569" s="319">
        <v>1</v>
      </c>
      <c r="AD569" s="320">
        <v>2.0833333333333301E-2</v>
      </c>
      <c r="AE569" s="319">
        <v>1</v>
      </c>
      <c r="AF569" s="320">
        <v>2.0833333333333301E-2</v>
      </c>
      <c r="AG569" s="319">
        <v>0</v>
      </c>
      <c r="AH569" s="320">
        <v>0</v>
      </c>
      <c r="AI569" s="319">
        <v>0</v>
      </c>
      <c r="AJ569" s="320">
        <v>0</v>
      </c>
      <c r="AK569" s="320">
        <v>0</v>
      </c>
      <c r="AL569" s="319">
        <v>5</v>
      </c>
      <c r="AM569" s="319">
        <v>5</v>
      </c>
      <c r="AN569" s="319">
        <v>4.6666666666666599</v>
      </c>
      <c r="AO569" s="319">
        <v>0.48888888888888798</v>
      </c>
      <c r="AP569">
        <v>26</v>
      </c>
      <c r="AR569" s="136">
        <v>26</v>
      </c>
      <c r="AT569" s="69">
        <v>2.3148</v>
      </c>
      <c r="AU569" s="69">
        <v>2.3148</v>
      </c>
      <c r="AV569" s="69">
        <v>8.1305999999999994</v>
      </c>
      <c r="AW569" s="69">
        <v>0.42530000000000001</v>
      </c>
      <c r="BB569" s="69"/>
    </row>
    <row r="570" spans="1:54" customFormat="1" ht="40" customHeight="1">
      <c r="A570" s="313">
        <v>569</v>
      </c>
      <c r="B570" s="136" t="s">
        <v>1222</v>
      </c>
      <c r="C570" s="136" t="s">
        <v>45</v>
      </c>
      <c r="D570" s="31">
        <f t="shared" si="38"/>
        <v>4</v>
      </c>
      <c r="E570" s="137" t="s">
        <v>833</v>
      </c>
      <c r="F570" s="31">
        <f t="shared" si="39"/>
        <v>3</v>
      </c>
      <c r="G570" s="137" t="s">
        <v>1594</v>
      </c>
      <c r="H570" s="138">
        <v>64</v>
      </c>
      <c r="I570" s="158">
        <f t="shared" si="40"/>
        <v>0.80462976546600795</v>
      </c>
      <c r="J570" s="95">
        <v>0.99811728556326396</v>
      </c>
      <c r="K570" s="137">
        <v>0.61114224536875195</v>
      </c>
      <c r="L570" s="137">
        <v>0.68181818181818199</v>
      </c>
      <c r="M570" s="137">
        <v>0.50512834069460699</v>
      </c>
      <c r="N570" s="136">
        <v>1</v>
      </c>
      <c r="O570" s="32">
        <v>42655</v>
      </c>
      <c r="P570" s="98">
        <f t="shared" si="41"/>
        <v>1</v>
      </c>
      <c r="Q570">
        <v>0</v>
      </c>
      <c r="R570">
        <v>0</v>
      </c>
      <c r="S570">
        <v>0</v>
      </c>
      <c r="T570" s="112" t="s">
        <v>73</v>
      </c>
      <c r="U570" s="137" t="s">
        <v>1595</v>
      </c>
      <c r="V570" s="137" t="s">
        <v>1587</v>
      </c>
      <c r="W570" s="69">
        <v>227</v>
      </c>
      <c r="X570" s="136">
        <v>1</v>
      </c>
      <c r="Y570" s="136">
        <v>12</v>
      </c>
      <c r="Z570" s="314"/>
      <c r="AA570" s="319">
        <v>0.55000000000000004</v>
      </c>
      <c r="AB570" s="315" t="s">
        <v>5165</v>
      </c>
      <c r="AC570" s="319">
        <v>4</v>
      </c>
      <c r="AD570" s="320">
        <v>3.125E-2</v>
      </c>
      <c r="AE570" s="319">
        <v>1</v>
      </c>
      <c r="AF570" s="320">
        <v>7.8125E-3</v>
      </c>
      <c r="AG570" s="319">
        <v>2</v>
      </c>
      <c r="AH570" s="320">
        <v>1.5625E-2</v>
      </c>
      <c r="AI570" s="319">
        <v>0</v>
      </c>
      <c r="AJ570" s="320">
        <v>0</v>
      </c>
      <c r="AK570" s="320">
        <v>0</v>
      </c>
      <c r="AL570" s="319">
        <v>5</v>
      </c>
      <c r="AM570" s="319">
        <v>5</v>
      </c>
      <c r="AN570" s="319">
        <v>2</v>
      </c>
      <c r="AO570" s="319">
        <v>0.4</v>
      </c>
      <c r="AP570">
        <v>12</v>
      </c>
      <c r="AQ570">
        <v>12</v>
      </c>
      <c r="AR570" s="136"/>
      <c r="AT570" s="69">
        <v>2.3148</v>
      </c>
      <c r="AU570" s="69">
        <v>2.3148</v>
      </c>
      <c r="AV570" s="69">
        <v>2.3148</v>
      </c>
      <c r="AW570" s="69">
        <v>0.23150000000000001</v>
      </c>
      <c r="BB570" s="69"/>
    </row>
    <row r="571" spans="1:54" customFormat="1" ht="40" customHeight="1">
      <c r="A571" s="313">
        <v>570</v>
      </c>
      <c r="B571" s="136" t="s">
        <v>1222</v>
      </c>
      <c r="C571" s="136" t="s">
        <v>119</v>
      </c>
      <c r="D571" s="31">
        <f t="shared" si="38"/>
        <v>1</v>
      </c>
      <c r="E571" s="137" t="s">
        <v>46</v>
      </c>
      <c r="F571" s="31">
        <f t="shared" si="39"/>
        <v>6</v>
      </c>
      <c r="G571" s="137" t="s">
        <v>1596</v>
      </c>
      <c r="H571" s="138">
        <v>64</v>
      </c>
      <c r="I571" s="158">
        <f t="shared" si="40"/>
        <v>0.40934941446260703</v>
      </c>
      <c r="J571" s="95">
        <v>4.5040950626407101E-4</v>
      </c>
      <c r="K571" s="137">
        <v>0.81824841941894999</v>
      </c>
      <c r="L571" s="137">
        <v>0.99824999999999997</v>
      </c>
      <c r="M571" s="137">
        <v>0.54824604854737402</v>
      </c>
      <c r="N571" s="136">
        <v>1</v>
      </c>
      <c r="O571" s="32">
        <v>42654</v>
      </c>
      <c r="P571" s="98">
        <f t="shared" si="41"/>
        <v>2</v>
      </c>
      <c r="Q571">
        <v>0</v>
      </c>
      <c r="R571">
        <v>0</v>
      </c>
      <c r="S571">
        <v>1.87</v>
      </c>
      <c r="T571" s="112" t="s">
        <v>64</v>
      </c>
      <c r="U571" s="137" t="s">
        <v>1597</v>
      </c>
      <c r="V571" s="137" t="s">
        <v>1598</v>
      </c>
      <c r="W571" s="69">
        <v>109</v>
      </c>
      <c r="X571" s="136">
        <v>1</v>
      </c>
      <c r="Y571" s="136">
        <v>10</v>
      </c>
      <c r="Z571" s="314"/>
      <c r="AA571" s="319">
        <v>0.54500000000000004</v>
      </c>
      <c r="AB571" s="315" t="s">
        <v>5165</v>
      </c>
      <c r="AC571" s="319">
        <v>3</v>
      </c>
      <c r="AD571" s="320">
        <v>4.8387096774193498E-2</v>
      </c>
      <c r="AE571" s="319">
        <v>1</v>
      </c>
      <c r="AF571" s="320">
        <v>1.6129032258064498E-2</v>
      </c>
      <c r="AG571" s="319">
        <v>0</v>
      </c>
      <c r="AH571" s="320">
        <v>0</v>
      </c>
      <c r="AI571" s="319">
        <v>0</v>
      </c>
      <c r="AJ571" s="320">
        <v>0</v>
      </c>
      <c r="AK571" s="320">
        <v>0</v>
      </c>
      <c r="AL571" s="319">
        <v>5</v>
      </c>
      <c r="AM571" s="319">
        <v>5</v>
      </c>
      <c r="AN571" s="319">
        <v>3.5</v>
      </c>
      <c r="AO571" s="319">
        <v>0.45</v>
      </c>
      <c r="AP571">
        <v>10</v>
      </c>
      <c r="AR571" s="136">
        <v>10</v>
      </c>
      <c r="AT571" s="69">
        <v>2.3148</v>
      </c>
      <c r="AU571" s="69">
        <v>2.3148</v>
      </c>
      <c r="AV571" s="69">
        <v>5.7443999999999997</v>
      </c>
      <c r="AW571" s="69">
        <v>0.3458</v>
      </c>
      <c r="BB571" s="69"/>
    </row>
    <row r="572" spans="1:54" customFormat="1" ht="40" customHeight="1">
      <c r="A572" s="313">
        <v>571</v>
      </c>
      <c r="B572" s="136" t="s">
        <v>1222</v>
      </c>
      <c r="C572" s="136" t="s">
        <v>45</v>
      </c>
      <c r="D572" s="31">
        <f t="shared" si="38"/>
        <v>4</v>
      </c>
      <c r="E572" s="137" t="s">
        <v>46</v>
      </c>
      <c r="F572" s="31">
        <f t="shared" si="39"/>
        <v>6</v>
      </c>
      <c r="G572" s="137" t="s">
        <v>1599</v>
      </c>
      <c r="H572" s="138">
        <v>382</v>
      </c>
      <c r="I572" s="158">
        <f t="shared" si="40"/>
        <v>0.22436048708287024</v>
      </c>
      <c r="J572" s="95">
        <v>6.8961976166459493E-5</v>
      </c>
      <c r="K572" s="137">
        <v>0.44865201218957401</v>
      </c>
      <c r="L572" s="137">
        <v>0.61983471074380203</v>
      </c>
      <c r="M572" s="137">
        <v>0.19187796435823101</v>
      </c>
      <c r="N572" s="136">
        <v>1</v>
      </c>
      <c r="O572" s="32">
        <v>42622</v>
      </c>
      <c r="P572" s="98">
        <f t="shared" si="41"/>
        <v>0</v>
      </c>
      <c r="Q572">
        <v>2.5499999999999998</v>
      </c>
      <c r="R572">
        <v>0</v>
      </c>
      <c r="S572">
        <v>0</v>
      </c>
      <c r="T572" s="112" t="s">
        <v>48</v>
      </c>
      <c r="U572" s="137" t="s">
        <v>1600</v>
      </c>
      <c r="V572" s="137" t="s">
        <v>1601</v>
      </c>
      <c r="W572" s="69">
        <v>85</v>
      </c>
      <c r="X572" s="136">
        <v>4</v>
      </c>
      <c r="Y572" s="136">
        <v>32</v>
      </c>
      <c r="Z572" s="314"/>
      <c r="AA572" s="319">
        <v>0.45454545454545398</v>
      </c>
      <c r="AB572" s="315" t="s">
        <v>5178</v>
      </c>
      <c r="AC572" s="319">
        <v>2</v>
      </c>
      <c r="AD572" s="320">
        <v>4.1666666666666602E-2</v>
      </c>
      <c r="AE572" s="319">
        <v>2</v>
      </c>
      <c r="AF572" s="320">
        <v>4.1666666666666602E-2</v>
      </c>
      <c r="AG572" s="319">
        <v>0</v>
      </c>
      <c r="AH572" s="320">
        <v>0</v>
      </c>
      <c r="AI572" s="319">
        <v>0</v>
      </c>
      <c r="AJ572" s="320">
        <v>0</v>
      </c>
      <c r="AK572" s="320">
        <v>2.0833333333333329E-2</v>
      </c>
      <c r="AL572" s="319">
        <v>5</v>
      </c>
      <c r="AM572" s="319">
        <v>6.2</v>
      </c>
      <c r="AN572" s="319">
        <v>4.6666666666666599</v>
      </c>
      <c r="AO572" s="319">
        <v>0.52888888888888796</v>
      </c>
      <c r="AP572" s="319">
        <v>32</v>
      </c>
      <c r="AR572" s="136"/>
      <c r="AT572" s="69">
        <v>2.3148</v>
      </c>
      <c r="AU572" s="69">
        <v>5</v>
      </c>
      <c r="AV572" s="69">
        <v>8.1305999999999994</v>
      </c>
      <c r="AW572" s="69">
        <v>0.51480000000000004</v>
      </c>
      <c r="BB572" s="69"/>
    </row>
    <row r="573" spans="1:54" customFormat="1" ht="40" customHeight="1">
      <c r="A573" s="313">
        <v>572</v>
      </c>
      <c r="B573" s="136" t="s">
        <v>1222</v>
      </c>
      <c r="C573" s="136" t="s">
        <v>59</v>
      </c>
      <c r="D573" s="31">
        <f t="shared" si="38"/>
        <v>5</v>
      </c>
      <c r="E573" s="137" t="s">
        <v>46</v>
      </c>
      <c r="F573" s="31">
        <f t="shared" si="39"/>
        <v>6</v>
      </c>
      <c r="G573" s="137" t="s">
        <v>1602</v>
      </c>
      <c r="H573" s="138">
        <v>33</v>
      </c>
      <c r="I573" s="158">
        <f t="shared" si="40"/>
        <v>0.76486217723621608</v>
      </c>
      <c r="J573" s="95">
        <v>0.92134263141922901</v>
      </c>
      <c r="K573" s="137">
        <v>0.60838172305320304</v>
      </c>
      <c r="L573" s="137">
        <v>0.51226009152380303</v>
      </c>
      <c r="M573" s="137">
        <v>0.75256417034730305</v>
      </c>
      <c r="N573" s="136">
        <v>1</v>
      </c>
      <c r="O573" s="32">
        <v>42612</v>
      </c>
      <c r="P573" s="98">
        <f t="shared" si="41"/>
        <v>0</v>
      </c>
      <c r="Q573">
        <v>0</v>
      </c>
      <c r="R573">
        <v>0</v>
      </c>
      <c r="S573">
        <v>0</v>
      </c>
      <c r="T573" s="112" t="s">
        <v>48</v>
      </c>
      <c r="U573" s="137" t="s">
        <v>1603</v>
      </c>
      <c r="V573" s="137" t="s">
        <v>1604</v>
      </c>
      <c r="W573" s="69">
        <v>53</v>
      </c>
      <c r="X573" s="136">
        <v>2</v>
      </c>
      <c r="Y573" s="136">
        <v>3</v>
      </c>
      <c r="Z573" s="314"/>
      <c r="AA573" s="319">
        <v>9.1578194443670893E-3</v>
      </c>
      <c r="AB573" s="315" t="s">
        <v>5169</v>
      </c>
      <c r="AC573" s="319">
        <v>2</v>
      </c>
      <c r="AD573" s="320">
        <v>6.4516129032257993E-2</v>
      </c>
      <c r="AE573" s="319">
        <v>0</v>
      </c>
      <c r="AF573" s="320">
        <v>0</v>
      </c>
      <c r="AG573" s="319">
        <v>2</v>
      </c>
      <c r="AH573" s="320">
        <v>6.4516129032257993E-2</v>
      </c>
      <c r="AI573" s="319">
        <v>0</v>
      </c>
      <c r="AJ573" s="320">
        <v>0</v>
      </c>
      <c r="AK573" s="320">
        <v>0</v>
      </c>
      <c r="AL573" s="319">
        <v>5</v>
      </c>
      <c r="AM573" s="319">
        <v>5</v>
      </c>
      <c r="AN573" s="319">
        <v>2</v>
      </c>
      <c r="AO573" s="319">
        <v>0.4</v>
      </c>
      <c r="AP573">
        <v>3</v>
      </c>
      <c r="AR573" s="136">
        <v>3</v>
      </c>
      <c r="AT573" s="69">
        <v>2.3148</v>
      </c>
      <c r="AU573" s="69">
        <v>2.3148</v>
      </c>
      <c r="AV573" s="69">
        <v>2.3148</v>
      </c>
      <c r="AW573" s="69">
        <v>0.23150000000000001</v>
      </c>
      <c r="BB573" s="69"/>
    </row>
    <row r="574" spans="1:54" customFormat="1" ht="40" customHeight="1">
      <c r="A574" s="313">
        <v>573</v>
      </c>
      <c r="B574" s="136" t="s">
        <v>1222</v>
      </c>
      <c r="C574" s="136" t="s">
        <v>59</v>
      </c>
      <c r="D574" s="31">
        <f t="shared" si="38"/>
        <v>5</v>
      </c>
      <c r="E574" s="137" t="s">
        <v>46</v>
      </c>
      <c r="F574" s="31">
        <f t="shared" si="39"/>
        <v>6</v>
      </c>
      <c r="G574" s="137" t="s">
        <v>1605</v>
      </c>
      <c r="H574" s="138">
        <v>150</v>
      </c>
      <c r="I574" s="158">
        <f t="shared" si="40"/>
        <v>0.82880674750067351</v>
      </c>
      <c r="J574" s="95">
        <v>0.99999838284078002</v>
      </c>
      <c r="K574" s="137">
        <v>0.65761511216056701</v>
      </c>
      <c r="L574" s="137">
        <v>0.61983471074380103</v>
      </c>
      <c r="M574" s="137">
        <v>0.71428571428571397</v>
      </c>
      <c r="N574" s="136">
        <v>1</v>
      </c>
      <c r="O574" s="32">
        <v>42609</v>
      </c>
      <c r="P574" s="98">
        <f t="shared" si="41"/>
        <v>0</v>
      </c>
      <c r="Q574">
        <v>5.0999999999999996</v>
      </c>
      <c r="R574">
        <v>1.65</v>
      </c>
      <c r="S574">
        <v>0</v>
      </c>
      <c r="T574" s="112" t="s">
        <v>48</v>
      </c>
      <c r="U574" s="137" t="s">
        <v>1606</v>
      </c>
      <c r="V574" s="137" t="s">
        <v>1607</v>
      </c>
      <c r="W574" s="69">
        <v>85</v>
      </c>
      <c r="X574" s="136">
        <v>1</v>
      </c>
      <c r="Y574" s="136">
        <v>4</v>
      </c>
      <c r="Z574" s="314"/>
      <c r="AA574" s="319">
        <v>2.9598412144695101E-2</v>
      </c>
      <c r="AB574" s="315" t="s">
        <v>5178</v>
      </c>
      <c r="AC574" s="319">
        <v>1</v>
      </c>
      <c r="AD574" s="320">
        <v>0.02</v>
      </c>
      <c r="AE574" s="319">
        <v>1</v>
      </c>
      <c r="AF574" s="320">
        <v>0.02</v>
      </c>
      <c r="AG574" s="319">
        <v>0</v>
      </c>
      <c r="AH574" s="320">
        <v>0</v>
      </c>
      <c r="AI574" s="319">
        <v>0</v>
      </c>
      <c r="AJ574" s="320">
        <v>0</v>
      </c>
      <c r="AK574" s="320">
        <v>0</v>
      </c>
      <c r="AL574" s="319">
        <v>5</v>
      </c>
      <c r="AM574" s="319">
        <v>5</v>
      </c>
      <c r="AN574" s="319">
        <v>6.5</v>
      </c>
      <c r="AO574" s="319">
        <v>0.55000000000000004</v>
      </c>
      <c r="AP574">
        <v>4</v>
      </c>
      <c r="AR574" s="136"/>
      <c r="AS574">
        <v>4</v>
      </c>
      <c r="AT574" s="69">
        <v>2.3148</v>
      </c>
      <c r="AU574" s="69">
        <v>2.3148</v>
      </c>
      <c r="AV574" s="69">
        <v>9.6442999999999994</v>
      </c>
      <c r="AW574" s="69">
        <v>0.4758</v>
      </c>
      <c r="BB574" s="69"/>
    </row>
    <row r="575" spans="1:54" customFormat="1" ht="40" customHeight="1">
      <c r="A575" s="313">
        <v>574</v>
      </c>
      <c r="B575" s="136" t="s">
        <v>1222</v>
      </c>
      <c r="C575" s="136" t="s">
        <v>59</v>
      </c>
      <c r="D575" s="31">
        <f t="shared" si="38"/>
        <v>5</v>
      </c>
      <c r="E575" s="137" t="s">
        <v>46</v>
      </c>
      <c r="F575" s="31">
        <f t="shared" si="39"/>
        <v>6</v>
      </c>
      <c r="G575" s="137" t="s">
        <v>1608</v>
      </c>
      <c r="H575" s="138">
        <v>92</v>
      </c>
      <c r="I575" s="158">
        <f t="shared" si="40"/>
        <v>0.29559962329290684</v>
      </c>
      <c r="J575" s="95">
        <v>7.2058270461638999E-10</v>
      </c>
      <c r="K575" s="137">
        <v>0.59119924586523098</v>
      </c>
      <c r="L575" s="137">
        <v>0.61983471074380103</v>
      </c>
      <c r="M575" s="137">
        <v>0.54824604854737402</v>
      </c>
      <c r="N575" s="136">
        <v>1</v>
      </c>
      <c r="O575" s="32">
        <v>42609</v>
      </c>
      <c r="P575" s="98">
        <f t="shared" si="41"/>
        <v>0</v>
      </c>
      <c r="Q575">
        <v>2.5499999999999998</v>
      </c>
      <c r="R575">
        <v>1.65</v>
      </c>
      <c r="S575">
        <v>0</v>
      </c>
      <c r="T575" s="112" t="s">
        <v>48</v>
      </c>
      <c r="U575" s="137" t="s">
        <v>1609</v>
      </c>
      <c r="V575" s="137" t="s">
        <v>1610</v>
      </c>
      <c r="W575" s="69">
        <v>44</v>
      </c>
      <c r="X575" s="136">
        <v>2</v>
      </c>
      <c r="Y575" s="136">
        <v>10</v>
      </c>
      <c r="Z575" s="314"/>
      <c r="AA575" s="319">
        <v>2.9598412144695101E-2</v>
      </c>
      <c r="AB575" s="315" t="s">
        <v>5178</v>
      </c>
      <c r="AC575" s="319">
        <v>1</v>
      </c>
      <c r="AD575" s="320">
        <v>3.7037037037037E-2</v>
      </c>
      <c r="AE575" s="319">
        <v>1</v>
      </c>
      <c r="AF575" s="320">
        <v>3.7037037037037E-2</v>
      </c>
      <c r="AG575" s="319">
        <v>0</v>
      </c>
      <c r="AH575" s="320">
        <v>0</v>
      </c>
      <c r="AI575" s="319">
        <v>0</v>
      </c>
      <c r="AJ575" s="320">
        <v>0</v>
      </c>
      <c r="AK575" s="320">
        <v>0</v>
      </c>
      <c r="AL575" s="319">
        <v>5</v>
      </c>
      <c r="AM575" s="319">
        <v>5</v>
      </c>
      <c r="AN575" s="319">
        <v>6.5</v>
      </c>
      <c r="AO575" s="319">
        <v>0.55000000000000004</v>
      </c>
      <c r="AP575">
        <v>10</v>
      </c>
      <c r="AR575" s="136">
        <v>10</v>
      </c>
      <c r="AT575" s="69">
        <v>2.3148</v>
      </c>
      <c r="AU575" s="69">
        <v>2.3148</v>
      </c>
      <c r="AV575" s="69">
        <v>9.6442999999999994</v>
      </c>
      <c r="AW575" s="69">
        <v>0.4758</v>
      </c>
      <c r="BB575" s="69"/>
    </row>
    <row r="576" spans="1:54" customFormat="1" ht="40" customHeight="1">
      <c r="A576" s="313">
        <v>575</v>
      </c>
      <c r="B576" s="136" t="s">
        <v>1222</v>
      </c>
      <c r="C576" s="136" t="s">
        <v>45</v>
      </c>
      <c r="D576" s="31">
        <f t="shared" si="38"/>
        <v>4</v>
      </c>
      <c r="E576" s="137" t="s">
        <v>46</v>
      </c>
      <c r="F576" s="31">
        <f t="shared" si="39"/>
        <v>6</v>
      </c>
      <c r="G576" s="137" t="s">
        <v>1611</v>
      </c>
      <c r="H576" s="138">
        <v>79</v>
      </c>
      <c r="I576" s="158">
        <f t="shared" si="40"/>
        <v>0.24598284743559956</v>
      </c>
      <c r="J576" s="95">
        <v>6.5533144241181097E-6</v>
      </c>
      <c r="K576" s="137">
        <v>0.491959141556775</v>
      </c>
      <c r="L576" s="137">
        <v>0.61983471074380203</v>
      </c>
      <c r="M576" s="137">
        <v>0.30014578777623502</v>
      </c>
      <c r="N576" s="136">
        <v>1</v>
      </c>
      <c r="O576" s="32">
        <v>42609</v>
      </c>
      <c r="P576" s="98">
        <f t="shared" si="41"/>
        <v>0</v>
      </c>
      <c r="Q576">
        <v>5.0999999999999996</v>
      </c>
      <c r="R576">
        <v>1.65</v>
      </c>
      <c r="S576">
        <v>0</v>
      </c>
      <c r="T576" s="112" t="s">
        <v>48</v>
      </c>
      <c r="U576" s="137" t="s">
        <v>1612</v>
      </c>
      <c r="V576" s="137" t="s">
        <v>1604</v>
      </c>
      <c r="W576" s="69">
        <v>53</v>
      </c>
      <c r="X576" s="136">
        <v>3</v>
      </c>
      <c r="Y576" s="136">
        <v>24</v>
      </c>
      <c r="Z576" s="314"/>
      <c r="AA576" s="319">
        <v>0.45909090909090899</v>
      </c>
      <c r="AB576" s="315" t="s">
        <v>5169</v>
      </c>
      <c r="AC576" s="319">
        <v>2</v>
      </c>
      <c r="AD576" s="320">
        <v>6.4516129032257993E-2</v>
      </c>
      <c r="AE576" s="319">
        <v>0</v>
      </c>
      <c r="AF576" s="320">
        <v>0</v>
      </c>
      <c r="AG576" s="319">
        <v>2</v>
      </c>
      <c r="AH576" s="320">
        <v>6.4516129032257993E-2</v>
      </c>
      <c r="AI576" s="319">
        <v>0</v>
      </c>
      <c r="AJ576" s="320">
        <v>0</v>
      </c>
      <c r="AK576" s="320">
        <v>0</v>
      </c>
      <c r="AL576" s="319">
        <v>5</v>
      </c>
      <c r="AM576" s="319">
        <v>5</v>
      </c>
      <c r="AN576" s="319">
        <v>4.6666666666666599</v>
      </c>
      <c r="AO576" s="319">
        <v>0.48888888888888798</v>
      </c>
      <c r="AP576">
        <v>24</v>
      </c>
      <c r="AQ576">
        <v>24</v>
      </c>
      <c r="AR576" s="136"/>
      <c r="AT576" s="69">
        <v>2.3148</v>
      </c>
      <c r="AU576" s="69">
        <v>2.3148</v>
      </c>
      <c r="AV576" s="69">
        <v>8.1305999999999994</v>
      </c>
      <c r="AW576" s="69">
        <v>0.42530000000000001</v>
      </c>
      <c r="BB576" s="69"/>
    </row>
    <row r="577" spans="1:54" customFormat="1" ht="40" customHeight="1">
      <c r="A577" s="313">
        <v>576</v>
      </c>
      <c r="B577" s="136" t="s">
        <v>1222</v>
      </c>
      <c r="C577" s="136" t="s">
        <v>45</v>
      </c>
      <c r="D577" s="31">
        <f t="shared" si="38"/>
        <v>4</v>
      </c>
      <c r="E577" s="137" t="s">
        <v>46</v>
      </c>
      <c r="F577" s="31">
        <f t="shared" si="39"/>
        <v>6</v>
      </c>
      <c r="G577" s="137" t="s">
        <v>1186</v>
      </c>
      <c r="H577" s="138">
        <v>95</v>
      </c>
      <c r="I577" s="158">
        <f t="shared" si="40"/>
        <v>0.31434334276565057</v>
      </c>
      <c r="J577" s="95">
        <v>1.9600296163879701E-8</v>
      </c>
      <c r="K577" s="137">
        <v>0.62868666593100497</v>
      </c>
      <c r="L577" s="137">
        <v>0.75</v>
      </c>
      <c r="M577" s="137">
        <v>0.44671666482751199</v>
      </c>
      <c r="N577" s="136">
        <v>0</v>
      </c>
      <c r="O577" s="32">
        <v>42592</v>
      </c>
      <c r="P577" s="98">
        <f t="shared" si="41"/>
        <v>2</v>
      </c>
      <c r="Q577">
        <v>0</v>
      </c>
      <c r="R577">
        <v>0</v>
      </c>
      <c r="S577">
        <v>0</v>
      </c>
      <c r="T577" s="112" t="s">
        <v>64</v>
      </c>
      <c r="U577" s="137" t="s">
        <v>1187</v>
      </c>
      <c r="V577" s="137" t="s">
        <v>1188</v>
      </c>
      <c r="W577" s="69">
        <v>80</v>
      </c>
      <c r="X577" s="136">
        <v>3</v>
      </c>
      <c r="Y577" s="136">
        <v>15</v>
      </c>
      <c r="Z577" s="314"/>
      <c r="AA577" s="319">
        <v>0.5</v>
      </c>
      <c r="AB577" s="315" t="s">
        <v>5165</v>
      </c>
      <c r="AC577" s="319">
        <v>3</v>
      </c>
      <c r="AD577" s="320">
        <v>0.06</v>
      </c>
      <c r="AE577" s="319">
        <v>0</v>
      </c>
      <c r="AF577" s="320">
        <v>0</v>
      </c>
      <c r="AG577" s="319">
        <v>1</v>
      </c>
      <c r="AH577" s="320">
        <v>0.02</v>
      </c>
      <c r="AI577" s="319">
        <v>0</v>
      </c>
      <c r="AJ577" s="320">
        <v>0</v>
      </c>
      <c r="AK577" s="320">
        <v>0</v>
      </c>
      <c r="AL577" s="319">
        <v>5</v>
      </c>
      <c r="AM577" s="319">
        <v>5</v>
      </c>
      <c r="AN577" s="319">
        <v>2</v>
      </c>
      <c r="AO577" s="319">
        <v>0.4</v>
      </c>
      <c r="AP577">
        <v>15</v>
      </c>
      <c r="AR577" s="136">
        <v>15</v>
      </c>
      <c r="AT577" s="69">
        <v>2.3148</v>
      </c>
      <c r="AU577" s="69">
        <v>2.3148</v>
      </c>
      <c r="AV577" s="69">
        <v>2.3148</v>
      </c>
      <c r="AW577" s="69">
        <v>0.23150000000000001</v>
      </c>
      <c r="BB577" s="69"/>
    </row>
    <row r="578" spans="1:54" customFormat="1" ht="40" customHeight="1">
      <c r="A578" s="313">
        <v>577</v>
      </c>
      <c r="B578" s="136" t="s">
        <v>1222</v>
      </c>
      <c r="C578" s="136" t="s">
        <v>45</v>
      </c>
      <c r="D578" s="31">
        <f t="shared" ref="D578:D641" si="42">IF(C578="投诉",4,IF(C578="建议",1,IF(C578="举报",2,IF(C578="求助",3,5))))</f>
        <v>4</v>
      </c>
      <c r="E578" s="137" t="s">
        <v>46</v>
      </c>
      <c r="F578" s="31">
        <f t="shared" ref="F578:F641" si="43">IF(E578="12345app",1,IF(E578="e福州app",2,IF(E578="qq",3,IF(E578="电话",4,IF(E578="短信",5,IF(E578="网站",6,IF(E578="微博",7,IF(E578="微信",8,9))))))))</f>
        <v>6</v>
      </c>
      <c r="G578" s="137" t="s">
        <v>1613</v>
      </c>
      <c r="H578" s="138">
        <v>5</v>
      </c>
      <c r="I578" s="158">
        <f t="shared" ref="I578:I641" si="44">(J578+K578)/2</f>
        <v>0.3392887938942758</v>
      </c>
      <c r="J578" s="95">
        <v>6.1592171235469501E-6</v>
      </c>
      <c r="K578" s="137">
        <v>0.67857142857142805</v>
      </c>
      <c r="L578" s="137">
        <v>0.75</v>
      </c>
      <c r="M578" s="137">
        <v>0.57142857142857095</v>
      </c>
      <c r="N578" s="136">
        <v>1</v>
      </c>
      <c r="O578" s="32">
        <v>42591</v>
      </c>
      <c r="P578" s="98">
        <f t="shared" ref="P578:P641" si="45">IF(T578="利己",0,IF(T578="生态",2,1))</f>
        <v>0</v>
      </c>
      <c r="Q578">
        <v>0</v>
      </c>
      <c r="R578">
        <v>0</v>
      </c>
      <c r="S578">
        <v>0</v>
      </c>
      <c r="T578" s="112" t="s">
        <v>48</v>
      </c>
      <c r="U578" s="137" t="s">
        <v>1614</v>
      </c>
      <c r="V578" s="137" t="s">
        <v>1615</v>
      </c>
      <c r="W578" s="69">
        <v>43</v>
      </c>
      <c r="X578" s="136">
        <v>1</v>
      </c>
      <c r="Y578" s="136">
        <v>9</v>
      </c>
      <c r="Z578" s="314"/>
      <c r="AA578" s="319">
        <v>0.5</v>
      </c>
      <c r="AB578" s="315" t="s">
        <v>5165</v>
      </c>
      <c r="AC578" s="319">
        <v>4</v>
      </c>
      <c r="AD578" s="320">
        <v>0.14285714285714199</v>
      </c>
      <c r="AE578" s="319">
        <v>0</v>
      </c>
      <c r="AF578" s="320">
        <v>0</v>
      </c>
      <c r="AG578" s="319">
        <v>0</v>
      </c>
      <c r="AH578" s="320">
        <v>0</v>
      </c>
      <c r="AI578" s="319">
        <v>0</v>
      </c>
      <c r="AJ578" s="320">
        <v>0</v>
      </c>
      <c r="AK578" s="320">
        <v>0</v>
      </c>
      <c r="AL578" s="319">
        <v>5</v>
      </c>
      <c r="AM578" s="319">
        <v>5</v>
      </c>
      <c r="AN578" s="319">
        <v>2</v>
      </c>
      <c r="AO578" s="319">
        <v>0.4</v>
      </c>
      <c r="AP578">
        <v>9</v>
      </c>
      <c r="AR578" s="136">
        <v>9</v>
      </c>
      <c r="AT578" s="69">
        <v>2.3148</v>
      </c>
      <c r="AU578" s="69">
        <v>2.3148</v>
      </c>
      <c r="AV578" s="69">
        <v>2.3148</v>
      </c>
      <c r="AW578" s="69">
        <v>0.23150000000000001</v>
      </c>
      <c r="BB578" s="69"/>
    </row>
    <row r="579" spans="1:54" customFormat="1" ht="40" customHeight="1">
      <c r="A579" s="313">
        <v>578</v>
      </c>
      <c r="B579" s="136" t="s">
        <v>1222</v>
      </c>
      <c r="C579" s="136" t="s">
        <v>59</v>
      </c>
      <c r="D579" s="31">
        <f t="shared" si="42"/>
        <v>5</v>
      </c>
      <c r="E579" s="137" t="s">
        <v>46</v>
      </c>
      <c r="F579" s="31">
        <f t="shared" si="43"/>
        <v>6</v>
      </c>
      <c r="G579" s="137" t="s">
        <v>1616</v>
      </c>
      <c r="H579" s="138">
        <v>35</v>
      </c>
      <c r="I579" s="158">
        <f t="shared" si="44"/>
        <v>0.35501458921640522</v>
      </c>
      <c r="J579" s="95">
        <v>2.0877563455812301E-8</v>
      </c>
      <c r="K579" s="137">
        <v>0.71002915755524698</v>
      </c>
      <c r="L579" s="137">
        <v>0.75</v>
      </c>
      <c r="M579" s="137">
        <v>0.65007289388811795</v>
      </c>
      <c r="N579" s="136">
        <v>1</v>
      </c>
      <c r="O579" s="32">
        <v>42578</v>
      </c>
      <c r="P579" s="98">
        <f t="shared" si="45"/>
        <v>1</v>
      </c>
      <c r="Q579">
        <v>0</v>
      </c>
      <c r="R579">
        <v>0</v>
      </c>
      <c r="S579">
        <v>0</v>
      </c>
      <c r="T579" s="112" t="s">
        <v>73</v>
      </c>
      <c r="U579" s="137" t="s">
        <v>1617</v>
      </c>
      <c r="V579" s="137" t="s">
        <v>1618</v>
      </c>
      <c r="W579" s="69">
        <v>104</v>
      </c>
      <c r="X579" s="136">
        <v>2</v>
      </c>
      <c r="Y579" s="136">
        <v>6</v>
      </c>
      <c r="Z579" s="314"/>
      <c r="AA579" s="319">
        <v>0.55000000000000004</v>
      </c>
      <c r="AB579" s="315" t="s">
        <v>5169</v>
      </c>
      <c r="AC579" s="319">
        <v>1</v>
      </c>
      <c r="AD579" s="320">
        <v>1.7543859649122799E-2</v>
      </c>
      <c r="AE579" s="319">
        <v>0</v>
      </c>
      <c r="AF579" s="320">
        <v>0</v>
      </c>
      <c r="AG579" s="319">
        <v>1</v>
      </c>
      <c r="AH579" s="320">
        <v>1.7543859649122799E-2</v>
      </c>
      <c r="AI579" s="319">
        <v>0</v>
      </c>
      <c r="AJ579" s="320">
        <v>0</v>
      </c>
      <c r="AK579" s="320">
        <v>0</v>
      </c>
      <c r="AL579" s="319">
        <v>5</v>
      </c>
      <c r="AM579" s="319">
        <v>5</v>
      </c>
      <c r="AN579" s="319">
        <v>3.5</v>
      </c>
      <c r="AO579" s="319">
        <v>0.45</v>
      </c>
      <c r="AP579">
        <v>6</v>
      </c>
      <c r="AR579" s="136">
        <v>6</v>
      </c>
      <c r="AT579" s="69">
        <v>2.3148</v>
      </c>
      <c r="AU579" s="69">
        <v>2.3148</v>
      </c>
      <c r="AV579" s="69">
        <v>5.7443999999999997</v>
      </c>
      <c r="AW579" s="69">
        <v>0.3458</v>
      </c>
      <c r="BB579" s="69"/>
    </row>
    <row r="580" spans="1:54" customFormat="1" ht="40" customHeight="1">
      <c r="A580" s="313">
        <v>579</v>
      </c>
      <c r="B580" s="136" t="s">
        <v>1222</v>
      </c>
      <c r="C580" s="136" t="s">
        <v>45</v>
      </c>
      <c r="D580" s="31">
        <f t="shared" si="42"/>
        <v>4</v>
      </c>
      <c r="E580" s="137" t="s">
        <v>46</v>
      </c>
      <c r="F580" s="31">
        <f t="shared" si="43"/>
        <v>6</v>
      </c>
      <c r="G580" s="137" t="s">
        <v>1222</v>
      </c>
      <c r="H580" s="138">
        <v>40</v>
      </c>
      <c r="I580" s="158">
        <f t="shared" si="44"/>
        <v>0.76334865894008597</v>
      </c>
      <c r="J580" s="95">
        <v>0.866218734471909</v>
      </c>
      <c r="K580" s="137">
        <v>0.66047858340826304</v>
      </c>
      <c r="L580" s="137">
        <v>0.75</v>
      </c>
      <c r="M580" s="137">
        <v>0.526196458520657</v>
      </c>
      <c r="N580" s="136">
        <v>0</v>
      </c>
      <c r="O580" s="32">
        <v>42537</v>
      </c>
      <c r="P580" s="98">
        <f t="shared" si="45"/>
        <v>1</v>
      </c>
      <c r="Q580">
        <v>0</v>
      </c>
      <c r="R580">
        <v>1.65</v>
      </c>
      <c r="S580">
        <v>0</v>
      </c>
      <c r="T580" s="112" t="s">
        <v>73</v>
      </c>
      <c r="U580" s="137" t="s">
        <v>1619</v>
      </c>
      <c r="V580" s="137" t="s">
        <v>1618</v>
      </c>
      <c r="W580" s="69">
        <v>104</v>
      </c>
      <c r="X580" s="136">
        <v>1</v>
      </c>
      <c r="Y580" s="136">
        <v>11</v>
      </c>
      <c r="Z580" s="314"/>
      <c r="AA580" s="319">
        <v>0.45454545454545398</v>
      </c>
      <c r="AB580" s="315" t="s">
        <v>5169</v>
      </c>
      <c r="AC580" s="319">
        <v>1</v>
      </c>
      <c r="AD580" s="320">
        <v>1.7543859649122799E-2</v>
      </c>
      <c r="AE580" s="319">
        <v>0</v>
      </c>
      <c r="AF580" s="320">
        <v>0</v>
      </c>
      <c r="AG580" s="319">
        <v>1</v>
      </c>
      <c r="AH580" s="320">
        <v>1.7543859649122799E-2</v>
      </c>
      <c r="AI580" s="319">
        <v>0</v>
      </c>
      <c r="AJ580" s="320">
        <v>0</v>
      </c>
      <c r="AK580" s="320">
        <v>0</v>
      </c>
      <c r="AL580" s="319">
        <v>5</v>
      </c>
      <c r="AM580" s="319">
        <v>5</v>
      </c>
      <c r="AN580" s="319">
        <v>4.6666666666666599</v>
      </c>
      <c r="AO580" s="319">
        <v>0.48888888888888798</v>
      </c>
      <c r="AP580">
        <v>11</v>
      </c>
      <c r="AQ580">
        <v>11</v>
      </c>
      <c r="AR580" s="136"/>
      <c r="AT580" s="69">
        <v>2.3148</v>
      </c>
      <c r="AU580" s="69">
        <v>2.3148</v>
      </c>
      <c r="AV580" s="69">
        <v>8.1305999999999994</v>
      </c>
      <c r="AW580" s="69">
        <v>0.42530000000000001</v>
      </c>
      <c r="BB580" s="69"/>
    </row>
    <row r="581" spans="1:54" customFormat="1" ht="40" customHeight="1">
      <c r="A581" s="313">
        <v>580</v>
      </c>
      <c r="B581" s="136" t="s">
        <v>1222</v>
      </c>
      <c r="C581" s="136" t="s">
        <v>45</v>
      </c>
      <c r="D581" s="31">
        <f t="shared" si="42"/>
        <v>4</v>
      </c>
      <c r="E581" s="137" t="s">
        <v>46</v>
      </c>
      <c r="F581" s="31">
        <f t="shared" si="43"/>
        <v>6</v>
      </c>
      <c r="G581" s="137" t="s">
        <v>1620</v>
      </c>
      <c r="H581" s="138">
        <v>100</v>
      </c>
      <c r="I581" s="158">
        <f t="shared" si="44"/>
        <v>0.62319822548326909</v>
      </c>
      <c r="J581" s="95">
        <v>0.60873411330420002</v>
      </c>
      <c r="K581" s="137">
        <v>0.63766233766233804</v>
      </c>
      <c r="L581" s="137">
        <v>0.68181818181818199</v>
      </c>
      <c r="M581" s="137">
        <v>0.57142857142857095</v>
      </c>
      <c r="N581" s="136">
        <v>0</v>
      </c>
      <c r="O581" s="32">
        <v>42533</v>
      </c>
      <c r="P581" s="98">
        <f t="shared" si="45"/>
        <v>0</v>
      </c>
      <c r="Q581">
        <v>2.5499999999999998</v>
      </c>
      <c r="R581">
        <v>1.65</v>
      </c>
      <c r="S581">
        <v>1.87</v>
      </c>
      <c r="T581" s="112" t="s">
        <v>48</v>
      </c>
      <c r="U581" s="137" t="s">
        <v>1621</v>
      </c>
      <c r="V581" s="137" t="s">
        <v>1622</v>
      </c>
      <c r="W581" s="69">
        <v>115</v>
      </c>
      <c r="X581" s="136">
        <v>1</v>
      </c>
      <c r="Y581" s="136">
        <v>9</v>
      </c>
      <c r="Z581" s="314"/>
      <c r="AA581" s="319">
        <v>0.5</v>
      </c>
      <c r="AB581" s="315" t="s">
        <v>5176</v>
      </c>
      <c r="AC581" s="319">
        <v>1</v>
      </c>
      <c r="AD581" s="320">
        <v>1.53846153846153E-2</v>
      </c>
      <c r="AE581" s="319">
        <v>2</v>
      </c>
      <c r="AF581" s="320">
        <v>3.0769230769230702E-2</v>
      </c>
      <c r="AG581" s="319">
        <v>1</v>
      </c>
      <c r="AH581" s="320">
        <v>1.53846153846153E-2</v>
      </c>
      <c r="AI581" s="319">
        <v>0</v>
      </c>
      <c r="AJ581" s="320">
        <v>0</v>
      </c>
      <c r="AK581" s="320">
        <v>1.5384615384615391E-2</v>
      </c>
      <c r="AL581" s="319">
        <v>5</v>
      </c>
      <c r="AM581" s="319">
        <v>6.2</v>
      </c>
      <c r="AN581" s="319">
        <v>3.5</v>
      </c>
      <c r="AO581" s="319">
        <v>0.49</v>
      </c>
      <c r="AP581">
        <v>9</v>
      </c>
      <c r="AQ581">
        <v>9</v>
      </c>
      <c r="AR581" s="136"/>
      <c r="AT581" s="69">
        <v>2.3148</v>
      </c>
      <c r="AU581" s="69">
        <v>5</v>
      </c>
      <c r="AV581" s="69">
        <v>5.7443999999999997</v>
      </c>
      <c r="AW581" s="69">
        <v>0.43530000000000002</v>
      </c>
      <c r="BB581" s="69"/>
    </row>
    <row r="582" spans="1:54" customFormat="1" ht="40" customHeight="1">
      <c r="A582" s="313">
        <v>581</v>
      </c>
      <c r="B582" s="136" t="s">
        <v>1222</v>
      </c>
      <c r="C582" s="136" t="s">
        <v>45</v>
      </c>
      <c r="D582" s="31">
        <f t="shared" si="42"/>
        <v>4</v>
      </c>
      <c r="E582" s="137" t="s">
        <v>833</v>
      </c>
      <c r="F582" s="31">
        <f t="shared" si="43"/>
        <v>3</v>
      </c>
      <c r="G582" s="137" t="s">
        <v>1623</v>
      </c>
      <c r="H582" s="138">
        <v>53</v>
      </c>
      <c r="I582" s="158">
        <f t="shared" si="44"/>
        <v>0.49715618529826355</v>
      </c>
      <c r="J582" s="95">
        <v>0.315740942025099</v>
      </c>
      <c r="K582" s="137">
        <v>0.67857142857142805</v>
      </c>
      <c r="L582" s="137">
        <v>0.75</v>
      </c>
      <c r="M582" s="137">
        <v>0.57142857142857095</v>
      </c>
      <c r="N582" s="136">
        <v>1</v>
      </c>
      <c r="O582" s="32">
        <v>42533</v>
      </c>
      <c r="P582" s="98">
        <f t="shared" si="45"/>
        <v>0</v>
      </c>
      <c r="Q582">
        <v>2.5499999999999998</v>
      </c>
      <c r="R582">
        <v>0</v>
      </c>
      <c r="S582">
        <v>0</v>
      </c>
      <c r="T582" s="112" t="s">
        <v>48</v>
      </c>
      <c r="U582" s="137" t="s">
        <v>1624</v>
      </c>
      <c r="V582" s="137" t="s">
        <v>1625</v>
      </c>
      <c r="W582" s="69">
        <v>83</v>
      </c>
      <c r="X582" s="136">
        <v>1</v>
      </c>
      <c r="Y582" s="136">
        <v>9</v>
      </c>
      <c r="Z582" s="314"/>
      <c r="AA582" s="319">
        <v>0.54</v>
      </c>
      <c r="AB582" s="315" t="s">
        <v>5165</v>
      </c>
      <c r="AC582" s="319">
        <v>2</v>
      </c>
      <c r="AD582" s="320">
        <v>3.9215686274509803E-2</v>
      </c>
      <c r="AE582" s="319">
        <v>1</v>
      </c>
      <c r="AF582" s="320">
        <v>1.9607843137254902E-2</v>
      </c>
      <c r="AG582" s="319">
        <v>0</v>
      </c>
      <c r="AH582" s="320">
        <v>0</v>
      </c>
      <c r="AI582" s="319">
        <v>0</v>
      </c>
      <c r="AJ582" s="320">
        <v>0</v>
      </c>
      <c r="AK582" s="320">
        <v>0</v>
      </c>
      <c r="AL582" s="319">
        <v>5</v>
      </c>
      <c r="AM582" s="319">
        <v>5</v>
      </c>
      <c r="AN582" s="319">
        <v>7.6666666666666599</v>
      </c>
      <c r="AO582" s="319">
        <v>0.58888888888888802</v>
      </c>
      <c r="AP582">
        <v>9</v>
      </c>
      <c r="AR582" s="136">
        <v>9</v>
      </c>
      <c r="AT582" s="69">
        <v>2.3148</v>
      </c>
      <c r="AU582" s="69">
        <v>2.3148</v>
      </c>
      <c r="AV582" s="69">
        <v>9.8867999999999991</v>
      </c>
      <c r="AW582" s="69">
        <v>0.4839</v>
      </c>
      <c r="BB582" s="69"/>
    </row>
    <row r="583" spans="1:54" customFormat="1" ht="40" customHeight="1">
      <c r="A583" s="313">
        <v>582</v>
      </c>
      <c r="B583" s="136" t="s">
        <v>1222</v>
      </c>
      <c r="C583" s="136" t="s">
        <v>59</v>
      </c>
      <c r="D583" s="31">
        <f t="shared" si="42"/>
        <v>5</v>
      </c>
      <c r="E583" s="137" t="s">
        <v>833</v>
      </c>
      <c r="F583" s="31">
        <f t="shared" si="43"/>
        <v>3</v>
      </c>
      <c r="G583" s="137" t="s">
        <v>1626</v>
      </c>
      <c r="H583" s="138">
        <v>50</v>
      </c>
      <c r="I583" s="158">
        <f t="shared" si="44"/>
        <v>0.80118141992219649</v>
      </c>
      <c r="J583" s="95">
        <v>0.99930343220856899</v>
      </c>
      <c r="K583" s="137">
        <v>0.603059407635824</v>
      </c>
      <c r="L583" s="137">
        <v>0.68181818181818199</v>
      </c>
      <c r="M583" s="137">
        <v>0.48492124636228701</v>
      </c>
      <c r="N583" s="136">
        <v>1</v>
      </c>
      <c r="O583" s="32">
        <v>42522</v>
      </c>
      <c r="P583" s="98">
        <f t="shared" si="45"/>
        <v>0</v>
      </c>
      <c r="Q583">
        <v>2.5499999999999998</v>
      </c>
      <c r="R583">
        <v>0</v>
      </c>
      <c r="S583">
        <v>0</v>
      </c>
      <c r="T583" s="112" t="s">
        <v>48</v>
      </c>
      <c r="U583" s="137" t="s">
        <v>1627</v>
      </c>
      <c r="V583" s="137" t="s">
        <v>1618</v>
      </c>
      <c r="W583" s="69">
        <v>104</v>
      </c>
      <c r="X583" s="136">
        <v>4</v>
      </c>
      <c r="Y583" s="136">
        <v>13</v>
      </c>
      <c r="Z583" s="314"/>
      <c r="AA583" s="319">
        <v>0.60499999999999998</v>
      </c>
      <c r="AB583" s="315" t="s">
        <v>5169</v>
      </c>
      <c r="AC583" s="319">
        <v>1</v>
      </c>
      <c r="AD583" s="320">
        <v>1.7543859649122799E-2</v>
      </c>
      <c r="AE583" s="319">
        <v>0</v>
      </c>
      <c r="AF583" s="320">
        <v>0</v>
      </c>
      <c r="AG583" s="319">
        <v>1</v>
      </c>
      <c r="AH583" s="320">
        <v>1.7543859649122799E-2</v>
      </c>
      <c r="AI583" s="319">
        <v>0</v>
      </c>
      <c r="AJ583" s="320">
        <v>0</v>
      </c>
      <c r="AK583" s="320">
        <v>0</v>
      </c>
      <c r="AL583" s="319">
        <v>5</v>
      </c>
      <c r="AM583" s="319">
        <v>5</v>
      </c>
      <c r="AN583" s="319">
        <v>7.6666666666666599</v>
      </c>
      <c r="AO583" s="319">
        <v>0.58888888888888802</v>
      </c>
      <c r="AP583">
        <v>13</v>
      </c>
      <c r="AQ583">
        <v>13</v>
      </c>
      <c r="AR583" s="136"/>
      <c r="AT583" s="69">
        <v>2.3148</v>
      </c>
      <c r="AU583" s="69">
        <v>2.3148</v>
      </c>
      <c r="AV583" s="69">
        <v>9.8867999999999991</v>
      </c>
      <c r="AW583" s="69">
        <v>0.4839</v>
      </c>
      <c r="BB583" s="69"/>
    </row>
    <row r="584" spans="1:54" customFormat="1" ht="40" customHeight="1">
      <c r="A584" s="313">
        <v>583</v>
      </c>
      <c r="B584" s="136" t="s">
        <v>1628</v>
      </c>
      <c r="C584" s="136" t="s">
        <v>45</v>
      </c>
      <c r="D584" s="31">
        <f t="shared" si="42"/>
        <v>4</v>
      </c>
      <c r="E584" s="137" t="s">
        <v>80</v>
      </c>
      <c r="F584" s="31">
        <f t="shared" si="43"/>
        <v>4</v>
      </c>
      <c r="G584" s="137" t="s">
        <v>1629</v>
      </c>
      <c r="H584" s="138">
        <f>LEN(U584)</f>
        <v>108</v>
      </c>
      <c r="I584" s="158">
        <f t="shared" si="44"/>
        <v>0.7908170966313105</v>
      </c>
      <c r="J584" s="95">
        <v>0.78560852512370005</v>
      </c>
      <c r="K584" s="137">
        <v>0.79602566813892095</v>
      </c>
      <c r="L584" s="137">
        <v>0.82499999999999996</v>
      </c>
      <c r="M584" s="137">
        <v>0.75256417034730305</v>
      </c>
      <c r="N584" s="136">
        <v>1</v>
      </c>
      <c r="O584" s="32">
        <v>44129</v>
      </c>
      <c r="P584" s="98">
        <f t="shared" si="45"/>
        <v>1</v>
      </c>
      <c r="Q584">
        <v>0</v>
      </c>
      <c r="R584">
        <v>1.65</v>
      </c>
      <c r="S584">
        <v>0</v>
      </c>
      <c r="T584" s="112" t="s">
        <v>73</v>
      </c>
      <c r="U584" s="137" t="s">
        <v>1630</v>
      </c>
      <c r="V584" s="137" t="s">
        <v>1631</v>
      </c>
      <c r="W584" s="69">
        <f>LEN(V584)</f>
        <v>67</v>
      </c>
      <c r="X584" s="136">
        <v>0</v>
      </c>
      <c r="Y584" s="136">
        <v>3</v>
      </c>
      <c r="Z584" s="314"/>
      <c r="AA584" s="319">
        <v>0.5</v>
      </c>
      <c r="AB584" s="315" t="s">
        <v>5178</v>
      </c>
      <c r="AC584" s="319">
        <v>2</v>
      </c>
      <c r="AD584" s="320">
        <v>5.1282051282051197E-2</v>
      </c>
      <c r="AE584" s="319">
        <v>2</v>
      </c>
      <c r="AF584" s="320">
        <v>5.1282051282051197E-2</v>
      </c>
      <c r="AG584" s="319">
        <v>0</v>
      </c>
      <c r="AH584" s="320">
        <v>0</v>
      </c>
      <c r="AI584" s="319">
        <v>0</v>
      </c>
      <c r="AJ584" s="320">
        <v>0</v>
      </c>
      <c r="AK584" s="320">
        <v>0</v>
      </c>
      <c r="AL584" s="319">
        <v>5</v>
      </c>
      <c r="AM584" s="319">
        <v>5</v>
      </c>
      <c r="AN584" s="319">
        <v>4.6666666666666599</v>
      </c>
      <c r="AO584" s="319">
        <v>0.48888888888888798</v>
      </c>
      <c r="AR584" s="136"/>
      <c r="AS584">
        <v>3</v>
      </c>
      <c r="AT584" s="69">
        <v>2.3148</v>
      </c>
      <c r="AU584" s="69">
        <v>2.3148</v>
      </c>
      <c r="AV584" s="69">
        <v>8.1305999999999994</v>
      </c>
      <c r="AW584" s="69">
        <v>0.42530000000000001</v>
      </c>
      <c r="BB584" s="69"/>
    </row>
    <row r="585" spans="1:54" customFormat="1" ht="40" customHeight="1">
      <c r="A585" s="313">
        <v>584</v>
      </c>
      <c r="B585" s="136" t="s">
        <v>1628</v>
      </c>
      <c r="C585" s="136" t="s">
        <v>45</v>
      </c>
      <c r="D585" s="31">
        <f t="shared" si="42"/>
        <v>4</v>
      </c>
      <c r="E585" s="137" t="s">
        <v>80</v>
      </c>
      <c r="F585" s="31">
        <f t="shared" si="43"/>
        <v>4</v>
      </c>
      <c r="G585" s="137" t="s">
        <v>1632</v>
      </c>
      <c r="H585" s="138">
        <f>LEN(U585)</f>
        <v>96</v>
      </c>
      <c r="I585" s="158">
        <f t="shared" si="44"/>
        <v>0.36131612290433113</v>
      </c>
      <c r="J585" s="95">
        <v>4.0755880865028798E-4</v>
      </c>
      <c r="K585" s="137">
        <v>0.72222468700001197</v>
      </c>
      <c r="L585" s="137">
        <v>0.75</v>
      </c>
      <c r="M585" s="137">
        <v>0.68056171750003003</v>
      </c>
      <c r="N585" s="136">
        <v>1</v>
      </c>
      <c r="O585" s="32">
        <v>44127</v>
      </c>
      <c r="P585" s="98">
        <f t="shared" si="45"/>
        <v>1</v>
      </c>
      <c r="Q585">
        <v>2.5499999999999998</v>
      </c>
      <c r="R585">
        <v>4.95</v>
      </c>
      <c r="S585">
        <v>1.87</v>
      </c>
      <c r="T585" s="112" t="s">
        <v>73</v>
      </c>
      <c r="U585" s="137" t="s">
        <v>1633</v>
      </c>
      <c r="V585" s="137" t="s">
        <v>1634</v>
      </c>
      <c r="W585" s="69">
        <f>LEN(V585)</f>
        <v>65</v>
      </c>
      <c r="X585" s="136">
        <v>0</v>
      </c>
      <c r="Y585" s="136">
        <v>5</v>
      </c>
      <c r="Z585" s="314"/>
      <c r="AA585" s="319">
        <v>0.58399999999999996</v>
      </c>
      <c r="AB585" s="315" t="s">
        <v>5178</v>
      </c>
      <c r="AC585" s="319">
        <v>2</v>
      </c>
      <c r="AD585" s="320">
        <v>5.2631578947368397E-2</v>
      </c>
      <c r="AE585" s="319">
        <v>2</v>
      </c>
      <c r="AF585" s="320">
        <v>5.2631578947368397E-2</v>
      </c>
      <c r="AG585" s="319">
        <v>0</v>
      </c>
      <c r="AH585" s="320">
        <v>0</v>
      </c>
      <c r="AI585" s="319">
        <v>0</v>
      </c>
      <c r="AJ585" s="320">
        <v>0</v>
      </c>
      <c r="AK585" s="320">
        <v>0</v>
      </c>
      <c r="AL585" s="319">
        <v>6.75</v>
      </c>
      <c r="AM585" s="319">
        <v>6.2</v>
      </c>
      <c r="AN585" s="319">
        <v>7.3333333333333304</v>
      </c>
      <c r="AO585" s="319">
        <v>0.676111111111111</v>
      </c>
      <c r="AR585" s="136"/>
      <c r="AS585">
        <v>5</v>
      </c>
      <c r="AT585" s="69">
        <v>6.3414000000000001</v>
      </c>
      <c r="AU585" s="69">
        <v>5</v>
      </c>
      <c r="AV585" s="69">
        <v>9.8416999999999994</v>
      </c>
      <c r="AW585" s="69">
        <v>0.70609999999999995</v>
      </c>
      <c r="BB585" s="69"/>
    </row>
    <row r="586" spans="1:54" customFormat="1" ht="40" customHeight="1">
      <c r="A586" s="313">
        <v>585</v>
      </c>
      <c r="B586" s="136" t="s">
        <v>1628</v>
      </c>
      <c r="C586" s="136" t="s">
        <v>45</v>
      </c>
      <c r="D586" s="31">
        <f t="shared" si="42"/>
        <v>4</v>
      </c>
      <c r="E586" s="137" t="s">
        <v>46</v>
      </c>
      <c r="F586" s="31">
        <f t="shared" si="43"/>
        <v>6</v>
      </c>
      <c r="G586" s="137" t="s">
        <v>1635</v>
      </c>
      <c r="H586" s="138">
        <f>LEN(U586)</f>
        <v>91</v>
      </c>
      <c r="I586" s="158">
        <f t="shared" si="44"/>
        <v>0.40710045561584784</v>
      </c>
      <c r="J586" s="95">
        <v>1.31147958727373E-5</v>
      </c>
      <c r="K586" s="137">
        <v>0.81418779643582295</v>
      </c>
      <c r="L586" s="137">
        <v>0.82499999999999996</v>
      </c>
      <c r="M586" s="137">
        <v>0.79796949108955795</v>
      </c>
      <c r="N586" s="136">
        <v>0</v>
      </c>
      <c r="O586" s="32">
        <v>44061</v>
      </c>
      <c r="P586" s="98">
        <f t="shared" si="45"/>
        <v>1</v>
      </c>
      <c r="Q586">
        <v>2.5499999999999998</v>
      </c>
      <c r="R586">
        <v>6.6</v>
      </c>
      <c r="S586">
        <v>0</v>
      </c>
      <c r="T586" s="112" t="s">
        <v>73</v>
      </c>
      <c r="U586" s="137" t="s">
        <v>1636</v>
      </c>
      <c r="V586" s="137" t="s">
        <v>1637</v>
      </c>
      <c r="W586" s="69">
        <f>LEN(V586)</f>
        <v>71</v>
      </c>
      <c r="X586" s="136">
        <v>0</v>
      </c>
      <c r="Y586" s="136">
        <v>2</v>
      </c>
      <c r="Z586" s="314"/>
      <c r="AA586" s="319">
        <v>0.45454545454545398</v>
      </c>
      <c r="AB586" s="315" t="s">
        <v>5176</v>
      </c>
      <c r="AC586" s="319">
        <v>1</v>
      </c>
      <c r="AD586" s="320">
        <v>2.5000000000000001E-2</v>
      </c>
      <c r="AE586" s="319">
        <v>3</v>
      </c>
      <c r="AF586" s="320">
        <v>7.4999999999999997E-2</v>
      </c>
      <c r="AG586" s="319">
        <v>0</v>
      </c>
      <c r="AH586" s="320">
        <v>0</v>
      </c>
      <c r="AI586" s="319">
        <v>0</v>
      </c>
      <c r="AJ586" s="320">
        <v>0</v>
      </c>
      <c r="AK586" s="320">
        <v>2.5000000000000001E-2</v>
      </c>
      <c r="AL586" s="319">
        <v>6.75</v>
      </c>
      <c r="AM586" s="319">
        <v>5</v>
      </c>
      <c r="AN586" s="319">
        <v>2</v>
      </c>
      <c r="AO586" s="319">
        <v>0.45833333333333298</v>
      </c>
      <c r="AR586" s="136"/>
      <c r="AS586">
        <v>2</v>
      </c>
      <c r="AT586" s="69">
        <v>6.3414000000000001</v>
      </c>
      <c r="AU586" s="69">
        <v>2.3148</v>
      </c>
      <c r="AV586" s="69">
        <v>2.3148</v>
      </c>
      <c r="AW586" s="69">
        <v>0.36570000000000003</v>
      </c>
      <c r="BB586" s="69"/>
    </row>
    <row r="587" spans="1:54" customFormat="1" ht="40" customHeight="1">
      <c r="A587" s="313">
        <v>586</v>
      </c>
      <c r="B587" s="136" t="s">
        <v>1628</v>
      </c>
      <c r="C587" s="136" t="s">
        <v>45</v>
      </c>
      <c r="D587" s="31">
        <f t="shared" si="42"/>
        <v>4</v>
      </c>
      <c r="E587" s="137" t="s">
        <v>80</v>
      </c>
      <c r="F587" s="31">
        <f t="shared" si="43"/>
        <v>4</v>
      </c>
      <c r="G587" s="137" t="s">
        <v>1638</v>
      </c>
      <c r="H587" s="138">
        <f>LEN(U587)</f>
        <v>46</v>
      </c>
      <c r="I587" s="158">
        <f t="shared" si="44"/>
        <v>0.89232043690128204</v>
      </c>
      <c r="J587" s="95">
        <v>0.99178373094542105</v>
      </c>
      <c r="K587" s="137">
        <v>0.79285714285714304</v>
      </c>
      <c r="L587" s="137">
        <v>0.75</v>
      </c>
      <c r="M587" s="137">
        <v>0.85714285714285698</v>
      </c>
      <c r="N587" s="136">
        <v>1</v>
      </c>
      <c r="O587" s="32">
        <v>44033</v>
      </c>
      <c r="P587" s="98">
        <f t="shared" si="45"/>
        <v>0</v>
      </c>
      <c r="Q587">
        <v>2.5499999999999998</v>
      </c>
      <c r="R587">
        <v>4.95</v>
      </c>
      <c r="S587">
        <v>0</v>
      </c>
      <c r="T587" s="112" t="s">
        <v>48</v>
      </c>
      <c r="U587" s="137" t="s">
        <v>1639</v>
      </c>
      <c r="V587" s="137" t="s">
        <v>1640</v>
      </c>
      <c r="W587" s="69">
        <f>LEN(V587)</f>
        <v>61</v>
      </c>
      <c r="X587" s="136">
        <v>0</v>
      </c>
      <c r="Y587" s="136">
        <v>1</v>
      </c>
      <c r="Z587" s="314"/>
      <c r="AA587" s="319">
        <v>0.54500000000000004</v>
      </c>
      <c r="AB587" s="315" t="s">
        <v>5176</v>
      </c>
      <c r="AC587" s="319">
        <v>0</v>
      </c>
      <c r="AD587" s="320">
        <v>0</v>
      </c>
      <c r="AE587" s="319">
        <v>2</v>
      </c>
      <c r="AF587" s="320">
        <v>5.2631578947368397E-2</v>
      </c>
      <c r="AG587" s="319">
        <v>0</v>
      </c>
      <c r="AH587" s="320">
        <v>0</v>
      </c>
      <c r="AI587" s="319">
        <v>0</v>
      </c>
      <c r="AJ587" s="320">
        <v>0</v>
      </c>
      <c r="AK587" s="320">
        <v>2.6315789473684209E-2</v>
      </c>
      <c r="AL587" s="319">
        <v>6.75</v>
      </c>
      <c r="AM587" s="319">
        <v>5</v>
      </c>
      <c r="AN587" s="319">
        <v>6.1666666666666599</v>
      </c>
      <c r="AO587" s="319">
        <v>0.59722222222222199</v>
      </c>
      <c r="AR587" s="136"/>
      <c r="AS587">
        <v>1</v>
      </c>
      <c r="AT587" s="69">
        <v>6.3414000000000001</v>
      </c>
      <c r="AU587" s="69">
        <v>2.3148</v>
      </c>
      <c r="AV587" s="69">
        <v>9.5120000000000005</v>
      </c>
      <c r="AW587" s="69">
        <v>0.60560000000000003</v>
      </c>
      <c r="BB587" s="69"/>
    </row>
    <row r="588" spans="1:54" customFormat="1" ht="40" customHeight="1">
      <c r="A588" s="313">
        <v>587</v>
      </c>
      <c r="B588" s="136" t="s">
        <v>1628</v>
      </c>
      <c r="C588" s="136" t="s">
        <v>45</v>
      </c>
      <c r="D588" s="31">
        <f t="shared" si="42"/>
        <v>4</v>
      </c>
      <c r="E588" s="137" t="s">
        <v>221</v>
      </c>
      <c r="F588" s="31">
        <f t="shared" si="43"/>
        <v>2</v>
      </c>
      <c r="G588" s="137" t="s">
        <v>1641</v>
      </c>
      <c r="H588" s="138">
        <f>LEN(U588)</f>
        <v>49</v>
      </c>
      <c r="I588" s="158">
        <f t="shared" si="44"/>
        <v>0.3846166112853458</v>
      </c>
      <c r="J588" s="95">
        <v>4.5426134868575802E-5</v>
      </c>
      <c r="K588" s="137">
        <v>0.76918779643582302</v>
      </c>
      <c r="L588" s="137">
        <v>0.75</v>
      </c>
      <c r="M588" s="137">
        <v>0.79796949108955795</v>
      </c>
      <c r="N588" s="136">
        <v>1</v>
      </c>
      <c r="O588" s="32">
        <v>44011</v>
      </c>
      <c r="P588" s="98">
        <f t="shared" si="45"/>
        <v>1</v>
      </c>
      <c r="Q588">
        <v>0</v>
      </c>
      <c r="R588">
        <v>3.3</v>
      </c>
      <c r="S588">
        <v>0</v>
      </c>
      <c r="T588" s="112" t="s">
        <v>73</v>
      </c>
      <c r="U588" s="137" t="s">
        <v>1642</v>
      </c>
      <c r="V588" s="137" t="s">
        <v>1643</v>
      </c>
      <c r="W588" s="69">
        <f>LEN(V588)</f>
        <v>63</v>
      </c>
      <c r="X588" s="136">
        <v>0</v>
      </c>
      <c r="Y588" s="136">
        <v>2</v>
      </c>
      <c r="Z588" s="314"/>
      <c r="AA588" s="319">
        <v>0.5</v>
      </c>
      <c r="AB588" s="315" t="s">
        <v>5176</v>
      </c>
      <c r="AC588" s="319">
        <v>1</v>
      </c>
      <c r="AD588" s="320">
        <v>2.7027027027027001E-2</v>
      </c>
      <c r="AE588" s="319">
        <v>2</v>
      </c>
      <c r="AF588" s="320">
        <v>5.4054054054054002E-2</v>
      </c>
      <c r="AG588" s="319">
        <v>0</v>
      </c>
      <c r="AH588" s="320">
        <v>0</v>
      </c>
      <c r="AI588" s="319">
        <v>0</v>
      </c>
      <c r="AJ588" s="320">
        <v>0</v>
      </c>
      <c r="AK588" s="320">
        <v>2.7027027027027029E-2</v>
      </c>
      <c r="AL588" s="319">
        <v>5</v>
      </c>
      <c r="AM588" s="319">
        <v>5</v>
      </c>
      <c r="AN588" s="319">
        <v>3.5</v>
      </c>
      <c r="AO588" s="319">
        <v>0.45</v>
      </c>
      <c r="AR588" s="136"/>
      <c r="AS588">
        <v>2</v>
      </c>
      <c r="AT588" s="69">
        <v>2.3148</v>
      </c>
      <c r="AU588" s="69">
        <v>2.3148</v>
      </c>
      <c r="AV588" s="69">
        <v>5.7443999999999997</v>
      </c>
      <c r="AW588" s="69">
        <v>0.3458</v>
      </c>
      <c r="BB588" s="69"/>
    </row>
    <row r="589" spans="1:54" customFormat="1" ht="40" customHeight="1">
      <c r="A589" s="313">
        <v>588</v>
      </c>
      <c r="B589" s="136" t="s">
        <v>1628</v>
      </c>
      <c r="C589" s="136" t="s">
        <v>45</v>
      </c>
      <c r="D589" s="31">
        <f t="shared" si="42"/>
        <v>4</v>
      </c>
      <c r="E589" s="137" t="s">
        <v>46</v>
      </c>
      <c r="F589" s="31">
        <f t="shared" si="43"/>
        <v>6</v>
      </c>
      <c r="G589" s="137" t="s">
        <v>1644</v>
      </c>
      <c r="H589" s="138">
        <v>446</v>
      </c>
      <c r="I589" s="158">
        <f t="shared" si="44"/>
        <v>0.79920341931521954</v>
      </c>
      <c r="J589" s="95">
        <v>0.99980444681799596</v>
      </c>
      <c r="K589" s="137">
        <v>0.59860239181244301</v>
      </c>
      <c r="L589" s="137">
        <v>0.465690992294366</v>
      </c>
      <c r="M589" s="137">
        <v>0.79796949108955795</v>
      </c>
      <c r="N589" s="136">
        <v>1</v>
      </c>
      <c r="O589" s="32">
        <v>43968</v>
      </c>
      <c r="P589" s="98">
        <f t="shared" si="45"/>
        <v>0</v>
      </c>
      <c r="Q589">
        <v>2.5499999999999998</v>
      </c>
      <c r="R589">
        <v>1.65</v>
      </c>
      <c r="S589">
        <v>0</v>
      </c>
      <c r="T589" s="112" t="s">
        <v>48</v>
      </c>
      <c r="U589" s="137" t="s">
        <v>1645</v>
      </c>
      <c r="V589" s="137" t="s">
        <v>1646</v>
      </c>
      <c r="W589" s="69">
        <v>239</v>
      </c>
      <c r="X589" s="136">
        <v>1</v>
      </c>
      <c r="Y589" s="136">
        <v>2</v>
      </c>
      <c r="Z589" s="314"/>
      <c r="AA589" s="319">
        <v>0.66549999999999998</v>
      </c>
      <c r="AB589" s="315" t="s">
        <v>5165</v>
      </c>
      <c r="AC589" s="319">
        <v>1</v>
      </c>
      <c r="AD589" s="320">
        <v>6.8493150684931503E-3</v>
      </c>
      <c r="AE589" s="319">
        <v>0</v>
      </c>
      <c r="AF589" s="320">
        <v>0</v>
      </c>
      <c r="AG589" s="319">
        <v>0</v>
      </c>
      <c r="AH589" s="320">
        <v>0</v>
      </c>
      <c r="AI589" s="319">
        <v>0</v>
      </c>
      <c r="AJ589" s="320">
        <v>0</v>
      </c>
      <c r="AK589" s="320">
        <v>6.8493150684931503E-3</v>
      </c>
      <c r="AL589" s="319">
        <v>5</v>
      </c>
      <c r="AM589" s="319">
        <v>6.2</v>
      </c>
      <c r="AN589" s="319">
        <v>6.1666666666666599</v>
      </c>
      <c r="AO589" s="319">
        <v>0.57888888888888801</v>
      </c>
      <c r="AP589">
        <v>2</v>
      </c>
      <c r="AR589" s="136">
        <v>2</v>
      </c>
      <c r="AT589" s="69">
        <v>2.3148</v>
      </c>
      <c r="AU589" s="69">
        <v>5</v>
      </c>
      <c r="AV589" s="69">
        <v>9.5120000000000005</v>
      </c>
      <c r="AW589" s="69">
        <v>0.56089999999999995</v>
      </c>
      <c r="BB589" s="69"/>
    </row>
    <row r="590" spans="1:54" customFormat="1" ht="40" customHeight="1">
      <c r="A590" s="313">
        <v>589</v>
      </c>
      <c r="B590" s="136" t="s">
        <v>1628</v>
      </c>
      <c r="C590" s="136" t="s">
        <v>45</v>
      </c>
      <c r="D590" s="31">
        <f t="shared" si="42"/>
        <v>4</v>
      </c>
      <c r="E590" s="137" t="s">
        <v>80</v>
      </c>
      <c r="F590" s="31">
        <f t="shared" si="43"/>
        <v>4</v>
      </c>
      <c r="G590" s="137" t="s">
        <v>1647</v>
      </c>
      <c r="H590" s="138">
        <v>50</v>
      </c>
      <c r="I590" s="158">
        <f t="shared" si="44"/>
        <v>0.69254897827335049</v>
      </c>
      <c r="J590" s="95">
        <v>0.54724081368955801</v>
      </c>
      <c r="K590" s="137">
        <v>0.83785714285714297</v>
      </c>
      <c r="L590" s="137">
        <v>0.82499999999999996</v>
      </c>
      <c r="M590" s="137">
        <v>0.85714285714285698</v>
      </c>
      <c r="N590" s="136">
        <v>1</v>
      </c>
      <c r="O590" s="32">
        <v>43913</v>
      </c>
      <c r="P590" s="98">
        <f t="shared" si="45"/>
        <v>0</v>
      </c>
      <c r="Q590">
        <v>5.0999999999999996</v>
      </c>
      <c r="R590">
        <v>1.65</v>
      </c>
      <c r="S590">
        <v>0</v>
      </c>
      <c r="T590" s="112" t="s">
        <v>48</v>
      </c>
      <c r="U590" s="137" t="s">
        <v>1648</v>
      </c>
      <c r="V590" s="137" t="s">
        <v>5184</v>
      </c>
      <c r="W590" s="69">
        <v>77</v>
      </c>
      <c r="X590" s="136">
        <v>2</v>
      </c>
      <c r="Y590" s="136">
        <v>1</v>
      </c>
      <c r="Z590" s="314"/>
      <c r="AA590" s="319">
        <v>0.54500000000000004</v>
      </c>
      <c r="AB590" s="315" t="s">
        <v>5176</v>
      </c>
      <c r="AC590" s="319">
        <v>0</v>
      </c>
      <c r="AD590" s="320">
        <v>0</v>
      </c>
      <c r="AE590" s="319">
        <v>2</v>
      </c>
      <c r="AF590" s="320">
        <v>4.7619047619047603E-2</v>
      </c>
      <c r="AG590" s="319">
        <v>0</v>
      </c>
      <c r="AH590" s="320">
        <v>0</v>
      </c>
      <c r="AI590" s="319">
        <v>0</v>
      </c>
      <c r="AJ590" s="320">
        <v>0</v>
      </c>
      <c r="AK590" s="320">
        <v>0</v>
      </c>
      <c r="AL590" s="319">
        <v>6.75</v>
      </c>
      <c r="AM590" s="319">
        <v>5</v>
      </c>
      <c r="AN590" s="319">
        <v>7.3333333333333304</v>
      </c>
      <c r="AO590" s="319">
        <v>0.63611111111111096</v>
      </c>
      <c r="AP590">
        <v>1</v>
      </c>
      <c r="AR590" s="136"/>
      <c r="AS590">
        <v>1</v>
      </c>
      <c r="AT590" s="69">
        <v>6.3414000000000001</v>
      </c>
      <c r="AU590" s="69">
        <v>2.3148</v>
      </c>
      <c r="AV590" s="69">
        <v>9.8416999999999994</v>
      </c>
      <c r="AW590" s="69">
        <v>0.61660000000000004</v>
      </c>
      <c r="BB590" s="69"/>
    </row>
    <row r="591" spans="1:54" customFormat="1" ht="40" customHeight="1">
      <c r="A591" s="313">
        <v>590</v>
      </c>
      <c r="B591" s="136" t="s">
        <v>1628</v>
      </c>
      <c r="C591" s="136" t="s">
        <v>45</v>
      </c>
      <c r="D591" s="31">
        <f t="shared" si="42"/>
        <v>4</v>
      </c>
      <c r="E591" s="137" t="s">
        <v>221</v>
      </c>
      <c r="F591" s="31">
        <f t="shared" si="43"/>
        <v>2</v>
      </c>
      <c r="G591" s="137" t="s">
        <v>1650</v>
      </c>
      <c r="H591" s="138">
        <v>83</v>
      </c>
      <c r="I591" s="158">
        <f t="shared" si="44"/>
        <v>0.87205258124900298</v>
      </c>
      <c r="J591" s="95">
        <v>0.99307949435908505</v>
      </c>
      <c r="K591" s="137">
        <v>0.75102566813892102</v>
      </c>
      <c r="L591" s="137">
        <v>0.75</v>
      </c>
      <c r="M591" s="137">
        <v>0.75256417034730305</v>
      </c>
      <c r="N591" s="136">
        <v>1</v>
      </c>
      <c r="O591" s="32">
        <v>43611</v>
      </c>
      <c r="P591" s="98">
        <f t="shared" si="45"/>
        <v>0</v>
      </c>
      <c r="Q591">
        <v>5.0999999999999996</v>
      </c>
      <c r="R591">
        <v>0</v>
      </c>
      <c r="S591">
        <v>0</v>
      </c>
      <c r="T591" s="112" t="s">
        <v>48</v>
      </c>
      <c r="U591" s="137" t="s">
        <v>1651</v>
      </c>
      <c r="V591" s="137" t="s">
        <v>1651</v>
      </c>
      <c r="W591" s="69">
        <v>83</v>
      </c>
      <c r="X591" s="136">
        <v>1</v>
      </c>
      <c r="Y591" s="136">
        <v>3</v>
      </c>
      <c r="Z591" s="314"/>
      <c r="AA591" s="319">
        <v>0.5</v>
      </c>
      <c r="AB591" s="315" t="s">
        <v>5165</v>
      </c>
      <c r="AC591" s="319">
        <v>2</v>
      </c>
      <c r="AD591" s="320">
        <v>0.04</v>
      </c>
      <c r="AE591" s="319">
        <v>0</v>
      </c>
      <c r="AF591" s="320">
        <v>0</v>
      </c>
      <c r="AG591" s="319">
        <v>0</v>
      </c>
      <c r="AH591" s="320">
        <v>0</v>
      </c>
      <c r="AI591" s="319">
        <v>0</v>
      </c>
      <c r="AJ591" s="320">
        <v>0</v>
      </c>
      <c r="AK591" s="320">
        <v>0</v>
      </c>
      <c r="AL591" s="319">
        <v>5</v>
      </c>
      <c r="AM591" s="319">
        <v>5</v>
      </c>
      <c r="AN591" s="319">
        <v>2</v>
      </c>
      <c r="AO591" s="319">
        <v>0.4</v>
      </c>
      <c r="AP591">
        <v>3</v>
      </c>
      <c r="AR591" s="136">
        <v>3</v>
      </c>
      <c r="AT591" s="69">
        <v>2.3148</v>
      </c>
      <c r="AU591" s="69">
        <v>2.3148</v>
      </c>
      <c r="AV591" s="69">
        <v>2.3148</v>
      </c>
      <c r="AW591" s="69">
        <v>0.23150000000000001</v>
      </c>
      <c r="BB591" s="69"/>
    </row>
    <row r="592" spans="1:54" customFormat="1" ht="40" customHeight="1">
      <c r="A592" s="313">
        <v>591</v>
      </c>
      <c r="B592" s="136" t="s">
        <v>1628</v>
      </c>
      <c r="C592" s="136" t="s">
        <v>45</v>
      </c>
      <c r="D592" s="31">
        <f t="shared" si="42"/>
        <v>4</v>
      </c>
      <c r="E592" s="137" t="s">
        <v>46</v>
      </c>
      <c r="F592" s="31">
        <f t="shared" si="43"/>
        <v>6</v>
      </c>
      <c r="G592" s="137" t="s">
        <v>1652</v>
      </c>
      <c r="H592" s="138">
        <v>123</v>
      </c>
      <c r="I592" s="158">
        <f t="shared" si="44"/>
        <v>0.34745196436036851</v>
      </c>
      <c r="J592" s="95">
        <v>9.8733915542048605E-5</v>
      </c>
      <c r="K592" s="137">
        <v>0.69480519480519498</v>
      </c>
      <c r="L592" s="137">
        <v>0.68181818181818199</v>
      </c>
      <c r="M592" s="137">
        <v>0.71428571428571397</v>
      </c>
      <c r="N592" s="136">
        <v>0</v>
      </c>
      <c r="O592" s="32">
        <v>43413</v>
      </c>
      <c r="P592" s="98">
        <f t="shared" si="45"/>
        <v>0</v>
      </c>
      <c r="Q592">
        <v>7.65</v>
      </c>
      <c r="R592">
        <v>0</v>
      </c>
      <c r="S592">
        <v>0</v>
      </c>
      <c r="T592" s="112" t="s">
        <v>48</v>
      </c>
      <c r="U592" s="137" t="s">
        <v>1653</v>
      </c>
      <c r="V592" s="137" t="s">
        <v>1654</v>
      </c>
      <c r="W592" s="69">
        <v>29</v>
      </c>
      <c r="X592" s="136">
        <v>1</v>
      </c>
      <c r="Y592" s="136">
        <v>4</v>
      </c>
      <c r="Z592" s="314"/>
      <c r="AA592" s="319">
        <v>0.60499999999999998</v>
      </c>
      <c r="AB592" s="315" t="s">
        <v>5165</v>
      </c>
      <c r="AC592" s="319">
        <v>1</v>
      </c>
      <c r="AD592" s="320">
        <v>5.5555555555555497E-2</v>
      </c>
      <c r="AE592" s="319">
        <v>0</v>
      </c>
      <c r="AF592" s="320">
        <v>0</v>
      </c>
      <c r="AG592" s="319">
        <v>0</v>
      </c>
      <c r="AH592" s="320">
        <v>0</v>
      </c>
      <c r="AI592" s="319">
        <v>0</v>
      </c>
      <c r="AJ592" s="320">
        <v>0</v>
      </c>
      <c r="AK592" s="320">
        <v>0</v>
      </c>
      <c r="AL592" s="319">
        <v>5</v>
      </c>
      <c r="AM592" s="319">
        <v>5</v>
      </c>
      <c r="AN592" s="319">
        <v>4.6666666666666599</v>
      </c>
      <c r="AO592" s="319">
        <v>0.48888888888888798</v>
      </c>
      <c r="AP592">
        <v>4</v>
      </c>
      <c r="AQ592">
        <v>4</v>
      </c>
      <c r="AR592" s="136"/>
      <c r="AT592" s="69">
        <v>2.3148</v>
      </c>
      <c r="AU592" s="69">
        <v>2.3148</v>
      </c>
      <c r="AV592" s="69">
        <v>8.1305999999999994</v>
      </c>
      <c r="AW592" s="69">
        <v>0.42530000000000001</v>
      </c>
      <c r="BB592" s="69"/>
    </row>
    <row r="593" spans="1:54" customFormat="1" ht="40" customHeight="1">
      <c r="A593" s="313">
        <v>592</v>
      </c>
      <c r="B593" s="136" t="s">
        <v>1628</v>
      </c>
      <c r="C593" s="136" t="s">
        <v>45</v>
      </c>
      <c r="D593" s="31">
        <f t="shared" si="42"/>
        <v>4</v>
      </c>
      <c r="E593" s="137" t="s">
        <v>80</v>
      </c>
      <c r="F593" s="31">
        <f t="shared" si="43"/>
        <v>4</v>
      </c>
      <c r="G593" s="137" t="s">
        <v>1655</v>
      </c>
      <c r="H593" s="138">
        <v>75</v>
      </c>
      <c r="I593" s="158">
        <f t="shared" si="44"/>
        <v>0.34127451744310761</v>
      </c>
      <c r="J593" s="95">
        <v>1.2334387952942501E-3</v>
      </c>
      <c r="K593" s="137">
        <v>0.68131559609092096</v>
      </c>
      <c r="L593" s="137">
        <v>0.68181818181818199</v>
      </c>
      <c r="M593" s="137">
        <v>0.68056171750003003</v>
      </c>
      <c r="N593" s="136">
        <v>0</v>
      </c>
      <c r="O593" s="32">
        <v>43399</v>
      </c>
      <c r="P593" s="98">
        <f t="shared" si="45"/>
        <v>1</v>
      </c>
      <c r="Q593">
        <v>0</v>
      </c>
      <c r="R593">
        <v>1.65</v>
      </c>
      <c r="S593">
        <v>0</v>
      </c>
      <c r="T593" s="112" t="s">
        <v>73</v>
      </c>
      <c r="U593" s="137" t="s">
        <v>1656</v>
      </c>
      <c r="V593" s="137" t="s">
        <v>1657</v>
      </c>
      <c r="W593" s="69">
        <v>33</v>
      </c>
      <c r="X593" s="136">
        <v>2</v>
      </c>
      <c r="Y593" s="136">
        <v>5</v>
      </c>
      <c r="Z593" s="314"/>
      <c r="AA593" s="319">
        <v>0.5</v>
      </c>
      <c r="AB593" s="315" t="s">
        <v>5178</v>
      </c>
      <c r="AC593" s="319">
        <v>1</v>
      </c>
      <c r="AD593" s="320">
        <v>0.05</v>
      </c>
      <c r="AE593" s="319">
        <v>1</v>
      </c>
      <c r="AF593" s="320">
        <v>0.05</v>
      </c>
      <c r="AG593" s="319">
        <v>0</v>
      </c>
      <c r="AH593" s="320">
        <v>0</v>
      </c>
      <c r="AI593" s="319">
        <v>0</v>
      </c>
      <c r="AJ593" s="320">
        <v>0</v>
      </c>
      <c r="AK593" s="320">
        <v>0.05</v>
      </c>
      <c r="AL593" s="319">
        <v>5</v>
      </c>
      <c r="AM593" s="319">
        <v>5</v>
      </c>
      <c r="AN593" s="319">
        <v>3.5</v>
      </c>
      <c r="AO593" s="319">
        <v>0.45</v>
      </c>
      <c r="AP593">
        <v>5</v>
      </c>
      <c r="AR593" s="136"/>
      <c r="AS593">
        <v>5</v>
      </c>
      <c r="AT593" s="69">
        <v>2.3148</v>
      </c>
      <c r="AU593" s="69">
        <v>2.3148</v>
      </c>
      <c r="AV593" s="69">
        <v>5.7443999999999997</v>
      </c>
      <c r="AW593" s="69">
        <v>0.3458</v>
      </c>
      <c r="BB593" s="69"/>
    </row>
    <row r="594" spans="1:54" customFormat="1" ht="40" customHeight="1">
      <c r="A594" s="313">
        <v>593</v>
      </c>
      <c r="B594" s="136" t="s">
        <v>1628</v>
      </c>
      <c r="C594" s="136" t="s">
        <v>59</v>
      </c>
      <c r="D594" s="31">
        <f t="shared" si="42"/>
        <v>5</v>
      </c>
      <c r="E594" s="137" t="s">
        <v>46</v>
      </c>
      <c r="F594" s="31">
        <f t="shared" si="43"/>
        <v>6</v>
      </c>
      <c r="G594" s="137" t="s">
        <v>1658</v>
      </c>
      <c r="H594" s="138">
        <v>389</v>
      </c>
      <c r="I594" s="158">
        <f t="shared" si="44"/>
        <v>0.19088129873951962</v>
      </c>
      <c r="J594" s="95">
        <v>3.1366377322150598E-6</v>
      </c>
      <c r="K594" s="137">
        <v>0.38175946084130702</v>
      </c>
      <c r="L594" s="137">
        <v>0.23897311328276699</v>
      </c>
      <c r="M594" s="137">
        <v>0.59593898217911601</v>
      </c>
      <c r="N594" s="136">
        <v>1</v>
      </c>
      <c r="O594" s="32">
        <v>43395</v>
      </c>
      <c r="P594" s="98">
        <f t="shared" si="45"/>
        <v>1</v>
      </c>
      <c r="Q594">
        <v>0</v>
      </c>
      <c r="R594">
        <v>1.65</v>
      </c>
      <c r="S594">
        <v>0</v>
      </c>
      <c r="T594" s="112" t="s">
        <v>73</v>
      </c>
      <c r="U594" s="137" t="s">
        <v>5185</v>
      </c>
      <c r="V594" s="137" t="s">
        <v>1659</v>
      </c>
      <c r="W594" s="69">
        <v>20</v>
      </c>
      <c r="X594" s="136">
        <v>4</v>
      </c>
      <c r="Y594" s="136">
        <v>8</v>
      </c>
      <c r="Z594" s="314"/>
      <c r="AA594" s="319">
        <v>3.34859573256387E-6</v>
      </c>
      <c r="AB594" s="315" t="s">
        <v>5176</v>
      </c>
      <c r="AC594" s="319">
        <v>0</v>
      </c>
      <c r="AD594" s="320">
        <v>0</v>
      </c>
      <c r="AE594" s="319">
        <v>1</v>
      </c>
      <c r="AF594" s="320">
        <v>8.3333333333333301E-2</v>
      </c>
      <c r="AG594" s="319">
        <v>0</v>
      </c>
      <c r="AH594" s="320">
        <v>0</v>
      </c>
      <c r="AI594" s="319">
        <v>0</v>
      </c>
      <c r="AJ594" s="320">
        <v>0</v>
      </c>
      <c r="AK594" s="320">
        <v>0</v>
      </c>
      <c r="AL594" s="319">
        <v>5</v>
      </c>
      <c r="AM594" s="319">
        <v>6.2</v>
      </c>
      <c r="AN594" s="319">
        <v>7.6666666666666599</v>
      </c>
      <c r="AO594" s="319">
        <v>0.62888888888888805</v>
      </c>
      <c r="AP594">
        <v>8</v>
      </c>
      <c r="AR594" s="136">
        <v>8</v>
      </c>
      <c r="AT594" s="69">
        <v>2.3148</v>
      </c>
      <c r="AU594" s="69">
        <v>5</v>
      </c>
      <c r="AV594" s="69">
        <v>9.8867999999999991</v>
      </c>
      <c r="AW594" s="69">
        <v>0.57340000000000002</v>
      </c>
      <c r="BB594" s="69"/>
    </row>
    <row r="595" spans="1:54" customFormat="1" ht="40" customHeight="1">
      <c r="A595" s="313">
        <v>594</v>
      </c>
      <c r="B595" s="136" t="s">
        <v>1628</v>
      </c>
      <c r="C595" s="136" t="s">
        <v>45</v>
      </c>
      <c r="D595" s="31">
        <f t="shared" si="42"/>
        <v>4</v>
      </c>
      <c r="E595" s="137" t="s">
        <v>80</v>
      </c>
      <c r="F595" s="31">
        <f t="shared" si="43"/>
        <v>4</v>
      </c>
      <c r="G595" s="137" t="s">
        <v>200</v>
      </c>
      <c r="H595" s="138">
        <v>47</v>
      </c>
      <c r="I595" s="158">
        <f t="shared" si="44"/>
        <v>0.39643458133661352</v>
      </c>
      <c r="J595" s="95">
        <v>1.2019816084007899E-5</v>
      </c>
      <c r="K595" s="137">
        <v>0.79285714285714304</v>
      </c>
      <c r="L595" s="137">
        <v>0.75</v>
      </c>
      <c r="M595" s="137">
        <v>0.85714285714285698</v>
      </c>
      <c r="N595" s="136">
        <v>1</v>
      </c>
      <c r="O595" s="32">
        <v>43230</v>
      </c>
      <c r="P595" s="98">
        <f t="shared" si="45"/>
        <v>0</v>
      </c>
      <c r="Q595">
        <v>5.0999999999999996</v>
      </c>
      <c r="R595">
        <v>0</v>
      </c>
      <c r="S595">
        <v>0</v>
      </c>
      <c r="T595" s="112" t="s">
        <v>48</v>
      </c>
      <c r="U595" s="137" t="s">
        <v>1660</v>
      </c>
      <c r="V595" s="137" t="s">
        <v>1661</v>
      </c>
      <c r="W595" s="69">
        <v>121</v>
      </c>
      <c r="X595" s="136">
        <v>1</v>
      </c>
      <c r="Y595" s="136">
        <v>1</v>
      </c>
      <c r="Z595" s="314"/>
      <c r="AA595" s="319">
        <v>0.54500000000000004</v>
      </c>
      <c r="AB595" s="315" t="s">
        <v>5193</v>
      </c>
      <c r="AC595" s="319">
        <v>2</v>
      </c>
      <c r="AD595" s="320">
        <v>2.94117647058823E-2</v>
      </c>
      <c r="AE595" s="319">
        <v>2</v>
      </c>
      <c r="AF595" s="320">
        <v>2.94117647058823E-2</v>
      </c>
      <c r="AG595" s="319">
        <v>1</v>
      </c>
      <c r="AH595" s="320">
        <v>1.47058823529411E-2</v>
      </c>
      <c r="AI595" s="319">
        <v>2</v>
      </c>
      <c r="AJ595" s="320">
        <v>2.94117647058823E-2</v>
      </c>
      <c r="AK595" s="320">
        <v>1.470588235294118E-2</v>
      </c>
      <c r="AL595" s="319">
        <v>6.75</v>
      </c>
      <c r="AM595" s="319">
        <v>5</v>
      </c>
      <c r="AN595" s="319">
        <v>7.3333333333333304</v>
      </c>
      <c r="AO595" s="319">
        <v>0.63611111111111096</v>
      </c>
      <c r="AP595">
        <v>1</v>
      </c>
      <c r="AR595" s="136">
        <v>1</v>
      </c>
      <c r="AT595" s="69">
        <v>6.3414000000000001</v>
      </c>
      <c r="AU595" s="69">
        <v>2.3148</v>
      </c>
      <c r="AV595" s="69">
        <v>9.8416999999999994</v>
      </c>
      <c r="AW595" s="69">
        <v>0.61660000000000004</v>
      </c>
      <c r="BB595" s="69"/>
    </row>
    <row r="596" spans="1:54" customFormat="1" ht="40" customHeight="1">
      <c r="A596" s="313">
        <v>595</v>
      </c>
      <c r="B596" s="136" t="s">
        <v>1628</v>
      </c>
      <c r="C596" s="136" t="s">
        <v>45</v>
      </c>
      <c r="D596" s="31">
        <f t="shared" si="42"/>
        <v>4</v>
      </c>
      <c r="E596" s="137" t="s">
        <v>46</v>
      </c>
      <c r="F596" s="31">
        <f t="shared" si="43"/>
        <v>6</v>
      </c>
      <c r="G596" s="137" t="s">
        <v>1662</v>
      </c>
      <c r="H596" s="138">
        <v>69</v>
      </c>
      <c r="I596" s="158">
        <f t="shared" si="44"/>
        <v>0.40084653542361903</v>
      </c>
      <c r="J596" s="95">
        <v>4.6663913291991099E-2</v>
      </c>
      <c r="K596" s="137">
        <v>0.75502915755524702</v>
      </c>
      <c r="L596" s="137">
        <v>0.82499999999999996</v>
      </c>
      <c r="M596" s="137">
        <v>0.65007289388811795</v>
      </c>
      <c r="N596" s="136">
        <v>1</v>
      </c>
      <c r="O596" s="32">
        <v>43218</v>
      </c>
      <c r="P596" s="98">
        <f t="shared" si="45"/>
        <v>1</v>
      </c>
      <c r="Q596">
        <v>0</v>
      </c>
      <c r="R596">
        <v>0</v>
      </c>
      <c r="S596">
        <v>0</v>
      </c>
      <c r="T596" s="112" t="s">
        <v>73</v>
      </c>
      <c r="U596" s="137" t="s">
        <v>1663</v>
      </c>
      <c r="V596" s="137" t="s">
        <v>1664</v>
      </c>
      <c r="W596" s="69">
        <v>116</v>
      </c>
      <c r="X596" s="136">
        <v>2</v>
      </c>
      <c r="Y596" s="136">
        <v>6</v>
      </c>
      <c r="Z596" s="314"/>
      <c r="AA596" s="319">
        <v>0.45454545454545398</v>
      </c>
      <c r="AB596" s="315" t="s">
        <v>5176</v>
      </c>
      <c r="AC596" s="319">
        <v>0</v>
      </c>
      <c r="AD596" s="320">
        <v>0</v>
      </c>
      <c r="AE596" s="319">
        <v>3</v>
      </c>
      <c r="AF596" s="320">
        <v>4.3478260869565202E-2</v>
      </c>
      <c r="AG596" s="319">
        <v>2</v>
      </c>
      <c r="AH596" s="320">
        <v>2.8985507246376802E-2</v>
      </c>
      <c r="AI596" s="319">
        <v>0</v>
      </c>
      <c r="AJ596" s="320">
        <v>0</v>
      </c>
      <c r="AK596" s="320">
        <v>2.8985507246376808E-2</v>
      </c>
      <c r="AL596" s="319">
        <v>6.75</v>
      </c>
      <c r="AM596" s="319">
        <v>5</v>
      </c>
      <c r="AN596" s="319">
        <v>4.6666666666666599</v>
      </c>
      <c r="AO596" s="319">
        <v>0.54722222222222205</v>
      </c>
      <c r="AP596">
        <v>6</v>
      </c>
      <c r="AR596" s="136">
        <v>6</v>
      </c>
      <c r="AT596" s="69">
        <v>6.3414000000000001</v>
      </c>
      <c r="AU596" s="69">
        <v>2.3148</v>
      </c>
      <c r="AV596" s="69">
        <v>8.1305999999999994</v>
      </c>
      <c r="AW596" s="69">
        <v>0.55959999999999999</v>
      </c>
      <c r="BB596" s="69"/>
    </row>
    <row r="597" spans="1:54" customFormat="1" ht="40" customHeight="1">
      <c r="A597" s="313">
        <v>596</v>
      </c>
      <c r="B597" s="136" t="s">
        <v>1628</v>
      </c>
      <c r="C597" s="136" t="s">
        <v>45</v>
      </c>
      <c r="D597" s="31">
        <f t="shared" si="42"/>
        <v>4</v>
      </c>
      <c r="E597" s="137" t="s">
        <v>80</v>
      </c>
      <c r="F597" s="31">
        <f t="shared" si="43"/>
        <v>4</v>
      </c>
      <c r="G597" s="137" t="s">
        <v>159</v>
      </c>
      <c r="H597" s="138">
        <v>57</v>
      </c>
      <c r="I597" s="158">
        <f t="shared" si="44"/>
        <v>0.87644110763904659</v>
      </c>
      <c r="J597" s="95">
        <v>0.99785305772284605</v>
      </c>
      <c r="K597" s="137">
        <v>0.75502915755524702</v>
      </c>
      <c r="L597" s="137">
        <v>0.82499999999999996</v>
      </c>
      <c r="M597" s="137">
        <v>0.65007289388811795</v>
      </c>
      <c r="N597" s="136">
        <v>1</v>
      </c>
      <c r="O597" s="32">
        <v>43214</v>
      </c>
      <c r="P597" s="98">
        <f t="shared" si="45"/>
        <v>0</v>
      </c>
      <c r="Q597">
        <v>2.5499999999999998</v>
      </c>
      <c r="R597">
        <v>0</v>
      </c>
      <c r="S597">
        <v>0</v>
      </c>
      <c r="T597" s="112" t="s">
        <v>48</v>
      </c>
      <c r="U597" s="137" t="s">
        <v>1665</v>
      </c>
      <c r="V597" s="137" t="s">
        <v>1666</v>
      </c>
      <c r="W597" s="69">
        <v>172</v>
      </c>
      <c r="X597" s="136">
        <v>1</v>
      </c>
      <c r="Y597" s="136">
        <v>6</v>
      </c>
      <c r="Z597" s="314"/>
      <c r="AA597" s="319">
        <v>0.59450000000000003</v>
      </c>
      <c r="AB597" s="315" t="s">
        <v>5178</v>
      </c>
      <c r="AC597" s="319">
        <v>2</v>
      </c>
      <c r="AD597" s="320">
        <v>2.2222222222222199E-2</v>
      </c>
      <c r="AE597" s="319">
        <v>2</v>
      </c>
      <c r="AF597" s="320">
        <v>2.2222222222222199E-2</v>
      </c>
      <c r="AG597" s="319">
        <v>1</v>
      </c>
      <c r="AH597" s="320">
        <v>1.1111111111111099E-2</v>
      </c>
      <c r="AI597" s="319">
        <v>1</v>
      </c>
      <c r="AJ597" s="320">
        <v>1.1111111111111099E-2</v>
      </c>
      <c r="AK597" s="320">
        <v>1.111111111111111E-2</v>
      </c>
      <c r="AL597" s="319">
        <v>5</v>
      </c>
      <c r="AM597" s="319">
        <v>6.2</v>
      </c>
      <c r="AN597" s="319">
        <v>3.5</v>
      </c>
      <c r="AO597" s="319">
        <v>0.49</v>
      </c>
      <c r="AP597">
        <v>6</v>
      </c>
      <c r="AR597" s="136"/>
      <c r="AS597">
        <v>6</v>
      </c>
      <c r="AT597" s="69">
        <v>2.3148</v>
      </c>
      <c r="AU597" s="69">
        <v>5</v>
      </c>
      <c r="AV597" s="69">
        <v>5.7443999999999997</v>
      </c>
      <c r="AW597" s="69">
        <v>0.43530000000000002</v>
      </c>
      <c r="BB597" s="69"/>
    </row>
    <row r="598" spans="1:54" customFormat="1" ht="40" customHeight="1">
      <c r="A598" s="313">
        <v>597</v>
      </c>
      <c r="B598" s="136" t="s">
        <v>1628</v>
      </c>
      <c r="C598" s="136" t="s">
        <v>45</v>
      </c>
      <c r="D598" s="31">
        <f t="shared" si="42"/>
        <v>4</v>
      </c>
      <c r="E598" s="137" t="s">
        <v>833</v>
      </c>
      <c r="F598" s="31">
        <f t="shared" si="43"/>
        <v>3</v>
      </c>
      <c r="G598" s="137" t="s">
        <v>1667</v>
      </c>
      <c r="H598" s="138">
        <v>32</v>
      </c>
      <c r="I598" s="158">
        <f t="shared" si="44"/>
        <v>0.30557628552882216</v>
      </c>
      <c r="J598" s="95">
        <v>3.5891817501753102E-3</v>
      </c>
      <c r="K598" s="137">
        <v>0.607563389307469</v>
      </c>
      <c r="L598" s="137">
        <v>0.75</v>
      </c>
      <c r="M598" s="137">
        <v>0.39390847326867401</v>
      </c>
      <c r="N598" s="136">
        <v>1</v>
      </c>
      <c r="O598" s="32">
        <v>43206</v>
      </c>
      <c r="P598" s="98">
        <f t="shared" si="45"/>
        <v>1</v>
      </c>
      <c r="Q598">
        <v>0</v>
      </c>
      <c r="R598">
        <v>0</v>
      </c>
      <c r="S598">
        <v>0</v>
      </c>
      <c r="T598" s="112" t="s">
        <v>73</v>
      </c>
      <c r="U598" s="137" t="s">
        <v>1668</v>
      </c>
      <c r="V598" s="137" t="s">
        <v>1669</v>
      </c>
      <c r="W598" s="69">
        <v>45</v>
      </c>
      <c r="X598" s="136">
        <v>2</v>
      </c>
      <c r="Y598" s="136">
        <v>18</v>
      </c>
      <c r="Z598" s="314"/>
      <c r="AA598" s="319">
        <v>0.5</v>
      </c>
      <c r="AB598" s="315" t="s">
        <v>5169</v>
      </c>
      <c r="AC598" s="319">
        <v>1</v>
      </c>
      <c r="AD598" s="320">
        <v>0.04</v>
      </c>
      <c r="AE598" s="319">
        <v>0</v>
      </c>
      <c r="AF598" s="320">
        <v>0</v>
      </c>
      <c r="AG598" s="319">
        <v>1</v>
      </c>
      <c r="AH598" s="320">
        <v>0.04</v>
      </c>
      <c r="AI598" s="319">
        <v>0</v>
      </c>
      <c r="AJ598" s="320">
        <v>0</v>
      </c>
      <c r="AK598" s="320">
        <v>0</v>
      </c>
      <c r="AL598" s="319">
        <v>5</v>
      </c>
      <c r="AM598" s="319">
        <v>5</v>
      </c>
      <c r="AN598" s="319">
        <v>2</v>
      </c>
      <c r="AO598" s="319">
        <v>0.4</v>
      </c>
      <c r="AP598">
        <v>18</v>
      </c>
      <c r="AR598" s="136"/>
      <c r="AS598">
        <v>18</v>
      </c>
      <c r="AT598" s="69">
        <v>2.3148</v>
      </c>
      <c r="AU598" s="69">
        <v>2.3148</v>
      </c>
      <c r="AV598" s="69">
        <v>2.3148</v>
      </c>
      <c r="AW598" s="69">
        <v>0.23150000000000001</v>
      </c>
      <c r="BB598" s="69"/>
    </row>
    <row r="599" spans="1:54" customFormat="1" ht="40" customHeight="1">
      <c r="A599" s="313">
        <v>598</v>
      </c>
      <c r="B599" s="136" t="s">
        <v>1628</v>
      </c>
      <c r="C599" s="136" t="s">
        <v>45</v>
      </c>
      <c r="D599" s="31">
        <f t="shared" si="42"/>
        <v>4</v>
      </c>
      <c r="E599" s="137" t="s">
        <v>80</v>
      </c>
      <c r="F599" s="31">
        <f t="shared" si="43"/>
        <v>4</v>
      </c>
      <c r="G599" s="137" t="s">
        <v>1670</v>
      </c>
      <c r="H599" s="138">
        <v>71</v>
      </c>
      <c r="I599" s="158">
        <f t="shared" si="44"/>
        <v>0.39788215889385031</v>
      </c>
      <c r="J599" s="95">
        <v>1.50500320734146E-2</v>
      </c>
      <c r="K599" s="137">
        <v>0.78071428571428603</v>
      </c>
      <c r="L599" s="137">
        <v>0.82499999999999996</v>
      </c>
      <c r="M599" s="137">
        <v>0.71428571428571397</v>
      </c>
      <c r="N599" s="136">
        <v>1</v>
      </c>
      <c r="O599" s="32">
        <v>43205</v>
      </c>
      <c r="P599" s="98">
        <f t="shared" si="45"/>
        <v>0</v>
      </c>
      <c r="Q599">
        <v>0</v>
      </c>
      <c r="R599">
        <v>0</v>
      </c>
      <c r="S599">
        <v>0</v>
      </c>
      <c r="T599" s="112" t="s">
        <v>48</v>
      </c>
      <c r="U599" s="137" t="s">
        <v>1671</v>
      </c>
      <c r="V599" s="137" t="s">
        <v>1672</v>
      </c>
      <c r="W599" s="69">
        <v>189</v>
      </c>
      <c r="X599" s="136">
        <v>2</v>
      </c>
      <c r="Y599" s="136">
        <v>4</v>
      </c>
      <c r="Z599" s="314"/>
      <c r="AA599" s="319">
        <v>0.54500000000000004</v>
      </c>
      <c r="AB599" s="315" t="s">
        <v>5165</v>
      </c>
      <c r="AC599" s="319">
        <v>3</v>
      </c>
      <c r="AD599" s="320">
        <v>2.94117647058823E-2</v>
      </c>
      <c r="AE599" s="319">
        <v>1</v>
      </c>
      <c r="AF599" s="320">
        <v>9.8039215686274508E-3</v>
      </c>
      <c r="AG599" s="319">
        <v>1</v>
      </c>
      <c r="AH599" s="320">
        <v>9.8039215686274508E-3</v>
      </c>
      <c r="AI599" s="319">
        <v>2</v>
      </c>
      <c r="AJ599" s="320">
        <v>1.9607843137254902E-2</v>
      </c>
      <c r="AK599" s="320">
        <v>9.8039215686274508E-3</v>
      </c>
      <c r="AL599" s="319">
        <v>5</v>
      </c>
      <c r="AM599" s="319">
        <v>5</v>
      </c>
      <c r="AN599" s="319">
        <v>4.6666666666666599</v>
      </c>
      <c r="AO599" s="319">
        <v>0.48888888888888798</v>
      </c>
      <c r="AP599">
        <v>4</v>
      </c>
      <c r="AR599" s="136"/>
      <c r="AS599">
        <v>4</v>
      </c>
      <c r="AT599" s="69">
        <v>2.3148</v>
      </c>
      <c r="AU599" s="69">
        <v>2.3148</v>
      </c>
      <c r="AV599" s="69">
        <v>8.1305999999999994</v>
      </c>
      <c r="AW599" s="69">
        <v>0.42530000000000001</v>
      </c>
      <c r="BB599" s="69"/>
    </row>
    <row r="600" spans="1:54" customFormat="1" ht="40" customHeight="1">
      <c r="A600" s="313">
        <v>599</v>
      </c>
      <c r="B600" s="136" t="s">
        <v>1628</v>
      </c>
      <c r="C600" s="136" t="s">
        <v>45</v>
      </c>
      <c r="D600" s="31">
        <f t="shared" si="42"/>
        <v>4</v>
      </c>
      <c r="E600" s="137" t="s">
        <v>80</v>
      </c>
      <c r="F600" s="31">
        <f t="shared" si="43"/>
        <v>4</v>
      </c>
      <c r="G600" s="137" t="s">
        <v>159</v>
      </c>
      <c r="H600" s="138">
        <v>63</v>
      </c>
      <c r="I600" s="158">
        <f t="shared" si="44"/>
        <v>0.37203514115082359</v>
      </c>
      <c r="J600" s="95">
        <v>2.56071505338129E-4</v>
      </c>
      <c r="K600" s="137">
        <v>0.74381421079630905</v>
      </c>
      <c r="L600" s="137">
        <v>0.82499999999999996</v>
      </c>
      <c r="M600" s="137">
        <v>0.62203552699077302</v>
      </c>
      <c r="N600" s="136">
        <v>1</v>
      </c>
      <c r="O600" s="32">
        <v>43171</v>
      </c>
      <c r="P600" s="98">
        <f t="shared" si="45"/>
        <v>0</v>
      </c>
      <c r="Q600">
        <v>7.65</v>
      </c>
      <c r="R600">
        <v>0</v>
      </c>
      <c r="S600">
        <v>0</v>
      </c>
      <c r="T600" s="112" t="s">
        <v>48</v>
      </c>
      <c r="U600" s="137" t="s">
        <v>1673</v>
      </c>
      <c r="V600" s="137" t="s">
        <v>1674</v>
      </c>
      <c r="W600" s="69">
        <v>232</v>
      </c>
      <c r="X600" s="136">
        <v>2</v>
      </c>
      <c r="Y600" s="136">
        <v>7</v>
      </c>
      <c r="Z600" s="314"/>
      <c r="AA600" s="319">
        <v>0.73204999999999998</v>
      </c>
      <c r="AB600" s="315" t="s">
        <v>5168</v>
      </c>
      <c r="AC600" s="319">
        <v>1</v>
      </c>
      <c r="AD600" s="320">
        <v>7.7519379844961196E-3</v>
      </c>
      <c r="AE600" s="319">
        <v>3</v>
      </c>
      <c r="AF600" s="320">
        <v>2.3255813953488299E-2</v>
      </c>
      <c r="AG600" s="319">
        <v>4</v>
      </c>
      <c r="AH600" s="320">
        <v>3.1007751937984499E-2</v>
      </c>
      <c r="AI600" s="319">
        <v>0</v>
      </c>
      <c r="AJ600" s="320">
        <v>0</v>
      </c>
      <c r="AK600" s="320">
        <v>3.875968992248062E-2</v>
      </c>
      <c r="AL600" s="319">
        <v>5</v>
      </c>
      <c r="AM600" s="319">
        <v>6.2</v>
      </c>
      <c r="AN600" s="319">
        <v>4.6666666666666599</v>
      </c>
      <c r="AO600" s="319">
        <v>0.52888888888888796</v>
      </c>
      <c r="AP600">
        <v>7</v>
      </c>
      <c r="AR600" s="136">
        <v>7</v>
      </c>
      <c r="AT600" s="69">
        <v>2.3148</v>
      </c>
      <c r="AU600" s="69">
        <v>5</v>
      </c>
      <c r="AV600" s="69">
        <v>8.1305999999999994</v>
      </c>
      <c r="AW600" s="69">
        <v>0.51480000000000004</v>
      </c>
      <c r="BB600" s="69"/>
    </row>
    <row r="601" spans="1:54" customFormat="1" ht="40" customHeight="1">
      <c r="A601" s="313">
        <v>600</v>
      </c>
      <c r="B601" s="136" t="s">
        <v>1628</v>
      </c>
      <c r="C601" s="136" t="s">
        <v>45</v>
      </c>
      <c r="D601" s="31">
        <f t="shared" si="42"/>
        <v>4</v>
      </c>
      <c r="E601" s="137" t="s">
        <v>80</v>
      </c>
      <c r="F601" s="31">
        <f t="shared" si="43"/>
        <v>4</v>
      </c>
      <c r="G601" s="137" t="s">
        <v>1675</v>
      </c>
      <c r="H601" s="138">
        <v>87</v>
      </c>
      <c r="I601" s="158">
        <f t="shared" si="44"/>
        <v>0.28685218684647878</v>
      </c>
      <c r="J601" s="95">
        <v>1.5076917326830599E-2</v>
      </c>
      <c r="K601" s="137">
        <v>0.55862745636612698</v>
      </c>
      <c r="L601" s="137">
        <v>0.75</v>
      </c>
      <c r="M601" s="137">
        <v>0.27156864091531702</v>
      </c>
      <c r="N601" s="136">
        <v>1</v>
      </c>
      <c r="O601" s="32">
        <v>43079</v>
      </c>
      <c r="P601" s="98">
        <f t="shared" si="45"/>
        <v>2</v>
      </c>
      <c r="Q601">
        <v>0</v>
      </c>
      <c r="R601">
        <v>0</v>
      </c>
      <c r="S601">
        <v>0</v>
      </c>
      <c r="T601" s="112" t="s">
        <v>64</v>
      </c>
      <c r="U601" s="137" t="s">
        <v>1676</v>
      </c>
      <c r="V601" s="137" t="s">
        <v>1677</v>
      </c>
      <c r="W601" s="69">
        <v>34</v>
      </c>
      <c r="X601" s="136">
        <v>2</v>
      </c>
      <c r="Y601" s="136">
        <v>26</v>
      </c>
      <c r="Z601" s="314"/>
      <c r="AA601" s="319">
        <v>0.59450000000000003</v>
      </c>
      <c r="AB601" s="315" t="s">
        <v>5168</v>
      </c>
      <c r="AC601" s="319">
        <v>0</v>
      </c>
      <c r="AD601" s="320">
        <v>0</v>
      </c>
      <c r="AE601" s="319">
        <v>0</v>
      </c>
      <c r="AF601" s="320">
        <v>0</v>
      </c>
      <c r="AG601" s="319">
        <v>1</v>
      </c>
      <c r="AH601" s="320">
        <v>5.2631578947368397E-2</v>
      </c>
      <c r="AI601" s="319">
        <v>0</v>
      </c>
      <c r="AJ601" s="320">
        <v>0</v>
      </c>
      <c r="AK601" s="320">
        <v>0</v>
      </c>
      <c r="AL601" s="319">
        <v>5</v>
      </c>
      <c r="AM601" s="319">
        <v>6.2</v>
      </c>
      <c r="AN601" s="319">
        <v>4.6666666666666599</v>
      </c>
      <c r="AO601" s="319">
        <v>0.52888888888888796</v>
      </c>
      <c r="AP601">
        <v>26</v>
      </c>
      <c r="AR601" s="136"/>
      <c r="AS601">
        <v>26</v>
      </c>
      <c r="AT601" s="69">
        <v>2.3148</v>
      </c>
      <c r="AU601" s="69">
        <v>5</v>
      </c>
      <c r="AV601" s="69">
        <v>8.1305999999999994</v>
      </c>
      <c r="AW601" s="69">
        <v>0.51480000000000004</v>
      </c>
      <c r="BB601" s="69"/>
    </row>
    <row r="602" spans="1:54" customFormat="1" ht="40" customHeight="1">
      <c r="A602" s="313">
        <v>601</v>
      </c>
      <c r="B602" s="136" t="s">
        <v>1628</v>
      </c>
      <c r="C602" s="136" t="s">
        <v>45</v>
      </c>
      <c r="D602" s="31">
        <f t="shared" si="42"/>
        <v>4</v>
      </c>
      <c r="E602" s="137" t="s">
        <v>80</v>
      </c>
      <c r="F602" s="31">
        <f t="shared" si="43"/>
        <v>4</v>
      </c>
      <c r="G602" s="137" t="s">
        <v>1678</v>
      </c>
      <c r="H602" s="138">
        <v>124</v>
      </c>
      <c r="I602" s="158">
        <f t="shared" si="44"/>
        <v>0.39036091423103347</v>
      </c>
      <c r="J602" s="95">
        <v>7.5427477809197896E-6</v>
      </c>
      <c r="K602" s="137">
        <v>0.78071428571428603</v>
      </c>
      <c r="L602" s="137">
        <v>0.82499999999999996</v>
      </c>
      <c r="M602" s="137">
        <v>0.71428571428571397</v>
      </c>
      <c r="N602" s="136">
        <v>1</v>
      </c>
      <c r="O602" s="32">
        <v>43071</v>
      </c>
      <c r="P602" s="98">
        <f t="shared" si="45"/>
        <v>0</v>
      </c>
      <c r="Q602">
        <v>2.5499999999999998</v>
      </c>
      <c r="R602">
        <v>0</v>
      </c>
      <c r="S602">
        <v>0</v>
      </c>
      <c r="T602" s="112" t="s">
        <v>48</v>
      </c>
      <c r="U602" s="137" t="s">
        <v>1679</v>
      </c>
      <c r="V602" s="137" t="s">
        <v>1680</v>
      </c>
      <c r="W602" s="69">
        <v>160</v>
      </c>
      <c r="X602" s="136">
        <v>1</v>
      </c>
      <c r="Y602" s="136">
        <v>4</v>
      </c>
      <c r="Z602" s="314"/>
      <c r="AA602" s="319">
        <v>0.5</v>
      </c>
      <c r="AB602" s="315" t="s">
        <v>5176</v>
      </c>
      <c r="AC602" s="319">
        <v>2</v>
      </c>
      <c r="AD602" s="320">
        <v>2.2471910112359501E-2</v>
      </c>
      <c r="AE602" s="319">
        <v>3</v>
      </c>
      <c r="AF602" s="320">
        <v>3.3707865168539297E-2</v>
      </c>
      <c r="AG602" s="319">
        <v>1</v>
      </c>
      <c r="AH602" s="320">
        <v>1.12359550561797E-2</v>
      </c>
      <c r="AI602" s="319">
        <v>2</v>
      </c>
      <c r="AJ602" s="320">
        <v>2.2471910112359501E-2</v>
      </c>
      <c r="AK602" s="320">
        <v>1.123595505617977E-2</v>
      </c>
      <c r="AL602" s="319">
        <v>5</v>
      </c>
      <c r="AM602" s="319">
        <v>5</v>
      </c>
      <c r="AN602" s="319">
        <v>4.6666666666666599</v>
      </c>
      <c r="AO602" s="319">
        <v>0.48888888888888798</v>
      </c>
      <c r="AP602">
        <v>4</v>
      </c>
      <c r="AQ602">
        <v>4</v>
      </c>
      <c r="AR602" s="136"/>
      <c r="AT602" s="69">
        <v>2.3148</v>
      </c>
      <c r="AU602" s="69">
        <v>2.3148</v>
      </c>
      <c r="AV602" s="69">
        <v>8.1305999999999994</v>
      </c>
      <c r="AW602" s="69">
        <v>0.42530000000000001</v>
      </c>
      <c r="BB602" s="69"/>
    </row>
    <row r="603" spans="1:54" customFormat="1" ht="40" customHeight="1">
      <c r="A603" s="313">
        <v>602</v>
      </c>
      <c r="B603" s="136" t="s">
        <v>1628</v>
      </c>
      <c r="C603" s="136" t="s">
        <v>45</v>
      </c>
      <c r="D603" s="31">
        <f t="shared" si="42"/>
        <v>4</v>
      </c>
      <c r="E603" s="137" t="s">
        <v>80</v>
      </c>
      <c r="F603" s="31">
        <f t="shared" si="43"/>
        <v>4</v>
      </c>
      <c r="G603" s="137" t="s">
        <v>159</v>
      </c>
      <c r="H603" s="138">
        <v>63</v>
      </c>
      <c r="I603" s="158">
        <f t="shared" si="44"/>
        <v>0.3571730576964251</v>
      </c>
      <c r="J603" s="95">
        <v>4.7695973900197002E-5</v>
      </c>
      <c r="K603" s="137">
        <v>0.71429841941895</v>
      </c>
      <c r="L603" s="137">
        <v>0.82499999999999996</v>
      </c>
      <c r="M603" s="137">
        <v>0.54824604854737402</v>
      </c>
      <c r="N603" s="136">
        <v>1</v>
      </c>
      <c r="O603" s="32">
        <v>43070</v>
      </c>
      <c r="P603" s="98">
        <f t="shared" si="45"/>
        <v>0</v>
      </c>
      <c r="Q603">
        <v>7.65</v>
      </c>
      <c r="R603">
        <v>0</v>
      </c>
      <c r="S603">
        <v>0</v>
      </c>
      <c r="T603" s="112" t="s">
        <v>48</v>
      </c>
      <c r="U603" s="137" t="s">
        <v>1681</v>
      </c>
      <c r="V603" s="137" t="s">
        <v>1682</v>
      </c>
      <c r="W603" s="69">
        <v>160</v>
      </c>
      <c r="X603" s="136">
        <v>1</v>
      </c>
      <c r="Y603" s="136">
        <v>10</v>
      </c>
      <c r="Z603" s="314"/>
      <c r="AA603" s="319">
        <v>0.60499999999999998</v>
      </c>
      <c r="AB603" s="315" t="s">
        <v>5176</v>
      </c>
      <c r="AC603" s="319">
        <v>2</v>
      </c>
      <c r="AD603" s="320">
        <v>2.2471910112359501E-2</v>
      </c>
      <c r="AE603" s="319">
        <v>3</v>
      </c>
      <c r="AF603" s="320">
        <v>3.3707865168539297E-2</v>
      </c>
      <c r="AG603" s="319">
        <v>1</v>
      </c>
      <c r="AH603" s="320">
        <v>1.12359550561797E-2</v>
      </c>
      <c r="AI603" s="319">
        <v>2</v>
      </c>
      <c r="AJ603" s="320">
        <v>2.2471910112359501E-2</v>
      </c>
      <c r="AK603" s="320">
        <v>1.123595505617977E-2</v>
      </c>
      <c r="AL603" s="319">
        <v>5</v>
      </c>
      <c r="AM603" s="319">
        <v>5</v>
      </c>
      <c r="AN603" s="319">
        <v>2</v>
      </c>
      <c r="AO603" s="319">
        <v>0.4</v>
      </c>
      <c r="AP603">
        <v>10</v>
      </c>
      <c r="AQ603">
        <v>10</v>
      </c>
      <c r="AR603" s="136"/>
      <c r="AT603" s="69">
        <v>2.3148</v>
      </c>
      <c r="AU603" s="69">
        <v>2.3148</v>
      </c>
      <c r="AV603" s="69">
        <v>2.3148</v>
      </c>
      <c r="AW603" s="69">
        <v>0.23150000000000001</v>
      </c>
      <c r="BB603" s="69"/>
    </row>
    <row r="604" spans="1:54" customFormat="1" ht="40" customHeight="1">
      <c r="A604" s="313">
        <v>603</v>
      </c>
      <c r="B604" s="136" t="s">
        <v>1628</v>
      </c>
      <c r="C604" s="136" t="s">
        <v>45</v>
      </c>
      <c r="D604" s="31">
        <f t="shared" si="42"/>
        <v>4</v>
      </c>
      <c r="E604" s="137" t="s">
        <v>80</v>
      </c>
      <c r="F604" s="31">
        <f t="shared" si="43"/>
        <v>4</v>
      </c>
      <c r="G604" s="137" t="s">
        <v>159</v>
      </c>
      <c r="H604" s="138">
        <v>59</v>
      </c>
      <c r="I604" s="158">
        <f t="shared" si="44"/>
        <v>0.41128650481055196</v>
      </c>
      <c r="J604" s="95">
        <v>0.100348322621092</v>
      </c>
      <c r="K604" s="137">
        <v>0.72222468700001197</v>
      </c>
      <c r="L604" s="137">
        <v>0.75</v>
      </c>
      <c r="M604" s="137">
        <v>0.68056171750003003</v>
      </c>
      <c r="N604" s="136">
        <v>1</v>
      </c>
      <c r="O604" s="32">
        <v>43068</v>
      </c>
      <c r="P604" s="98">
        <f t="shared" si="45"/>
        <v>0</v>
      </c>
      <c r="Q604">
        <v>2.5499999999999998</v>
      </c>
      <c r="R604">
        <v>0</v>
      </c>
      <c r="S604">
        <v>0</v>
      </c>
      <c r="T604" s="112" t="s">
        <v>48</v>
      </c>
      <c r="U604" s="137" t="s">
        <v>1683</v>
      </c>
      <c r="V604" s="137" t="s">
        <v>1684</v>
      </c>
      <c r="W604" s="69">
        <v>185</v>
      </c>
      <c r="X604" s="136">
        <v>1</v>
      </c>
      <c r="Y604" s="136">
        <v>5</v>
      </c>
      <c r="Z604" s="314"/>
      <c r="AA604" s="319">
        <v>0.66549999999999998</v>
      </c>
      <c r="AB604" s="315" t="s">
        <v>5193</v>
      </c>
      <c r="AC604" s="319">
        <v>2</v>
      </c>
      <c r="AD604" s="320">
        <v>2.06185567010309E-2</v>
      </c>
      <c r="AE604" s="319">
        <v>2</v>
      </c>
      <c r="AF604" s="320">
        <v>2.06185567010309E-2</v>
      </c>
      <c r="AG604" s="319">
        <v>1</v>
      </c>
      <c r="AH604" s="320">
        <v>1.03092783505154E-2</v>
      </c>
      <c r="AI604" s="319">
        <v>2</v>
      </c>
      <c r="AJ604" s="320">
        <v>2.06185567010309E-2</v>
      </c>
      <c r="AK604" s="320">
        <v>1.030927835051546E-2</v>
      </c>
      <c r="AL604" s="319">
        <v>5</v>
      </c>
      <c r="AM604" s="319">
        <v>7.4</v>
      </c>
      <c r="AN604" s="319">
        <v>2</v>
      </c>
      <c r="AO604" s="319">
        <v>0.48</v>
      </c>
      <c r="AP604">
        <v>5</v>
      </c>
      <c r="AQ604">
        <v>5</v>
      </c>
      <c r="AR604" s="136"/>
      <c r="AT604" s="69">
        <v>2.3148</v>
      </c>
      <c r="AU604" s="69">
        <v>7.6852</v>
      </c>
      <c r="AV604" s="69">
        <v>2.3148</v>
      </c>
      <c r="AW604" s="69">
        <v>0.41049999999999998</v>
      </c>
      <c r="BB604" s="69"/>
    </row>
    <row r="605" spans="1:54" customFormat="1" ht="40" customHeight="1">
      <c r="A605" s="313">
        <v>604</v>
      </c>
      <c r="B605" s="136" t="s">
        <v>1628</v>
      </c>
      <c r="C605" s="136" t="s">
        <v>45</v>
      </c>
      <c r="D605" s="31">
        <f t="shared" si="42"/>
        <v>4</v>
      </c>
      <c r="E605" s="137" t="s">
        <v>46</v>
      </c>
      <c r="F605" s="31">
        <f t="shared" si="43"/>
        <v>6</v>
      </c>
      <c r="G605" s="137" t="s">
        <v>1685</v>
      </c>
      <c r="H605" s="138">
        <v>115</v>
      </c>
      <c r="I605" s="158">
        <f t="shared" si="44"/>
        <v>0.44998980057377852</v>
      </c>
      <c r="J605" s="95">
        <v>3.93300863599233E-6</v>
      </c>
      <c r="K605" s="137">
        <v>0.89997566813892105</v>
      </c>
      <c r="L605" s="137">
        <v>0.99824999999999997</v>
      </c>
      <c r="M605" s="137">
        <v>0.75256417034730305</v>
      </c>
      <c r="N605" s="136">
        <v>1</v>
      </c>
      <c r="O605" s="32">
        <v>43059</v>
      </c>
      <c r="P605" s="98">
        <f t="shared" si="45"/>
        <v>0</v>
      </c>
      <c r="Q605">
        <v>2.5499999999999998</v>
      </c>
      <c r="R605">
        <v>0</v>
      </c>
      <c r="S605">
        <v>0</v>
      </c>
      <c r="T605" s="112" t="s">
        <v>48</v>
      </c>
      <c r="U605" s="137" t="s">
        <v>1686</v>
      </c>
      <c r="V605" s="137" t="s">
        <v>1687</v>
      </c>
      <c r="W605" s="69">
        <v>90</v>
      </c>
      <c r="X605" s="136">
        <v>1</v>
      </c>
      <c r="Y605" s="136">
        <v>3</v>
      </c>
      <c r="Z605" s="314"/>
      <c r="AA605" s="319">
        <v>0.60499999999999998</v>
      </c>
      <c r="AB605" s="315" t="s">
        <v>5168</v>
      </c>
      <c r="AC605" s="319">
        <v>1</v>
      </c>
      <c r="AD605" s="320">
        <v>1.9230769230769201E-2</v>
      </c>
      <c r="AE605" s="319">
        <v>0</v>
      </c>
      <c r="AF605" s="320">
        <v>0</v>
      </c>
      <c r="AG605" s="319">
        <v>4</v>
      </c>
      <c r="AH605" s="320">
        <v>7.69230769230769E-2</v>
      </c>
      <c r="AI605" s="319">
        <v>0</v>
      </c>
      <c r="AJ605" s="320">
        <v>0</v>
      </c>
      <c r="AK605" s="320">
        <v>1.9230769230769228E-2</v>
      </c>
      <c r="AL605" s="319">
        <v>5</v>
      </c>
      <c r="AM605" s="319">
        <v>5</v>
      </c>
      <c r="AN605" s="319">
        <v>4.6666666666666599</v>
      </c>
      <c r="AO605" s="319">
        <v>0.48888888888888798</v>
      </c>
      <c r="AP605">
        <v>3</v>
      </c>
      <c r="AR605" s="136"/>
      <c r="AS605">
        <v>3</v>
      </c>
      <c r="AT605" s="69">
        <v>2.3148</v>
      </c>
      <c r="AU605" s="69">
        <v>2.3148</v>
      </c>
      <c r="AV605" s="69">
        <v>8.1305999999999994</v>
      </c>
      <c r="AW605" s="69">
        <v>0.42530000000000001</v>
      </c>
      <c r="BB605" s="69"/>
    </row>
    <row r="606" spans="1:54" customFormat="1" ht="40" customHeight="1">
      <c r="A606" s="313">
        <v>605</v>
      </c>
      <c r="B606" s="136" t="s">
        <v>1628</v>
      </c>
      <c r="C606" s="136" t="s">
        <v>45</v>
      </c>
      <c r="D606" s="31">
        <f t="shared" si="42"/>
        <v>4</v>
      </c>
      <c r="E606" s="137" t="s">
        <v>80</v>
      </c>
      <c r="F606" s="31">
        <f t="shared" si="43"/>
        <v>4</v>
      </c>
      <c r="G606" s="137" t="s">
        <v>1688</v>
      </c>
      <c r="H606" s="138">
        <v>102</v>
      </c>
      <c r="I606" s="158">
        <f t="shared" si="44"/>
        <v>0.3302493087343274</v>
      </c>
      <c r="J606" s="95">
        <v>2.0034060391749302E-5</v>
      </c>
      <c r="K606" s="137">
        <v>0.66047858340826304</v>
      </c>
      <c r="L606" s="137">
        <v>0.75</v>
      </c>
      <c r="M606" s="137">
        <v>0.526196458520657</v>
      </c>
      <c r="N606" s="136">
        <v>1</v>
      </c>
      <c r="O606" s="32">
        <v>43049</v>
      </c>
      <c r="P606" s="98">
        <f t="shared" si="45"/>
        <v>0</v>
      </c>
      <c r="Q606">
        <v>12.75</v>
      </c>
      <c r="R606">
        <v>0</v>
      </c>
      <c r="S606">
        <v>0</v>
      </c>
      <c r="T606" s="112" t="s">
        <v>48</v>
      </c>
      <c r="U606" s="137" t="s">
        <v>1689</v>
      </c>
      <c r="V606" s="137" t="s">
        <v>1690</v>
      </c>
      <c r="W606" s="69">
        <v>177</v>
      </c>
      <c r="X606" s="136">
        <v>1</v>
      </c>
      <c r="Y606" s="136">
        <v>11</v>
      </c>
      <c r="Z606" s="314"/>
      <c r="AA606" s="319">
        <v>0.60499999999999998</v>
      </c>
      <c r="AB606" s="315" t="s">
        <v>5193</v>
      </c>
      <c r="AC606" s="319">
        <v>2</v>
      </c>
      <c r="AD606" s="320">
        <v>2.1739130434782601E-2</v>
      </c>
      <c r="AE606" s="319">
        <v>2</v>
      </c>
      <c r="AF606" s="320">
        <v>2.1739130434782601E-2</v>
      </c>
      <c r="AG606" s="319">
        <v>1</v>
      </c>
      <c r="AH606" s="320">
        <v>1.0869565217391301E-2</v>
      </c>
      <c r="AI606" s="319">
        <v>2</v>
      </c>
      <c r="AJ606" s="320">
        <v>2.1739130434782601E-2</v>
      </c>
      <c r="AK606" s="320">
        <v>1.0869565217391301E-2</v>
      </c>
      <c r="AL606" s="319">
        <v>6.75</v>
      </c>
      <c r="AM606" s="319">
        <v>6.2</v>
      </c>
      <c r="AN606" s="319">
        <v>2</v>
      </c>
      <c r="AO606" s="319">
        <v>0.49833333333333302</v>
      </c>
      <c r="AP606">
        <v>11</v>
      </c>
      <c r="AQ606">
        <v>11</v>
      </c>
      <c r="AR606" s="136"/>
      <c r="AT606" s="69">
        <v>6.3414000000000001</v>
      </c>
      <c r="AU606" s="69">
        <v>5</v>
      </c>
      <c r="AV606" s="69">
        <v>2.3148</v>
      </c>
      <c r="AW606" s="69">
        <v>0.45519999999999999</v>
      </c>
      <c r="BB606" s="69"/>
    </row>
    <row r="607" spans="1:54" customFormat="1" ht="40" customHeight="1">
      <c r="A607" s="313">
        <v>606</v>
      </c>
      <c r="B607" s="136" t="s">
        <v>1628</v>
      </c>
      <c r="C607" s="136" t="s">
        <v>45</v>
      </c>
      <c r="D607" s="31">
        <f t="shared" si="42"/>
        <v>4</v>
      </c>
      <c r="E607" s="137" t="s">
        <v>80</v>
      </c>
      <c r="F607" s="31">
        <f t="shared" si="43"/>
        <v>4</v>
      </c>
      <c r="G607" s="137" t="s">
        <v>180</v>
      </c>
      <c r="H607" s="138">
        <v>57</v>
      </c>
      <c r="I607" s="158">
        <f t="shared" si="44"/>
        <v>0.68813552526878952</v>
      </c>
      <c r="J607" s="95">
        <v>0.58024538239865797</v>
      </c>
      <c r="K607" s="137">
        <v>0.79602566813892095</v>
      </c>
      <c r="L607" s="137">
        <v>0.82499999999999996</v>
      </c>
      <c r="M607" s="137">
        <v>0.75256417034730305</v>
      </c>
      <c r="N607" s="136">
        <v>1</v>
      </c>
      <c r="O607" s="32">
        <v>43046</v>
      </c>
      <c r="P607" s="98">
        <f t="shared" si="45"/>
        <v>0</v>
      </c>
      <c r="Q607">
        <v>5.0999999999999996</v>
      </c>
      <c r="R607">
        <v>0</v>
      </c>
      <c r="S607">
        <v>0</v>
      </c>
      <c r="T607" s="112" t="s">
        <v>48</v>
      </c>
      <c r="U607" s="137" t="s">
        <v>1691</v>
      </c>
      <c r="V607" s="137" t="s">
        <v>1692</v>
      </c>
      <c r="W607" s="69">
        <v>159</v>
      </c>
      <c r="X607" s="136">
        <v>2</v>
      </c>
      <c r="Y607" s="136">
        <v>3</v>
      </c>
      <c r="Z607" s="314"/>
      <c r="AA607" s="319">
        <v>0.5</v>
      </c>
      <c r="AB607" s="315" t="s">
        <v>5176</v>
      </c>
      <c r="AC607" s="319">
        <v>2</v>
      </c>
      <c r="AD607" s="320">
        <v>2.2222222222222199E-2</v>
      </c>
      <c r="AE607" s="319">
        <v>3</v>
      </c>
      <c r="AF607" s="320">
        <v>3.3333333333333298E-2</v>
      </c>
      <c r="AG607" s="319">
        <v>1</v>
      </c>
      <c r="AH607" s="320">
        <v>1.1111111111111099E-2</v>
      </c>
      <c r="AI607" s="319">
        <v>2</v>
      </c>
      <c r="AJ607" s="320">
        <v>2.2222222222222199E-2</v>
      </c>
      <c r="AK607" s="320">
        <v>1.111111111111111E-2</v>
      </c>
      <c r="AL607" s="319">
        <v>6.75</v>
      </c>
      <c r="AM607" s="319">
        <v>5</v>
      </c>
      <c r="AN607" s="319">
        <v>7.3333333333333304</v>
      </c>
      <c r="AO607" s="319">
        <v>0.63611111111111096</v>
      </c>
      <c r="AP607">
        <v>3</v>
      </c>
      <c r="AQ607">
        <v>3</v>
      </c>
      <c r="AR607" s="136"/>
      <c r="AT607" s="69">
        <v>6.3414000000000001</v>
      </c>
      <c r="AU607" s="69">
        <v>2.3148</v>
      </c>
      <c r="AV607" s="69">
        <v>9.8416999999999994</v>
      </c>
      <c r="AW607" s="69">
        <v>0.61660000000000004</v>
      </c>
      <c r="BB607" s="69"/>
    </row>
    <row r="608" spans="1:54" customFormat="1" ht="40" customHeight="1">
      <c r="A608" s="313">
        <v>607</v>
      </c>
      <c r="B608" s="136" t="s">
        <v>1628</v>
      </c>
      <c r="C608" s="136" t="s">
        <v>45</v>
      </c>
      <c r="D608" s="31">
        <f t="shared" si="42"/>
        <v>4</v>
      </c>
      <c r="E608" s="137" t="s">
        <v>80</v>
      </c>
      <c r="F608" s="31">
        <f t="shared" si="43"/>
        <v>4</v>
      </c>
      <c r="G608" s="137" t="s">
        <v>159</v>
      </c>
      <c r="H608" s="138">
        <v>59</v>
      </c>
      <c r="I608" s="158">
        <f t="shared" si="44"/>
        <v>0.3682152329470495</v>
      </c>
      <c r="J608" s="95">
        <v>7.1618017981300896E-4</v>
      </c>
      <c r="K608" s="137">
        <v>0.73571428571428599</v>
      </c>
      <c r="L608" s="137">
        <v>0.75</v>
      </c>
      <c r="M608" s="137">
        <v>0.71428571428571397</v>
      </c>
      <c r="N608" s="136">
        <v>1</v>
      </c>
      <c r="O608" s="32">
        <v>43043</v>
      </c>
      <c r="P608" s="98">
        <f t="shared" si="45"/>
        <v>0</v>
      </c>
      <c r="Q608">
        <v>5.0999999999999996</v>
      </c>
      <c r="R608">
        <v>0</v>
      </c>
      <c r="S608">
        <v>0</v>
      </c>
      <c r="T608" s="112" t="s">
        <v>48</v>
      </c>
      <c r="U608" s="137" t="s">
        <v>1693</v>
      </c>
      <c r="V608" s="137" t="s">
        <v>1694</v>
      </c>
      <c r="W608" s="69">
        <v>173</v>
      </c>
      <c r="X608" s="136">
        <v>2</v>
      </c>
      <c r="Y608" s="136">
        <v>4</v>
      </c>
      <c r="Z608" s="314"/>
      <c r="AA608" s="319">
        <v>0.59450000000000003</v>
      </c>
      <c r="AB608" s="315" t="s">
        <v>5165</v>
      </c>
      <c r="AC608" s="319">
        <v>3</v>
      </c>
      <c r="AD608" s="320">
        <v>3.2967032967032898E-2</v>
      </c>
      <c r="AE608" s="319">
        <v>2</v>
      </c>
      <c r="AF608" s="320">
        <v>2.19780219780219E-2</v>
      </c>
      <c r="AG608" s="319">
        <v>1</v>
      </c>
      <c r="AH608" s="320">
        <v>1.09890109890109E-2</v>
      </c>
      <c r="AI608" s="319">
        <v>2</v>
      </c>
      <c r="AJ608" s="320">
        <v>2.19780219780219E-2</v>
      </c>
      <c r="AK608" s="320">
        <v>1.098901098901099E-2</v>
      </c>
      <c r="AL608" s="319">
        <v>6.75</v>
      </c>
      <c r="AM608" s="319">
        <v>6.2</v>
      </c>
      <c r="AN608" s="319">
        <v>7.3333333333333304</v>
      </c>
      <c r="AO608" s="319">
        <v>0.676111111111111</v>
      </c>
      <c r="AP608">
        <v>4</v>
      </c>
      <c r="AQ608">
        <v>4</v>
      </c>
      <c r="AR608" s="136"/>
      <c r="AT608" s="69">
        <v>6.3414000000000001</v>
      </c>
      <c r="AU608" s="69">
        <v>5</v>
      </c>
      <c r="AV608" s="69">
        <v>9.8416999999999994</v>
      </c>
      <c r="AW608" s="69">
        <v>0.70609999999999995</v>
      </c>
      <c r="BB608" s="69"/>
    </row>
    <row r="609" spans="1:54" customFormat="1" ht="40" customHeight="1">
      <c r="A609" s="313">
        <v>608</v>
      </c>
      <c r="B609" s="136" t="s">
        <v>1628</v>
      </c>
      <c r="C609" s="136" t="s">
        <v>45</v>
      </c>
      <c r="D609" s="31">
        <f t="shared" si="42"/>
        <v>4</v>
      </c>
      <c r="E609" s="137" t="s">
        <v>46</v>
      </c>
      <c r="F609" s="31">
        <f t="shared" si="43"/>
        <v>6</v>
      </c>
      <c r="G609" s="137" t="s">
        <v>1695</v>
      </c>
      <c r="H609" s="138">
        <v>284</v>
      </c>
      <c r="I609" s="158">
        <f t="shared" si="44"/>
        <v>0.60199803127721596</v>
      </c>
      <c r="J609" s="95">
        <v>0.85856085830692896</v>
      </c>
      <c r="K609" s="137">
        <v>0.34543520424750301</v>
      </c>
      <c r="L609" s="137">
        <v>0.23897311328276699</v>
      </c>
      <c r="M609" s="137">
        <v>0.50512834069460699</v>
      </c>
      <c r="N609" s="136">
        <v>1</v>
      </c>
      <c r="O609" s="32">
        <v>42978</v>
      </c>
      <c r="P609" s="98">
        <f t="shared" si="45"/>
        <v>1</v>
      </c>
      <c r="Q609">
        <v>0</v>
      </c>
      <c r="R609">
        <v>1.65</v>
      </c>
      <c r="S609">
        <v>0</v>
      </c>
      <c r="T609" s="112" t="s">
        <v>73</v>
      </c>
      <c r="U609" s="137" t="s">
        <v>5186</v>
      </c>
      <c r="V609" s="137" t="s">
        <v>1697</v>
      </c>
      <c r="W609" s="69">
        <v>53</v>
      </c>
      <c r="X609" s="136">
        <v>1</v>
      </c>
      <c r="Y609" s="136">
        <v>12</v>
      </c>
      <c r="Z609" s="314"/>
      <c r="AA609" s="319">
        <v>3.3793167943305098E-6</v>
      </c>
      <c r="AB609" s="315" t="s">
        <v>5168</v>
      </c>
      <c r="AC609" s="319">
        <v>0</v>
      </c>
      <c r="AD609" s="320">
        <v>0</v>
      </c>
      <c r="AE609" s="319">
        <v>0</v>
      </c>
      <c r="AF609" s="320">
        <v>0</v>
      </c>
      <c r="AG609" s="319">
        <v>2</v>
      </c>
      <c r="AH609" s="320">
        <v>7.1428571428571397E-2</v>
      </c>
      <c r="AI609" s="319">
        <v>0</v>
      </c>
      <c r="AJ609" s="320">
        <v>0</v>
      </c>
      <c r="AK609" s="320">
        <v>0</v>
      </c>
      <c r="AL609" s="319">
        <v>5</v>
      </c>
      <c r="AM609" s="319">
        <v>5</v>
      </c>
      <c r="AN609" s="319">
        <v>6.1666666666666599</v>
      </c>
      <c r="AO609" s="319">
        <v>0.53888888888888797</v>
      </c>
      <c r="AP609">
        <v>12</v>
      </c>
      <c r="AQ609">
        <v>12</v>
      </c>
      <c r="AR609" s="136"/>
      <c r="AT609" s="69">
        <v>2.3148</v>
      </c>
      <c r="AU609" s="69">
        <v>2.3148</v>
      </c>
      <c r="AV609" s="69">
        <v>9.5120000000000005</v>
      </c>
      <c r="AW609" s="69">
        <v>0.47139999999999999</v>
      </c>
      <c r="BB609" s="69"/>
    </row>
    <row r="610" spans="1:54" customFormat="1" ht="40" customHeight="1">
      <c r="A610" s="313">
        <v>609</v>
      </c>
      <c r="B610" s="136" t="s">
        <v>1628</v>
      </c>
      <c r="C610" s="136" t="s">
        <v>45</v>
      </c>
      <c r="D610" s="31">
        <f t="shared" si="42"/>
        <v>4</v>
      </c>
      <c r="E610" s="137" t="s">
        <v>80</v>
      </c>
      <c r="F610" s="31">
        <f t="shared" si="43"/>
        <v>4</v>
      </c>
      <c r="G610" s="137" t="s">
        <v>1698</v>
      </c>
      <c r="H610" s="138">
        <v>136</v>
      </c>
      <c r="I610" s="158">
        <f t="shared" si="44"/>
        <v>0.35715046403795131</v>
      </c>
      <c r="J610" s="95">
        <v>2.5086569526156002E-6</v>
      </c>
      <c r="K610" s="137">
        <v>0.71429841941895</v>
      </c>
      <c r="L610" s="137">
        <v>0.82499999999999996</v>
      </c>
      <c r="M610" s="137">
        <v>0.54824604854737402</v>
      </c>
      <c r="N610" s="136">
        <v>1</v>
      </c>
      <c r="O610" s="32">
        <v>42860</v>
      </c>
      <c r="P610" s="98">
        <f t="shared" si="45"/>
        <v>0</v>
      </c>
      <c r="Q610">
        <v>5.0999999999999996</v>
      </c>
      <c r="R610">
        <v>1.65</v>
      </c>
      <c r="S610">
        <v>0</v>
      </c>
      <c r="T610" s="112" t="s">
        <v>48</v>
      </c>
      <c r="U610" s="137" t="s">
        <v>1699</v>
      </c>
      <c r="V610" s="137" t="s">
        <v>1700</v>
      </c>
      <c r="W610" s="69">
        <v>36</v>
      </c>
      <c r="X610" s="136">
        <v>4</v>
      </c>
      <c r="Y610" s="136">
        <v>10</v>
      </c>
      <c r="Z610" s="314"/>
      <c r="AA610" s="319">
        <v>0.64895000000000003</v>
      </c>
      <c r="AB610" s="315" t="s">
        <v>5176</v>
      </c>
      <c r="AC610" s="319">
        <v>0</v>
      </c>
      <c r="AD610" s="320">
        <v>0</v>
      </c>
      <c r="AE610" s="319">
        <v>1</v>
      </c>
      <c r="AF610" s="320">
        <v>5.2631578947368397E-2</v>
      </c>
      <c r="AG610" s="319">
        <v>0</v>
      </c>
      <c r="AH610" s="320">
        <v>0</v>
      </c>
      <c r="AI610" s="319">
        <v>0</v>
      </c>
      <c r="AJ610" s="320">
        <v>0</v>
      </c>
      <c r="AK610" s="320">
        <v>0</v>
      </c>
      <c r="AL610" s="319">
        <v>5</v>
      </c>
      <c r="AM610" s="319">
        <v>6.2</v>
      </c>
      <c r="AN610" s="319">
        <v>4.6666666666666599</v>
      </c>
      <c r="AO610" s="319">
        <v>0.52888888888888796</v>
      </c>
      <c r="AP610">
        <v>10</v>
      </c>
      <c r="AQ610">
        <v>10</v>
      </c>
      <c r="AR610" s="136"/>
      <c r="AT610" s="69">
        <v>2.3148</v>
      </c>
      <c r="AU610" s="69">
        <v>5</v>
      </c>
      <c r="AV610" s="69">
        <v>8.1305999999999994</v>
      </c>
      <c r="AW610" s="69">
        <v>0.51480000000000004</v>
      </c>
      <c r="BB610" s="69"/>
    </row>
    <row r="611" spans="1:54" customFormat="1" ht="40" customHeight="1">
      <c r="A611" s="313">
        <v>610</v>
      </c>
      <c r="B611" s="136" t="s">
        <v>1628</v>
      </c>
      <c r="C611" s="136" t="s">
        <v>45</v>
      </c>
      <c r="D611" s="31">
        <f t="shared" si="42"/>
        <v>4</v>
      </c>
      <c r="E611" s="137" t="s">
        <v>46</v>
      </c>
      <c r="F611" s="31">
        <f t="shared" si="43"/>
        <v>6</v>
      </c>
      <c r="G611" s="137" t="s">
        <v>1701</v>
      </c>
      <c r="H611" s="138">
        <v>380</v>
      </c>
      <c r="I611" s="158">
        <f t="shared" si="44"/>
        <v>0.33851873345159961</v>
      </c>
      <c r="J611" s="95">
        <v>4.8648138393340298E-2</v>
      </c>
      <c r="K611" s="137">
        <v>0.62838932850985896</v>
      </c>
      <c r="L611" s="137">
        <v>0.68181818181818199</v>
      </c>
      <c r="M611" s="137">
        <v>0.54824604854737402</v>
      </c>
      <c r="N611" s="136">
        <v>1</v>
      </c>
      <c r="O611" s="32">
        <v>42661</v>
      </c>
      <c r="P611" s="98">
        <f t="shared" si="45"/>
        <v>1</v>
      </c>
      <c r="Q611">
        <v>0</v>
      </c>
      <c r="R611">
        <v>1.65</v>
      </c>
      <c r="S611">
        <v>0</v>
      </c>
      <c r="T611" s="112" t="s">
        <v>73</v>
      </c>
      <c r="U611" s="137" t="s">
        <v>1702</v>
      </c>
      <c r="V611" s="137" t="s">
        <v>1703</v>
      </c>
      <c r="W611" s="69">
        <v>77</v>
      </c>
      <c r="X611" s="136">
        <v>1</v>
      </c>
      <c r="Y611" s="136">
        <v>10</v>
      </c>
      <c r="Z611" s="314"/>
      <c r="AA611" s="319">
        <v>3.1239572450305298E-3</v>
      </c>
      <c r="AB611" s="315" t="s">
        <v>5165</v>
      </c>
      <c r="AC611" s="319">
        <v>2</v>
      </c>
      <c r="AD611" s="320">
        <v>4.8780487804878002E-2</v>
      </c>
      <c r="AE611" s="319">
        <v>0</v>
      </c>
      <c r="AF611" s="320">
        <v>0</v>
      </c>
      <c r="AG611" s="319">
        <v>1</v>
      </c>
      <c r="AH611" s="320">
        <v>2.4390243902439001E-2</v>
      </c>
      <c r="AI611" s="319">
        <v>0</v>
      </c>
      <c r="AJ611" s="320">
        <v>0</v>
      </c>
      <c r="AK611" s="320">
        <v>0</v>
      </c>
      <c r="AL611" s="319">
        <v>7.2857142857142803</v>
      </c>
      <c r="AM611" s="319">
        <v>6.2</v>
      </c>
      <c r="AN611" s="319">
        <v>4.6666666666666599</v>
      </c>
      <c r="AO611" s="319">
        <v>0.60507936507936499</v>
      </c>
      <c r="AP611">
        <v>10</v>
      </c>
      <c r="AQ611">
        <v>10</v>
      </c>
      <c r="AR611" s="136"/>
      <c r="AT611" s="69">
        <v>7.4837999999999996</v>
      </c>
      <c r="AU611" s="69">
        <v>5</v>
      </c>
      <c r="AV611" s="69">
        <v>8.1305999999999994</v>
      </c>
      <c r="AW611" s="69">
        <v>0.68710000000000004</v>
      </c>
      <c r="BB611" s="69"/>
    </row>
    <row r="612" spans="1:54" customFormat="1" ht="40" customHeight="1">
      <c r="A612" s="313">
        <v>611</v>
      </c>
      <c r="B612" s="136" t="s">
        <v>1628</v>
      </c>
      <c r="C612" s="136" t="s">
        <v>45</v>
      </c>
      <c r="D612" s="31">
        <f t="shared" si="42"/>
        <v>4</v>
      </c>
      <c r="E612" s="137" t="s">
        <v>46</v>
      </c>
      <c r="F612" s="31">
        <f t="shared" si="43"/>
        <v>6</v>
      </c>
      <c r="G612" s="137" t="s">
        <v>1599</v>
      </c>
      <c r="H612" s="138">
        <v>382</v>
      </c>
      <c r="I612" s="158">
        <f t="shared" si="44"/>
        <v>0.34554431180134337</v>
      </c>
      <c r="J612" s="95">
        <v>7.2058270461638999E-10</v>
      </c>
      <c r="K612" s="137">
        <v>0.69108862288210404</v>
      </c>
      <c r="L612" s="137">
        <v>0.61983471074380203</v>
      </c>
      <c r="M612" s="137">
        <v>0.79796949108955795</v>
      </c>
      <c r="N612" s="136">
        <v>1</v>
      </c>
      <c r="O612" s="32">
        <v>42622</v>
      </c>
      <c r="P612" s="98">
        <f t="shared" si="45"/>
        <v>0</v>
      </c>
      <c r="Q612">
        <v>2.5499999999999998</v>
      </c>
      <c r="R612">
        <v>0</v>
      </c>
      <c r="S612">
        <v>0</v>
      </c>
      <c r="T612" s="112" t="s">
        <v>48</v>
      </c>
      <c r="U612" s="137" t="s">
        <v>1600</v>
      </c>
      <c r="V612" s="137" t="s">
        <v>1601</v>
      </c>
      <c r="W612" s="69">
        <v>85</v>
      </c>
      <c r="X612" s="136">
        <v>4</v>
      </c>
      <c r="Y612" s="136">
        <v>2</v>
      </c>
      <c r="Z612" s="314"/>
      <c r="AA612" s="319">
        <v>0.45454545454545398</v>
      </c>
      <c r="AB612" s="315" t="s">
        <v>5178</v>
      </c>
      <c r="AC612" s="319">
        <v>2</v>
      </c>
      <c r="AD612" s="320">
        <v>4.1666666666666602E-2</v>
      </c>
      <c r="AE612" s="319">
        <v>2</v>
      </c>
      <c r="AF612" s="320">
        <v>4.1666666666666602E-2</v>
      </c>
      <c r="AG612" s="319">
        <v>0</v>
      </c>
      <c r="AH612" s="320">
        <v>0</v>
      </c>
      <c r="AI612" s="319">
        <v>0</v>
      </c>
      <c r="AJ612" s="320">
        <v>0</v>
      </c>
      <c r="AK612" s="320">
        <v>2.0833333333333329E-2</v>
      </c>
      <c r="AL612" s="319">
        <v>5</v>
      </c>
      <c r="AM612" s="319">
        <v>6.2</v>
      </c>
      <c r="AN612" s="319">
        <v>4.6666666666666599</v>
      </c>
      <c r="AO612" s="319">
        <v>0.52888888888888796</v>
      </c>
      <c r="AP612">
        <v>2</v>
      </c>
      <c r="AQ612">
        <v>2</v>
      </c>
      <c r="AR612" s="136"/>
      <c r="AT612" s="69">
        <v>2.3148</v>
      </c>
      <c r="AU612" s="69">
        <v>5</v>
      </c>
      <c r="AV612" s="69">
        <v>8.1305999999999994</v>
      </c>
      <c r="AW612" s="69">
        <v>0.51480000000000004</v>
      </c>
      <c r="BB612" s="69"/>
    </row>
    <row r="613" spans="1:54" customFormat="1" ht="40" customHeight="1">
      <c r="A613" s="313">
        <v>612</v>
      </c>
      <c r="B613" s="136" t="s">
        <v>1628</v>
      </c>
      <c r="C613" s="136" t="s">
        <v>59</v>
      </c>
      <c r="D613" s="31">
        <f t="shared" si="42"/>
        <v>5</v>
      </c>
      <c r="E613" s="137" t="s">
        <v>46</v>
      </c>
      <c r="F613" s="31">
        <f t="shared" si="43"/>
        <v>6</v>
      </c>
      <c r="G613" s="137" t="s">
        <v>1704</v>
      </c>
      <c r="H613" s="138">
        <v>76</v>
      </c>
      <c r="I613" s="158">
        <f t="shared" si="44"/>
        <v>0.82101465952035702</v>
      </c>
      <c r="J613" s="95">
        <v>0.99790380559442105</v>
      </c>
      <c r="K613" s="137">
        <v>0.64412551344629299</v>
      </c>
      <c r="L613" s="137">
        <v>0.61983471074380203</v>
      </c>
      <c r="M613" s="137">
        <v>0.68056171750003003</v>
      </c>
      <c r="N613" s="136">
        <v>0</v>
      </c>
      <c r="O613" s="32">
        <v>42557</v>
      </c>
      <c r="P613" s="98">
        <f t="shared" si="45"/>
        <v>0</v>
      </c>
      <c r="Q613">
        <v>2.5499999999999998</v>
      </c>
      <c r="R613">
        <v>1.65</v>
      </c>
      <c r="S613">
        <v>0</v>
      </c>
      <c r="T613" s="112" t="s">
        <v>48</v>
      </c>
      <c r="U613" s="137" t="s">
        <v>1705</v>
      </c>
      <c r="V613" s="137" t="s">
        <v>1706</v>
      </c>
      <c r="W613" s="69">
        <v>66</v>
      </c>
      <c r="X613" s="136">
        <v>2</v>
      </c>
      <c r="Y613" s="136">
        <v>5</v>
      </c>
      <c r="Z613" s="314"/>
      <c r="AA613" s="319">
        <v>0.45454545454545398</v>
      </c>
      <c r="AB613" s="315" t="s">
        <v>5165</v>
      </c>
      <c r="AC613" s="319">
        <v>2</v>
      </c>
      <c r="AD613" s="320">
        <v>0.05</v>
      </c>
      <c r="AE613" s="319">
        <v>0</v>
      </c>
      <c r="AF613" s="320">
        <v>0</v>
      </c>
      <c r="AG613" s="319">
        <v>0</v>
      </c>
      <c r="AH613" s="320">
        <v>0</v>
      </c>
      <c r="AI613" s="319">
        <v>0</v>
      </c>
      <c r="AJ613" s="320">
        <v>0</v>
      </c>
      <c r="AK613" s="320">
        <v>0</v>
      </c>
      <c r="AL613" s="319">
        <v>5</v>
      </c>
      <c r="AM613" s="319">
        <v>5</v>
      </c>
      <c r="AN613" s="319">
        <v>2</v>
      </c>
      <c r="AO613" s="319">
        <v>0.4</v>
      </c>
      <c r="AP613">
        <v>5</v>
      </c>
      <c r="AR613" s="136">
        <v>5</v>
      </c>
      <c r="AT613" s="69">
        <v>2.3148</v>
      </c>
      <c r="AU613" s="69">
        <v>2.3148</v>
      </c>
      <c r="AV613" s="69">
        <v>2.3148</v>
      </c>
      <c r="AW613" s="69">
        <v>0.23150000000000001</v>
      </c>
      <c r="BB613" s="69"/>
    </row>
    <row r="614" spans="1:54" customFormat="1" ht="40" customHeight="1">
      <c r="A614" s="313">
        <v>613</v>
      </c>
      <c r="B614" s="136" t="s">
        <v>1707</v>
      </c>
      <c r="C614" s="136" t="s">
        <v>45</v>
      </c>
      <c r="D614" s="31">
        <f t="shared" si="42"/>
        <v>4</v>
      </c>
      <c r="E614" s="137" t="s">
        <v>221</v>
      </c>
      <c r="F614" s="31">
        <f t="shared" si="43"/>
        <v>2</v>
      </c>
      <c r="G614" s="137" t="s">
        <v>1073</v>
      </c>
      <c r="H614" s="138">
        <f>LEN(U614)</f>
        <v>38</v>
      </c>
      <c r="I614" s="158">
        <f t="shared" si="44"/>
        <v>0.39666146055496543</v>
      </c>
      <c r="J614" s="95">
        <v>4.6577825278781799E-4</v>
      </c>
      <c r="K614" s="137">
        <v>0.79285714285714304</v>
      </c>
      <c r="L614" s="137">
        <v>0.75</v>
      </c>
      <c r="M614" s="137">
        <v>0.85714285714285698</v>
      </c>
      <c r="N614" s="136">
        <v>1</v>
      </c>
      <c r="O614" s="32">
        <v>44171</v>
      </c>
      <c r="P614" s="98">
        <f t="shared" si="45"/>
        <v>1</v>
      </c>
      <c r="Q614">
        <v>0</v>
      </c>
      <c r="R614">
        <v>0</v>
      </c>
      <c r="S614">
        <v>0</v>
      </c>
      <c r="T614" s="112" t="s">
        <v>73</v>
      </c>
      <c r="U614" s="137" t="s">
        <v>1708</v>
      </c>
      <c r="V614" s="137" t="s">
        <v>1709</v>
      </c>
      <c r="W614" s="69">
        <f>LEN(V614)</f>
        <v>83</v>
      </c>
      <c r="X614" s="136">
        <v>0</v>
      </c>
      <c r="Y614" s="136">
        <v>1</v>
      </c>
      <c r="Z614" s="314"/>
      <c r="AA614" s="319">
        <v>0.59450000000000003</v>
      </c>
      <c r="AB614" s="315" t="s">
        <v>5176</v>
      </c>
      <c r="AC614" s="319">
        <v>0</v>
      </c>
      <c r="AD614" s="320">
        <v>0</v>
      </c>
      <c r="AE614" s="319">
        <v>5</v>
      </c>
      <c r="AF614" s="320">
        <v>0.10204081632653</v>
      </c>
      <c r="AG614" s="319">
        <v>1</v>
      </c>
      <c r="AH614" s="320">
        <v>2.04081632653061E-2</v>
      </c>
      <c r="AI614" s="319">
        <v>0</v>
      </c>
      <c r="AJ614" s="320">
        <v>0</v>
      </c>
      <c r="AK614" s="320">
        <v>2.0408163265306121E-2</v>
      </c>
      <c r="AL614" s="319">
        <v>5</v>
      </c>
      <c r="AM614" s="319">
        <v>7.4</v>
      </c>
      <c r="AN614" s="319">
        <v>2</v>
      </c>
      <c r="AO614" s="319">
        <v>0.48</v>
      </c>
      <c r="AR614" s="136">
        <v>1</v>
      </c>
      <c r="AT614" s="69">
        <v>2.3148</v>
      </c>
      <c r="AU614" s="69">
        <v>7.6852</v>
      </c>
      <c r="AV614" s="69">
        <v>2.3148</v>
      </c>
      <c r="AW614" s="69">
        <v>0.41049999999999998</v>
      </c>
      <c r="BB614" s="69"/>
    </row>
    <row r="615" spans="1:54" customFormat="1" ht="40" customHeight="1">
      <c r="A615" s="313">
        <v>614</v>
      </c>
      <c r="B615" s="136" t="s">
        <v>1707</v>
      </c>
      <c r="C615" s="136" t="s">
        <v>45</v>
      </c>
      <c r="D615" s="31">
        <f t="shared" si="42"/>
        <v>4</v>
      </c>
      <c r="E615" s="137" t="s">
        <v>80</v>
      </c>
      <c r="F615" s="31">
        <f t="shared" si="43"/>
        <v>4</v>
      </c>
      <c r="G615" s="137" t="s">
        <v>1710</v>
      </c>
      <c r="H615" s="138">
        <f>LEN(U615)</f>
        <v>55</v>
      </c>
      <c r="I615" s="158">
        <f t="shared" si="44"/>
        <v>0.464743017127625</v>
      </c>
      <c r="J615" s="95">
        <v>0.16029823781942701</v>
      </c>
      <c r="K615" s="137">
        <v>0.76918779643582302</v>
      </c>
      <c r="L615" s="137">
        <v>0.75</v>
      </c>
      <c r="M615" s="137">
        <v>0.79796949108955795</v>
      </c>
      <c r="N615" s="136">
        <v>1</v>
      </c>
      <c r="O615" s="32">
        <v>44158</v>
      </c>
      <c r="P615" s="98">
        <f t="shared" si="45"/>
        <v>1</v>
      </c>
      <c r="Q615">
        <v>0</v>
      </c>
      <c r="R615">
        <v>3.3</v>
      </c>
      <c r="S615">
        <v>0</v>
      </c>
      <c r="T615" s="112" t="s">
        <v>73</v>
      </c>
      <c r="U615" s="137" t="s">
        <v>1711</v>
      </c>
      <c r="V615" s="137" t="s">
        <v>5187</v>
      </c>
      <c r="W615" s="69">
        <f>LEN(V615)</f>
        <v>130</v>
      </c>
      <c r="X615" s="136">
        <v>0</v>
      </c>
      <c r="Y615" s="136">
        <v>2</v>
      </c>
      <c r="Z615" s="314"/>
      <c r="AA615" s="319">
        <v>0.59450000000000003</v>
      </c>
      <c r="AB615" s="315" t="s">
        <v>5168</v>
      </c>
      <c r="AC615" s="319">
        <v>1</v>
      </c>
      <c r="AD615" s="320">
        <v>1.4084507042253501E-2</v>
      </c>
      <c r="AE615" s="319">
        <v>0</v>
      </c>
      <c r="AF615" s="320">
        <v>0</v>
      </c>
      <c r="AG615" s="319">
        <v>2</v>
      </c>
      <c r="AH615" s="320">
        <v>2.8169014084507001E-2</v>
      </c>
      <c r="AI615" s="319">
        <v>0</v>
      </c>
      <c r="AJ615" s="320">
        <v>0</v>
      </c>
      <c r="AK615" s="320">
        <v>0</v>
      </c>
      <c r="AL615" s="319">
        <v>6.75</v>
      </c>
      <c r="AM615" s="319">
        <v>5</v>
      </c>
      <c r="AN615" s="319">
        <v>7.3333333333333304</v>
      </c>
      <c r="AO615" s="319">
        <v>0.63611111111111096</v>
      </c>
      <c r="AR615" s="136">
        <v>2</v>
      </c>
      <c r="AT615" s="69">
        <v>6.3414000000000001</v>
      </c>
      <c r="AU615" s="69">
        <v>2.3148</v>
      </c>
      <c r="AV615" s="69">
        <v>9.8416999999999994</v>
      </c>
      <c r="AW615" s="69">
        <v>0.61660000000000004</v>
      </c>
      <c r="BB615" s="69"/>
    </row>
    <row r="616" spans="1:54" customFormat="1" ht="40" customHeight="1">
      <c r="A616" s="313">
        <v>615</v>
      </c>
      <c r="B616" s="136" t="s">
        <v>1707</v>
      </c>
      <c r="C616" s="136" t="s">
        <v>45</v>
      </c>
      <c r="D616" s="31">
        <f t="shared" si="42"/>
        <v>4</v>
      </c>
      <c r="E616" s="137" t="s">
        <v>80</v>
      </c>
      <c r="F616" s="31">
        <f t="shared" si="43"/>
        <v>4</v>
      </c>
      <c r="G616" s="137" t="s">
        <v>1713</v>
      </c>
      <c r="H616" s="138">
        <f>LEN(U616)</f>
        <v>49</v>
      </c>
      <c r="I616" s="158">
        <f t="shared" si="44"/>
        <v>0.38706933036254398</v>
      </c>
      <c r="J616" s="95">
        <v>4.9508642892649403E-3</v>
      </c>
      <c r="K616" s="137">
        <v>0.76918779643582302</v>
      </c>
      <c r="L616" s="137">
        <v>0.75</v>
      </c>
      <c r="M616" s="137">
        <v>0.79796949108955795</v>
      </c>
      <c r="N616" s="136">
        <v>1</v>
      </c>
      <c r="O616" s="32">
        <v>44138</v>
      </c>
      <c r="P616" s="98">
        <f t="shared" si="45"/>
        <v>0</v>
      </c>
      <c r="Q616">
        <v>10.199999999999999</v>
      </c>
      <c r="R616">
        <v>0</v>
      </c>
      <c r="S616">
        <v>0</v>
      </c>
      <c r="T616" s="112" t="s">
        <v>48</v>
      </c>
      <c r="U616" s="137" t="s">
        <v>1714</v>
      </c>
      <c r="V616" s="137" t="s">
        <v>1715</v>
      </c>
      <c r="W616" s="69">
        <f>LEN(V616)</f>
        <v>91</v>
      </c>
      <c r="X616" s="136">
        <v>0</v>
      </c>
      <c r="Y616" s="136">
        <v>2</v>
      </c>
      <c r="Z616" s="314"/>
      <c r="AA616" s="319">
        <v>0.59450000000000003</v>
      </c>
      <c r="AB616" s="315" t="s">
        <v>5176</v>
      </c>
      <c r="AC616" s="319">
        <v>0</v>
      </c>
      <c r="AD616" s="320">
        <v>0</v>
      </c>
      <c r="AE616" s="319">
        <v>5</v>
      </c>
      <c r="AF616" s="320">
        <v>9.8039215686274495E-2</v>
      </c>
      <c r="AG616" s="319">
        <v>2</v>
      </c>
      <c r="AH616" s="320">
        <v>3.9215686274509803E-2</v>
      </c>
      <c r="AI616" s="319">
        <v>0</v>
      </c>
      <c r="AJ616" s="320">
        <v>0</v>
      </c>
      <c r="AK616" s="320">
        <v>7.8431372549019607E-2</v>
      </c>
      <c r="AL616" s="319">
        <v>6.75</v>
      </c>
      <c r="AM616" s="319">
        <v>5</v>
      </c>
      <c r="AN616" s="319">
        <v>7.3333333333333304</v>
      </c>
      <c r="AO616" s="319">
        <v>0.63611111111111096</v>
      </c>
      <c r="AR616" s="136"/>
      <c r="AS616">
        <v>2</v>
      </c>
      <c r="AT616" s="69">
        <v>6.3414000000000001</v>
      </c>
      <c r="AU616" s="69">
        <v>2.3148</v>
      </c>
      <c r="AV616" s="69">
        <v>9.8416999999999994</v>
      </c>
      <c r="AW616" s="69">
        <v>0.61660000000000004</v>
      </c>
      <c r="BB616" s="69"/>
    </row>
    <row r="617" spans="1:54" customFormat="1" ht="40" customHeight="1">
      <c r="A617" s="313">
        <v>616</v>
      </c>
      <c r="B617" s="136" t="s">
        <v>1707</v>
      </c>
      <c r="C617" s="136" t="s">
        <v>45</v>
      </c>
      <c r="D617" s="31">
        <f t="shared" si="42"/>
        <v>4</v>
      </c>
      <c r="E617" s="137" t="s">
        <v>221</v>
      </c>
      <c r="F617" s="31">
        <f t="shared" si="43"/>
        <v>2</v>
      </c>
      <c r="G617" s="137" t="s">
        <v>1716</v>
      </c>
      <c r="H617" s="138">
        <v>53</v>
      </c>
      <c r="I617" s="158">
        <f t="shared" si="44"/>
        <v>0.57408854070362203</v>
      </c>
      <c r="J617" s="95">
        <v>0.41246279569295802</v>
      </c>
      <c r="K617" s="137">
        <v>0.73571428571428599</v>
      </c>
      <c r="L617" s="137">
        <v>0.75</v>
      </c>
      <c r="M617" s="137">
        <v>0.71428571428571397</v>
      </c>
      <c r="N617" s="136">
        <v>1</v>
      </c>
      <c r="O617" s="32">
        <v>43993</v>
      </c>
      <c r="P617" s="98">
        <f t="shared" si="45"/>
        <v>0</v>
      </c>
      <c r="Q617">
        <v>2.5499999999999998</v>
      </c>
      <c r="R617">
        <v>1.65</v>
      </c>
      <c r="S617">
        <v>0</v>
      </c>
      <c r="T617" s="112" t="s">
        <v>48</v>
      </c>
      <c r="U617" s="137" t="s">
        <v>1717</v>
      </c>
      <c r="V617" s="137" t="s">
        <v>1718</v>
      </c>
      <c r="W617" s="69">
        <v>114</v>
      </c>
      <c r="X617" s="136">
        <v>1</v>
      </c>
      <c r="Y617" s="136">
        <v>4</v>
      </c>
      <c r="Z617" s="314"/>
      <c r="AA617" s="319">
        <v>0.5</v>
      </c>
      <c r="AB617" s="315" t="s">
        <v>5176</v>
      </c>
      <c r="AC617" s="319">
        <v>1</v>
      </c>
      <c r="AD617" s="320">
        <v>1.4492753623188401E-2</v>
      </c>
      <c r="AE617" s="319">
        <v>5</v>
      </c>
      <c r="AF617" s="320">
        <v>7.2463768115942004E-2</v>
      </c>
      <c r="AG617" s="319">
        <v>1</v>
      </c>
      <c r="AH617" s="320">
        <v>1.4492753623188401E-2</v>
      </c>
      <c r="AI617" s="319">
        <v>0</v>
      </c>
      <c r="AJ617" s="320">
        <v>0</v>
      </c>
      <c r="AK617" s="320">
        <v>4.3478260869565223E-2</v>
      </c>
      <c r="AL617" s="319">
        <v>5</v>
      </c>
      <c r="AM617" s="319">
        <v>5</v>
      </c>
      <c r="AN617" s="319">
        <v>2</v>
      </c>
      <c r="AO617" s="319">
        <v>0.4</v>
      </c>
      <c r="AP617">
        <v>4</v>
      </c>
      <c r="AR617" s="136">
        <v>4</v>
      </c>
      <c r="AT617" s="69">
        <v>2.3148</v>
      </c>
      <c r="AU617" s="69">
        <v>2.3148</v>
      </c>
      <c r="AV617" s="69">
        <v>2.3148</v>
      </c>
      <c r="AW617" s="69">
        <v>0.23150000000000001</v>
      </c>
      <c r="BB617" s="69"/>
    </row>
    <row r="618" spans="1:54" customFormat="1" ht="40" customHeight="1">
      <c r="A618" s="313">
        <v>617</v>
      </c>
      <c r="B618" s="136" t="s">
        <v>1707</v>
      </c>
      <c r="C618" s="136" t="s">
        <v>45</v>
      </c>
      <c r="D618" s="31">
        <f t="shared" si="42"/>
        <v>4</v>
      </c>
      <c r="E618" s="137" t="s">
        <v>46</v>
      </c>
      <c r="F618" s="31">
        <f t="shared" si="43"/>
        <v>6</v>
      </c>
      <c r="G618" s="137" t="s">
        <v>1719</v>
      </c>
      <c r="H618" s="138">
        <v>57</v>
      </c>
      <c r="I618" s="158">
        <f t="shared" si="44"/>
        <v>0.92070806352762447</v>
      </c>
      <c r="J618" s="95">
        <v>0.95405898419810597</v>
      </c>
      <c r="K618" s="137">
        <v>0.88735714285714296</v>
      </c>
      <c r="L618" s="137">
        <v>0.90749999999999997</v>
      </c>
      <c r="M618" s="137">
        <v>0.85714285714285698</v>
      </c>
      <c r="N618" s="136">
        <v>1</v>
      </c>
      <c r="O618" s="32">
        <v>43992</v>
      </c>
      <c r="P618" s="98">
        <f t="shared" si="45"/>
        <v>0</v>
      </c>
      <c r="Q618">
        <v>2.5499999999999998</v>
      </c>
      <c r="R618">
        <v>0</v>
      </c>
      <c r="S618">
        <v>0</v>
      </c>
      <c r="T618" s="112" t="s">
        <v>48</v>
      </c>
      <c r="U618" s="137" t="s">
        <v>1720</v>
      </c>
      <c r="V618" s="137" t="s">
        <v>1721</v>
      </c>
      <c r="W618" s="69">
        <v>100</v>
      </c>
      <c r="X618" s="136">
        <v>1</v>
      </c>
      <c r="Y618" s="136">
        <v>1</v>
      </c>
      <c r="Z618" s="314"/>
      <c r="AA618" s="319">
        <v>0.5</v>
      </c>
      <c r="AB618" s="315" t="s">
        <v>5176</v>
      </c>
      <c r="AC618" s="319">
        <v>1</v>
      </c>
      <c r="AD618" s="320">
        <v>1.6666666666666601E-2</v>
      </c>
      <c r="AE618" s="319">
        <v>3</v>
      </c>
      <c r="AF618" s="320">
        <v>0.05</v>
      </c>
      <c r="AG618" s="319">
        <v>1</v>
      </c>
      <c r="AH618" s="320">
        <v>1.6666666666666601E-2</v>
      </c>
      <c r="AI618" s="319">
        <v>0</v>
      </c>
      <c r="AJ618" s="320">
        <v>0</v>
      </c>
      <c r="AK618" s="320">
        <v>1.666666666666667E-2</v>
      </c>
      <c r="AL618" s="319">
        <v>5</v>
      </c>
      <c r="AM618" s="319">
        <v>5</v>
      </c>
      <c r="AN618" s="319">
        <v>3.5</v>
      </c>
      <c r="AO618" s="319">
        <v>0.45</v>
      </c>
      <c r="AP618">
        <v>1</v>
      </c>
      <c r="AR618" s="136">
        <v>1</v>
      </c>
      <c r="AT618" s="69">
        <v>2.3148</v>
      </c>
      <c r="AU618" s="69">
        <v>2.3148</v>
      </c>
      <c r="AV618" s="69">
        <v>5.7443999999999997</v>
      </c>
      <c r="AW618" s="69">
        <v>0.3458</v>
      </c>
      <c r="BB618" s="69"/>
    </row>
    <row r="619" spans="1:54" customFormat="1" ht="40" customHeight="1">
      <c r="A619" s="313">
        <v>618</v>
      </c>
      <c r="B619" s="136" t="s">
        <v>1707</v>
      </c>
      <c r="C619" s="136" t="s">
        <v>45</v>
      </c>
      <c r="D619" s="31">
        <f t="shared" si="42"/>
        <v>4</v>
      </c>
      <c r="E619" s="137" t="s">
        <v>80</v>
      </c>
      <c r="F619" s="31">
        <f t="shared" si="43"/>
        <v>4</v>
      </c>
      <c r="G619" s="137" t="s">
        <v>1722</v>
      </c>
      <c r="H619" s="138">
        <v>43</v>
      </c>
      <c r="I619" s="158">
        <f t="shared" si="44"/>
        <v>0.36329622378497195</v>
      </c>
      <c r="J619" s="95">
        <v>4.3677605699319298E-3</v>
      </c>
      <c r="K619" s="137">
        <v>0.72222468700001197</v>
      </c>
      <c r="L619" s="137">
        <v>0.75</v>
      </c>
      <c r="M619" s="137">
        <v>0.68056171750003003</v>
      </c>
      <c r="N619" s="136">
        <v>1</v>
      </c>
      <c r="O619" s="32">
        <v>43805</v>
      </c>
      <c r="P619" s="98">
        <f t="shared" si="45"/>
        <v>1</v>
      </c>
      <c r="Q619">
        <v>0</v>
      </c>
      <c r="R619">
        <v>0</v>
      </c>
      <c r="S619">
        <v>0</v>
      </c>
      <c r="T619" s="112" t="s">
        <v>73</v>
      </c>
      <c r="U619" s="137" t="s">
        <v>1723</v>
      </c>
      <c r="V619" s="137" t="s">
        <v>1724</v>
      </c>
      <c r="W619" s="69">
        <v>117</v>
      </c>
      <c r="X619" s="136">
        <v>1</v>
      </c>
      <c r="Y619" s="136">
        <v>5</v>
      </c>
      <c r="Z619" s="314"/>
      <c r="AA619" s="319">
        <v>0.60499999999999998</v>
      </c>
      <c r="AB619" s="315" t="s">
        <v>5194</v>
      </c>
      <c r="AC619" s="319">
        <v>0</v>
      </c>
      <c r="AD619" s="320">
        <v>0</v>
      </c>
      <c r="AE619" s="319">
        <v>1</v>
      </c>
      <c r="AF619" s="320">
        <v>1.6129032258064498E-2</v>
      </c>
      <c r="AG619" s="319">
        <v>0</v>
      </c>
      <c r="AH619" s="320">
        <v>0</v>
      </c>
      <c r="AI619" s="319">
        <v>1</v>
      </c>
      <c r="AJ619" s="320">
        <v>1.6129032258064498E-2</v>
      </c>
      <c r="AK619" s="320">
        <v>0</v>
      </c>
      <c r="AL619" s="319">
        <v>5</v>
      </c>
      <c r="AM619" s="319">
        <v>6.2</v>
      </c>
      <c r="AN619" s="319">
        <v>2</v>
      </c>
      <c r="AO619" s="319">
        <v>0.44</v>
      </c>
      <c r="AP619">
        <v>5</v>
      </c>
      <c r="AR619" s="136">
        <v>5</v>
      </c>
      <c r="AT619" s="69">
        <v>2.3148</v>
      </c>
      <c r="AU619" s="69">
        <v>5</v>
      </c>
      <c r="AV619" s="69">
        <v>2.3148</v>
      </c>
      <c r="AW619" s="69">
        <v>0.32100000000000001</v>
      </c>
      <c r="BB619" s="69"/>
    </row>
    <row r="620" spans="1:54" customFormat="1" ht="40" customHeight="1">
      <c r="A620" s="313">
        <v>619</v>
      </c>
      <c r="B620" s="136" t="s">
        <v>1707</v>
      </c>
      <c r="C620" s="136" t="s">
        <v>45</v>
      </c>
      <c r="D620" s="31">
        <f t="shared" si="42"/>
        <v>4</v>
      </c>
      <c r="E620" s="137" t="s">
        <v>46</v>
      </c>
      <c r="F620" s="31">
        <f t="shared" si="43"/>
        <v>6</v>
      </c>
      <c r="G620" s="137" t="s">
        <v>1725</v>
      </c>
      <c r="H620" s="138">
        <v>75</v>
      </c>
      <c r="I620" s="158">
        <f t="shared" si="44"/>
        <v>0.32960689061153675</v>
      </c>
      <c r="J620" s="95">
        <v>7.8694300703592499E-2</v>
      </c>
      <c r="K620" s="137">
        <v>0.58051948051948099</v>
      </c>
      <c r="L620" s="137">
        <v>0.68181818181818199</v>
      </c>
      <c r="M620" s="137">
        <v>0.42857142857142899</v>
      </c>
      <c r="N620" s="136">
        <v>0</v>
      </c>
      <c r="O620" s="32">
        <v>43701</v>
      </c>
      <c r="P620" s="98">
        <f t="shared" si="45"/>
        <v>0</v>
      </c>
      <c r="Q620">
        <v>5.0999999999999996</v>
      </c>
      <c r="R620">
        <v>0</v>
      </c>
      <c r="S620">
        <v>0</v>
      </c>
      <c r="T620" s="112" t="s">
        <v>48</v>
      </c>
      <c r="U620" s="137" t="s">
        <v>1726</v>
      </c>
      <c r="V620" s="137" t="s">
        <v>1727</v>
      </c>
      <c r="W620" s="69">
        <v>116</v>
      </c>
      <c r="X620" s="136">
        <v>3</v>
      </c>
      <c r="Y620" s="136">
        <v>16</v>
      </c>
      <c r="Z620" s="314"/>
      <c r="AA620" s="319">
        <v>0.5</v>
      </c>
      <c r="AB620" s="315" t="s">
        <v>5168</v>
      </c>
      <c r="AC620" s="319">
        <v>1</v>
      </c>
      <c r="AD620" s="320">
        <v>1.5625E-2</v>
      </c>
      <c r="AE620" s="319">
        <v>2</v>
      </c>
      <c r="AF620" s="320">
        <v>3.125E-2</v>
      </c>
      <c r="AG620" s="319">
        <v>3</v>
      </c>
      <c r="AH620" s="320">
        <v>4.6875E-2</v>
      </c>
      <c r="AI620" s="319">
        <v>0</v>
      </c>
      <c r="AJ620" s="320">
        <v>0</v>
      </c>
      <c r="AK620" s="320">
        <v>3.125E-2</v>
      </c>
      <c r="AL620" s="319">
        <v>5</v>
      </c>
      <c r="AM620" s="319">
        <v>5</v>
      </c>
      <c r="AN620" s="319">
        <v>2</v>
      </c>
      <c r="AO620" s="319">
        <v>0.4</v>
      </c>
      <c r="AP620">
        <v>16</v>
      </c>
      <c r="AR620" s="136">
        <v>16</v>
      </c>
      <c r="AT620" s="69">
        <v>2.3148</v>
      </c>
      <c r="AU620" s="69">
        <v>2.3148</v>
      </c>
      <c r="AV620" s="69">
        <v>2.3148</v>
      </c>
      <c r="AW620" s="69">
        <v>0.23150000000000001</v>
      </c>
      <c r="BB620" s="69"/>
    </row>
    <row r="621" spans="1:54" customFormat="1" ht="40" customHeight="1">
      <c r="A621" s="313">
        <v>620</v>
      </c>
      <c r="B621" s="136" t="s">
        <v>1707</v>
      </c>
      <c r="C621" s="136" t="s">
        <v>45</v>
      </c>
      <c r="D621" s="31">
        <f t="shared" si="42"/>
        <v>4</v>
      </c>
      <c r="E621" s="137" t="s">
        <v>46</v>
      </c>
      <c r="F621" s="31">
        <f t="shared" si="43"/>
        <v>6</v>
      </c>
      <c r="G621" s="137" t="s">
        <v>1728</v>
      </c>
      <c r="H621" s="138">
        <v>182</v>
      </c>
      <c r="I621" s="158">
        <f t="shared" si="44"/>
        <v>0.30597741384875127</v>
      </c>
      <c r="J621" s="95">
        <v>8.1258232875058801E-4</v>
      </c>
      <c r="K621" s="137">
        <v>0.61114224536875195</v>
      </c>
      <c r="L621" s="137">
        <v>0.68181818181818199</v>
      </c>
      <c r="M621" s="137">
        <v>0.50512834069460699</v>
      </c>
      <c r="N621" s="136">
        <v>1</v>
      </c>
      <c r="O621" s="32">
        <v>43684</v>
      </c>
      <c r="P621" s="98">
        <f t="shared" si="45"/>
        <v>0</v>
      </c>
      <c r="Q621">
        <v>2.5499999999999998</v>
      </c>
      <c r="R621">
        <v>0</v>
      </c>
      <c r="S621">
        <v>0</v>
      </c>
      <c r="T621" s="112" t="s">
        <v>48</v>
      </c>
      <c r="U621" s="137" t="s">
        <v>1729</v>
      </c>
      <c r="V621" s="137" t="s">
        <v>5188</v>
      </c>
      <c r="W621" s="69">
        <v>272</v>
      </c>
      <c r="X621" s="136">
        <v>2</v>
      </c>
      <c r="Y621" s="136">
        <v>12</v>
      </c>
      <c r="Z621" s="314"/>
      <c r="AA621" s="319">
        <v>0.55000000000000004</v>
      </c>
      <c r="AB621" s="315" t="s">
        <v>5168</v>
      </c>
      <c r="AC621" s="319">
        <v>1</v>
      </c>
      <c r="AD621" s="320">
        <v>6.5789473684210497E-3</v>
      </c>
      <c r="AE621" s="319">
        <v>0</v>
      </c>
      <c r="AF621" s="320">
        <v>0</v>
      </c>
      <c r="AG621" s="319">
        <v>4</v>
      </c>
      <c r="AH621" s="320">
        <v>2.6315789473684199E-2</v>
      </c>
      <c r="AI621" s="319">
        <v>0</v>
      </c>
      <c r="AJ621" s="320">
        <v>0</v>
      </c>
      <c r="AK621" s="320">
        <v>6.5789473684210523E-3</v>
      </c>
      <c r="AL621" s="319">
        <v>5</v>
      </c>
      <c r="AM621" s="319">
        <v>5</v>
      </c>
      <c r="AN621" s="319">
        <v>2</v>
      </c>
      <c r="AO621" s="319">
        <v>0.4</v>
      </c>
      <c r="AP621">
        <v>12</v>
      </c>
      <c r="AR621" s="136">
        <v>12</v>
      </c>
      <c r="AT621" s="69">
        <v>2.3148</v>
      </c>
      <c r="AU621" s="69">
        <v>2.3148</v>
      </c>
      <c r="AV621" s="69">
        <v>2.3148</v>
      </c>
      <c r="AW621" s="69">
        <v>0.23150000000000001</v>
      </c>
      <c r="BB621" s="69"/>
    </row>
    <row r="622" spans="1:54" customFormat="1" ht="40" customHeight="1">
      <c r="A622" s="313">
        <v>621</v>
      </c>
      <c r="B622" s="136" t="s">
        <v>1707</v>
      </c>
      <c r="C622" s="136" t="s">
        <v>45</v>
      </c>
      <c r="D622" s="31">
        <f t="shared" si="42"/>
        <v>4</v>
      </c>
      <c r="E622" s="137" t="s">
        <v>80</v>
      </c>
      <c r="F622" s="31">
        <f t="shared" si="43"/>
        <v>4</v>
      </c>
      <c r="G622" s="137" t="s">
        <v>1278</v>
      </c>
      <c r="H622" s="138">
        <v>118</v>
      </c>
      <c r="I622" s="158">
        <f t="shared" si="44"/>
        <v>0.44585181854217748</v>
      </c>
      <c r="J622" s="95">
        <v>0.19689844227916001</v>
      </c>
      <c r="K622" s="137">
        <v>0.69480519480519498</v>
      </c>
      <c r="L622" s="137">
        <v>0.68181818181818199</v>
      </c>
      <c r="M622" s="137">
        <v>0.71428571428571397</v>
      </c>
      <c r="N622" s="136">
        <v>1</v>
      </c>
      <c r="O622" s="32">
        <v>43679</v>
      </c>
      <c r="P622" s="98">
        <f t="shared" si="45"/>
        <v>0</v>
      </c>
      <c r="Q622">
        <v>2.5499999999999998</v>
      </c>
      <c r="R622">
        <v>0</v>
      </c>
      <c r="S622">
        <v>0</v>
      </c>
      <c r="T622" s="112" t="s">
        <v>48</v>
      </c>
      <c r="U622" s="137" t="s">
        <v>1279</v>
      </c>
      <c r="V622" s="137" t="s">
        <v>1280</v>
      </c>
      <c r="W622" s="69">
        <v>56</v>
      </c>
      <c r="X622" s="136">
        <v>2</v>
      </c>
      <c r="Y622" s="136">
        <v>4</v>
      </c>
      <c r="Z622" s="314"/>
      <c r="AA622" s="319">
        <v>0.42190082644628002</v>
      </c>
      <c r="AB622" s="315" t="s">
        <v>5168</v>
      </c>
      <c r="AC622" s="319">
        <v>0</v>
      </c>
      <c r="AD622" s="320">
        <v>0</v>
      </c>
      <c r="AE622" s="319">
        <v>0</v>
      </c>
      <c r="AF622" s="320">
        <v>0</v>
      </c>
      <c r="AG622" s="319">
        <v>1</v>
      </c>
      <c r="AH622" s="320">
        <v>3.4482758620689599E-2</v>
      </c>
      <c r="AI622" s="319">
        <v>0</v>
      </c>
      <c r="AJ622" s="320">
        <v>0</v>
      </c>
      <c r="AK622" s="320">
        <v>0</v>
      </c>
      <c r="AL622" s="319">
        <v>5</v>
      </c>
      <c r="AM622" s="319">
        <v>5</v>
      </c>
      <c r="AN622" s="319">
        <v>4.6666666666666599</v>
      </c>
      <c r="AO622" s="319">
        <v>0.48888888888888798</v>
      </c>
      <c r="AP622" s="319">
        <v>4</v>
      </c>
      <c r="AR622" s="136"/>
      <c r="AT622" s="69">
        <v>2.3148</v>
      </c>
      <c r="AU622" s="69">
        <v>2.3148</v>
      </c>
      <c r="AV622" s="69">
        <v>8.1305999999999994</v>
      </c>
      <c r="AW622" s="69">
        <v>0.42530000000000001</v>
      </c>
      <c r="BB622" s="69"/>
    </row>
    <row r="623" spans="1:54" customFormat="1" ht="40" customHeight="1">
      <c r="A623" s="313">
        <v>622</v>
      </c>
      <c r="B623" s="136" t="s">
        <v>1707</v>
      </c>
      <c r="C623" s="136" t="s">
        <v>45</v>
      </c>
      <c r="D623" s="31">
        <f t="shared" si="42"/>
        <v>4</v>
      </c>
      <c r="E623" s="137" t="s">
        <v>46</v>
      </c>
      <c r="F623" s="31">
        <f t="shared" si="43"/>
        <v>6</v>
      </c>
      <c r="G623" s="137" t="s">
        <v>818</v>
      </c>
      <c r="H623" s="138">
        <v>198</v>
      </c>
      <c r="I623" s="158">
        <f t="shared" si="44"/>
        <v>0.88361223764622343</v>
      </c>
      <c r="J623" s="95">
        <v>0.99999978829243497</v>
      </c>
      <c r="K623" s="137">
        <v>0.76722468700001201</v>
      </c>
      <c r="L623" s="137">
        <v>0.82499999999999996</v>
      </c>
      <c r="M623" s="137">
        <v>0.68056171750003003</v>
      </c>
      <c r="N623" s="136">
        <v>1</v>
      </c>
      <c r="O623" s="32">
        <v>43597</v>
      </c>
      <c r="P623" s="98">
        <f t="shared" si="45"/>
        <v>2</v>
      </c>
      <c r="Q623">
        <v>2.5499999999999998</v>
      </c>
      <c r="R623">
        <v>1.65</v>
      </c>
      <c r="S623">
        <v>5.61</v>
      </c>
      <c r="T623" s="112" t="s">
        <v>64</v>
      </c>
      <c r="U623" s="137" t="s">
        <v>1731</v>
      </c>
      <c r="V623" s="137" t="s">
        <v>1732</v>
      </c>
      <c r="W623" s="69">
        <v>89</v>
      </c>
      <c r="X623" s="136">
        <v>3</v>
      </c>
      <c r="Y623" s="136">
        <v>5</v>
      </c>
      <c r="Z623" s="314"/>
      <c r="AA623" s="319">
        <v>0.73204999999999998</v>
      </c>
      <c r="AB623" s="315" t="s">
        <v>5165</v>
      </c>
      <c r="AC623" s="319">
        <v>4</v>
      </c>
      <c r="AD623" s="320">
        <v>7.8431372549019607E-2</v>
      </c>
      <c r="AE623" s="319">
        <v>3</v>
      </c>
      <c r="AF623" s="320">
        <v>5.8823529411764698E-2</v>
      </c>
      <c r="AG623" s="319">
        <v>1</v>
      </c>
      <c r="AH623" s="320">
        <v>1.9607843137254902E-2</v>
      </c>
      <c r="AI623" s="319">
        <v>0</v>
      </c>
      <c r="AJ623" s="320">
        <v>0</v>
      </c>
      <c r="AK623" s="320">
        <v>0</v>
      </c>
      <c r="AL623" s="319">
        <v>5</v>
      </c>
      <c r="AM623" s="319">
        <v>6.2</v>
      </c>
      <c r="AN623" s="319">
        <v>4.6666666666666599</v>
      </c>
      <c r="AO623" s="319">
        <v>0.52888888888888796</v>
      </c>
      <c r="AP623">
        <v>5</v>
      </c>
      <c r="AR623" s="136">
        <v>5</v>
      </c>
      <c r="AT623" s="69">
        <v>2.3148</v>
      </c>
      <c r="AU623" s="69">
        <v>5</v>
      </c>
      <c r="AV623" s="69">
        <v>8.1305999999999994</v>
      </c>
      <c r="AW623" s="69">
        <v>0.51480000000000004</v>
      </c>
      <c r="BB623" s="69"/>
    </row>
    <row r="624" spans="1:54" customFormat="1" ht="40" customHeight="1">
      <c r="A624" s="313">
        <v>623</v>
      </c>
      <c r="B624" s="136" t="s">
        <v>1707</v>
      </c>
      <c r="C624" s="136" t="s">
        <v>45</v>
      </c>
      <c r="D624" s="31">
        <f t="shared" si="42"/>
        <v>4</v>
      </c>
      <c r="E624" s="137" t="s">
        <v>80</v>
      </c>
      <c r="F624" s="31">
        <f t="shared" si="43"/>
        <v>4</v>
      </c>
      <c r="G624" s="137" t="s">
        <v>1733</v>
      </c>
      <c r="H624" s="138">
        <v>62</v>
      </c>
      <c r="I624" s="158">
        <f t="shared" si="44"/>
        <v>0.48656807383956252</v>
      </c>
      <c r="J624" s="95">
        <v>0.19242186196483901</v>
      </c>
      <c r="K624" s="137">
        <v>0.78071428571428603</v>
      </c>
      <c r="L624" s="137">
        <v>0.82499999999999996</v>
      </c>
      <c r="M624" s="137">
        <v>0.71428571428571397</v>
      </c>
      <c r="N624" s="136">
        <v>1</v>
      </c>
      <c r="O624" s="32">
        <v>43533</v>
      </c>
      <c r="P624" s="98">
        <f t="shared" si="45"/>
        <v>1</v>
      </c>
      <c r="Q624">
        <v>0</v>
      </c>
      <c r="R624">
        <v>0</v>
      </c>
      <c r="S624">
        <v>0</v>
      </c>
      <c r="T624" s="112" t="s">
        <v>73</v>
      </c>
      <c r="U624" s="137" t="s">
        <v>1734</v>
      </c>
      <c r="V624" s="137" t="s">
        <v>1735</v>
      </c>
      <c r="W624" s="69">
        <v>130</v>
      </c>
      <c r="X624" s="136">
        <v>2</v>
      </c>
      <c r="Y624" s="136">
        <v>4</v>
      </c>
      <c r="Z624" s="314"/>
      <c r="AA624" s="319">
        <v>0.54500000000000004</v>
      </c>
      <c r="AB624" s="315" t="s">
        <v>5169</v>
      </c>
      <c r="AC624" s="319">
        <v>2</v>
      </c>
      <c r="AD624" s="320">
        <v>2.77777777777777E-2</v>
      </c>
      <c r="AE624" s="319">
        <v>1</v>
      </c>
      <c r="AF624" s="320">
        <v>1.38888888888888E-2</v>
      </c>
      <c r="AG624" s="319">
        <v>2</v>
      </c>
      <c r="AH624" s="320">
        <v>2.77777777777777E-2</v>
      </c>
      <c r="AI624" s="319">
        <v>0</v>
      </c>
      <c r="AJ624" s="320">
        <v>0</v>
      </c>
      <c r="AK624" s="320">
        <v>1.388888888888889E-2</v>
      </c>
      <c r="AL624" s="319">
        <v>5</v>
      </c>
      <c r="AM624" s="319">
        <v>5</v>
      </c>
      <c r="AN624" s="319">
        <v>7.3333333333333304</v>
      </c>
      <c r="AO624" s="319">
        <v>0.57777777777777695</v>
      </c>
      <c r="AP624">
        <v>4</v>
      </c>
      <c r="AR624" s="136">
        <v>4</v>
      </c>
      <c r="AT624" s="69">
        <v>2.3148</v>
      </c>
      <c r="AU624" s="69">
        <v>2.3148</v>
      </c>
      <c r="AV624" s="69">
        <v>9.8416999999999994</v>
      </c>
      <c r="AW624" s="69">
        <v>0.4824</v>
      </c>
      <c r="BB624" s="69"/>
    </row>
    <row r="625" spans="1:54" customFormat="1" ht="40" customHeight="1">
      <c r="A625" s="313">
        <v>624</v>
      </c>
      <c r="B625" s="136" t="s">
        <v>1707</v>
      </c>
      <c r="C625" s="136" t="s">
        <v>119</v>
      </c>
      <c r="D625" s="31">
        <f t="shared" si="42"/>
        <v>1</v>
      </c>
      <c r="E625" s="137" t="s">
        <v>46</v>
      </c>
      <c r="F625" s="31">
        <f t="shared" si="43"/>
        <v>6</v>
      </c>
      <c r="G625" s="137" t="s">
        <v>1349</v>
      </c>
      <c r="H625" s="138">
        <v>193</v>
      </c>
      <c r="I625" s="158">
        <f t="shared" si="44"/>
        <v>0.867857138140535</v>
      </c>
      <c r="J625" s="95">
        <v>0.99999999056678401</v>
      </c>
      <c r="K625" s="137">
        <v>0.73571428571428599</v>
      </c>
      <c r="L625" s="137">
        <v>0.75</v>
      </c>
      <c r="M625" s="137">
        <v>0.71428571428571397</v>
      </c>
      <c r="N625" s="136">
        <v>1</v>
      </c>
      <c r="O625" s="32">
        <v>43463</v>
      </c>
      <c r="P625" s="98">
        <f t="shared" si="45"/>
        <v>2</v>
      </c>
      <c r="Q625">
        <v>0</v>
      </c>
      <c r="R625">
        <v>3.3</v>
      </c>
      <c r="S625">
        <v>1.87</v>
      </c>
      <c r="T625" s="112" t="s">
        <v>64</v>
      </c>
      <c r="U625" s="137" t="s">
        <v>1350</v>
      </c>
      <c r="V625" s="137" t="s">
        <v>1351</v>
      </c>
      <c r="W625" s="69">
        <v>69</v>
      </c>
      <c r="X625" s="136">
        <v>2</v>
      </c>
      <c r="Y625" s="136">
        <v>4</v>
      </c>
      <c r="Z625" s="314"/>
      <c r="AA625" s="319">
        <v>0.55000000000000004</v>
      </c>
      <c r="AB625" s="315" t="s">
        <v>5176</v>
      </c>
      <c r="AC625" s="319">
        <v>1</v>
      </c>
      <c r="AD625" s="320">
        <v>2.4390243902439001E-2</v>
      </c>
      <c r="AE625" s="319">
        <v>2</v>
      </c>
      <c r="AF625" s="320">
        <v>4.8780487804878002E-2</v>
      </c>
      <c r="AG625" s="319">
        <v>0</v>
      </c>
      <c r="AH625" s="320">
        <v>0</v>
      </c>
      <c r="AI625" s="319">
        <v>0</v>
      </c>
      <c r="AJ625" s="320">
        <v>0</v>
      </c>
      <c r="AK625" s="320">
        <v>2.4390243902439029E-2</v>
      </c>
      <c r="AL625" s="319">
        <v>5</v>
      </c>
      <c r="AM625" s="319">
        <v>6.2</v>
      </c>
      <c r="AN625" s="319">
        <v>2</v>
      </c>
      <c r="AO625" s="319">
        <v>0.44</v>
      </c>
      <c r="AP625">
        <v>4</v>
      </c>
      <c r="AR625" s="136">
        <v>4</v>
      </c>
      <c r="AT625" s="69">
        <v>2.3148</v>
      </c>
      <c r="AU625" s="69">
        <v>5</v>
      </c>
      <c r="AV625" s="69">
        <v>2.3148</v>
      </c>
      <c r="AW625" s="69">
        <v>0.32100000000000001</v>
      </c>
      <c r="BB625" s="69"/>
    </row>
    <row r="626" spans="1:54" customFormat="1" ht="40" customHeight="1">
      <c r="A626" s="313">
        <v>625</v>
      </c>
      <c r="B626" s="136" t="s">
        <v>1707</v>
      </c>
      <c r="C626" s="136" t="s">
        <v>45</v>
      </c>
      <c r="D626" s="31">
        <f t="shared" si="42"/>
        <v>4</v>
      </c>
      <c r="E626" s="137" t="s">
        <v>46</v>
      </c>
      <c r="F626" s="31">
        <f t="shared" si="43"/>
        <v>6</v>
      </c>
      <c r="G626" s="137" t="s">
        <v>1736</v>
      </c>
      <c r="H626" s="138">
        <v>68</v>
      </c>
      <c r="I626" s="158">
        <f t="shared" si="44"/>
        <v>0.36795196736415064</v>
      </c>
      <c r="J626" s="95">
        <v>1.8964901401530301E-4</v>
      </c>
      <c r="K626" s="137">
        <v>0.73571428571428599</v>
      </c>
      <c r="L626" s="137">
        <v>0.75</v>
      </c>
      <c r="M626" s="137">
        <v>0.71428571428571397</v>
      </c>
      <c r="N626" s="136">
        <v>0</v>
      </c>
      <c r="O626" s="32">
        <v>43317</v>
      </c>
      <c r="P626" s="98">
        <f t="shared" si="45"/>
        <v>0</v>
      </c>
      <c r="Q626">
        <v>2.5499999999999998</v>
      </c>
      <c r="R626">
        <v>0</v>
      </c>
      <c r="S626">
        <v>0</v>
      </c>
      <c r="T626" s="112" t="s">
        <v>48</v>
      </c>
      <c r="U626" s="137" t="s">
        <v>1737</v>
      </c>
      <c r="V626" s="137" t="s">
        <v>1738</v>
      </c>
      <c r="W626" s="69">
        <v>169</v>
      </c>
      <c r="X626" s="136">
        <v>2</v>
      </c>
      <c r="Y626" s="136">
        <v>4</v>
      </c>
      <c r="Z626" s="314"/>
      <c r="AA626" s="319">
        <v>0.45454545454545398</v>
      </c>
      <c r="AB626" s="315" t="s">
        <v>5168</v>
      </c>
      <c r="AC626" s="319">
        <v>3</v>
      </c>
      <c r="AD626" s="320">
        <v>3.03030303030303E-2</v>
      </c>
      <c r="AE626" s="319">
        <v>0</v>
      </c>
      <c r="AF626" s="320">
        <v>0</v>
      </c>
      <c r="AG626" s="319">
        <v>5</v>
      </c>
      <c r="AH626" s="320">
        <v>5.0505050505050497E-2</v>
      </c>
      <c r="AI626" s="319">
        <v>0</v>
      </c>
      <c r="AJ626" s="320">
        <v>0</v>
      </c>
      <c r="AK626" s="320">
        <v>0</v>
      </c>
      <c r="AL626" s="319">
        <v>5</v>
      </c>
      <c r="AM626" s="319">
        <v>5</v>
      </c>
      <c r="AN626" s="319">
        <v>2</v>
      </c>
      <c r="AO626" s="319">
        <v>0.4</v>
      </c>
      <c r="AP626">
        <v>4</v>
      </c>
      <c r="AR626" s="136"/>
      <c r="AS626">
        <v>4</v>
      </c>
      <c r="AT626" s="69">
        <v>2.3148</v>
      </c>
      <c r="AU626" s="69">
        <v>2.3148</v>
      </c>
      <c r="AV626" s="69">
        <v>2.3148</v>
      </c>
      <c r="AW626" s="69">
        <v>0.23150000000000001</v>
      </c>
      <c r="BB626" s="69"/>
    </row>
    <row r="627" spans="1:54" customFormat="1" ht="40" customHeight="1">
      <c r="A627" s="313">
        <v>626</v>
      </c>
      <c r="B627" s="136" t="s">
        <v>1707</v>
      </c>
      <c r="C627" s="136" t="s">
        <v>45</v>
      </c>
      <c r="D627" s="31">
        <f t="shared" si="42"/>
        <v>4</v>
      </c>
      <c r="E627" s="137" t="s">
        <v>46</v>
      </c>
      <c r="F627" s="31">
        <f t="shared" si="43"/>
        <v>6</v>
      </c>
      <c r="G627" s="137" t="s">
        <v>1739</v>
      </c>
      <c r="H627" s="138">
        <v>122</v>
      </c>
      <c r="I627" s="158">
        <f t="shared" si="44"/>
        <v>0.37552708036106774</v>
      </c>
      <c r="J627" s="95">
        <v>2.8492583214467799E-5</v>
      </c>
      <c r="K627" s="137">
        <v>0.75102566813892102</v>
      </c>
      <c r="L627" s="137">
        <v>0.75</v>
      </c>
      <c r="M627" s="137">
        <v>0.75256417034730305</v>
      </c>
      <c r="N627" s="136">
        <v>1</v>
      </c>
      <c r="O627" s="32">
        <v>43308</v>
      </c>
      <c r="P627" s="98">
        <f t="shared" si="45"/>
        <v>0</v>
      </c>
      <c r="Q627">
        <v>2.5499999999999998</v>
      </c>
      <c r="R627">
        <v>1.65</v>
      </c>
      <c r="S627">
        <v>0</v>
      </c>
      <c r="T627" s="112" t="s">
        <v>48</v>
      </c>
      <c r="U627" s="137" t="s">
        <v>1740</v>
      </c>
      <c r="V627" s="137" t="s">
        <v>1741</v>
      </c>
      <c r="W627" s="69">
        <v>118</v>
      </c>
      <c r="X627" s="136">
        <v>1</v>
      </c>
      <c r="Y627" s="136">
        <v>3</v>
      </c>
      <c r="Z627" s="314"/>
      <c r="AA627" s="319">
        <v>0.413223140495867</v>
      </c>
      <c r="AB627" s="315" t="s">
        <v>5168</v>
      </c>
      <c r="AC627" s="319">
        <v>2</v>
      </c>
      <c r="AD627" s="320">
        <v>3.1746031746031703E-2</v>
      </c>
      <c r="AE627" s="319">
        <v>1</v>
      </c>
      <c r="AF627" s="320">
        <v>1.5873015873015799E-2</v>
      </c>
      <c r="AG627" s="319">
        <v>3</v>
      </c>
      <c r="AH627" s="320">
        <v>4.7619047619047603E-2</v>
      </c>
      <c r="AI627" s="319">
        <v>0</v>
      </c>
      <c r="AJ627" s="320">
        <v>0</v>
      </c>
      <c r="AK627" s="320">
        <v>0</v>
      </c>
      <c r="AL627" s="319">
        <v>5</v>
      </c>
      <c r="AM627" s="319">
        <v>5</v>
      </c>
      <c r="AN627" s="319">
        <v>2</v>
      </c>
      <c r="AO627" s="319">
        <v>0.4</v>
      </c>
      <c r="AP627" s="319">
        <v>3</v>
      </c>
      <c r="AR627" s="136"/>
      <c r="AT627" s="69">
        <v>2.3148</v>
      </c>
      <c r="AU627" s="69">
        <v>2.3148</v>
      </c>
      <c r="AV627" s="69">
        <v>2.3148</v>
      </c>
      <c r="AW627" s="69">
        <v>0.23150000000000001</v>
      </c>
      <c r="BB627" s="69"/>
    </row>
    <row r="628" spans="1:54" customFormat="1" ht="40" customHeight="1">
      <c r="A628" s="313">
        <v>627</v>
      </c>
      <c r="B628" s="136" t="s">
        <v>1707</v>
      </c>
      <c r="C628" s="136" t="s">
        <v>45</v>
      </c>
      <c r="D628" s="31">
        <f t="shared" si="42"/>
        <v>4</v>
      </c>
      <c r="E628" s="137" t="s">
        <v>46</v>
      </c>
      <c r="F628" s="31">
        <f t="shared" si="43"/>
        <v>6</v>
      </c>
      <c r="G628" s="137" t="s">
        <v>1742</v>
      </c>
      <c r="H628" s="138">
        <v>177</v>
      </c>
      <c r="I628" s="158">
        <f t="shared" si="44"/>
        <v>0.78095556323150905</v>
      </c>
      <c r="J628" s="95">
        <v>0.85188196890777101</v>
      </c>
      <c r="K628" s="137">
        <v>0.71002915755524698</v>
      </c>
      <c r="L628" s="137">
        <v>0.75</v>
      </c>
      <c r="M628" s="137">
        <v>0.65007289388811795</v>
      </c>
      <c r="N628" s="136">
        <v>1</v>
      </c>
      <c r="O628" s="32">
        <v>43298</v>
      </c>
      <c r="P628" s="98">
        <f t="shared" si="45"/>
        <v>2</v>
      </c>
      <c r="Q628">
        <v>0</v>
      </c>
      <c r="R628">
        <v>0</v>
      </c>
      <c r="S628">
        <v>1.87</v>
      </c>
      <c r="T628" s="112" t="s">
        <v>64</v>
      </c>
      <c r="U628" s="137" t="s">
        <v>1743</v>
      </c>
      <c r="V628" s="137" t="s">
        <v>1744</v>
      </c>
      <c r="W628" s="69">
        <v>112</v>
      </c>
      <c r="X628" s="136">
        <v>2</v>
      </c>
      <c r="Y628" s="136">
        <v>6</v>
      </c>
      <c r="Z628" s="314"/>
      <c r="AA628" s="319">
        <v>0.55000000000000004</v>
      </c>
      <c r="AB628" s="315" t="s">
        <v>5168</v>
      </c>
      <c r="AC628" s="319">
        <v>3</v>
      </c>
      <c r="AD628" s="320">
        <v>4.6153846153846101E-2</v>
      </c>
      <c r="AE628" s="319">
        <v>2</v>
      </c>
      <c r="AF628" s="320">
        <v>3.0769230769230702E-2</v>
      </c>
      <c r="AG628" s="319">
        <v>4</v>
      </c>
      <c r="AH628" s="320">
        <v>6.15384615384615E-2</v>
      </c>
      <c r="AI628" s="319">
        <v>0</v>
      </c>
      <c r="AJ628" s="320">
        <v>0</v>
      </c>
      <c r="AK628" s="320">
        <v>0</v>
      </c>
      <c r="AL628" s="319">
        <v>5</v>
      </c>
      <c r="AM628" s="319">
        <v>5</v>
      </c>
      <c r="AN628" s="319">
        <v>4.6666666666666599</v>
      </c>
      <c r="AO628" s="319">
        <v>0.48888888888888798</v>
      </c>
      <c r="AP628">
        <v>6</v>
      </c>
      <c r="AR628" s="136"/>
      <c r="AS628">
        <v>6</v>
      </c>
      <c r="AT628" s="69">
        <v>2.3148</v>
      </c>
      <c r="AU628" s="69">
        <v>2.3148</v>
      </c>
      <c r="AV628" s="69">
        <v>8.1305999999999994</v>
      </c>
      <c r="AW628" s="69">
        <v>0.42530000000000001</v>
      </c>
      <c r="BB628" s="69"/>
    </row>
    <row r="629" spans="1:54" customFormat="1" ht="40" customHeight="1">
      <c r="A629" s="313">
        <v>628</v>
      </c>
      <c r="B629" s="136" t="s">
        <v>1707</v>
      </c>
      <c r="C629" s="136" t="s">
        <v>45</v>
      </c>
      <c r="D629" s="31">
        <f t="shared" si="42"/>
        <v>4</v>
      </c>
      <c r="E629" s="137" t="s">
        <v>80</v>
      </c>
      <c r="F629" s="31">
        <f t="shared" si="43"/>
        <v>4</v>
      </c>
      <c r="G629" s="137" t="s">
        <v>159</v>
      </c>
      <c r="H629" s="138">
        <v>36</v>
      </c>
      <c r="I629" s="158">
        <f t="shared" si="44"/>
        <v>0.64328018991668245</v>
      </c>
      <c r="J629" s="95">
        <v>0.55084609411907903</v>
      </c>
      <c r="K629" s="137">
        <v>0.73571428571428599</v>
      </c>
      <c r="L629" s="137">
        <v>0.75</v>
      </c>
      <c r="M629" s="137">
        <v>0.71428571428571397</v>
      </c>
      <c r="N629" s="136">
        <v>1</v>
      </c>
      <c r="O629" s="32">
        <v>43239</v>
      </c>
      <c r="P629" s="98">
        <f t="shared" si="45"/>
        <v>0</v>
      </c>
      <c r="Q629">
        <v>2.5499999999999998</v>
      </c>
      <c r="R629">
        <v>0</v>
      </c>
      <c r="S629">
        <v>0</v>
      </c>
      <c r="T629" s="112" t="s">
        <v>48</v>
      </c>
      <c r="U629" s="137" t="s">
        <v>1745</v>
      </c>
      <c r="V629" s="137" t="s">
        <v>1746</v>
      </c>
      <c r="W629" s="69">
        <v>121</v>
      </c>
      <c r="X629" s="136">
        <v>1</v>
      </c>
      <c r="Y629" s="136">
        <v>4</v>
      </c>
      <c r="Z629" s="314"/>
      <c r="AA629" s="319">
        <v>0.59450000000000003</v>
      </c>
      <c r="AB629" s="315" t="s">
        <v>5193</v>
      </c>
      <c r="AC629" s="319">
        <v>2</v>
      </c>
      <c r="AD629" s="320">
        <v>2.94117647058823E-2</v>
      </c>
      <c r="AE629" s="319">
        <v>2</v>
      </c>
      <c r="AF629" s="320">
        <v>2.94117647058823E-2</v>
      </c>
      <c r="AG629" s="319">
        <v>1</v>
      </c>
      <c r="AH629" s="320">
        <v>1.47058823529411E-2</v>
      </c>
      <c r="AI629" s="319">
        <v>2</v>
      </c>
      <c r="AJ629" s="320">
        <v>2.94117647058823E-2</v>
      </c>
      <c r="AK629" s="320">
        <v>1.470588235294118E-2</v>
      </c>
      <c r="AL629" s="319">
        <v>5</v>
      </c>
      <c r="AM629" s="319">
        <v>6.2</v>
      </c>
      <c r="AN629" s="319">
        <v>4.6666666666666599</v>
      </c>
      <c r="AO629" s="319">
        <v>0.52888888888888796</v>
      </c>
      <c r="AP629">
        <v>4</v>
      </c>
      <c r="AR629" s="136">
        <v>4</v>
      </c>
      <c r="AT629" s="69">
        <v>2.3148</v>
      </c>
      <c r="AU629" s="69">
        <v>5</v>
      </c>
      <c r="AV629" s="69">
        <v>8.1305999999999994</v>
      </c>
      <c r="AW629" s="69">
        <v>0.51480000000000004</v>
      </c>
      <c r="BB629" s="69"/>
    </row>
    <row r="630" spans="1:54" customFormat="1" ht="40" customHeight="1">
      <c r="A630" s="313">
        <v>629</v>
      </c>
      <c r="B630" s="136" t="s">
        <v>1707</v>
      </c>
      <c r="C630" s="136" t="s">
        <v>45</v>
      </c>
      <c r="D630" s="31">
        <f t="shared" si="42"/>
        <v>4</v>
      </c>
      <c r="E630" s="137" t="s">
        <v>46</v>
      </c>
      <c r="F630" s="31">
        <f t="shared" si="43"/>
        <v>6</v>
      </c>
      <c r="G630" s="137" t="s">
        <v>1747</v>
      </c>
      <c r="H630" s="138">
        <v>95</v>
      </c>
      <c r="I630" s="158">
        <f t="shared" si="44"/>
        <v>0.7789773569127465</v>
      </c>
      <c r="J630" s="95">
        <v>0.97751445030995199</v>
      </c>
      <c r="K630" s="137">
        <v>0.58044026351554101</v>
      </c>
      <c r="L630" s="137">
        <v>0.465690992294366</v>
      </c>
      <c r="M630" s="137">
        <v>0.75256417034730305</v>
      </c>
      <c r="N630" s="136">
        <v>1</v>
      </c>
      <c r="O630" s="32">
        <v>43178</v>
      </c>
      <c r="P630" s="98">
        <f t="shared" si="45"/>
        <v>1</v>
      </c>
      <c r="Q630">
        <v>0</v>
      </c>
      <c r="R630">
        <v>0</v>
      </c>
      <c r="S630">
        <v>0</v>
      </c>
      <c r="T630" s="112" t="s">
        <v>73</v>
      </c>
      <c r="U630" s="137" t="s">
        <v>1748</v>
      </c>
      <c r="V630" s="137" t="s">
        <v>1749</v>
      </c>
      <c r="W630" s="69">
        <v>22</v>
      </c>
      <c r="X630" s="136">
        <v>1</v>
      </c>
      <c r="Y630" s="136">
        <v>3</v>
      </c>
      <c r="Z630" s="314"/>
      <c r="AA630" s="319">
        <v>9.1578194443670893E-3</v>
      </c>
      <c r="AB630" s="315" t="s">
        <v>5176</v>
      </c>
      <c r="AC630" s="319">
        <v>0</v>
      </c>
      <c r="AD630" s="320">
        <v>0</v>
      </c>
      <c r="AE630" s="319">
        <v>1</v>
      </c>
      <c r="AF630" s="320">
        <v>7.69230769230769E-2</v>
      </c>
      <c r="AG630" s="319">
        <v>0</v>
      </c>
      <c r="AH630" s="320">
        <v>0</v>
      </c>
      <c r="AI630" s="319">
        <v>0</v>
      </c>
      <c r="AJ630" s="320">
        <v>0</v>
      </c>
      <c r="AK630" s="320">
        <v>0</v>
      </c>
      <c r="AL630" s="319">
        <v>5</v>
      </c>
      <c r="AM630" s="319">
        <v>5</v>
      </c>
      <c r="AN630" s="319">
        <v>3.5</v>
      </c>
      <c r="AO630" s="319">
        <v>0.45</v>
      </c>
      <c r="AP630">
        <v>3</v>
      </c>
      <c r="AR630" s="136">
        <v>3</v>
      </c>
      <c r="AT630" s="69">
        <v>2.3148</v>
      </c>
      <c r="AU630" s="69">
        <v>2.3148</v>
      </c>
      <c r="AV630" s="69">
        <v>5.7443999999999997</v>
      </c>
      <c r="AW630" s="69">
        <v>0.3458</v>
      </c>
      <c r="BB630" s="69"/>
    </row>
    <row r="631" spans="1:54" customFormat="1" ht="40" customHeight="1">
      <c r="A631" s="313">
        <v>630</v>
      </c>
      <c r="B631" s="136" t="s">
        <v>1707</v>
      </c>
      <c r="C631" s="136" t="s">
        <v>45</v>
      </c>
      <c r="D631" s="31">
        <f t="shared" si="42"/>
        <v>4</v>
      </c>
      <c r="E631" s="137" t="s">
        <v>80</v>
      </c>
      <c r="F631" s="31">
        <f t="shared" si="43"/>
        <v>4</v>
      </c>
      <c r="G631" s="137" t="s">
        <v>1750</v>
      </c>
      <c r="H631" s="138">
        <v>25</v>
      </c>
      <c r="I631" s="158">
        <f t="shared" si="44"/>
        <v>0.51634641326435804</v>
      </c>
      <c r="J631" s="95">
        <v>0.13769282652871601</v>
      </c>
      <c r="K631" s="137">
        <v>0.89500000000000002</v>
      </c>
      <c r="L631" s="137">
        <v>0.82499999999999996</v>
      </c>
      <c r="M631" s="137">
        <v>1</v>
      </c>
      <c r="N631" s="136">
        <v>1</v>
      </c>
      <c r="O631" s="32">
        <v>43094</v>
      </c>
      <c r="P631" s="98">
        <f t="shared" si="45"/>
        <v>2</v>
      </c>
      <c r="Q631">
        <v>0</v>
      </c>
      <c r="R631">
        <v>0</v>
      </c>
      <c r="S631">
        <v>0</v>
      </c>
      <c r="T631" s="112" t="s">
        <v>64</v>
      </c>
      <c r="U631" s="137" t="s">
        <v>1751</v>
      </c>
      <c r="V631" s="137" t="s">
        <v>1752</v>
      </c>
      <c r="W631" s="69">
        <v>52</v>
      </c>
      <c r="X631" s="136">
        <v>2</v>
      </c>
      <c r="Y631" s="136">
        <v>0</v>
      </c>
      <c r="Z631" s="314"/>
      <c r="AA631" s="319">
        <v>0.54500000000000004</v>
      </c>
      <c r="AB631" s="315" t="s">
        <v>5176</v>
      </c>
      <c r="AC631" s="319">
        <v>2</v>
      </c>
      <c r="AD631" s="320">
        <v>6.4516129032257993E-2</v>
      </c>
      <c r="AE631" s="319">
        <v>3</v>
      </c>
      <c r="AF631" s="320">
        <v>9.6774193548387094E-2</v>
      </c>
      <c r="AG631" s="319">
        <v>1</v>
      </c>
      <c r="AH631" s="320">
        <v>3.2258064516128997E-2</v>
      </c>
      <c r="AI631" s="319">
        <v>0</v>
      </c>
      <c r="AJ631" s="320">
        <v>0</v>
      </c>
      <c r="AK631" s="320">
        <v>3.2258064516129031E-2</v>
      </c>
      <c r="AL631" s="319">
        <v>5</v>
      </c>
      <c r="AM631" s="319">
        <v>5</v>
      </c>
      <c r="AN631" s="319">
        <v>4.6666666666666599</v>
      </c>
      <c r="AO631" s="319">
        <v>0.48888888888888798</v>
      </c>
      <c r="AP631">
        <v>0</v>
      </c>
      <c r="AQ631">
        <v>0</v>
      </c>
      <c r="AR631" s="136"/>
      <c r="AT631" s="69">
        <v>2.3148</v>
      </c>
      <c r="AU631" s="69">
        <v>2.3148</v>
      </c>
      <c r="AV631" s="69">
        <v>8.1305999999999994</v>
      </c>
      <c r="AW631" s="69">
        <v>0.42530000000000001</v>
      </c>
      <c r="BB631" s="69"/>
    </row>
    <row r="632" spans="1:54" customFormat="1" ht="40" customHeight="1">
      <c r="A632" s="313">
        <v>631</v>
      </c>
      <c r="B632" s="136" t="s">
        <v>1707</v>
      </c>
      <c r="C632" s="136" t="s">
        <v>45</v>
      </c>
      <c r="D632" s="31">
        <f t="shared" si="42"/>
        <v>4</v>
      </c>
      <c r="E632" s="137" t="s">
        <v>80</v>
      </c>
      <c r="F632" s="31">
        <f t="shared" si="43"/>
        <v>4</v>
      </c>
      <c r="G632" s="137" t="s">
        <v>1753</v>
      </c>
      <c r="H632" s="138">
        <v>150</v>
      </c>
      <c r="I632" s="158">
        <f t="shared" si="44"/>
        <v>0.378650273625525</v>
      </c>
      <c r="J632" s="95">
        <v>0.26491168585520403</v>
      </c>
      <c r="K632" s="137">
        <v>0.49238886139584598</v>
      </c>
      <c r="L632" s="137">
        <v>0.423355447540333</v>
      </c>
      <c r="M632" s="137">
        <v>0.59593898217911601</v>
      </c>
      <c r="N632" s="136">
        <v>0</v>
      </c>
      <c r="O632" s="32">
        <v>42921</v>
      </c>
      <c r="P632" s="98">
        <f t="shared" si="45"/>
        <v>0</v>
      </c>
      <c r="Q632">
        <v>2.5499999999999998</v>
      </c>
      <c r="R632">
        <v>0</v>
      </c>
      <c r="S632">
        <v>0</v>
      </c>
      <c r="T632" s="112" t="s">
        <v>48</v>
      </c>
      <c r="U632" s="137" t="s">
        <v>1754</v>
      </c>
      <c r="V632" s="137" t="s">
        <v>1755</v>
      </c>
      <c r="W632" s="69">
        <v>175</v>
      </c>
      <c r="X632" s="136">
        <v>1</v>
      </c>
      <c r="Y632" s="136">
        <v>8</v>
      </c>
      <c r="Z632" s="314"/>
      <c r="AA632" s="319">
        <v>9.89044499991645E-3</v>
      </c>
      <c r="AB632" s="315" t="s">
        <v>5168</v>
      </c>
      <c r="AC632" s="319">
        <v>0</v>
      </c>
      <c r="AD632" s="320">
        <v>0</v>
      </c>
      <c r="AE632" s="319">
        <v>0</v>
      </c>
      <c r="AF632" s="320">
        <v>0</v>
      </c>
      <c r="AG632" s="319">
        <v>3</v>
      </c>
      <c r="AH632" s="320">
        <v>3.0927835051546299E-2</v>
      </c>
      <c r="AI632" s="319">
        <v>0</v>
      </c>
      <c r="AJ632" s="320">
        <v>0</v>
      </c>
      <c r="AK632" s="320">
        <v>0</v>
      </c>
      <c r="AL632" s="319">
        <v>5</v>
      </c>
      <c r="AM632" s="319">
        <v>5</v>
      </c>
      <c r="AN632" s="319">
        <v>8.8333333333333304</v>
      </c>
      <c r="AO632" s="319">
        <v>0.62777777777777699</v>
      </c>
      <c r="AP632">
        <v>8</v>
      </c>
      <c r="AR632" s="136">
        <v>8</v>
      </c>
      <c r="AT632" s="69">
        <v>2.3148</v>
      </c>
      <c r="AU632" s="69">
        <v>2.3148</v>
      </c>
      <c r="AV632" s="69">
        <v>9.9641999999999999</v>
      </c>
      <c r="AW632" s="69">
        <v>0.48649999999999999</v>
      </c>
      <c r="BB632" s="69"/>
    </row>
    <row r="633" spans="1:54" customFormat="1" ht="40" customHeight="1">
      <c r="A633" s="313">
        <v>632</v>
      </c>
      <c r="B633" s="136" t="s">
        <v>1707</v>
      </c>
      <c r="C633" s="136" t="s">
        <v>45</v>
      </c>
      <c r="D633" s="31">
        <f t="shared" si="42"/>
        <v>4</v>
      </c>
      <c r="E633" s="137" t="s">
        <v>80</v>
      </c>
      <c r="F633" s="31">
        <f t="shared" si="43"/>
        <v>4</v>
      </c>
      <c r="G633" s="137" t="s">
        <v>1756</v>
      </c>
      <c r="H633" s="138">
        <v>60</v>
      </c>
      <c r="I633" s="158">
        <f t="shared" si="44"/>
        <v>0.3345755553313407</v>
      </c>
      <c r="J633" s="95">
        <v>3.1044016525427798E-5</v>
      </c>
      <c r="K633" s="137">
        <v>0.66912006664615598</v>
      </c>
      <c r="L633" s="137">
        <v>0.68181818181818199</v>
      </c>
      <c r="M633" s="137">
        <v>0.65007289388811795</v>
      </c>
      <c r="N633" s="136">
        <v>1</v>
      </c>
      <c r="O633" s="32">
        <v>42910</v>
      </c>
      <c r="P633" s="98">
        <f t="shared" si="45"/>
        <v>0</v>
      </c>
      <c r="Q633">
        <v>2.5499999999999998</v>
      </c>
      <c r="R633">
        <v>0</v>
      </c>
      <c r="S633">
        <v>0</v>
      </c>
      <c r="T633" s="112" t="s">
        <v>48</v>
      </c>
      <c r="U633" s="137" t="s">
        <v>1757</v>
      </c>
      <c r="V633" s="137" t="s">
        <v>1758</v>
      </c>
      <c r="W633" s="69">
        <v>176</v>
      </c>
      <c r="X633" s="136">
        <v>1</v>
      </c>
      <c r="Y633" s="136">
        <v>6</v>
      </c>
      <c r="Z633" s="314"/>
      <c r="AA633" s="319">
        <v>0.59450000000000003</v>
      </c>
      <c r="AB633" s="315" t="s">
        <v>5168</v>
      </c>
      <c r="AC633" s="319">
        <v>0</v>
      </c>
      <c r="AD633" s="320">
        <v>0</v>
      </c>
      <c r="AE633" s="319">
        <v>0</v>
      </c>
      <c r="AF633" s="320">
        <v>0</v>
      </c>
      <c r="AG633" s="319">
        <v>3</v>
      </c>
      <c r="AH633" s="320">
        <v>3.06122448979591E-2</v>
      </c>
      <c r="AI633" s="319">
        <v>0</v>
      </c>
      <c r="AJ633" s="320">
        <v>0</v>
      </c>
      <c r="AK633" s="320">
        <v>0</v>
      </c>
      <c r="AL633" s="319">
        <v>5</v>
      </c>
      <c r="AM633" s="319">
        <v>7.4</v>
      </c>
      <c r="AN633" s="319">
        <v>3.5</v>
      </c>
      <c r="AO633" s="319">
        <v>0.53</v>
      </c>
      <c r="AP633">
        <v>6</v>
      </c>
      <c r="AQ633">
        <v>6</v>
      </c>
      <c r="AR633" s="136"/>
      <c r="AT633" s="69">
        <v>2.3148</v>
      </c>
      <c r="AU633" s="69">
        <v>7.6852</v>
      </c>
      <c r="AV633" s="69">
        <v>5.7443999999999997</v>
      </c>
      <c r="AW633" s="69">
        <v>0.52480000000000004</v>
      </c>
      <c r="BB633" s="69"/>
    </row>
    <row r="634" spans="1:54" customFormat="1" ht="40" customHeight="1">
      <c r="A634" s="313">
        <v>633</v>
      </c>
      <c r="B634" s="136" t="s">
        <v>1707</v>
      </c>
      <c r="C634" s="136" t="s">
        <v>45</v>
      </c>
      <c r="D634" s="31">
        <f t="shared" si="42"/>
        <v>4</v>
      </c>
      <c r="E634" s="137" t="s">
        <v>46</v>
      </c>
      <c r="F634" s="31">
        <f t="shared" si="43"/>
        <v>6</v>
      </c>
      <c r="G634" s="137" t="s">
        <v>1106</v>
      </c>
      <c r="H634" s="138">
        <v>219</v>
      </c>
      <c r="I634" s="158">
        <f t="shared" si="44"/>
        <v>0.844187792182724</v>
      </c>
      <c r="J634" s="95">
        <v>0.99999999149380203</v>
      </c>
      <c r="K634" s="137">
        <v>0.68837559287164596</v>
      </c>
      <c r="L634" s="137">
        <v>0.75</v>
      </c>
      <c r="M634" s="137">
        <v>0.59593898217911601</v>
      </c>
      <c r="N634" s="136">
        <v>1</v>
      </c>
      <c r="O634" s="32">
        <v>42880</v>
      </c>
      <c r="P634" s="98">
        <f t="shared" si="45"/>
        <v>0</v>
      </c>
      <c r="Q634">
        <v>7.65</v>
      </c>
      <c r="R634">
        <v>4.95</v>
      </c>
      <c r="S634">
        <v>0</v>
      </c>
      <c r="T634" s="112" t="s">
        <v>48</v>
      </c>
      <c r="U634" s="137" t="s">
        <v>1759</v>
      </c>
      <c r="V634" s="137" t="s">
        <v>1108</v>
      </c>
      <c r="W634" s="69">
        <v>107</v>
      </c>
      <c r="X634" s="136">
        <v>4</v>
      </c>
      <c r="Y634" s="136">
        <v>8</v>
      </c>
      <c r="Z634" s="314"/>
      <c r="AA634" s="319">
        <v>0.64895000000000003</v>
      </c>
      <c r="AB634" s="315" t="s">
        <v>5177</v>
      </c>
      <c r="AC634" s="319">
        <v>0</v>
      </c>
      <c r="AD634" s="320">
        <v>0</v>
      </c>
      <c r="AE634" s="319">
        <v>1</v>
      </c>
      <c r="AF634" s="320">
        <v>1.5873015873015799E-2</v>
      </c>
      <c r="AG634" s="319">
        <v>1</v>
      </c>
      <c r="AH634" s="320">
        <v>1.5873015873015799E-2</v>
      </c>
      <c r="AI634" s="319">
        <v>0</v>
      </c>
      <c r="AJ634" s="320">
        <v>0</v>
      </c>
      <c r="AK634" s="320">
        <v>0</v>
      </c>
      <c r="AL634" s="319">
        <v>5</v>
      </c>
      <c r="AM634" s="319">
        <v>8.3333333333333304</v>
      </c>
      <c r="AN634" s="319">
        <v>4.6666666666666599</v>
      </c>
      <c r="AO634" s="319">
        <v>0.6</v>
      </c>
      <c r="AP634" s="319">
        <v>8</v>
      </c>
      <c r="AR634" s="136"/>
      <c r="AT634" s="69">
        <v>2.3148</v>
      </c>
      <c r="AU634" s="69">
        <v>8.9379000000000008</v>
      </c>
      <c r="AV634" s="69">
        <v>8.1305999999999994</v>
      </c>
      <c r="AW634" s="69">
        <v>0.64610000000000001</v>
      </c>
      <c r="BB634" s="69"/>
    </row>
    <row r="635" spans="1:54" customFormat="1" ht="40" customHeight="1">
      <c r="A635" s="313">
        <v>634</v>
      </c>
      <c r="B635" s="136" t="s">
        <v>1707</v>
      </c>
      <c r="C635" s="136" t="s">
        <v>45</v>
      </c>
      <c r="D635" s="31">
        <f t="shared" si="42"/>
        <v>4</v>
      </c>
      <c r="E635" s="137" t="s">
        <v>80</v>
      </c>
      <c r="F635" s="31">
        <f t="shared" si="43"/>
        <v>4</v>
      </c>
      <c r="G635" s="137" t="s">
        <v>1756</v>
      </c>
      <c r="H635" s="138">
        <v>194</v>
      </c>
      <c r="I635" s="158">
        <f t="shared" si="44"/>
        <v>0.83445246145287455</v>
      </c>
      <c r="J635" s="95">
        <v>0.99960650348679903</v>
      </c>
      <c r="K635" s="137">
        <v>0.66929841941894996</v>
      </c>
      <c r="L635" s="137">
        <v>0.75</v>
      </c>
      <c r="M635" s="137">
        <v>0.54824604854737402</v>
      </c>
      <c r="N635" s="136">
        <v>1</v>
      </c>
      <c r="O635" s="32">
        <v>42815</v>
      </c>
      <c r="P635" s="98">
        <f t="shared" si="45"/>
        <v>0</v>
      </c>
      <c r="Q635">
        <v>2.5499999999999998</v>
      </c>
      <c r="R635">
        <v>1.65</v>
      </c>
      <c r="S635">
        <v>0</v>
      </c>
      <c r="T635" s="112" t="s">
        <v>48</v>
      </c>
      <c r="U635" s="137" t="s">
        <v>1760</v>
      </c>
      <c r="V635" s="137" t="s">
        <v>1761</v>
      </c>
      <c r="W635" s="69">
        <v>241</v>
      </c>
      <c r="X635" s="136">
        <v>2</v>
      </c>
      <c r="Y635" s="136">
        <v>10</v>
      </c>
      <c r="Z635" s="314"/>
      <c r="AA635" s="319">
        <v>0.54500000000000004</v>
      </c>
      <c r="AB635" s="315" t="s">
        <v>5168</v>
      </c>
      <c r="AC635" s="319">
        <v>1</v>
      </c>
      <c r="AD635" s="320">
        <v>7.7519379844961196E-3</v>
      </c>
      <c r="AE635" s="319">
        <v>0</v>
      </c>
      <c r="AF635" s="320">
        <v>0</v>
      </c>
      <c r="AG635" s="319">
        <v>2</v>
      </c>
      <c r="AH635" s="320">
        <v>1.5503875968992199E-2</v>
      </c>
      <c r="AI635" s="319">
        <v>0</v>
      </c>
      <c r="AJ635" s="320">
        <v>0</v>
      </c>
      <c r="AK635" s="320">
        <v>7.7519379844961239E-3</v>
      </c>
      <c r="AL635" s="319">
        <v>5</v>
      </c>
      <c r="AM635" s="319">
        <v>7.4</v>
      </c>
      <c r="AN635" s="319">
        <v>2</v>
      </c>
      <c r="AO635" s="319">
        <v>0.48</v>
      </c>
      <c r="AP635">
        <v>10</v>
      </c>
      <c r="AQ635">
        <v>10</v>
      </c>
      <c r="AR635" s="136"/>
      <c r="AT635" s="69">
        <v>2.3148</v>
      </c>
      <c r="AU635" s="69">
        <v>7.6852</v>
      </c>
      <c r="AV635" s="69">
        <v>2.3148</v>
      </c>
      <c r="AW635" s="69">
        <v>0.41049999999999998</v>
      </c>
      <c r="BB635" s="69"/>
    </row>
    <row r="636" spans="1:54" customFormat="1" ht="40" customHeight="1">
      <c r="A636" s="313">
        <v>635</v>
      </c>
      <c r="B636" s="136" t="s">
        <v>1707</v>
      </c>
      <c r="C636" s="136" t="s">
        <v>45</v>
      </c>
      <c r="D636" s="31">
        <f t="shared" si="42"/>
        <v>4</v>
      </c>
      <c r="E636" s="137" t="s">
        <v>80</v>
      </c>
      <c r="F636" s="31">
        <f t="shared" si="43"/>
        <v>4</v>
      </c>
      <c r="G636" s="137" t="s">
        <v>1756</v>
      </c>
      <c r="H636" s="138">
        <v>113</v>
      </c>
      <c r="I636" s="158">
        <f t="shared" si="44"/>
        <v>0.34828060759427221</v>
      </c>
      <c r="J636" s="95">
        <v>8.5418969819792495E-2</v>
      </c>
      <c r="K636" s="137">
        <v>0.61114224536875195</v>
      </c>
      <c r="L636" s="137">
        <v>0.68181818181818199</v>
      </c>
      <c r="M636" s="137">
        <v>0.50512834069460699</v>
      </c>
      <c r="N636" s="136">
        <v>0</v>
      </c>
      <c r="O636" s="32">
        <v>42679</v>
      </c>
      <c r="P636" s="98">
        <f t="shared" si="45"/>
        <v>0</v>
      </c>
      <c r="Q636">
        <v>5.0999999999999996</v>
      </c>
      <c r="R636">
        <v>1.65</v>
      </c>
      <c r="S636">
        <v>0</v>
      </c>
      <c r="T636" s="112" t="s">
        <v>48</v>
      </c>
      <c r="U636" s="137" t="s">
        <v>1762</v>
      </c>
      <c r="V636" s="137" t="s">
        <v>1763</v>
      </c>
      <c r="W636" s="69">
        <v>79</v>
      </c>
      <c r="X636" s="136">
        <v>1</v>
      </c>
      <c r="Y636" s="136">
        <v>12</v>
      </c>
      <c r="Z636" s="314"/>
      <c r="AA636" s="319">
        <v>0.64895000000000003</v>
      </c>
      <c r="AB636" s="315" t="s">
        <v>5165</v>
      </c>
      <c r="AC636" s="319">
        <v>5</v>
      </c>
      <c r="AD636" s="320">
        <v>0.11363636363636299</v>
      </c>
      <c r="AE636" s="319">
        <v>0</v>
      </c>
      <c r="AF636" s="320">
        <v>0</v>
      </c>
      <c r="AG636" s="319">
        <v>1</v>
      </c>
      <c r="AH636" s="320">
        <v>2.27272727272727E-2</v>
      </c>
      <c r="AI636" s="319">
        <v>0</v>
      </c>
      <c r="AJ636" s="320">
        <v>0</v>
      </c>
      <c r="AK636" s="320">
        <v>0</v>
      </c>
      <c r="AL636" s="319">
        <v>5</v>
      </c>
      <c r="AM636" s="319">
        <v>10</v>
      </c>
      <c r="AN636" s="319">
        <v>2</v>
      </c>
      <c r="AO636" s="319">
        <v>0.56666666666666599</v>
      </c>
      <c r="AP636">
        <v>12</v>
      </c>
      <c r="AR636" s="136">
        <v>12</v>
      </c>
      <c r="AT636" s="69">
        <v>2.3148</v>
      </c>
      <c r="AU636" s="69">
        <v>9.8933</v>
      </c>
      <c r="AV636" s="69">
        <v>2.3148</v>
      </c>
      <c r="AW636" s="69">
        <v>0.48409999999999997</v>
      </c>
      <c r="BB636" s="69"/>
    </row>
    <row r="637" spans="1:54" customFormat="1" ht="40" customHeight="1">
      <c r="A637" s="313">
        <v>636</v>
      </c>
      <c r="B637" s="136" t="s">
        <v>1707</v>
      </c>
      <c r="C637" s="136" t="s">
        <v>45</v>
      </c>
      <c r="D637" s="31">
        <f t="shared" si="42"/>
        <v>4</v>
      </c>
      <c r="E637" s="137" t="s">
        <v>46</v>
      </c>
      <c r="F637" s="31">
        <f t="shared" si="43"/>
        <v>6</v>
      </c>
      <c r="G637" s="137" t="s">
        <v>1764</v>
      </c>
      <c r="H637" s="138">
        <v>265</v>
      </c>
      <c r="I637" s="158">
        <f t="shared" si="44"/>
        <v>0.34847054219704549</v>
      </c>
      <c r="J637" s="95">
        <v>0.10880255267728201</v>
      </c>
      <c r="K637" s="137">
        <v>0.58813853171680897</v>
      </c>
      <c r="L637" s="137">
        <v>0.75</v>
      </c>
      <c r="M637" s="137">
        <v>0.34534632929202302</v>
      </c>
      <c r="N637" s="136">
        <v>1</v>
      </c>
      <c r="O637" s="32">
        <v>42670</v>
      </c>
      <c r="P637" s="98">
        <f t="shared" si="45"/>
        <v>0</v>
      </c>
      <c r="Q637">
        <v>5.0999999999999996</v>
      </c>
      <c r="R637">
        <v>0</v>
      </c>
      <c r="S637">
        <v>0</v>
      </c>
      <c r="T637" s="112" t="s">
        <v>48</v>
      </c>
      <c r="U637" s="137" t="s">
        <v>1765</v>
      </c>
      <c r="V637" s="137" t="s">
        <v>1766</v>
      </c>
      <c r="W637" s="69">
        <v>80</v>
      </c>
      <c r="X637" s="136">
        <v>4</v>
      </c>
      <c r="Y637" s="136">
        <v>21</v>
      </c>
      <c r="Z637" s="314"/>
      <c r="AA637" s="319">
        <v>0.55000000000000004</v>
      </c>
      <c r="AB637" s="315" t="s">
        <v>5194</v>
      </c>
      <c r="AC637" s="319">
        <v>0</v>
      </c>
      <c r="AD637" s="320">
        <v>0</v>
      </c>
      <c r="AE637" s="319">
        <v>1</v>
      </c>
      <c r="AF637" s="320">
        <v>1.9230769230769201E-2</v>
      </c>
      <c r="AG637" s="319">
        <v>0</v>
      </c>
      <c r="AH637" s="320">
        <v>0</v>
      </c>
      <c r="AI637" s="319">
        <v>1</v>
      </c>
      <c r="AJ637" s="320">
        <v>1.9230769230769201E-2</v>
      </c>
      <c r="AK637" s="320">
        <v>0</v>
      </c>
      <c r="AL637" s="319">
        <v>5</v>
      </c>
      <c r="AM637" s="319">
        <v>6.2</v>
      </c>
      <c r="AN637" s="319">
        <v>2</v>
      </c>
      <c r="AO637" s="319">
        <v>0.44</v>
      </c>
      <c r="AP637">
        <v>21</v>
      </c>
      <c r="AR637" s="136"/>
      <c r="AS637">
        <v>21</v>
      </c>
      <c r="AT637" s="69">
        <v>2.3148</v>
      </c>
      <c r="AU637" s="69">
        <v>5</v>
      </c>
      <c r="AV637" s="69">
        <v>2.3148</v>
      </c>
      <c r="AW637" s="69">
        <v>0.32100000000000001</v>
      </c>
      <c r="BB637" s="69"/>
    </row>
    <row r="638" spans="1:54" customFormat="1" ht="40" customHeight="1">
      <c r="A638" s="313">
        <v>637</v>
      </c>
      <c r="B638" s="136" t="s">
        <v>1707</v>
      </c>
      <c r="C638" s="136" t="s">
        <v>45</v>
      </c>
      <c r="D638" s="31">
        <f t="shared" si="42"/>
        <v>4</v>
      </c>
      <c r="E638" s="137" t="s">
        <v>80</v>
      </c>
      <c r="F638" s="31">
        <f t="shared" si="43"/>
        <v>4</v>
      </c>
      <c r="G638" s="137" t="s">
        <v>1767</v>
      </c>
      <c r="H638" s="138">
        <v>69</v>
      </c>
      <c r="I638" s="158">
        <f t="shared" si="44"/>
        <v>0.28745600131080934</v>
      </c>
      <c r="J638" s="95">
        <v>9.5983989749470798E-4</v>
      </c>
      <c r="K638" s="137">
        <v>0.57395216272412397</v>
      </c>
      <c r="L638" s="137">
        <v>0.61983471074380203</v>
      </c>
      <c r="M638" s="137">
        <v>0.50512834069460699</v>
      </c>
      <c r="N638" s="136">
        <v>1</v>
      </c>
      <c r="O638" s="32">
        <v>42580</v>
      </c>
      <c r="P638" s="98">
        <f t="shared" si="45"/>
        <v>1</v>
      </c>
      <c r="Q638">
        <v>0</v>
      </c>
      <c r="R638">
        <v>0</v>
      </c>
      <c r="S638">
        <v>0</v>
      </c>
      <c r="T638" s="112" t="s">
        <v>73</v>
      </c>
      <c r="U638" s="137" t="s">
        <v>1768</v>
      </c>
      <c r="V638" s="137" t="s">
        <v>1763</v>
      </c>
      <c r="W638" s="69">
        <v>79</v>
      </c>
      <c r="X638" s="136">
        <v>1</v>
      </c>
      <c r="Y638" s="136">
        <v>12</v>
      </c>
      <c r="Z638" s="314"/>
      <c r="AA638" s="319">
        <v>0.59450000000000003</v>
      </c>
      <c r="AB638" s="315" t="s">
        <v>5165</v>
      </c>
      <c r="AC638" s="319">
        <v>5</v>
      </c>
      <c r="AD638" s="320">
        <v>0.11363636363636299</v>
      </c>
      <c r="AE638" s="319">
        <v>0</v>
      </c>
      <c r="AF638" s="320">
        <v>0</v>
      </c>
      <c r="AG638" s="319">
        <v>1</v>
      </c>
      <c r="AH638" s="320">
        <v>2.27272727272727E-2</v>
      </c>
      <c r="AI638" s="319">
        <v>0</v>
      </c>
      <c r="AJ638" s="320">
        <v>0</v>
      </c>
      <c r="AK638" s="320">
        <v>0</v>
      </c>
      <c r="AL638" s="319">
        <v>5</v>
      </c>
      <c r="AM638" s="319">
        <v>6.2</v>
      </c>
      <c r="AN638" s="319">
        <v>2</v>
      </c>
      <c r="AO638" s="319">
        <v>0.44</v>
      </c>
      <c r="AP638">
        <v>12</v>
      </c>
      <c r="AQ638">
        <v>12</v>
      </c>
      <c r="AR638" s="136"/>
      <c r="AT638" s="69">
        <v>2.3148</v>
      </c>
      <c r="AU638" s="69">
        <v>5</v>
      </c>
      <c r="AV638" s="69">
        <v>2.3148</v>
      </c>
      <c r="AW638" s="69">
        <v>0.32100000000000001</v>
      </c>
      <c r="BB638" s="69"/>
    </row>
    <row r="639" spans="1:54" customFormat="1" ht="40" customHeight="1">
      <c r="A639" s="313">
        <v>638</v>
      </c>
      <c r="B639" s="136" t="s">
        <v>1707</v>
      </c>
      <c r="C639" s="136" t="s">
        <v>45</v>
      </c>
      <c r="D639" s="31">
        <f t="shared" si="42"/>
        <v>4</v>
      </c>
      <c r="E639" s="137" t="s">
        <v>80</v>
      </c>
      <c r="F639" s="31">
        <f t="shared" si="43"/>
        <v>4</v>
      </c>
      <c r="G639" s="137" t="s">
        <v>1767</v>
      </c>
      <c r="H639" s="138">
        <v>57</v>
      </c>
      <c r="I639" s="158">
        <f t="shared" si="44"/>
        <v>0.53769579718941152</v>
      </c>
      <c r="J639" s="95">
        <v>0.39682016580739499</v>
      </c>
      <c r="K639" s="137">
        <v>0.67857142857142805</v>
      </c>
      <c r="L639" s="137">
        <v>0.75</v>
      </c>
      <c r="M639" s="137">
        <v>0.57142857142857095</v>
      </c>
      <c r="N639" s="136">
        <v>1</v>
      </c>
      <c r="O639" s="32">
        <v>42569</v>
      </c>
      <c r="P639" s="98">
        <f t="shared" si="45"/>
        <v>1</v>
      </c>
      <c r="Q639">
        <v>0</v>
      </c>
      <c r="R639">
        <v>0</v>
      </c>
      <c r="S639">
        <v>0</v>
      </c>
      <c r="T639" s="112" t="s">
        <v>73</v>
      </c>
      <c r="U639" s="137" t="s">
        <v>1769</v>
      </c>
      <c r="V639" s="137" t="s">
        <v>1770</v>
      </c>
      <c r="W639" s="69">
        <v>75</v>
      </c>
      <c r="X639" s="136">
        <v>1</v>
      </c>
      <c r="Y639" s="136">
        <v>9</v>
      </c>
      <c r="Z639" s="314"/>
      <c r="AA639" s="319">
        <v>0.66549999999999998</v>
      </c>
      <c r="AB639" s="315" t="s">
        <v>5165</v>
      </c>
      <c r="AC639" s="319">
        <v>5</v>
      </c>
      <c r="AD639" s="320">
        <v>0.12195121951219499</v>
      </c>
      <c r="AE639" s="319">
        <v>0</v>
      </c>
      <c r="AF639" s="320">
        <v>0</v>
      </c>
      <c r="AG639" s="319">
        <v>1</v>
      </c>
      <c r="AH639" s="320">
        <v>2.4390243902439001E-2</v>
      </c>
      <c r="AI639" s="319">
        <v>0</v>
      </c>
      <c r="AJ639" s="320">
        <v>0</v>
      </c>
      <c r="AK639" s="320">
        <v>0</v>
      </c>
      <c r="AL639" s="319">
        <v>5</v>
      </c>
      <c r="AM639" s="319">
        <v>7.4</v>
      </c>
      <c r="AN639" s="319">
        <v>2</v>
      </c>
      <c r="AO639" s="319">
        <v>0.48</v>
      </c>
      <c r="AP639">
        <v>9</v>
      </c>
      <c r="AQ639">
        <v>9</v>
      </c>
      <c r="AR639" s="136"/>
      <c r="AT639" s="69">
        <v>2.3148</v>
      </c>
      <c r="AU639" s="69">
        <v>7.6852</v>
      </c>
      <c r="AV639" s="69">
        <v>2.3148</v>
      </c>
      <c r="AW639" s="69">
        <v>0.41049999999999998</v>
      </c>
      <c r="BB639" s="69"/>
    </row>
    <row r="640" spans="1:54" customFormat="1" ht="40" customHeight="1">
      <c r="A640" s="313">
        <v>639</v>
      </c>
      <c r="B640" s="136" t="s">
        <v>1707</v>
      </c>
      <c r="C640" s="136" t="s">
        <v>45</v>
      </c>
      <c r="D640" s="31">
        <f t="shared" si="42"/>
        <v>4</v>
      </c>
      <c r="E640" s="137" t="s">
        <v>46</v>
      </c>
      <c r="F640" s="31">
        <f t="shared" si="43"/>
        <v>6</v>
      </c>
      <c r="G640" s="137" t="s">
        <v>1771</v>
      </c>
      <c r="H640" s="138">
        <v>97</v>
      </c>
      <c r="I640" s="158">
        <f t="shared" si="44"/>
        <v>0.83354100381576546</v>
      </c>
      <c r="J640" s="95">
        <v>0.94485732063151895</v>
      </c>
      <c r="K640" s="137">
        <v>0.72222468700001197</v>
      </c>
      <c r="L640" s="137">
        <v>0.75</v>
      </c>
      <c r="M640" s="137">
        <v>0.68056171750003003</v>
      </c>
      <c r="N640" s="136">
        <v>1</v>
      </c>
      <c r="O640" s="32">
        <v>42566</v>
      </c>
      <c r="P640" s="98">
        <f t="shared" si="45"/>
        <v>0</v>
      </c>
      <c r="Q640">
        <v>2.5499999999999998</v>
      </c>
      <c r="R640">
        <v>0</v>
      </c>
      <c r="S640">
        <v>0</v>
      </c>
      <c r="T640" s="112" t="s">
        <v>48</v>
      </c>
      <c r="U640" s="137" t="s">
        <v>1772</v>
      </c>
      <c r="V640" s="137" t="s">
        <v>1770</v>
      </c>
      <c r="W640" s="69">
        <v>75</v>
      </c>
      <c r="X640" s="136">
        <v>1</v>
      </c>
      <c r="Y640" s="136">
        <v>5</v>
      </c>
      <c r="Z640" s="314"/>
      <c r="AA640" s="319">
        <v>0.55000000000000004</v>
      </c>
      <c r="AB640" s="315" t="s">
        <v>5165</v>
      </c>
      <c r="AC640" s="319">
        <v>5</v>
      </c>
      <c r="AD640" s="320">
        <v>0.12195121951219499</v>
      </c>
      <c r="AE640" s="319">
        <v>0</v>
      </c>
      <c r="AF640" s="320">
        <v>0</v>
      </c>
      <c r="AG640" s="319">
        <v>1</v>
      </c>
      <c r="AH640" s="320">
        <v>2.4390243902439001E-2</v>
      </c>
      <c r="AI640" s="319">
        <v>0</v>
      </c>
      <c r="AJ640" s="320">
        <v>0</v>
      </c>
      <c r="AK640" s="320">
        <v>0</v>
      </c>
      <c r="AL640" s="319">
        <v>5</v>
      </c>
      <c r="AM640" s="319">
        <v>6.2</v>
      </c>
      <c r="AN640" s="319">
        <v>2</v>
      </c>
      <c r="AO640" s="319">
        <v>0.44</v>
      </c>
      <c r="AP640">
        <v>5</v>
      </c>
      <c r="AQ640">
        <v>5</v>
      </c>
      <c r="AR640" s="136"/>
      <c r="AT640" s="69">
        <v>2.3148</v>
      </c>
      <c r="AU640" s="69">
        <v>5</v>
      </c>
      <c r="AV640" s="69">
        <v>2.3148</v>
      </c>
      <c r="AW640" s="69">
        <v>0.32100000000000001</v>
      </c>
      <c r="BB640" s="69"/>
    </row>
    <row r="641" spans="1:54" customFormat="1" ht="40" customHeight="1">
      <c r="A641" s="313">
        <v>640</v>
      </c>
      <c r="B641" s="136" t="s">
        <v>1707</v>
      </c>
      <c r="C641" s="136" t="s">
        <v>45</v>
      </c>
      <c r="D641" s="31">
        <f t="shared" si="42"/>
        <v>4</v>
      </c>
      <c r="E641" s="137" t="s">
        <v>80</v>
      </c>
      <c r="F641" s="31">
        <f t="shared" si="43"/>
        <v>4</v>
      </c>
      <c r="G641" s="137" t="s">
        <v>1767</v>
      </c>
      <c r="H641" s="138">
        <v>102</v>
      </c>
      <c r="I641" s="158">
        <f t="shared" si="44"/>
        <v>0.33937047022427469</v>
      </c>
      <c r="J641" s="95">
        <v>1.6951187712133101E-4</v>
      </c>
      <c r="K641" s="137">
        <v>0.67857142857142805</v>
      </c>
      <c r="L641" s="137">
        <v>0.75</v>
      </c>
      <c r="M641" s="137">
        <v>0.57142857142857095</v>
      </c>
      <c r="N641" s="136">
        <v>0</v>
      </c>
      <c r="O641" s="32">
        <v>42543</v>
      </c>
      <c r="P641" s="98">
        <f t="shared" si="45"/>
        <v>0</v>
      </c>
      <c r="Q641">
        <v>2.5499999999999998</v>
      </c>
      <c r="R641">
        <v>1.65</v>
      </c>
      <c r="S641">
        <v>0</v>
      </c>
      <c r="T641" s="112" t="s">
        <v>48</v>
      </c>
      <c r="U641" s="137" t="s">
        <v>1773</v>
      </c>
      <c r="V641" s="137" t="s">
        <v>1770</v>
      </c>
      <c r="W641" s="69">
        <v>75</v>
      </c>
      <c r="X641" s="136">
        <v>1</v>
      </c>
      <c r="Y641" s="136">
        <v>9</v>
      </c>
      <c r="Z641" s="314"/>
      <c r="AA641" s="319">
        <v>0.60499999999999998</v>
      </c>
      <c r="AB641" s="315" t="s">
        <v>5165</v>
      </c>
      <c r="AC641" s="319">
        <v>5</v>
      </c>
      <c r="AD641" s="320">
        <v>0.12195121951219499</v>
      </c>
      <c r="AE641" s="319">
        <v>0</v>
      </c>
      <c r="AF641" s="320">
        <v>0</v>
      </c>
      <c r="AG641" s="319">
        <v>1</v>
      </c>
      <c r="AH641" s="320">
        <v>2.4390243902439001E-2</v>
      </c>
      <c r="AI641" s="319">
        <v>0</v>
      </c>
      <c r="AJ641" s="320">
        <v>0</v>
      </c>
      <c r="AK641" s="320">
        <v>0</v>
      </c>
      <c r="AL641" s="319">
        <v>6.75</v>
      </c>
      <c r="AM641" s="319">
        <v>7.4</v>
      </c>
      <c r="AN641" s="319">
        <v>2</v>
      </c>
      <c r="AO641" s="319">
        <v>0.538333333333333</v>
      </c>
      <c r="AP641">
        <v>9</v>
      </c>
      <c r="AQ641">
        <v>9</v>
      </c>
      <c r="AR641" s="136"/>
      <c r="AT641" s="69">
        <v>6.3414000000000001</v>
      </c>
      <c r="AU641" s="69">
        <v>7.6852</v>
      </c>
      <c r="AV641" s="69">
        <v>2.3148</v>
      </c>
      <c r="AW641" s="69">
        <v>0.54469999999999996</v>
      </c>
      <c r="BB641" s="69"/>
    </row>
    <row r="642" spans="1:54" customFormat="1" ht="40" customHeight="1">
      <c r="A642" s="313">
        <v>641</v>
      </c>
      <c r="B642" s="136" t="s">
        <v>1707</v>
      </c>
      <c r="C642" s="136" t="s">
        <v>45</v>
      </c>
      <c r="D642" s="31">
        <f t="shared" ref="D642:D705" si="46">IF(C642="投诉",4,IF(C642="建议",1,IF(C642="举报",2,IF(C642="求助",3,5))))</f>
        <v>4</v>
      </c>
      <c r="E642" s="137" t="s">
        <v>80</v>
      </c>
      <c r="F642" s="31">
        <f t="shared" ref="F642:F705" si="47">IF(E642="12345app",1,IF(E642="e福州app",2,IF(E642="qq",3,IF(E642="电话",4,IF(E642="短信",5,IF(E642="网站",6,IF(E642="微博",7,IF(E642="微信",8,9))))))))</f>
        <v>4</v>
      </c>
      <c r="G642" s="137" t="s">
        <v>1767</v>
      </c>
      <c r="H642" s="138">
        <v>52</v>
      </c>
      <c r="I642" s="158">
        <f t="shared" ref="I642:I705" si="48">(J642+K642)/2</f>
        <v>0.35768384640694523</v>
      </c>
      <c r="J642" s="95">
        <v>1.0692733949404501E-3</v>
      </c>
      <c r="K642" s="137">
        <v>0.71429841941895</v>
      </c>
      <c r="L642" s="137">
        <v>0.82499999999999996</v>
      </c>
      <c r="M642" s="137">
        <v>0.54824604854737402</v>
      </c>
      <c r="N642" s="136">
        <v>0</v>
      </c>
      <c r="O642" s="32">
        <v>42496</v>
      </c>
      <c r="P642" s="98">
        <f t="shared" ref="P642:P705" si="49">IF(T642="利己",0,IF(T642="生态",2,1))</f>
        <v>2</v>
      </c>
      <c r="Q642">
        <v>0</v>
      </c>
      <c r="R642">
        <v>0</v>
      </c>
      <c r="S642">
        <v>0</v>
      </c>
      <c r="T642" s="112" t="s">
        <v>64</v>
      </c>
      <c r="U642" s="137" t="s">
        <v>1774</v>
      </c>
      <c r="V642" s="137" t="s">
        <v>1775</v>
      </c>
      <c r="W642" s="69">
        <v>48</v>
      </c>
      <c r="X642" s="136">
        <v>3</v>
      </c>
      <c r="Y642" s="136">
        <v>10</v>
      </c>
      <c r="Z642" s="314"/>
      <c r="AA642" s="319">
        <v>0.66549999999999998</v>
      </c>
      <c r="AB642" s="315" t="s">
        <v>5176</v>
      </c>
      <c r="AC642" s="319">
        <v>0</v>
      </c>
      <c r="AD642" s="320">
        <v>0</v>
      </c>
      <c r="AE642" s="319">
        <v>2</v>
      </c>
      <c r="AF642" s="320">
        <v>7.4074074074074001E-2</v>
      </c>
      <c r="AG642" s="319">
        <v>0</v>
      </c>
      <c r="AH642" s="320">
        <v>0</v>
      </c>
      <c r="AI642" s="319">
        <v>0</v>
      </c>
      <c r="AJ642" s="320">
        <v>0</v>
      </c>
      <c r="AK642" s="320">
        <v>0</v>
      </c>
      <c r="AL642" s="319">
        <v>5</v>
      </c>
      <c r="AM642" s="319">
        <v>6.2</v>
      </c>
      <c r="AN642" s="319">
        <v>4.6666666666666599</v>
      </c>
      <c r="AO642" s="319">
        <v>0.52888888888888796</v>
      </c>
      <c r="AP642">
        <v>10</v>
      </c>
      <c r="AR642" s="136"/>
      <c r="AS642">
        <v>10</v>
      </c>
      <c r="AT642" s="69">
        <v>2.3148</v>
      </c>
      <c r="AU642" s="69">
        <v>5</v>
      </c>
      <c r="AV642" s="69">
        <v>8.1305999999999994</v>
      </c>
      <c r="AW642" s="69">
        <v>0.51480000000000004</v>
      </c>
      <c r="BB642" s="69"/>
    </row>
    <row r="643" spans="1:54" customFormat="1" ht="40" customHeight="1">
      <c r="A643" s="313">
        <v>642</v>
      </c>
      <c r="B643" s="136" t="s">
        <v>1707</v>
      </c>
      <c r="C643" s="136" t="s">
        <v>45</v>
      </c>
      <c r="D643" s="31">
        <f t="shared" si="46"/>
        <v>4</v>
      </c>
      <c r="E643" s="137" t="s">
        <v>80</v>
      </c>
      <c r="F643" s="31">
        <f t="shared" si="47"/>
        <v>4</v>
      </c>
      <c r="G643" s="137" t="s">
        <v>1776</v>
      </c>
      <c r="H643" s="138">
        <v>244</v>
      </c>
      <c r="I643" s="158">
        <f t="shared" si="48"/>
        <v>0.32602628215669677</v>
      </c>
      <c r="J643" s="95">
        <v>1.2280355505822599E-6</v>
      </c>
      <c r="K643" s="137">
        <v>0.65205133627784295</v>
      </c>
      <c r="L643" s="137">
        <v>0.75</v>
      </c>
      <c r="M643" s="137">
        <v>0.50512834069460699</v>
      </c>
      <c r="N643" s="136">
        <v>1</v>
      </c>
      <c r="O643" s="32">
        <v>42489</v>
      </c>
      <c r="P643" s="98">
        <f t="shared" si="49"/>
        <v>2</v>
      </c>
      <c r="Q643">
        <v>2.5499999999999998</v>
      </c>
      <c r="R643">
        <v>1.65</v>
      </c>
      <c r="S643">
        <v>3.74</v>
      </c>
      <c r="T643" s="112" t="s">
        <v>64</v>
      </c>
      <c r="U643" s="137" t="s">
        <v>1777</v>
      </c>
      <c r="V643" s="137" t="s">
        <v>1778</v>
      </c>
      <c r="W643" s="69">
        <v>130</v>
      </c>
      <c r="X643" s="136">
        <v>1</v>
      </c>
      <c r="Y643" s="136">
        <v>12</v>
      </c>
      <c r="Z643" s="314"/>
      <c r="AA643" s="319">
        <v>0.58399999999999996</v>
      </c>
      <c r="AB643" s="315" t="s">
        <v>5165</v>
      </c>
      <c r="AC643" s="319">
        <v>2</v>
      </c>
      <c r="AD643" s="320">
        <v>2.8571428571428501E-2</v>
      </c>
      <c r="AE643" s="319">
        <v>0</v>
      </c>
      <c r="AF643" s="320">
        <v>0</v>
      </c>
      <c r="AG643" s="319">
        <v>0</v>
      </c>
      <c r="AH643" s="320">
        <v>0</v>
      </c>
      <c r="AI643" s="319">
        <v>0</v>
      </c>
      <c r="AJ643" s="320">
        <v>0</v>
      </c>
      <c r="AK643" s="320">
        <v>0</v>
      </c>
      <c r="AL643" s="319">
        <v>5</v>
      </c>
      <c r="AM643" s="319">
        <v>6.2</v>
      </c>
      <c r="AN643" s="319">
        <v>4.6666666666666599</v>
      </c>
      <c r="AO643" s="319">
        <v>0.52888888888888796</v>
      </c>
      <c r="AP643">
        <v>12</v>
      </c>
      <c r="AQ643">
        <v>12</v>
      </c>
      <c r="AR643" s="136"/>
      <c r="AT643" s="69">
        <v>2.3148</v>
      </c>
      <c r="AU643" s="69">
        <v>5</v>
      </c>
      <c r="AV643" s="69">
        <v>8.1305999999999994</v>
      </c>
      <c r="AW643" s="69">
        <v>0.51480000000000004</v>
      </c>
      <c r="BB643" s="69"/>
    </row>
    <row r="644" spans="1:54" customFormat="1" ht="40" customHeight="1">
      <c r="A644" s="313">
        <v>643</v>
      </c>
      <c r="B644" s="136" t="s">
        <v>1779</v>
      </c>
      <c r="C644" s="136" t="s">
        <v>119</v>
      </c>
      <c r="D644" s="31">
        <f t="shared" si="46"/>
        <v>1</v>
      </c>
      <c r="E644" s="137" t="s">
        <v>519</v>
      </c>
      <c r="F644" s="31">
        <f t="shared" si="47"/>
        <v>5</v>
      </c>
      <c r="G644" s="137" t="s">
        <v>520</v>
      </c>
      <c r="H644" s="138">
        <v>121</v>
      </c>
      <c r="I644" s="158">
        <f t="shared" si="48"/>
        <v>0.82869011723687946</v>
      </c>
      <c r="J644" s="95">
        <v>0.99976512231319203</v>
      </c>
      <c r="K644" s="137">
        <v>0.65761511216056701</v>
      </c>
      <c r="L644" s="137">
        <v>0.61983471074380103</v>
      </c>
      <c r="M644" s="137">
        <v>0.71428571428571397</v>
      </c>
      <c r="N644" s="136">
        <v>1</v>
      </c>
      <c r="O644" s="32">
        <v>43524</v>
      </c>
      <c r="P644" s="98">
        <f t="shared" si="49"/>
        <v>2</v>
      </c>
      <c r="Q644">
        <v>0</v>
      </c>
      <c r="R644">
        <v>0</v>
      </c>
      <c r="S644">
        <v>0</v>
      </c>
      <c r="T644" s="112" t="s">
        <v>64</v>
      </c>
      <c r="U644" s="137" t="s">
        <v>523</v>
      </c>
      <c r="V644" s="137" t="s">
        <v>524</v>
      </c>
      <c r="W644" s="69">
        <v>56</v>
      </c>
      <c r="X644" s="136">
        <v>2</v>
      </c>
      <c r="Y644" s="136">
        <v>4</v>
      </c>
      <c r="Z644" s="314"/>
      <c r="AA644" s="319">
        <v>2.4893534183931899E-2</v>
      </c>
      <c r="AB644" s="315" t="s">
        <v>5178</v>
      </c>
      <c r="AC644" s="319">
        <v>2</v>
      </c>
      <c r="AD644" s="320">
        <v>5.8823529411764698E-2</v>
      </c>
      <c r="AE644" s="319">
        <v>2</v>
      </c>
      <c r="AF644" s="320">
        <v>5.8823529411764698E-2</v>
      </c>
      <c r="AG644" s="319">
        <v>1</v>
      </c>
      <c r="AH644" s="320">
        <v>2.94117647058823E-2</v>
      </c>
      <c r="AI644" s="319">
        <v>0</v>
      </c>
      <c r="AJ644" s="320">
        <v>0</v>
      </c>
      <c r="AK644" s="320">
        <v>5.8823529411764712E-2</v>
      </c>
      <c r="AL644" s="319">
        <v>5</v>
      </c>
      <c r="AM644" s="319">
        <v>5</v>
      </c>
      <c r="AN644" s="319">
        <v>2</v>
      </c>
      <c r="AO644" s="319">
        <v>0.4</v>
      </c>
      <c r="AP644">
        <v>4</v>
      </c>
      <c r="AR644" s="136">
        <v>4</v>
      </c>
      <c r="AT644" s="69">
        <v>2.3148</v>
      </c>
      <c r="AU644" s="69">
        <v>2.3148</v>
      </c>
      <c r="AV644" s="69">
        <v>2.3148</v>
      </c>
      <c r="AW644" s="69">
        <v>0.23150000000000001</v>
      </c>
      <c r="BB644" s="69"/>
    </row>
    <row r="645" spans="1:54" customFormat="1" ht="40" customHeight="1">
      <c r="A645" s="313">
        <v>644</v>
      </c>
      <c r="B645" s="136" t="s">
        <v>1779</v>
      </c>
      <c r="C645" s="136" t="s">
        <v>45</v>
      </c>
      <c r="D645" s="31">
        <f t="shared" si="46"/>
        <v>4</v>
      </c>
      <c r="E645" s="137" t="s">
        <v>46</v>
      </c>
      <c r="F645" s="31">
        <f t="shared" si="47"/>
        <v>6</v>
      </c>
      <c r="G645" s="137" t="s">
        <v>539</v>
      </c>
      <c r="H645" s="138">
        <f>LEN(U645)</f>
        <v>67</v>
      </c>
      <c r="I645" s="158">
        <f t="shared" si="48"/>
        <v>0.80404283823486855</v>
      </c>
      <c r="J645" s="95">
        <v>0.99970395341653395</v>
      </c>
      <c r="K645" s="137">
        <v>0.60838172305320304</v>
      </c>
      <c r="L645" s="137">
        <v>0.51226009152380303</v>
      </c>
      <c r="M645" s="137">
        <v>0.75256417034730305</v>
      </c>
      <c r="N645" s="136">
        <v>1</v>
      </c>
      <c r="O645" s="32">
        <v>43338</v>
      </c>
      <c r="P645" s="98">
        <f t="shared" si="49"/>
        <v>1</v>
      </c>
      <c r="Q645">
        <v>0</v>
      </c>
      <c r="R645">
        <v>0</v>
      </c>
      <c r="S645">
        <v>0</v>
      </c>
      <c r="T645" s="112" t="s">
        <v>73</v>
      </c>
      <c r="U645" s="137" t="s">
        <v>540</v>
      </c>
      <c r="V645" s="137" t="s">
        <v>541</v>
      </c>
      <c r="W645" s="69">
        <f>LEN(V645)</f>
        <v>33</v>
      </c>
      <c r="X645" s="136">
        <v>0</v>
      </c>
      <c r="Y645" s="136">
        <v>3</v>
      </c>
      <c r="Z645" s="314"/>
      <c r="AA645" s="319">
        <v>9.1578194443670893E-3</v>
      </c>
      <c r="AB645" s="315" t="s">
        <v>5179</v>
      </c>
      <c r="AC645" s="319">
        <v>1</v>
      </c>
      <c r="AD645" s="320">
        <v>0.05</v>
      </c>
      <c r="AE645" s="319">
        <v>1</v>
      </c>
      <c r="AF645" s="320">
        <v>0.05</v>
      </c>
      <c r="AG645" s="319">
        <v>1</v>
      </c>
      <c r="AH645" s="320">
        <v>0.05</v>
      </c>
      <c r="AI645" s="319">
        <v>0</v>
      </c>
      <c r="AJ645" s="320">
        <v>0</v>
      </c>
      <c r="AK645" s="320">
        <v>0</v>
      </c>
      <c r="AL645" s="319">
        <v>5</v>
      </c>
      <c r="AM645" s="319">
        <v>6.2</v>
      </c>
      <c r="AN645" s="319">
        <v>3.5</v>
      </c>
      <c r="AO645" s="319">
        <v>0.49</v>
      </c>
      <c r="AP645" s="319">
        <v>3</v>
      </c>
      <c r="AR645" s="136"/>
      <c r="AT645" s="69">
        <v>2.3148</v>
      </c>
      <c r="AU645" s="69">
        <v>5</v>
      </c>
      <c r="AV645" s="69">
        <v>5.7443999999999997</v>
      </c>
      <c r="AW645" s="69">
        <v>0.43530000000000002</v>
      </c>
      <c r="BB645" s="69"/>
    </row>
    <row r="646" spans="1:54" customFormat="1" ht="40" customHeight="1">
      <c r="A646" s="313">
        <v>645</v>
      </c>
      <c r="B646" s="136" t="s">
        <v>1779</v>
      </c>
      <c r="C646" s="136" t="s">
        <v>45</v>
      </c>
      <c r="D646" s="31">
        <f t="shared" si="46"/>
        <v>4</v>
      </c>
      <c r="E646" s="137" t="s">
        <v>46</v>
      </c>
      <c r="F646" s="31">
        <f t="shared" si="47"/>
        <v>6</v>
      </c>
      <c r="G646" s="137" t="s">
        <v>1780</v>
      </c>
      <c r="H646" s="138">
        <v>37</v>
      </c>
      <c r="I646" s="158">
        <f t="shared" si="48"/>
        <v>0.59413819230961096</v>
      </c>
      <c r="J646" s="95">
        <v>0.33827638461922199</v>
      </c>
      <c r="K646" s="137">
        <v>0.85</v>
      </c>
      <c r="L646" s="137">
        <v>0.75</v>
      </c>
      <c r="M646" s="137">
        <v>1</v>
      </c>
      <c r="N646" s="136">
        <v>1</v>
      </c>
      <c r="O646" s="32">
        <v>42975</v>
      </c>
      <c r="P646" s="98">
        <f t="shared" si="49"/>
        <v>0</v>
      </c>
      <c r="Q646">
        <v>2.5499999999999998</v>
      </c>
      <c r="R646">
        <v>0</v>
      </c>
      <c r="S646">
        <v>0</v>
      </c>
      <c r="T646" s="112" t="s">
        <v>48</v>
      </c>
      <c r="U646" s="137" t="s">
        <v>1781</v>
      </c>
      <c r="V646" s="137" t="s">
        <v>1782</v>
      </c>
      <c r="W646" s="69">
        <v>46</v>
      </c>
      <c r="X646" s="136">
        <v>1</v>
      </c>
      <c r="Y646" s="136">
        <v>0</v>
      </c>
      <c r="Z646" s="314"/>
      <c r="AA646" s="319">
        <v>0.55000000000000004</v>
      </c>
      <c r="AB646" s="315" t="s">
        <v>5176</v>
      </c>
      <c r="AC646" s="319">
        <v>1</v>
      </c>
      <c r="AD646" s="320">
        <v>3.5714285714285698E-2</v>
      </c>
      <c r="AE646" s="319">
        <v>3</v>
      </c>
      <c r="AF646" s="320">
        <v>0.107142857142857</v>
      </c>
      <c r="AG646" s="319">
        <v>1</v>
      </c>
      <c r="AH646" s="320">
        <v>3.5714285714285698E-2</v>
      </c>
      <c r="AI646" s="319">
        <v>0</v>
      </c>
      <c r="AJ646" s="320">
        <v>0</v>
      </c>
      <c r="AK646" s="320">
        <v>3.5714285714285712E-2</v>
      </c>
      <c r="AL646" s="319">
        <v>5</v>
      </c>
      <c r="AM646" s="319">
        <v>5</v>
      </c>
      <c r="AN646" s="319">
        <v>4.6666666666666599</v>
      </c>
      <c r="AO646" s="319">
        <v>0.48888888888888798</v>
      </c>
      <c r="AP646">
        <v>0</v>
      </c>
      <c r="AR646" s="136">
        <v>0</v>
      </c>
      <c r="AT646" s="69">
        <v>2.3148</v>
      </c>
      <c r="AU646" s="69">
        <v>2.3148</v>
      </c>
      <c r="AV646" s="69">
        <v>8.1305999999999994</v>
      </c>
      <c r="AW646" s="69">
        <v>0.42530000000000001</v>
      </c>
      <c r="BB646" s="69"/>
    </row>
    <row r="647" spans="1:54" customFormat="1" ht="40" customHeight="1">
      <c r="A647" s="313">
        <v>646</v>
      </c>
      <c r="B647" s="136" t="s">
        <v>1779</v>
      </c>
      <c r="C647" s="136" t="s">
        <v>45</v>
      </c>
      <c r="D647" s="31">
        <f t="shared" si="46"/>
        <v>4</v>
      </c>
      <c r="E647" s="137" t="s">
        <v>46</v>
      </c>
      <c r="F647" s="31">
        <f t="shared" si="47"/>
        <v>6</v>
      </c>
      <c r="G647" s="137" t="s">
        <v>1783</v>
      </c>
      <c r="H647" s="138">
        <v>128</v>
      </c>
      <c r="I647" s="158">
        <f t="shared" si="48"/>
        <v>0.32895475460880175</v>
      </c>
      <c r="J647" s="95">
        <v>4.3893303854902704E-6</v>
      </c>
      <c r="K647" s="137">
        <v>0.657905119887218</v>
      </c>
      <c r="L647" s="137">
        <v>0.68181818181818199</v>
      </c>
      <c r="M647" s="137">
        <v>0.62203552699077302</v>
      </c>
      <c r="N647" s="136">
        <v>1</v>
      </c>
      <c r="O647" s="32">
        <v>42905</v>
      </c>
      <c r="P647" s="98">
        <f t="shared" si="49"/>
        <v>0</v>
      </c>
      <c r="Q647">
        <v>5.0999999999999996</v>
      </c>
      <c r="R647">
        <v>0</v>
      </c>
      <c r="S647">
        <v>0</v>
      </c>
      <c r="T647" s="112" t="s">
        <v>48</v>
      </c>
      <c r="U647" s="137" t="s">
        <v>1784</v>
      </c>
      <c r="V647" s="137" t="s">
        <v>1785</v>
      </c>
      <c r="W647" s="69">
        <v>63</v>
      </c>
      <c r="X647" s="136">
        <v>1</v>
      </c>
      <c r="Y647" s="136">
        <v>7</v>
      </c>
      <c r="Z647" s="314"/>
      <c r="AA647" s="319">
        <v>0.55000000000000004</v>
      </c>
      <c r="AB647" s="315" t="s">
        <v>5165</v>
      </c>
      <c r="AC647" s="319">
        <v>4</v>
      </c>
      <c r="AD647" s="320">
        <v>0.11111111111111099</v>
      </c>
      <c r="AE647" s="319">
        <v>0</v>
      </c>
      <c r="AF647" s="320">
        <v>0</v>
      </c>
      <c r="AG647" s="319">
        <v>0</v>
      </c>
      <c r="AH647" s="320">
        <v>0</v>
      </c>
      <c r="AI647" s="319">
        <v>0</v>
      </c>
      <c r="AJ647" s="320">
        <v>0</v>
      </c>
      <c r="AK647" s="320">
        <v>0</v>
      </c>
      <c r="AL647" s="319">
        <v>5</v>
      </c>
      <c r="AM647" s="319">
        <v>5</v>
      </c>
      <c r="AN647" s="319">
        <v>3.5</v>
      </c>
      <c r="AO647" s="319">
        <v>0.45</v>
      </c>
      <c r="AP647">
        <v>7</v>
      </c>
      <c r="AR647" s="136">
        <v>7</v>
      </c>
      <c r="AT647" s="69">
        <v>2.3148</v>
      </c>
      <c r="AU647" s="69">
        <v>2.3148</v>
      </c>
      <c r="AV647" s="69">
        <v>5.7443999999999997</v>
      </c>
      <c r="AW647" s="69">
        <v>0.3458</v>
      </c>
      <c r="BB647" s="69"/>
    </row>
    <row r="648" spans="1:54" customFormat="1" ht="40" customHeight="1">
      <c r="A648" s="313">
        <v>647</v>
      </c>
      <c r="B648" s="136" t="s">
        <v>1779</v>
      </c>
      <c r="C648" s="136" t="s">
        <v>45</v>
      </c>
      <c r="D648" s="31">
        <f t="shared" si="46"/>
        <v>4</v>
      </c>
      <c r="E648" s="137" t="s">
        <v>46</v>
      </c>
      <c r="F648" s="31">
        <f t="shared" si="47"/>
        <v>6</v>
      </c>
      <c r="G648" s="137" t="s">
        <v>1786</v>
      </c>
      <c r="H648" s="138">
        <v>95</v>
      </c>
      <c r="I648" s="158">
        <f t="shared" si="48"/>
        <v>0.32351134034905521</v>
      </c>
      <c r="J648" s="95">
        <v>3.0541821531954198E-3</v>
      </c>
      <c r="K648" s="137">
        <v>0.643968498544915</v>
      </c>
      <c r="L648" s="137">
        <v>0.75</v>
      </c>
      <c r="M648" s="137">
        <v>0.48492124636228701</v>
      </c>
      <c r="N648" s="136">
        <v>1</v>
      </c>
      <c r="O648" s="32">
        <v>42696</v>
      </c>
      <c r="P648" s="98">
        <f t="shared" si="49"/>
        <v>2</v>
      </c>
      <c r="Q648">
        <v>0</v>
      </c>
      <c r="R648">
        <v>0</v>
      </c>
      <c r="S648">
        <v>0</v>
      </c>
      <c r="T648" s="112" t="s">
        <v>64</v>
      </c>
      <c r="U648" s="137" t="s">
        <v>1787</v>
      </c>
      <c r="V648" s="137" t="s">
        <v>1788</v>
      </c>
      <c r="W648" s="69">
        <v>138</v>
      </c>
      <c r="X648" s="136">
        <v>2</v>
      </c>
      <c r="Y648" s="136">
        <v>13</v>
      </c>
      <c r="Z648" s="314"/>
      <c r="AA648" s="319">
        <v>0.5</v>
      </c>
      <c r="AB648" s="315" t="s">
        <v>5177</v>
      </c>
      <c r="AC648" s="319">
        <v>0</v>
      </c>
      <c r="AD648" s="320">
        <v>0</v>
      </c>
      <c r="AE648" s="319">
        <v>1</v>
      </c>
      <c r="AF648" s="320">
        <v>1.2820512820512799E-2</v>
      </c>
      <c r="AG648" s="319">
        <v>1</v>
      </c>
      <c r="AH648" s="320">
        <v>1.2820512820512799E-2</v>
      </c>
      <c r="AI648" s="319">
        <v>0</v>
      </c>
      <c r="AJ648" s="320">
        <v>0</v>
      </c>
      <c r="AK648" s="320">
        <v>0</v>
      </c>
      <c r="AL648" s="319">
        <v>5</v>
      </c>
      <c r="AM648" s="319">
        <v>5</v>
      </c>
      <c r="AN648" s="319">
        <v>2</v>
      </c>
      <c r="AO648" s="319">
        <v>0.4</v>
      </c>
      <c r="AP648">
        <v>13</v>
      </c>
      <c r="AR648" s="136">
        <v>13</v>
      </c>
      <c r="AT648" s="69">
        <v>2.3148</v>
      </c>
      <c r="AU648" s="69">
        <v>2.3148</v>
      </c>
      <c r="AV648" s="69">
        <v>2.3148</v>
      </c>
      <c r="AW648" s="69">
        <v>0.23150000000000001</v>
      </c>
      <c r="BB648" s="69"/>
    </row>
    <row r="649" spans="1:54" customFormat="1" ht="40" customHeight="1">
      <c r="A649" s="313">
        <v>648</v>
      </c>
      <c r="B649" s="136" t="s">
        <v>1779</v>
      </c>
      <c r="C649" s="136" t="s">
        <v>45</v>
      </c>
      <c r="D649" s="31">
        <f t="shared" si="46"/>
        <v>4</v>
      </c>
      <c r="E649" s="137" t="s">
        <v>46</v>
      </c>
      <c r="F649" s="31">
        <f t="shared" si="47"/>
        <v>6</v>
      </c>
      <c r="G649" s="137" t="s">
        <v>1599</v>
      </c>
      <c r="H649" s="138">
        <v>381</v>
      </c>
      <c r="I649" s="158">
        <f t="shared" si="48"/>
        <v>0.22432600689516799</v>
      </c>
      <c r="J649" s="95">
        <v>1.6007619674240899E-9</v>
      </c>
      <c r="K649" s="137">
        <v>0.44865201218957401</v>
      </c>
      <c r="L649" s="137">
        <v>0.61983471074380203</v>
      </c>
      <c r="M649" s="137">
        <v>0.19187796435823101</v>
      </c>
      <c r="N649" s="136">
        <v>1</v>
      </c>
      <c r="O649" s="32">
        <v>42622</v>
      </c>
      <c r="P649" s="98">
        <f t="shared" si="49"/>
        <v>0</v>
      </c>
      <c r="Q649">
        <v>2.5499999999999998</v>
      </c>
      <c r="R649">
        <v>0</v>
      </c>
      <c r="S649">
        <v>0</v>
      </c>
      <c r="T649" s="112" t="s">
        <v>48</v>
      </c>
      <c r="U649" s="137" t="s">
        <v>1789</v>
      </c>
      <c r="V649" s="137" t="s">
        <v>1601</v>
      </c>
      <c r="W649" s="69">
        <v>85</v>
      </c>
      <c r="X649" s="136">
        <v>3</v>
      </c>
      <c r="Y649" s="136">
        <v>32</v>
      </c>
      <c r="Z649" s="314"/>
      <c r="AA649" s="319">
        <v>0.45454545454545398</v>
      </c>
      <c r="AB649" s="315" t="s">
        <v>5178</v>
      </c>
      <c r="AC649" s="319">
        <v>2</v>
      </c>
      <c r="AD649" s="320">
        <v>4.1666666666666602E-2</v>
      </c>
      <c r="AE649" s="319">
        <v>2</v>
      </c>
      <c r="AF649" s="320">
        <v>4.1666666666666602E-2</v>
      </c>
      <c r="AG649" s="319">
        <v>0</v>
      </c>
      <c r="AH649" s="320">
        <v>0</v>
      </c>
      <c r="AI649" s="319">
        <v>0</v>
      </c>
      <c r="AJ649" s="320">
        <v>0</v>
      </c>
      <c r="AK649" s="320">
        <v>2.0833333333333329E-2</v>
      </c>
      <c r="AL649" s="319">
        <v>5</v>
      </c>
      <c r="AM649" s="319">
        <v>6.2</v>
      </c>
      <c r="AN649" s="319">
        <v>4.6666666666666599</v>
      </c>
      <c r="AO649" s="319">
        <v>0.52888888888888796</v>
      </c>
      <c r="AP649">
        <v>32</v>
      </c>
      <c r="AR649" s="136">
        <v>32</v>
      </c>
      <c r="AT649" s="69">
        <v>2.3148</v>
      </c>
      <c r="AU649" s="69">
        <v>5</v>
      </c>
      <c r="AV649" s="69">
        <v>8.1305999999999994</v>
      </c>
      <c r="AW649" s="69">
        <v>0.51480000000000004</v>
      </c>
      <c r="BB649" s="69"/>
    </row>
    <row r="650" spans="1:54" customFormat="1" ht="40" customHeight="1">
      <c r="A650" s="313">
        <v>649</v>
      </c>
      <c r="B650" s="136" t="s">
        <v>1790</v>
      </c>
      <c r="C650" s="136" t="s">
        <v>45</v>
      </c>
      <c r="D650" s="31">
        <f t="shared" si="46"/>
        <v>4</v>
      </c>
      <c r="E650" s="137" t="s">
        <v>221</v>
      </c>
      <c r="F650" s="31">
        <f t="shared" si="47"/>
        <v>2</v>
      </c>
      <c r="G650" s="137" t="s">
        <v>1791</v>
      </c>
      <c r="H650" s="138">
        <v>26</v>
      </c>
      <c r="I650" s="158">
        <f t="shared" si="48"/>
        <v>0.35587862322126801</v>
      </c>
      <c r="J650" s="95">
        <v>1.6406692127059999E-3</v>
      </c>
      <c r="K650" s="137">
        <v>0.71011657722983001</v>
      </c>
      <c r="L650" s="137">
        <v>0.68181818181818199</v>
      </c>
      <c r="M650" s="137">
        <v>0.75256417034730305</v>
      </c>
      <c r="N650" s="136">
        <v>1</v>
      </c>
      <c r="O650" s="32">
        <v>43997</v>
      </c>
      <c r="P650" s="98">
        <f t="shared" si="49"/>
        <v>0</v>
      </c>
      <c r="Q650">
        <v>2.5499999999999998</v>
      </c>
      <c r="R650">
        <v>0</v>
      </c>
      <c r="S650">
        <v>0</v>
      </c>
      <c r="T650" s="112" t="s">
        <v>48</v>
      </c>
      <c r="U650" s="137" t="s">
        <v>1792</v>
      </c>
      <c r="V650" s="137" t="s">
        <v>1793</v>
      </c>
      <c r="W650" s="69">
        <v>84</v>
      </c>
      <c r="X650" s="136">
        <v>1</v>
      </c>
      <c r="Y650" s="136">
        <v>3</v>
      </c>
      <c r="Z650" s="314"/>
      <c r="AA650" s="319">
        <v>0.45454545454545398</v>
      </c>
      <c r="AB650" s="315" t="s">
        <v>5176</v>
      </c>
      <c r="AC650" s="319">
        <v>1</v>
      </c>
      <c r="AD650" s="320">
        <v>2.27272727272727E-2</v>
      </c>
      <c r="AE650" s="319">
        <v>3</v>
      </c>
      <c r="AF650" s="320">
        <v>6.8181818181818094E-2</v>
      </c>
      <c r="AG650" s="319">
        <v>1</v>
      </c>
      <c r="AH650" s="320">
        <v>2.27272727272727E-2</v>
      </c>
      <c r="AI650" s="319">
        <v>0</v>
      </c>
      <c r="AJ650" s="320">
        <v>0</v>
      </c>
      <c r="AK650" s="320">
        <v>6.8181818181818177E-2</v>
      </c>
      <c r="AL650" s="319">
        <v>5</v>
      </c>
      <c r="AM650" s="319">
        <v>5</v>
      </c>
      <c r="AN650" s="319">
        <v>2</v>
      </c>
      <c r="AO650" s="319">
        <v>0.4</v>
      </c>
      <c r="AP650">
        <v>3</v>
      </c>
      <c r="AR650" s="136">
        <v>3</v>
      </c>
      <c r="AT650" s="69">
        <v>2.3148</v>
      </c>
      <c r="AU650" s="69">
        <v>2.3148</v>
      </c>
      <c r="AV650" s="69">
        <v>2.3148</v>
      </c>
      <c r="AW650" s="69">
        <v>0.23150000000000001</v>
      </c>
      <c r="BB650" s="69"/>
    </row>
    <row r="651" spans="1:54" customFormat="1" ht="40" customHeight="1">
      <c r="A651" s="313">
        <v>650</v>
      </c>
      <c r="B651" s="136" t="s">
        <v>1790</v>
      </c>
      <c r="C651" s="136" t="s">
        <v>45</v>
      </c>
      <c r="D651" s="31">
        <f t="shared" si="46"/>
        <v>4</v>
      </c>
      <c r="E651" s="137" t="s">
        <v>221</v>
      </c>
      <c r="F651" s="31">
        <f t="shared" si="47"/>
        <v>2</v>
      </c>
      <c r="G651" s="137" t="s">
        <v>1794</v>
      </c>
      <c r="H651" s="138">
        <v>56</v>
      </c>
      <c r="I651" s="158">
        <f t="shared" si="48"/>
        <v>0.38361348162897996</v>
      </c>
      <c r="J651" s="95">
        <v>2.2762579479085298E-6</v>
      </c>
      <c r="K651" s="137">
        <v>0.76722468700001201</v>
      </c>
      <c r="L651" s="137">
        <v>0.82499999999999996</v>
      </c>
      <c r="M651" s="137">
        <v>0.68056171750003003</v>
      </c>
      <c r="N651" s="136">
        <v>1</v>
      </c>
      <c r="O651" s="32">
        <v>43932</v>
      </c>
      <c r="P651" s="98">
        <f t="shared" si="49"/>
        <v>0</v>
      </c>
      <c r="Q651">
        <v>2.5499999999999998</v>
      </c>
      <c r="R651">
        <v>0</v>
      </c>
      <c r="S651">
        <v>0</v>
      </c>
      <c r="T651" s="112" t="s">
        <v>48</v>
      </c>
      <c r="U651" s="137" t="s">
        <v>1795</v>
      </c>
      <c r="V651" s="137" t="s">
        <v>1796</v>
      </c>
      <c r="W651" s="69">
        <v>150</v>
      </c>
      <c r="X651" s="136">
        <v>2</v>
      </c>
      <c r="Y651" s="136">
        <v>5</v>
      </c>
      <c r="Z651" s="314"/>
      <c r="AA651" s="319">
        <v>0.60499999999999998</v>
      </c>
      <c r="AB651" s="315" t="s">
        <v>5176</v>
      </c>
      <c r="AC651" s="319">
        <v>0</v>
      </c>
      <c r="AD651" s="320">
        <v>0</v>
      </c>
      <c r="AE651" s="319">
        <v>4</v>
      </c>
      <c r="AF651" s="320">
        <v>4.7619047619047603E-2</v>
      </c>
      <c r="AG651" s="319">
        <v>1</v>
      </c>
      <c r="AH651" s="320">
        <v>1.1904761904761901E-2</v>
      </c>
      <c r="AI651" s="319">
        <v>0</v>
      </c>
      <c r="AJ651" s="320">
        <v>0</v>
      </c>
      <c r="AK651" s="320">
        <v>3.5714285714285712E-2</v>
      </c>
      <c r="AL651" s="319">
        <v>5</v>
      </c>
      <c r="AM651" s="319">
        <v>6.2</v>
      </c>
      <c r="AN651" s="319">
        <v>4.6666666666666599</v>
      </c>
      <c r="AO651" s="319">
        <v>0.52888888888888796</v>
      </c>
      <c r="AP651">
        <v>5</v>
      </c>
      <c r="AR651" s="136">
        <v>5</v>
      </c>
      <c r="AT651" s="69">
        <v>2.3148</v>
      </c>
      <c r="AU651" s="69">
        <v>5</v>
      </c>
      <c r="AV651" s="69">
        <v>8.1305999999999994</v>
      </c>
      <c r="AW651" s="69">
        <v>0.51480000000000004</v>
      </c>
      <c r="BB651" s="69"/>
    </row>
    <row r="652" spans="1:54" customFormat="1" ht="40" customHeight="1">
      <c r="A652" s="313">
        <v>651</v>
      </c>
      <c r="B652" s="136" t="s">
        <v>1790</v>
      </c>
      <c r="C652" s="136" t="s">
        <v>45</v>
      </c>
      <c r="D652" s="31">
        <f t="shared" si="46"/>
        <v>4</v>
      </c>
      <c r="E652" s="137" t="s">
        <v>80</v>
      </c>
      <c r="F652" s="31">
        <f t="shared" si="47"/>
        <v>4</v>
      </c>
      <c r="G652" s="137" t="s">
        <v>1797</v>
      </c>
      <c r="H652" s="138">
        <v>48</v>
      </c>
      <c r="I652" s="158">
        <f t="shared" si="48"/>
        <v>0.4007725015599764</v>
      </c>
      <c r="J652" s="95">
        <v>5.5193349810318502E-3</v>
      </c>
      <c r="K652" s="137">
        <v>0.79602566813892095</v>
      </c>
      <c r="L652" s="137">
        <v>0.82499999999999996</v>
      </c>
      <c r="M652" s="137">
        <v>0.75256417034730305</v>
      </c>
      <c r="N652" s="136">
        <v>1</v>
      </c>
      <c r="O652" s="32">
        <v>43907</v>
      </c>
      <c r="P652" s="98">
        <f t="shared" si="49"/>
        <v>0</v>
      </c>
      <c r="Q652">
        <v>5.0999999999999996</v>
      </c>
      <c r="R652">
        <v>0</v>
      </c>
      <c r="S652">
        <v>0</v>
      </c>
      <c r="T652" s="112" t="s">
        <v>48</v>
      </c>
      <c r="U652" s="137" t="s">
        <v>1798</v>
      </c>
      <c r="V652" s="137" t="s">
        <v>1799</v>
      </c>
      <c r="W652" s="69">
        <v>106</v>
      </c>
      <c r="X652" s="136">
        <v>1</v>
      </c>
      <c r="Y652" s="136">
        <v>3</v>
      </c>
      <c r="Z652" s="314"/>
      <c r="AA652" s="319">
        <v>0.54500000000000004</v>
      </c>
      <c r="AB652" s="315" t="s">
        <v>5176</v>
      </c>
      <c r="AC652" s="319">
        <v>0</v>
      </c>
      <c r="AD652" s="320">
        <v>0</v>
      </c>
      <c r="AE652" s="319">
        <v>4</v>
      </c>
      <c r="AF652" s="320">
        <v>6.5573770491803199E-2</v>
      </c>
      <c r="AG652" s="319">
        <v>1</v>
      </c>
      <c r="AH652" s="320">
        <v>1.63934426229508E-2</v>
      </c>
      <c r="AI652" s="319">
        <v>0</v>
      </c>
      <c r="AJ652" s="320">
        <v>0</v>
      </c>
      <c r="AK652" s="320">
        <v>4.9180327868852458E-2</v>
      </c>
      <c r="AL652" s="319">
        <v>6.75</v>
      </c>
      <c r="AM652" s="319">
        <v>5</v>
      </c>
      <c r="AN652" s="319">
        <v>7.3333333333333304</v>
      </c>
      <c r="AO652" s="319">
        <v>0.63611111111111096</v>
      </c>
      <c r="AP652">
        <v>3</v>
      </c>
      <c r="AR652" s="136">
        <v>3</v>
      </c>
      <c r="AT652" s="69">
        <v>6.3414000000000001</v>
      </c>
      <c r="AU652" s="69">
        <v>2.3148</v>
      </c>
      <c r="AV652" s="69">
        <v>9.8416999999999994</v>
      </c>
      <c r="AW652" s="69">
        <v>0.61660000000000004</v>
      </c>
      <c r="BB652" s="69"/>
    </row>
    <row r="653" spans="1:54" customFormat="1" ht="40" customHeight="1">
      <c r="A653" s="313">
        <v>652</v>
      </c>
      <c r="B653" s="136" t="s">
        <v>1790</v>
      </c>
      <c r="C653" s="136" t="s">
        <v>45</v>
      </c>
      <c r="D653" s="31">
        <f t="shared" si="46"/>
        <v>4</v>
      </c>
      <c r="E653" s="137" t="s">
        <v>46</v>
      </c>
      <c r="F653" s="31">
        <f t="shared" si="47"/>
        <v>6</v>
      </c>
      <c r="G653" s="137" t="s">
        <v>1800</v>
      </c>
      <c r="H653" s="138">
        <v>31</v>
      </c>
      <c r="I653" s="158">
        <f t="shared" si="48"/>
        <v>0.37716270781586564</v>
      </c>
      <c r="J653" s="95">
        <v>3.2997474928102601E-3</v>
      </c>
      <c r="K653" s="137">
        <v>0.75102566813892102</v>
      </c>
      <c r="L653" s="137">
        <v>0.75</v>
      </c>
      <c r="M653" s="137">
        <v>0.75256417034730305</v>
      </c>
      <c r="N653" s="136">
        <v>1</v>
      </c>
      <c r="O653" s="32">
        <v>43842</v>
      </c>
      <c r="P653" s="98">
        <f t="shared" si="49"/>
        <v>2</v>
      </c>
      <c r="Q653">
        <v>0</v>
      </c>
      <c r="R653">
        <v>0</v>
      </c>
      <c r="S653">
        <v>0</v>
      </c>
      <c r="T653" s="112" t="s">
        <v>64</v>
      </c>
      <c r="U653" s="137" t="s">
        <v>1801</v>
      </c>
      <c r="V653" s="137" t="s">
        <v>1802</v>
      </c>
      <c r="W653" s="69">
        <v>92</v>
      </c>
      <c r="X653" s="136">
        <v>1</v>
      </c>
      <c r="Y653" s="136">
        <v>3</v>
      </c>
      <c r="Z653" s="314"/>
      <c r="AA653" s="319">
        <v>0.5</v>
      </c>
      <c r="AB653" s="315" t="s">
        <v>5176</v>
      </c>
      <c r="AC653" s="319">
        <v>0</v>
      </c>
      <c r="AD653" s="320">
        <v>0</v>
      </c>
      <c r="AE653" s="319">
        <v>3</v>
      </c>
      <c r="AF653" s="320">
        <v>5.2631578947368397E-2</v>
      </c>
      <c r="AG653" s="319">
        <v>0</v>
      </c>
      <c r="AH653" s="320">
        <v>0</v>
      </c>
      <c r="AI653" s="319">
        <v>0</v>
      </c>
      <c r="AJ653" s="320">
        <v>0</v>
      </c>
      <c r="AK653" s="320">
        <v>5.2631578947368418E-2</v>
      </c>
      <c r="AL653" s="319">
        <v>5</v>
      </c>
      <c r="AM653" s="319">
        <v>5</v>
      </c>
      <c r="AN653" s="319">
        <v>4.6666666666666599</v>
      </c>
      <c r="AO653" s="319">
        <v>0.48888888888888798</v>
      </c>
      <c r="AP653">
        <v>3</v>
      </c>
      <c r="AR653" s="136">
        <v>3</v>
      </c>
      <c r="AT653" s="69">
        <v>2.3148</v>
      </c>
      <c r="AU653" s="69">
        <v>2.3148</v>
      </c>
      <c r="AV653" s="69">
        <v>8.1305999999999994</v>
      </c>
      <c r="AW653" s="69">
        <v>0.42530000000000001</v>
      </c>
      <c r="BB653" s="69"/>
    </row>
    <row r="654" spans="1:54" customFormat="1" ht="40" customHeight="1">
      <c r="A654" s="313">
        <v>653</v>
      </c>
      <c r="B654" s="136" t="s">
        <v>1790</v>
      </c>
      <c r="C654" s="136" t="s">
        <v>45</v>
      </c>
      <c r="D654" s="31">
        <f t="shared" si="46"/>
        <v>4</v>
      </c>
      <c r="E654" s="137" t="s">
        <v>46</v>
      </c>
      <c r="F654" s="31">
        <f t="shared" si="47"/>
        <v>6</v>
      </c>
      <c r="G654" s="137" t="s">
        <v>1800</v>
      </c>
      <c r="H654" s="138">
        <v>50</v>
      </c>
      <c r="I654" s="158">
        <f t="shared" si="48"/>
        <v>0.30517388735285117</v>
      </c>
      <c r="J654" s="95">
        <v>3.14272999802912E-5</v>
      </c>
      <c r="K654" s="137">
        <v>0.61031634740572205</v>
      </c>
      <c r="L654" s="137">
        <v>0.56348610067618299</v>
      </c>
      <c r="M654" s="137">
        <v>0.68056171750003003</v>
      </c>
      <c r="N654" s="136">
        <v>1</v>
      </c>
      <c r="O654" s="32">
        <v>43835</v>
      </c>
      <c r="P654" s="98">
        <f t="shared" si="49"/>
        <v>2</v>
      </c>
      <c r="Q654">
        <v>0</v>
      </c>
      <c r="R654">
        <v>0</v>
      </c>
      <c r="S654">
        <v>0</v>
      </c>
      <c r="T654" s="112" t="s">
        <v>64</v>
      </c>
      <c r="U654" s="137" t="s">
        <v>1803</v>
      </c>
      <c r="V654" s="137" t="s">
        <v>1804</v>
      </c>
      <c r="W654" s="69">
        <v>133</v>
      </c>
      <c r="X654" s="136">
        <v>2</v>
      </c>
      <c r="Y654" s="136">
        <v>5</v>
      </c>
      <c r="Z654" s="314"/>
      <c r="AA654" s="319">
        <v>2.4893534183931899E-2</v>
      </c>
      <c r="AB654" s="315" t="s">
        <v>5176</v>
      </c>
      <c r="AC654" s="319">
        <v>0</v>
      </c>
      <c r="AD654" s="320">
        <v>0</v>
      </c>
      <c r="AE654" s="319">
        <v>3</v>
      </c>
      <c r="AF654" s="320">
        <v>3.7974683544303701E-2</v>
      </c>
      <c r="AG654" s="319">
        <v>0</v>
      </c>
      <c r="AH654" s="320">
        <v>0</v>
      </c>
      <c r="AI654" s="319">
        <v>0</v>
      </c>
      <c r="AJ654" s="320">
        <v>0</v>
      </c>
      <c r="AK654" s="320">
        <v>3.7974683544303799E-2</v>
      </c>
      <c r="AL654" s="319">
        <v>5</v>
      </c>
      <c r="AM654" s="319">
        <v>5</v>
      </c>
      <c r="AN654" s="319">
        <v>7.3333333333333304</v>
      </c>
      <c r="AO654" s="319">
        <v>0.57777777777777695</v>
      </c>
      <c r="AP654">
        <v>5</v>
      </c>
      <c r="AR654" s="136"/>
      <c r="AS654">
        <v>5</v>
      </c>
      <c r="AT654" s="69">
        <v>2.3148</v>
      </c>
      <c r="AU654" s="69">
        <v>2.3148</v>
      </c>
      <c r="AV654" s="69">
        <v>9.8416999999999994</v>
      </c>
      <c r="AW654" s="69">
        <v>0.4824</v>
      </c>
      <c r="BB654" s="69"/>
    </row>
    <row r="655" spans="1:54" customFormat="1" ht="40" customHeight="1">
      <c r="A655" s="313">
        <v>654</v>
      </c>
      <c r="B655" s="136" t="s">
        <v>1790</v>
      </c>
      <c r="C655" s="136" t="s">
        <v>45</v>
      </c>
      <c r="D655" s="31">
        <f t="shared" si="46"/>
        <v>4</v>
      </c>
      <c r="E655" s="137" t="s">
        <v>46</v>
      </c>
      <c r="F655" s="31">
        <f t="shared" si="47"/>
        <v>6</v>
      </c>
      <c r="G655" s="137" t="s">
        <v>1805</v>
      </c>
      <c r="H655" s="138">
        <v>74</v>
      </c>
      <c r="I655" s="158">
        <f t="shared" si="48"/>
        <v>0.88418484024781652</v>
      </c>
      <c r="J655" s="95">
        <v>0.99918188405981001</v>
      </c>
      <c r="K655" s="137">
        <v>0.76918779643582302</v>
      </c>
      <c r="L655" s="137">
        <v>0.75</v>
      </c>
      <c r="M655" s="137">
        <v>0.79796949108955795</v>
      </c>
      <c r="N655" s="136">
        <v>1</v>
      </c>
      <c r="O655" s="32">
        <v>43828</v>
      </c>
      <c r="P655" s="98">
        <f t="shared" si="49"/>
        <v>2</v>
      </c>
      <c r="Q655">
        <v>0</v>
      </c>
      <c r="R655">
        <v>0</v>
      </c>
      <c r="S655">
        <v>0</v>
      </c>
      <c r="T655" s="112" t="s">
        <v>64</v>
      </c>
      <c r="U655" s="137" t="s">
        <v>1806</v>
      </c>
      <c r="V655" s="137" t="s">
        <v>1807</v>
      </c>
      <c r="W655" s="69">
        <v>122</v>
      </c>
      <c r="X655" s="136">
        <v>2</v>
      </c>
      <c r="Y655" s="136">
        <v>2</v>
      </c>
      <c r="Z655" s="314"/>
      <c r="AA655" s="319">
        <v>0.55000000000000004</v>
      </c>
      <c r="AB655" s="315" t="s">
        <v>5176</v>
      </c>
      <c r="AC655" s="319">
        <v>0</v>
      </c>
      <c r="AD655" s="320">
        <v>0</v>
      </c>
      <c r="AE655" s="319">
        <v>4</v>
      </c>
      <c r="AF655" s="320">
        <v>5.5555555555555497E-2</v>
      </c>
      <c r="AG655" s="319">
        <v>1</v>
      </c>
      <c r="AH655" s="320">
        <v>1.38888888888888E-2</v>
      </c>
      <c r="AI655" s="319">
        <v>0</v>
      </c>
      <c r="AJ655" s="320">
        <v>0</v>
      </c>
      <c r="AK655" s="320">
        <v>4.1666666666666657E-2</v>
      </c>
      <c r="AL655" s="319">
        <v>5</v>
      </c>
      <c r="AM655" s="319">
        <v>5</v>
      </c>
      <c r="AN655" s="319">
        <v>2</v>
      </c>
      <c r="AO655" s="319">
        <v>0.4</v>
      </c>
      <c r="AP655">
        <v>2</v>
      </c>
      <c r="AR655" s="136"/>
      <c r="AS655">
        <v>2</v>
      </c>
      <c r="AT655" s="69">
        <v>2.3148</v>
      </c>
      <c r="AU655" s="69">
        <v>2.3148</v>
      </c>
      <c r="AV655" s="69">
        <v>2.3148</v>
      </c>
      <c r="AW655" s="69">
        <v>0.23150000000000001</v>
      </c>
      <c r="BB655" s="69"/>
    </row>
    <row r="656" spans="1:54" customFormat="1" ht="40" customHeight="1">
      <c r="A656" s="313">
        <v>655</v>
      </c>
      <c r="B656" s="136" t="s">
        <v>1790</v>
      </c>
      <c r="C656" s="136" t="s">
        <v>45</v>
      </c>
      <c r="D656" s="31">
        <f t="shared" si="46"/>
        <v>4</v>
      </c>
      <c r="E656" s="137" t="s">
        <v>46</v>
      </c>
      <c r="F656" s="31">
        <f t="shared" si="47"/>
        <v>6</v>
      </c>
      <c r="G656" s="137" t="s">
        <v>1800</v>
      </c>
      <c r="H656" s="138">
        <v>82</v>
      </c>
      <c r="I656" s="158">
        <f t="shared" si="48"/>
        <v>0.42453280629186252</v>
      </c>
      <c r="J656" s="95">
        <v>0.19178615574219199</v>
      </c>
      <c r="K656" s="137">
        <v>0.65727945684153299</v>
      </c>
      <c r="L656" s="137">
        <v>0.56348610067618299</v>
      </c>
      <c r="M656" s="137">
        <v>0.79796949108955795</v>
      </c>
      <c r="N656" s="136">
        <v>1</v>
      </c>
      <c r="O656" s="32">
        <v>43828</v>
      </c>
      <c r="P656" s="98">
        <f t="shared" si="49"/>
        <v>2</v>
      </c>
      <c r="Q656">
        <v>0</v>
      </c>
      <c r="R656">
        <v>0</v>
      </c>
      <c r="S656">
        <v>0</v>
      </c>
      <c r="T656" s="112" t="s">
        <v>64</v>
      </c>
      <c r="U656" s="137" t="s">
        <v>1808</v>
      </c>
      <c r="V656" s="137" t="s">
        <v>1809</v>
      </c>
      <c r="W656" s="69">
        <v>130</v>
      </c>
      <c r="X656" s="136">
        <v>1</v>
      </c>
      <c r="Y656" s="136">
        <v>2</v>
      </c>
      <c r="Z656" s="314"/>
      <c r="AA656" s="319">
        <v>2.4893534183931899E-2</v>
      </c>
      <c r="AB656" s="315" t="s">
        <v>5176</v>
      </c>
      <c r="AC656" s="319">
        <v>2</v>
      </c>
      <c r="AD656" s="320">
        <v>2.5000000000000001E-2</v>
      </c>
      <c r="AE656" s="319">
        <v>3</v>
      </c>
      <c r="AF656" s="320">
        <v>3.7499999999999999E-2</v>
      </c>
      <c r="AG656" s="319">
        <v>0</v>
      </c>
      <c r="AH656" s="320">
        <v>0</v>
      </c>
      <c r="AI656" s="319">
        <v>0</v>
      </c>
      <c r="AJ656" s="320">
        <v>0</v>
      </c>
      <c r="AK656" s="320">
        <v>3.7500000000000012E-2</v>
      </c>
      <c r="AL656" s="319">
        <v>5</v>
      </c>
      <c r="AM656" s="319">
        <v>5</v>
      </c>
      <c r="AN656" s="319">
        <v>4.6666666666666599</v>
      </c>
      <c r="AO656" s="319">
        <v>0.48888888888888798</v>
      </c>
      <c r="AP656">
        <v>2</v>
      </c>
      <c r="AR656" s="136">
        <v>2</v>
      </c>
      <c r="AT656" s="69">
        <v>2.3148</v>
      </c>
      <c r="AU656" s="69">
        <v>2.3148</v>
      </c>
      <c r="AV656" s="69">
        <v>8.1305999999999994</v>
      </c>
      <c r="AW656" s="69">
        <v>0.42530000000000001</v>
      </c>
      <c r="BB656" s="69"/>
    </row>
    <row r="657" spans="1:54" customFormat="1" ht="40" customHeight="1">
      <c r="A657" s="313">
        <v>656</v>
      </c>
      <c r="B657" s="136" t="s">
        <v>1790</v>
      </c>
      <c r="C657" s="136" t="s">
        <v>45</v>
      </c>
      <c r="D657" s="31">
        <f t="shared" si="46"/>
        <v>4</v>
      </c>
      <c r="E657" s="137" t="s">
        <v>80</v>
      </c>
      <c r="F657" s="31">
        <f t="shared" si="47"/>
        <v>4</v>
      </c>
      <c r="G657" s="137" t="s">
        <v>1810</v>
      </c>
      <c r="H657" s="138">
        <v>79</v>
      </c>
      <c r="I657" s="158">
        <f t="shared" si="48"/>
        <v>0.46440557250999703</v>
      </c>
      <c r="J657" s="95">
        <v>0.14809685930570801</v>
      </c>
      <c r="K657" s="137">
        <v>0.78071428571428603</v>
      </c>
      <c r="L657" s="137">
        <v>0.82499999999999996</v>
      </c>
      <c r="M657" s="137">
        <v>0.71428571428571397</v>
      </c>
      <c r="N657" s="136">
        <v>1</v>
      </c>
      <c r="O657" s="32">
        <v>43794</v>
      </c>
      <c r="P657" s="98">
        <f t="shared" si="49"/>
        <v>0</v>
      </c>
      <c r="Q657">
        <v>2.5499999999999998</v>
      </c>
      <c r="R657">
        <v>0</v>
      </c>
      <c r="S657">
        <v>0</v>
      </c>
      <c r="T657" s="112" t="s">
        <v>48</v>
      </c>
      <c r="U657" s="137" t="s">
        <v>1811</v>
      </c>
      <c r="V657" s="137" t="s">
        <v>1812</v>
      </c>
      <c r="W657" s="69">
        <v>111</v>
      </c>
      <c r="X657" s="136">
        <v>2</v>
      </c>
      <c r="Y657" s="136">
        <v>4</v>
      </c>
      <c r="Z657" s="314"/>
      <c r="AA657" s="319">
        <v>0.59450000000000003</v>
      </c>
      <c r="AB657" s="315" t="s">
        <v>5176</v>
      </c>
      <c r="AC657" s="319">
        <v>1</v>
      </c>
      <c r="AD657" s="320">
        <v>1.5625E-2</v>
      </c>
      <c r="AE657" s="319">
        <v>4</v>
      </c>
      <c r="AF657" s="320">
        <v>6.25E-2</v>
      </c>
      <c r="AG657" s="319">
        <v>1</v>
      </c>
      <c r="AH657" s="320">
        <v>1.5625E-2</v>
      </c>
      <c r="AI657" s="319">
        <v>0</v>
      </c>
      <c r="AJ657" s="320">
        <v>0</v>
      </c>
      <c r="AK657" s="320">
        <v>3.125E-2</v>
      </c>
      <c r="AL657" s="319">
        <v>5</v>
      </c>
      <c r="AM657" s="319">
        <v>6.2</v>
      </c>
      <c r="AN657" s="319">
        <v>4.6666666666666599</v>
      </c>
      <c r="AO657" s="319">
        <v>0.52888888888888796</v>
      </c>
      <c r="AP657">
        <v>4</v>
      </c>
      <c r="AR657" s="136">
        <v>4</v>
      </c>
      <c r="AT657" s="69">
        <v>2.3148</v>
      </c>
      <c r="AU657" s="69">
        <v>5</v>
      </c>
      <c r="AV657" s="69">
        <v>8.1305999999999994</v>
      </c>
      <c r="AW657" s="69">
        <v>0.51480000000000004</v>
      </c>
      <c r="BB657" s="69"/>
    </row>
    <row r="658" spans="1:54" customFormat="1" ht="40" customHeight="1">
      <c r="A658" s="313">
        <v>657</v>
      </c>
      <c r="B658" s="136" t="s">
        <v>1790</v>
      </c>
      <c r="C658" s="136" t="s">
        <v>45</v>
      </c>
      <c r="D658" s="31">
        <f t="shared" si="46"/>
        <v>4</v>
      </c>
      <c r="E658" s="137" t="s">
        <v>46</v>
      </c>
      <c r="F658" s="31">
        <f t="shared" si="47"/>
        <v>6</v>
      </c>
      <c r="G658" s="137" t="s">
        <v>1813</v>
      </c>
      <c r="H658" s="138">
        <v>146</v>
      </c>
      <c r="I658" s="158">
        <f t="shared" si="48"/>
        <v>0.38167134351239451</v>
      </c>
      <c r="J658" s="95">
        <v>0.13953674090479301</v>
      </c>
      <c r="K658" s="137">
        <v>0.62380594611999596</v>
      </c>
      <c r="L658" s="137">
        <v>0.56348610067618299</v>
      </c>
      <c r="M658" s="137">
        <v>0.71428571428571397</v>
      </c>
      <c r="N658" s="136">
        <v>0</v>
      </c>
      <c r="O658" s="32">
        <v>43784</v>
      </c>
      <c r="P658" s="98">
        <f t="shared" si="49"/>
        <v>0</v>
      </c>
      <c r="Q658">
        <v>5.0999999999999996</v>
      </c>
      <c r="R658">
        <v>0</v>
      </c>
      <c r="S658">
        <v>0</v>
      </c>
      <c r="T658" s="112" t="s">
        <v>48</v>
      </c>
      <c r="U658" s="137" t="s">
        <v>1814</v>
      </c>
      <c r="V658" s="137" t="s">
        <v>1815</v>
      </c>
      <c r="W658" s="69">
        <v>114</v>
      </c>
      <c r="X658" s="136">
        <v>1</v>
      </c>
      <c r="Y658" s="136">
        <v>4</v>
      </c>
      <c r="Z658" s="314"/>
      <c r="AA658" s="319">
        <v>2.0573168747051201E-2</v>
      </c>
      <c r="AB658" s="315" t="s">
        <v>5176</v>
      </c>
      <c r="AC658" s="319">
        <v>1</v>
      </c>
      <c r="AD658" s="320">
        <v>1.42857142857142E-2</v>
      </c>
      <c r="AE658" s="319">
        <v>3</v>
      </c>
      <c r="AF658" s="320">
        <v>4.2857142857142802E-2</v>
      </c>
      <c r="AG658" s="319">
        <v>0</v>
      </c>
      <c r="AH658" s="320">
        <v>0</v>
      </c>
      <c r="AI658" s="319">
        <v>0</v>
      </c>
      <c r="AJ658" s="320">
        <v>0</v>
      </c>
      <c r="AK658" s="320">
        <v>2.8571428571428571E-2</v>
      </c>
      <c r="AL658" s="319">
        <v>5</v>
      </c>
      <c r="AM658" s="319">
        <v>5</v>
      </c>
      <c r="AN658" s="319">
        <v>4.6666666666666599</v>
      </c>
      <c r="AO658" s="319">
        <v>0.48888888888888798</v>
      </c>
      <c r="AP658">
        <v>4</v>
      </c>
      <c r="AR658" s="136">
        <v>4</v>
      </c>
      <c r="AT658" s="69">
        <v>2.3148</v>
      </c>
      <c r="AU658" s="69">
        <v>2.3148</v>
      </c>
      <c r="AV658" s="69">
        <v>8.1305999999999994</v>
      </c>
      <c r="AW658" s="69">
        <v>0.42530000000000001</v>
      </c>
      <c r="BB658" s="69"/>
    </row>
    <row r="659" spans="1:54" customFormat="1" ht="40" customHeight="1">
      <c r="A659" s="313">
        <v>658</v>
      </c>
      <c r="B659" s="136" t="s">
        <v>1790</v>
      </c>
      <c r="C659" s="136" t="s">
        <v>45</v>
      </c>
      <c r="D659" s="31">
        <f t="shared" si="46"/>
        <v>4</v>
      </c>
      <c r="E659" s="137" t="s">
        <v>46</v>
      </c>
      <c r="F659" s="31">
        <f t="shared" si="47"/>
        <v>6</v>
      </c>
      <c r="G659" s="137" t="s">
        <v>1816</v>
      </c>
      <c r="H659" s="138">
        <v>74</v>
      </c>
      <c r="I659" s="158">
        <f t="shared" si="48"/>
        <v>0.38494947950738828</v>
      </c>
      <c r="J659" s="95">
        <v>7.1116257895353896E-4</v>
      </c>
      <c r="K659" s="137">
        <v>0.76918779643582302</v>
      </c>
      <c r="L659" s="137">
        <v>0.75</v>
      </c>
      <c r="M659" s="137">
        <v>0.79796949108955795</v>
      </c>
      <c r="N659" s="136">
        <v>0</v>
      </c>
      <c r="O659" s="32">
        <v>43761</v>
      </c>
      <c r="P659" s="98">
        <f t="shared" si="49"/>
        <v>0</v>
      </c>
      <c r="Q659">
        <v>2.5499999999999998</v>
      </c>
      <c r="R659">
        <v>0</v>
      </c>
      <c r="S659">
        <v>0</v>
      </c>
      <c r="T659" s="112" t="s">
        <v>48</v>
      </c>
      <c r="U659" s="137" t="s">
        <v>1817</v>
      </c>
      <c r="V659" s="137" t="s">
        <v>1818</v>
      </c>
      <c r="W659" s="69">
        <v>100</v>
      </c>
      <c r="X659" s="136">
        <v>1</v>
      </c>
      <c r="Y659" s="136">
        <v>2</v>
      </c>
      <c r="Z659" s="314"/>
      <c r="AA659" s="319">
        <v>0.5</v>
      </c>
      <c r="AB659" s="315" t="s">
        <v>5176</v>
      </c>
      <c r="AC659" s="319">
        <v>1</v>
      </c>
      <c r="AD659" s="320">
        <v>1.63934426229508E-2</v>
      </c>
      <c r="AE659" s="319">
        <v>3</v>
      </c>
      <c r="AF659" s="320">
        <v>4.9180327868852403E-2</v>
      </c>
      <c r="AG659" s="319">
        <v>1</v>
      </c>
      <c r="AH659" s="320">
        <v>1.63934426229508E-2</v>
      </c>
      <c r="AI659" s="319">
        <v>0</v>
      </c>
      <c r="AJ659" s="320">
        <v>0</v>
      </c>
      <c r="AK659" s="320">
        <v>3.2786885245901641E-2</v>
      </c>
      <c r="AL659" s="319">
        <v>5</v>
      </c>
      <c r="AM659" s="319">
        <v>5</v>
      </c>
      <c r="AN659" s="319">
        <v>4.6666666666666599</v>
      </c>
      <c r="AO659" s="319">
        <v>0.48888888888888798</v>
      </c>
      <c r="AP659">
        <v>2</v>
      </c>
      <c r="AR659" s="136">
        <v>2</v>
      </c>
      <c r="AT659" s="69">
        <v>2.3148</v>
      </c>
      <c r="AU659" s="69">
        <v>2.3148</v>
      </c>
      <c r="AV659" s="69">
        <v>8.1305999999999994</v>
      </c>
      <c r="AW659" s="69">
        <v>0.42530000000000001</v>
      </c>
      <c r="BB659" s="69"/>
    </row>
    <row r="660" spans="1:54" customFormat="1" ht="40" customHeight="1">
      <c r="A660" s="313">
        <v>659</v>
      </c>
      <c r="B660" s="136" t="s">
        <v>1790</v>
      </c>
      <c r="C660" s="136" t="s">
        <v>45</v>
      </c>
      <c r="D660" s="31">
        <f t="shared" si="46"/>
        <v>4</v>
      </c>
      <c r="E660" s="137" t="s">
        <v>46</v>
      </c>
      <c r="F660" s="31">
        <f t="shared" si="47"/>
        <v>6</v>
      </c>
      <c r="G660" s="137" t="s">
        <v>1819</v>
      </c>
      <c r="H660" s="138">
        <v>9</v>
      </c>
      <c r="I660" s="158">
        <f t="shared" si="48"/>
        <v>0.35803890141758166</v>
      </c>
      <c r="J660" s="95">
        <v>7.2109304290248297E-2</v>
      </c>
      <c r="K660" s="137">
        <v>0.643968498544915</v>
      </c>
      <c r="L660" s="137">
        <v>0.75</v>
      </c>
      <c r="M660" s="137">
        <v>0.48492124636228701</v>
      </c>
      <c r="N660" s="136">
        <v>0</v>
      </c>
      <c r="O660" s="32">
        <v>43613</v>
      </c>
      <c r="P660" s="98">
        <f t="shared" si="49"/>
        <v>0</v>
      </c>
      <c r="Q660">
        <v>2.5499999999999998</v>
      </c>
      <c r="R660">
        <v>0</v>
      </c>
      <c r="S660">
        <v>0</v>
      </c>
      <c r="T660" s="112" t="s">
        <v>48</v>
      </c>
      <c r="U660" s="137" t="s">
        <v>1820</v>
      </c>
      <c r="V660" s="137" t="s">
        <v>1821</v>
      </c>
      <c r="W660" s="69">
        <v>67</v>
      </c>
      <c r="X660" s="136">
        <v>5</v>
      </c>
      <c r="Y660" s="136">
        <v>13</v>
      </c>
      <c r="Z660" s="314"/>
      <c r="AA660" s="319">
        <v>0.5</v>
      </c>
      <c r="AB660" s="315" t="s">
        <v>5169</v>
      </c>
      <c r="AC660" s="319">
        <v>1</v>
      </c>
      <c r="AD660" s="320">
        <v>2.5641025641025599E-2</v>
      </c>
      <c r="AE660" s="319">
        <v>0</v>
      </c>
      <c r="AF660" s="320">
        <v>0</v>
      </c>
      <c r="AG660" s="319">
        <v>1</v>
      </c>
      <c r="AH660" s="320">
        <v>2.5641025641025599E-2</v>
      </c>
      <c r="AI660" s="319">
        <v>0</v>
      </c>
      <c r="AJ660" s="320">
        <v>0</v>
      </c>
      <c r="AK660" s="320">
        <v>0</v>
      </c>
      <c r="AL660" s="319">
        <v>5</v>
      </c>
      <c r="AM660" s="319">
        <v>5</v>
      </c>
      <c r="AN660" s="319">
        <v>2</v>
      </c>
      <c r="AO660" s="319">
        <v>0.4</v>
      </c>
      <c r="AP660">
        <v>13</v>
      </c>
      <c r="AR660" s="136">
        <v>13</v>
      </c>
      <c r="AT660" s="69">
        <v>2.3148</v>
      </c>
      <c r="AU660" s="69">
        <v>2.3148</v>
      </c>
      <c r="AV660" s="69">
        <v>2.3148</v>
      </c>
      <c r="AW660" s="69">
        <v>0.23150000000000001</v>
      </c>
      <c r="BB660" s="69"/>
    </row>
    <row r="661" spans="1:54" customFormat="1" ht="40" customHeight="1">
      <c r="A661" s="313">
        <v>660</v>
      </c>
      <c r="B661" s="136" t="s">
        <v>1790</v>
      </c>
      <c r="C661" s="136" t="s">
        <v>45</v>
      </c>
      <c r="D661" s="31">
        <f t="shared" si="46"/>
        <v>4</v>
      </c>
      <c r="E661" s="137" t="s">
        <v>46</v>
      </c>
      <c r="F661" s="31">
        <f t="shared" si="47"/>
        <v>6</v>
      </c>
      <c r="G661" s="137" t="s">
        <v>1822</v>
      </c>
      <c r="H661" s="138">
        <v>20</v>
      </c>
      <c r="I661" s="158">
        <f t="shared" si="48"/>
        <v>0.34246978360199193</v>
      </c>
      <c r="J661" s="95">
        <v>6.3681386325558104E-3</v>
      </c>
      <c r="K661" s="137">
        <v>0.67857142857142805</v>
      </c>
      <c r="L661" s="137">
        <v>0.75</v>
      </c>
      <c r="M661" s="137">
        <v>0.57142857142857095</v>
      </c>
      <c r="N661" s="136">
        <v>0</v>
      </c>
      <c r="O661" s="32">
        <v>43611</v>
      </c>
      <c r="P661" s="98">
        <f t="shared" si="49"/>
        <v>0</v>
      </c>
      <c r="Q661">
        <v>2.5499999999999998</v>
      </c>
      <c r="R661">
        <v>0</v>
      </c>
      <c r="S661">
        <v>0</v>
      </c>
      <c r="T661" s="112" t="s">
        <v>48</v>
      </c>
      <c r="U661" s="137" t="s">
        <v>1823</v>
      </c>
      <c r="V661" s="137" t="s">
        <v>1824</v>
      </c>
      <c r="W661" s="69">
        <v>87</v>
      </c>
      <c r="X661" s="136">
        <v>4</v>
      </c>
      <c r="Y661" s="136">
        <v>9</v>
      </c>
      <c r="Z661" s="314"/>
      <c r="AA661" s="319">
        <v>0.5</v>
      </c>
      <c r="AB661" s="315" t="s">
        <v>5176</v>
      </c>
      <c r="AC661" s="319">
        <v>0</v>
      </c>
      <c r="AD661" s="320">
        <v>0</v>
      </c>
      <c r="AE661" s="319">
        <v>5</v>
      </c>
      <c r="AF661" s="320">
        <v>0.10416666666666601</v>
      </c>
      <c r="AG661" s="319">
        <v>2</v>
      </c>
      <c r="AH661" s="320">
        <v>4.1666666666666602E-2</v>
      </c>
      <c r="AI661" s="319">
        <v>0</v>
      </c>
      <c r="AJ661" s="320">
        <v>0</v>
      </c>
      <c r="AK661" s="320">
        <v>6.25E-2</v>
      </c>
      <c r="AL661" s="319">
        <v>5</v>
      </c>
      <c r="AM661" s="319">
        <v>5</v>
      </c>
      <c r="AN661" s="319">
        <v>2</v>
      </c>
      <c r="AO661" s="319">
        <v>0.4</v>
      </c>
      <c r="AP661">
        <v>9</v>
      </c>
      <c r="AR661" s="136">
        <v>9</v>
      </c>
      <c r="AT661" s="69">
        <v>2.3148</v>
      </c>
      <c r="AU661" s="69">
        <v>2.3148</v>
      </c>
      <c r="AV661" s="69">
        <v>2.3148</v>
      </c>
      <c r="AW661" s="69">
        <v>0.23150000000000001</v>
      </c>
      <c r="BB661" s="69"/>
    </row>
    <row r="662" spans="1:54" customFormat="1" ht="40" customHeight="1">
      <c r="A662" s="313">
        <v>661</v>
      </c>
      <c r="B662" s="136" t="s">
        <v>1790</v>
      </c>
      <c r="C662" s="136" t="s">
        <v>45</v>
      </c>
      <c r="D662" s="31">
        <f t="shared" si="46"/>
        <v>4</v>
      </c>
      <c r="E662" s="137" t="s">
        <v>46</v>
      </c>
      <c r="F662" s="31">
        <f t="shared" si="47"/>
        <v>6</v>
      </c>
      <c r="G662" s="137" t="s">
        <v>1825</v>
      </c>
      <c r="H662" s="138">
        <v>115</v>
      </c>
      <c r="I662" s="158">
        <f t="shared" si="48"/>
        <v>0.48369773290381801</v>
      </c>
      <c r="J662" s="95">
        <v>0.103707669371813</v>
      </c>
      <c r="K662" s="137">
        <v>0.86368779643582305</v>
      </c>
      <c r="L662" s="137">
        <v>0.90749999999999997</v>
      </c>
      <c r="M662" s="137">
        <v>0.79796949108955795</v>
      </c>
      <c r="N662" s="136">
        <v>0</v>
      </c>
      <c r="O662" s="32">
        <v>43606</v>
      </c>
      <c r="P662" s="98">
        <f t="shared" si="49"/>
        <v>1</v>
      </c>
      <c r="Q662">
        <v>0</v>
      </c>
      <c r="R662">
        <v>0</v>
      </c>
      <c r="S662">
        <v>0</v>
      </c>
      <c r="T662" s="112" t="s">
        <v>73</v>
      </c>
      <c r="U662" s="137" t="s">
        <v>1826</v>
      </c>
      <c r="V662" s="137" t="s">
        <v>1824</v>
      </c>
      <c r="W662" s="69">
        <v>87</v>
      </c>
      <c r="X662" s="136">
        <v>1</v>
      </c>
      <c r="Y662" s="136">
        <v>2</v>
      </c>
      <c r="Z662" s="314"/>
      <c r="AA662" s="319">
        <v>0.5</v>
      </c>
      <c r="AB662" s="315" t="s">
        <v>5176</v>
      </c>
      <c r="AC662" s="319">
        <v>0</v>
      </c>
      <c r="AD662" s="320">
        <v>0</v>
      </c>
      <c r="AE662" s="319">
        <v>5</v>
      </c>
      <c r="AF662" s="320">
        <v>0.10416666666666601</v>
      </c>
      <c r="AG662" s="319">
        <v>2</v>
      </c>
      <c r="AH662" s="320">
        <v>4.1666666666666602E-2</v>
      </c>
      <c r="AI662" s="319">
        <v>0</v>
      </c>
      <c r="AJ662" s="320">
        <v>0</v>
      </c>
      <c r="AK662" s="320">
        <v>6.25E-2</v>
      </c>
      <c r="AL662" s="319">
        <v>5</v>
      </c>
      <c r="AM662" s="319">
        <v>5</v>
      </c>
      <c r="AN662" s="319">
        <v>3.5</v>
      </c>
      <c r="AO662" s="319">
        <v>0.45</v>
      </c>
      <c r="AP662">
        <v>2</v>
      </c>
      <c r="AR662" s="136">
        <v>2</v>
      </c>
      <c r="AT662" s="69">
        <v>2.3148</v>
      </c>
      <c r="AU662" s="69">
        <v>2.3148</v>
      </c>
      <c r="AV662" s="69">
        <v>5.7443999999999997</v>
      </c>
      <c r="AW662" s="69">
        <v>0.3458</v>
      </c>
      <c r="BB662" s="69"/>
    </row>
    <row r="663" spans="1:54" customFormat="1" ht="40" customHeight="1">
      <c r="A663" s="313">
        <v>662</v>
      </c>
      <c r="B663" s="136" t="s">
        <v>1790</v>
      </c>
      <c r="C663" s="136" t="s">
        <v>45</v>
      </c>
      <c r="D663" s="31">
        <f t="shared" si="46"/>
        <v>4</v>
      </c>
      <c r="E663" s="137" t="s">
        <v>46</v>
      </c>
      <c r="F663" s="31">
        <f t="shared" si="47"/>
        <v>6</v>
      </c>
      <c r="G663" s="137" t="s">
        <v>1827</v>
      </c>
      <c r="H663" s="138">
        <v>47</v>
      </c>
      <c r="I663" s="158">
        <f t="shared" si="48"/>
        <v>0.82212304727921048</v>
      </c>
      <c r="J663" s="95">
        <v>0.96293049846750001</v>
      </c>
      <c r="K663" s="137">
        <v>0.68131559609092096</v>
      </c>
      <c r="L663" s="137">
        <v>0.68181818181818199</v>
      </c>
      <c r="M663" s="137">
        <v>0.68056171750003003</v>
      </c>
      <c r="N663" s="136">
        <v>0</v>
      </c>
      <c r="O663" s="32">
        <v>43603</v>
      </c>
      <c r="P663" s="98">
        <f t="shared" si="49"/>
        <v>1</v>
      </c>
      <c r="Q663">
        <v>0</v>
      </c>
      <c r="R663">
        <v>0</v>
      </c>
      <c r="S663">
        <v>0</v>
      </c>
      <c r="T663" s="112" t="s">
        <v>73</v>
      </c>
      <c r="U663" s="137" t="s">
        <v>1828</v>
      </c>
      <c r="V663" s="137" t="s">
        <v>1824</v>
      </c>
      <c r="W663" s="69">
        <v>87</v>
      </c>
      <c r="X663" s="136">
        <v>2</v>
      </c>
      <c r="Y663" s="136">
        <v>5</v>
      </c>
      <c r="Z663" s="314"/>
      <c r="AA663" s="319">
        <v>0.5</v>
      </c>
      <c r="AB663" s="315" t="s">
        <v>5176</v>
      </c>
      <c r="AC663" s="319">
        <v>0</v>
      </c>
      <c r="AD663" s="320">
        <v>0</v>
      </c>
      <c r="AE663" s="319">
        <v>5</v>
      </c>
      <c r="AF663" s="320">
        <v>0.10416666666666601</v>
      </c>
      <c r="AG663" s="319">
        <v>2</v>
      </c>
      <c r="AH663" s="320">
        <v>4.1666666666666602E-2</v>
      </c>
      <c r="AI663" s="319">
        <v>0</v>
      </c>
      <c r="AJ663" s="320">
        <v>0</v>
      </c>
      <c r="AK663" s="320">
        <v>6.25E-2</v>
      </c>
      <c r="AL663" s="319">
        <v>5</v>
      </c>
      <c r="AM663" s="319">
        <v>5</v>
      </c>
      <c r="AN663" s="319">
        <v>2</v>
      </c>
      <c r="AO663" s="319">
        <v>0.4</v>
      </c>
      <c r="AP663">
        <v>5</v>
      </c>
      <c r="AR663" s="136">
        <v>5</v>
      </c>
      <c r="AT663" s="69">
        <v>2.3148</v>
      </c>
      <c r="AU663" s="69">
        <v>2.3148</v>
      </c>
      <c r="AV663" s="69">
        <v>2.3148</v>
      </c>
      <c r="AW663" s="69">
        <v>0.23150000000000001</v>
      </c>
      <c r="BB663" s="69"/>
    </row>
    <row r="664" spans="1:54" customFormat="1" ht="40" customHeight="1">
      <c r="A664" s="313">
        <v>663</v>
      </c>
      <c r="B664" s="136" t="s">
        <v>1790</v>
      </c>
      <c r="C664" s="136" t="s">
        <v>45</v>
      </c>
      <c r="D664" s="31">
        <f t="shared" si="46"/>
        <v>4</v>
      </c>
      <c r="E664" s="137" t="s">
        <v>80</v>
      </c>
      <c r="F664" s="31">
        <f t="shared" si="47"/>
        <v>4</v>
      </c>
      <c r="G664" s="137" t="s">
        <v>1829</v>
      </c>
      <c r="H664" s="138">
        <v>83</v>
      </c>
      <c r="I664" s="158">
        <f t="shared" si="48"/>
        <v>0.85504745197446053</v>
      </c>
      <c r="J664" s="95">
        <v>0.99997832671909104</v>
      </c>
      <c r="K664" s="137">
        <v>0.71011657722983001</v>
      </c>
      <c r="L664" s="137">
        <v>0.68181818181818199</v>
      </c>
      <c r="M664" s="137">
        <v>0.75256417034730305</v>
      </c>
      <c r="N664" s="136">
        <v>1</v>
      </c>
      <c r="O664" s="32">
        <v>43370</v>
      </c>
      <c r="P664" s="98">
        <f t="shared" si="49"/>
        <v>1</v>
      </c>
      <c r="Q664">
        <v>0</v>
      </c>
      <c r="R664">
        <v>0</v>
      </c>
      <c r="S664">
        <v>0</v>
      </c>
      <c r="T664" s="112" t="s">
        <v>73</v>
      </c>
      <c r="U664" s="137" t="s">
        <v>1830</v>
      </c>
      <c r="V664" s="137" t="s">
        <v>1831</v>
      </c>
      <c r="W664" s="69">
        <v>43</v>
      </c>
      <c r="X664" s="136">
        <v>1</v>
      </c>
      <c r="Y664" s="136">
        <v>3</v>
      </c>
      <c r="Z664" s="314"/>
      <c r="AA664" s="319">
        <v>0.5</v>
      </c>
      <c r="AB664" s="315" t="s">
        <v>5169</v>
      </c>
      <c r="AC664" s="319">
        <v>2</v>
      </c>
      <c r="AD664" s="320">
        <v>9.5238095238095205E-2</v>
      </c>
      <c r="AE664" s="319">
        <v>1</v>
      </c>
      <c r="AF664" s="320">
        <v>4.7619047619047603E-2</v>
      </c>
      <c r="AG664" s="319">
        <v>2</v>
      </c>
      <c r="AH664" s="320">
        <v>9.5238095238095205E-2</v>
      </c>
      <c r="AI664" s="319">
        <v>0</v>
      </c>
      <c r="AJ664" s="320">
        <v>0</v>
      </c>
      <c r="AK664" s="320">
        <v>0</v>
      </c>
      <c r="AL664" s="319">
        <v>5</v>
      </c>
      <c r="AM664" s="319">
        <v>5</v>
      </c>
      <c r="AN664" s="319">
        <v>7.3333333333333304</v>
      </c>
      <c r="AO664" s="319">
        <v>0.57777777777777695</v>
      </c>
      <c r="AP664">
        <v>3</v>
      </c>
      <c r="AR664" s="136">
        <v>3</v>
      </c>
      <c r="AT664" s="69">
        <v>2.3148</v>
      </c>
      <c r="AU664" s="69">
        <v>2.3148</v>
      </c>
      <c r="AV664" s="69">
        <v>9.8416999999999994</v>
      </c>
      <c r="AW664" s="69">
        <v>0.4824</v>
      </c>
      <c r="BB664" s="69"/>
    </row>
    <row r="665" spans="1:54" customFormat="1" ht="40" customHeight="1">
      <c r="A665" s="313">
        <v>664</v>
      </c>
      <c r="B665" s="136" t="s">
        <v>1790</v>
      </c>
      <c r="C665" s="136" t="s">
        <v>45</v>
      </c>
      <c r="D665" s="31">
        <f t="shared" si="46"/>
        <v>4</v>
      </c>
      <c r="E665" s="137" t="s">
        <v>80</v>
      </c>
      <c r="F665" s="31">
        <f t="shared" si="47"/>
        <v>4</v>
      </c>
      <c r="G665" s="137" t="s">
        <v>1832</v>
      </c>
      <c r="H665" s="138">
        <v>41</v>
      </c>
      <c r="I665" s="158">
        <f t="shared" si="48"/>
        <v>0.37577649234606419</v>
      </c>
      <c r="J665" s="95">
        <v>5.2731655320736902E-4</v>
      </c>
      <c r="K665" s="137">
        <v>0.75102566813892102</v>
      </c>
      <c r="L665" s="137">
        <v>0.75</v>
      </c>
      <c r="M665" s="137">
        <v>0.75256417034730305</v>
      </c>
      <c r="N665" s="136">
        <v>1</v>
      </c>
      <c r="O665" s="32">
        <v>43346</v>
      </c>
      <c r="P665" s="98">
        <f t="shared" si="49"/>
        <v>1</v>
      </c>
      <c r="Q665">
        <v>0</v>
      </c>
      <c r="R665">
        <v>1.65</v>
      </c>
      <c r="S665">
        <v>0</v>
      </c>
      <c r="T665" s="112" t="s">
        <v>73</v>
      </c>
      <c r="U665" s="137" t="s">
        <v>1833</v>
      </c>
      <c r="V665" s="137" t="s">
        <v>1834</v>
      </c>
      <c r="W665" s="69">
        <v>50</v>
      </c>
      <c r="X665" s="136">
        <v>2</v>
      </c>
      <c r="Y665" s="136">
        <v>3</v>
      </c>
      <c r="Z665" s="314"/>
      <c r="AA665" s="319">
        <v>0.59450000000000003</v>
      </c>
      <c r="AB665" s="315" t="s">
        <v>5165</v>
      </c>
      <c r="AC665" s="319">
        <v>3</v>
      </c>
      <c r="AD665" s="320">
        <v>0.11111111111111099</v>
      </c>
      <c r="AE665" s="319">
        <v>1</v>
      </c>
      <c r="AF665" s="320">
        <v>3.7037037037037E-2</v>
      </c>
      <c r="AG665" s="319">
        <v>1</v>
      </c>
      <c r="AH665" s="320">
        <v>3.7037037037037E-2</v>
      </c>
      <c r="AI665" s="319">
        <v>0</v>
      </c>
      <c r="AJ665" s="320">
        <v>0</v>
      </c>
      <c r="AK665" s="320">
        <v>0</v>
      </c>
      <c r="AL665" s="319">
        <v>5</v>
      </c>
      <c r="AM665" s="319">
        <v>5</v>
      </c>
      <c r="AN665" s="319">
        <v>3.5</v>
      </c>
      <c r="AO665" s="319">
        <v>0.45</v>
      </c>
      <c r="AP665">
        <v>3</v>
      </c>
      <c r="AR665" s="136">
        <v>3</v>
      </c>
      <c r="AT665" s="69">
        <v>2.3148</v>
      </c>
      <c r="AU665" s="69">
        <v>2.3148</v>
      </c>
      <c r="AV665" s="69">
        <v>5.7443999999999997</v>
      </c>
      <c r="AW665" s="69">
        <v>0.3458</v>
      </c>
      <c r="BB665" s="69"/>
    </row>
    <row r="666" spans="1:54" customFormat="1" ht="40" customHeight="1">
      <c r="A666" s="313">
        <v>665</v>
      </c>
      <c r="B666" s="136" t="s">
        <v>1790</v>
      </c>
      <c r="C666" s="136" t="s">
        <v>45</v>
      </c>
      <c r="D666" s="31">
        <f t="shared" si="46"/>
        <v>4</v>
      </c>
      <c r="E666" s="137" t="s">
        <v>46</v>
      </c>
      <c r="F666" s="31">
        <f t="shared" si="47"/>
        <v>6</v>
      </c>
      <c r="G666" s="137" t="s">
        <v>1835</v>
      </c>
      <c r="H666" s="138">
        <v>122</v>
      </c>
      <c r="I666" s="158">
        <f t="shared" si="48"/>
        <v>0.4428140935147975</v>
      </c>
      <c r="J666" s="95">
        <v>0.28702579521715199</v>
      </c>
      <c r="K666" s="137">
        <v>0.59860239181244301</v>
      </c>
      <c r="L666" s="137">
        <v>0.465690992294366</v>
      </c>
      <c r="M666" s="137">
        <v>0.79796949108955795</v>
      </c>
      <c r="N666" s="136">
        <v>1</v>
      </c>
      <c r="O666" s="32">
        <v>43290</v>
      </c>
      <c r="P666" s="98">
        <f t="shared" si="49"/>
        <v>1</v>
      </c>
      <c r="Q666">
        <v>0</v>
      </c>
      <c r="R666">
        <v>1.65</v>
      </c>
      <c r="S666">
        <v>0</v>
      </c>
      <c r="T666" s="112" t="s">
        <v>73</v>
      </c>
      <c r="U666" s="137" t="s">
        <v>1836</v>
      </c>
      <c r="V666" s="137" t="s">
        <v>1837</v>
      </c>
      <c r="W666" s="69">
        <v>142</v>
      </c>
      <c r="X666" s="136">
        <v>2</v>
      </c>
      <c r="Y666" s="136">
        <v>2</v>
      </c>
      <c r="Z666" s="314"/>
      <c r="AA666" s="319">
        <v>0.5</v>
      </c>
      <c r="AB666" s="315" t="s">
        <v>5176</v>
      </c>
      <c r="AC666" s="319">
        <v>2</v>
      </c>
      <c r="AD666" s="320">
        <v>2.5641025641025599E-2</v>
      </c>
      <c r="AE666" s="319">
        <v>3</v>
      </c>
      <c r="AF666" s="320">
        <v>3.8461538461538401E-2</v>
      </c>
      <c r="AG666" s="319">
        <v>0</v>
      </c>
      <c r="AH666" s="320">
        <v>0</v>
      </c>
      <c r="AI666" s="319">
        <v>0</v>
      </c>
      <c r="AJ666" s="320">
        <v>0</v>
      </c>
      <c r="AK666" s="320">
        <v>3.8461538461538457E-2</v>
      </c>
      <c r="AL666" s="319">
        <v>5</v>
      </c>
      <c r="AM666" s="319">
        <v>5</v>
      </c>
      <c r="AN666" s="319">
        <v>4.6666666666666599</v>
      </c>
      <c r="AO666" s="319">
        <v>0.48888888888888798</v>
      </c>
      <c r="AP666">
        <v>2</v>
      </c>
      <c r="AR666" s="136">
        <v>2</v>
      </c>
      <c r="AT666" s="69">
        <v>2.3148</v>
      </c>
      <c r="AU666" s="69">
        <v>2.3148</v>
      </c>
      <c r="AV666" s="69">
        <v>8.1305999999999994</v>
      </c>
      <c r="AW666" s="69">
        <v>0.42530000000000001</v>
      </c>
      <c r="BB666" s="69"/>
    </row>
    <row r="667" spans="1:54" customFormat="1" ht="40" customHeight="1">
      <c r="A667" s="313">
        <v>666</v>
      </c>
      <c r="B667" s="136" t="s">
        <v>1790</v>
      </c>
      <c r="C667" s="136" t="s">
        <v>45</v>
      </c>
      <c r="D667" s="31">
        <f t="shared" si="46"/>
        <v>4</v>
      </c>
      <c r="E667" s="137" t="s">
        <v>80</v>
      </c>
      <c r="F667" s="31">
        <f t="shared" si="47"/>
        <v>4</v>
      </c>
      <c r="G667" s="137" t="s">
        <v>1838</v>
      </c>
      <c r="H667" s="138">
        <v>130</v>
      </c>
      <c r="I667" s="158">
        <f t="shared" si="48"/>
        <v>0.41188798626085998</v>
      </c>
      <c r="J667" s="95">
        <v>0.17965045907542701</v>
      </c>
      <c r="K667" s="137">
        <v>0.64412551344629299</v>
      </c>
      <c r="L667" s="137">
        <v>0.61983471074380103</v>
      </c>
      <c r="M667" s="137">
        <v>0.68056171750003003</v>
      </c>
      <c r="N667" s="136">
        <v>1</v>
      </c>
      <c r="O667" s="32">
        <v>43287</v>
      </c>
      <c r="P667" s="98">
        <f t="shared" si="49"/>
        <v>1</v>
      </c>
      <c r="Q667">
        <v>0</v>
      </c>
      <c r="R667">
        <v>1.65</v>
      </c>
      <c r="S667">
        <v>0</v>
      </c>
      <c r="T667" s="112" t="s">
        <v>73</v>
      </c>
      <c r="U667" s="137" t="s">
        <v>1839</v>
      </c>
      <c r="V667" s="137" t="s">
        <v>1837</v>
      </c>
      <c r="W667" s="69">
        <v>142</v>
      </c>
      <c r="X667" s="136">
        <v>2</v>
      </c>
      <c r="Y667" s="136">
        <v>5</v>
      </c>
      <c r="Z667" s="314"/>
      <c r="AA667" s="319">
        <v>2.9598412144695101E-2</v>
      </c>
      <c r="AB667" s="315" t="s">
        <v>5176</v>
      </c>
      <c r="AC667" s="319">
        <v>2</v>
      </c>
      <c r="AD667" s="320">
        <v>2.5641025641025599E-2</v>
      </c>
      <c r="AE667" s="319">
        <v>3</v>
      </c>
      <c r="AF667" s="320">
        <v>3.8461538461538401E-2</v>
      </c>
      <c r="AG667" s="319">
        <v>0</v>
      </c>
      <c r="AH667" s="320">
        <v>0</v>
      </c>
      <c r="AI667" s="319">
        <v>0</v>
      </c>
      <c r="AJ667" s="320">
        <v>0</v>
      </c>
      <c r="AK667" s="320">
        <v>3.8461538461538457E-2</v>
      </c>
      <c r="AL667" s="319">
        <v>6.75</v>
      </c>
      <c r="AM667" s="319">
        <v>6.2</v>
      </c>
      <c r="AN667" s="319">
        <v>6.1666666666666599</v>
      </c>
      <c r="AO667" s="319">
        <v>0.63722222222222202</v>
      </c>
      <c r="AP667">
        <v>5</v>
      </c>
      <c r="AR667" s="136">
        <v>5</v>
      </c>
      <c r="AT667" s="69">
        <v>6.3414000000000001</v>
      </c>
      <c r="AU667" s="69">
        <v>5</v>
      </c>
      <c r="AV667" s="69">
        <v>9.5120000000000005</v>
      </c>
      <c r="AW667" s="69">
        <v>0.69510000000000005</v>
      </c>
      <c r="BB667" s="69"/>
    </row>
    <row r="668" spans="1:54" customFormat="1" ht="40" customHeight="1">
      <c r="A668" s="313">
        <v>667</v>
      </c>
      <c r="B668" s="136" t="s">
        <v>1790</v>
      </c>
      <c r="C668" s="136" t="s">
        <v>59</v>
      </c>
      <c r="D668" s="31">
        <f t="shared" si="46"/>
        <v>5</v>
      </c>
      <c r="E668" s="137" t="s">
        <v>80</v>
      </c>
      <c r="F668" s="31">
        <f t="shared" si="47"/>
        <v>4</v>
      </c>
      <c r="G668" s="137" t="s">
        <v>1840</v>
      </c>
      <c r="H668" s="138">
        <v>57</v>
      </c>
      <c r="I668" s="158">
        <f t="shared" si="48"/>
        <v>0.50723153851888048</v>
      </c>
      <c r="J668" s="95">
        <v>0.34534301039160498</v>
      </c>
      <c r="K668" s="137">
        <v>0.66912006664615598</v>
      </c>
      <c r="L668" s="137">
        <v>0.68181818181818199</v>
      </c>
      <c r="M668" s="137">
        <v>0.65007289388811795</v>
      </c>
      <c r="N668" s="136">
        <v>1</v>
      </c>
      <c r="O668" s="32">
        <v>43229</v>
      </c>
      <c r="P668" s="98">
        <f t="shared" si="49"/>
        <v>1</v>
      </c>
      <c r="Q668">
        <v>0</v>
      </c>
      <c r="R668">
        <v>1.65</v>
      </c>
      <c r="S668">
        <v>0</v>
      </c>
      <c r="T668" s="112" t="s">
        <v>73</v>
      </c>
      <c r="U668" s="137" t="s">
        <v>1841</v>
      </c>
      <c r="V668" s="137" t="s">
        <v>1842</v>
      </c>
      <c r="W668" s="69">
        <v>78</v>
      </c>
      <c r="X668" s="136">
        <v>3</v>
      </c>
      <c r="Y668" s="136">
        <v>6</v>
      </c>
      <c r="Z668" s="314"/>
      <c r="AA668" s="319">
        <v>0.5</v>
      </c>
      <c r="AB668" s="315" t="s">
        <v>5176</v>
      </c>
      <c r="AC668" s="319">
        <v>1</v>
      </c>
      <c r="AD668" s="320">
        <v>2.2222222222222199E-2</v>
      </c>
      <c r="AE668" s="319">
        <v>2</v>
      </c>
      <c r="AF668" s="320">
        <v>4.4444444444444398E-2</v>
      </c>
      <c r="AG668" s="319">
        <v>1</v>
      </c>
      <c r="AH668" s="320">
        <v>2.2222222222222199E-2</v>
      </c>
      <c r="AI668" s="319">
        <v>0</v>
      </c>
      <c r="AJ668" s="320">
        <v>0</v>
      </c>
      <c r="AK668" s="320">
        <v>0</v>
      </c>
      <c r="AL668" s="319">
        <v>5</v>
      </c>
      <c r="AM668" s="319">
        <v>5</v>
      </c>
      <c r="AN668" s="319">
        <v>2</v>
      </c>
      <c r="AO668" s="319">
        <v>0.4</v>
      </c>
      <c r="AP668">
        <v>6</v>
      </c>
      <c r="AR668" s="136">
        <v>6</v>
      </c>
      <c r="AT668" s="69">
        <v>2.3148</v>
      </c>
      <c r="AU668" s="69">
        <v>2.3148</v>
      </c>
      <c r="AV668" s="69">
        <v>2.3148</v>
      </c>
      <c r="AW668" s="69">
        <v>0.23150000000000001</v>
      </c>
      <c r="BB668" s="69"/>
    </row>
    <row r="669" spans="1:54" customFormat="1" ht="40" customHeight="1">
      <c r="A669" s="313">
        <v>668</v>
      </c>
      <c r="B669" s="136" t="s">
        <v>1790</v>
      </c>
      <c r="C669" s="136" t="s">
        <v>45</v>
      </c>
      <c r="D669" s="31">
        <f t="shared" si="46"/>
        <v>4</v>
      </c>
      <c r="E669" s="137" t="s">
        <v>80</v>
      </c>
      <c r="F669" s="31">
        <f t="shared" si="47"/>
        <v>4</v>
      </c>
      <c r="G669" s="137" t="s">
        <v>1843</v>
      </c>
      <c r="H669" s="138">
        <v>110</v>
      </c>
      <c r="I669" s="158">
        <f t="shared" si="48"/>
        <v>0.38465133117983608</v>
      </c>
      <c r="J669" s="95">
        <v>1.14865923849128E-4</v>
      </c>
      <c r="K669" s="137">
        <v>0.76918779643582302</v>
      </c>
      <c r="L669" s="137">
        <v>0.75</v>
      </c>
      <c r="M669" s="137">
        <v>0.79796949108955795</v>
      </c>
      <c r="N669" s="136">
        <v>1</v>
      </c>
      <c r="O669" s="32">
        <v>43198</v>
      </c>
      <c r="P669" s="98">
        <f t="shared" si="49"/>
        <v>0</v>
      </c>
      <c r="Q669">
        <v>2.5499999999999998</v>
      </c>
      <c r="R669">
        <v>0</v>
      </c>
      <c r="S669">
        <v>1.87</v>
      </c>
      <c r="T669" s="112" t="s">
        <v>48</v>
      </c>
      <c r="U669" s="137" t="s">
        <v>1844</v>
      </c>
      <c r="V669" s="137" t="s">
        <v>1845</v>
      </c>
      <c r="W669" s="69">
        <v>73</v>
      </c>
      <c r="X669" s="136">
        <v>1</v>
      </c>
      <c r="Y669" s="136">
        <v>2</v>
      </c>
      <c r="Z669" s="314"/>
      <c r="AA669" s="319">
        <v>0.54500000000000004</v>
      </c>
      <c r="AB669" s="315" t="s">
        <v>5178</v>
      </c>
      <c r="AC669" s="319">
        <v>1</v>
      </c>
      <c r="AD669" s="320">
        <v>2.5641025641025599E-2</v>
      </c>
      <c r="AE669" s="319">
        <v>1</v>
      </c>
      <c r="AF669" s="320">
        <v>2.5641025641025599E-2</v>
      </c>
      <c r="AG669" s="319">
        <v>0</v>
      </c>
      <c r="AH669" s="320">
        <v>0</v>
      </c>
      <c r="AI669" s="319">
        <v>0</v>
      </c>
      <c r="AJ669" s="320">
        <v>0</v>
      </c>
      <c r="AK669" s="320">
        <v>0</v>
      </c>
      <c r="AL669" s="319">
        <v>5</v>
      </c>
      <c r="AM669" s="319">
        <v>5</v>
      </c>
      <c r="AN669" s="319">
        <v>4.6666666666666599</v>
      </c>
      <c r="AO669" s="319">
        <v>0.48888888888888798</v>
      </c>
      <c r="AP669">
        <v>2</v>
      </c>
      <c r="AR669" s="136">
        <v>2</v>
      </c>
      <c r="AT669" s="69">
        <v>2.3148</v>
      </c>
      <c r="AU669" s="69">
        <v>2.3148</v>
      </c>
      <c r="AV669" s="69">
        <v>8.1305999999999994</v>
      </c>
      <c r="AW669" s="69">
        <v>0.42530000000000001</v>
      </c>
      <c r="BB669" s="69"/>
    </row>
    <row r="670" spans="1:54" customFormat="1" ht="40" customHeight="1">
      <c r="A670" s="313">
        <v>669</v>
      </c>
      <c r="B670" s="136" t="s">
        <v>1790</v>
      </c>
      <c r="C670" s="136" t="s">
        <v>45</v>
      </c>
      <c r="D670" s="31">
        <f t="shared" si="46"/>
        <v>4</v>
      </c>
      <c r="E670" s="137" t="s">
        <v>80</v>
      </c>
      <c r="F670" s="31">
        <f t="shared" si="47"/>
        <v>4</v>
      </c>
      <c r="G670" s="137" t="s">
        <v>1843</v>
      </c>
      <c r="H670" s="138">
        <v>61</v>
      </c>
      <c r="I670" s="158">
        <f t="shared" si="48"/>
        <v>0.49082483745869548</v>
      </c>
      <c r="J670" s="95">
        <v>0.172558765826482</v>
      </c>
      <c r="K670" s="137">
        <v>0.80909090909090897</v>
      </c>
      <c r="L670" s="137">
        <v>0.68181818181818199</v>
      </c>
      <c r="M670" s="137">
        <v>1</v>
      </c>
      <c r="N670" s="136">
        <v>1</v>
      </c>
      <c r="O670" s="32">
        <v>43185</v>
      </c>
      <c r="P670" s="98">
        <f t="shared" si="49"/>
        <v>1</v>
      </c>
      <c r="Q670">
        <v>0</v>
      </c>
      <c r="R670">
        <v>0</v>
      </c>
      <c r="S670">
        <v>0</v>
      </c>
      <c r="T670" s="112" t="s">
        <v>73</v>
      </c>
      <c r="U670" s="137" t="s">
        <v>1846</v>
      </c>
      <c r="V670" s="137" t="s">
        <v>1847</v>
      </c>
      <c r="W670" s="69">
        <v>63</v>
      </c>
      <c r="X670" s="136">
        <v>1</v>
      </c>
      <c r="Y670" s="136">
        <v>0</v>
      </c>
      <c r="Z670" s="314"/>
      <c r="AA670" s="319">
        <v>0.54500000000000004</v>
      </c>
      <c r="AB670" s="315" t="s">
        <v>5178</v>
      </c>
      <c r="AC670" s="319">
        <v>1</v>
      </c>
      <c r="AD670" s="320">
        <v>3.125E-2</v>
      </c>
      <c r="AE670" s="319">
        <v>1</v>
      </c>
      <c r="AF670" s="320">
        <v>3.125E-2</v>
      </c>
      <c r="AG670" s="319">
        <v>0</v>
      </c>
      <c r="AH670" s="320">
        <v>0</v>
      </c>
      <c r="AI670" s="319">
        <v>0</v>
      </c>
      <c r="AJ670" s="320">
        <v>0</v>
      </c>
      <c r="AK670" s="320">
        <v>0</v>
      </c>
      <c r="AL670" s="319">
        <v>5</v>
      </c>
      <c r="AM670" s="319">
        <v>5</v>
      </c>
      <c r="AN670" s="319">
        <v>4.6666666666666599</v>
      </c>
      <c r="AO670" s="319">
        <v>0.48888888888888798</v>
      </c>
      <c r="AP670">
        <v>0</v>
      </c>
      <c r="AQ670">
        <v>0</v>
      </c>
      <c r="AR670" s="136"/>
      <c r="AT670" s="69">
        <v>2.3148</v>
      </c>
      <c r="AU670" s="69">
        <v>2.3148</v>
      </c>
      <c r="AV670" s="69">
        <v>8.1305999999999994</v>
      </c>
      <c r="AW670" s="69">
        <v>0.42530000000000001</v>
      </c>
      <c r="BB670" s="69"/>
    </row>
    <row r="671" spans="1:54" customFormat="1" ht="40" customHeight="1">
      <c r="A671" s="313">
        <v>670</v>
      </c>
      <c r="B671" s="136" t="s">
        <v>1790</v>
      </c>
      <c r="C671" s="136" t="s">
        <v>45</v>
      </c>
      <c r="D671" s="31">
        <f t="shared" si="46"/>
        <v>4</v>
      </c>
      <c r="E671" s="137" t="s">
        <v>46</v>
      </c>
      <c r="F671" s="31">
        <f t="shared" si="47"/>
        <v>6</v>
      </c>
      <c r="G671" s="137" t="s">
        <v>1848</v>
      </c>
      <c r="H671" s="138">
        <v>407</v>
      </c>
      <c r="I671" s="158">
        <f t="shared" si="48"/>
        <v>0.31071670099418491</v>
      </c>
      <c r="J671" s="95">
        <v>4.8305597988296298E-6</v>
      </c>
      <c r="K671" s="137">
        <v>0.621428571428571</v>
      </c>
      <c r="L671" s="137">
        <v>0.75</v>
      </c>
      <c r="M671" s="137">
        <v>0.42857142857142899</v>
      </c>
      <c r="N671" s="136">
        <v>1</v>
      </c>
      <c r="O671" s="32">
        <v>43051</v>
      </c>
      <c r="P671" s="98">
        <f t="shared" si="49"/>
        <v>1</v>
      </c>
      <c r="Q671">
        <v>0</v>
      </c>
      <c r="R671">
        <v>3.3</v>
      </c>
      <c r="S671">
        <v>0</v>
      </c>
      <c r="T671" s="112" t="s">
        <v>73</v>
      </c>
      <c r="U671" s="137" t="s">
        <v>1849</v>
      </c>
      <c r="V671" s="137" t="s">
        <v>1850</v>
      </c>
      <c r="W671" s="69">
        <v>160</v>
      </c>
      <c r="X671" s="136">
        <v>1</v>
      </c>
      <c r="Y671" s="136">
        <v>16</v>
      </c>
      <c r="Z671" s="314"/>
      <c r="AA671" s="319">
        <v>0.5</v>
      </c>
      <c r="AB671" s="315" t="s">
        <v>5177</v>
      </c>
      <c r="AC671" s="319">
        <v>1</v>
      </c>
      <c r="AD671" s="320">
        <v>1.0638297872340399E-2</v>
      </c>
      <c r="AE671" s="319">
        <v>2</v>
      </c>
      <c r="AF671" s="320">
        <v>2.1276595744680799E-2</v>
      </c>
      <c r="AG671" s="319">
        <v>2</v>
      </c>
      <c r="AH671" s="320">
        <v>2.1276595744680799E-2</v>
      </c>
      <c r="AI671" s="319">
        <v>0</v>
      </c>
      <c r="AJ671" s="320">
        <v>0</v>
      </c>
      <c r="AK671" s="320">
        <v>0</v>
      </c>
      <c r="AL671" s="319">
        <v>10</v>
      </c>
      <c r="AM671" s="319">
        <v>9.5333333333333297</v>
      </c>
      <c r="AN671" s="319">
        <v>2</v>
      </c>
      <c r="AO671" s="319">
        <v>0.71777777777777696</v>
      </c>
      <c r="AP671">
        <v>16</v>
      </c>
      <c r="AR671" s="136">
        <v>16</v>
      </c>
      <c r="AT671" s="69">
        <v>9.9405999999999999</v>
      </c>
      <c r="AU671" s="69">
        <v>9.6544000000000008</v>
      </c>
      <c r="AV671" s="69">
        <v>2.3148</v>
      </c>
      <c r="AW671" s="69">
        <v>0.73029999999999995</v>
      </c>
      <c r="BB671" s="69"/>
    </row>
    <row r="672" spans="1:54" customFormat="1" ht="40" customHeight="1">
      <c r="A672" s="313">
        <v>671</v>
      </c>
      <c r="B672" s="136" t="s">
        <v>1790</v>
      </c>
      <c r="C672" s="136" t="s">
        <v>45</v>
      </c>
      <c r="D672" s="31">
        <f t="shared" si="46"/>
        <v>4</v>
      </c>
      <c r="E672" s="137" t="s">
        <v>80</v>
      </c>
      <c r="F672" s="31">
        <f t="shared" si="47"/>
        <v>4</v>
      </c>
      <c r="G672" s="137" t="s">
        <v>1851</v>
      </c>
      <c r="H672" s="138">
        <v>147</v>
      </c>
      <c r="I672" s="158">
        <f t="shared" si="48"/>
        <v>0.33025108826239485</v>
      </c>
      <c r="J672" s="95">
        <v>2.3593116526665601E-5</v>
      </c>
      <c r="K672" s="137">
        <v>0.66047858340826304</v>
      </c>
      <c r="L672" s="137">
        <v>0.75</v>
      </c>
      <c r="M672" s="137">
        <v>0.526196458520657</v>
      </c>
      <c r="N672" s="136">
        <v>1</v>
      </c>
      <c r="O672" s="32">
        <v>43030</v>
      </c>
      <c r="P672" s="98">
        <f t="shared" si="49"/>
        <v>0</v>
      </c>
      <c r="Q672">
        <v>5.0999999999999996</v>
      </c>
      <c r="R672">
        <v>0</v>
      </c>
      <c r="S672">
        <v>0</v>
      </c>
      <c r="T672" s="112" t="s">
        <v>48</v>
      </c>
      <c r="U672" s="137" t="s">
        <v>1852</v>
      </c>
      <c r="V672" s="137" t="s">
        <v>1853</v>
      </c>
      <c r="W672" s="69">
        <v>61</v>
      </c>
      <c r="X672" s="136">
        <v>1</v>
      </c>
      <c r="Y672" s="136">
        <v>11</v>
      </c>
      <c r="Z672" s="314"/>
      <c r="AA672" s="319">
        <v>0.55000000000000004</v>
      </c>
      <c r="AB672" s="315" t="s">
        <v>5178</v>
      </c>
      <c r="AC672" s="319">
        <v>2</v>
      </c>
      <c r="AD672" s="320">
        <v>5.8823529411764698E-2</v>
      </c>
      <c r="AE672" s="319">
        <v>2</v>
      </c>
      <c r="AF672" s="320">
        <v>5.8823529411764698E-2</v>
      </c>
      <c r="AG672" s="319">
        <v>1</v>
      </c>
      <c r="AH672" s="320">
        <v>2.94117647058823E-2</v>
      </c>
      <c r="AI672" s="319">
        <v>0</v>
      </c>
      <c r="AJ672" s="320">
        <v>0</v>
      </c>
      <c r="AK672" s="320">
        <v>2.9411764705882349E-2</v>
      </c>
      <c r="AL672" s="319">
        <v>5</v>
      </c>
      <c r="AM672" s="319">
        <v>6.2</v>
      </c>
      <c r="AN672" s="319">
        <v>4.6666666666666599</v>
      </c>
      <c r="AO672" s="319">
        <v>0.52888888888888796</v>
      </c>
      <c r="AP672">
        <v>11</v>
      </c>
      <c r="AR672" s="136">
        <v>11</v>
      </c>
      <c r="AT672" s="69">
        <v>2.3148</v>
      </c>
      <c r="AU672" s="69">
        <v>5</v>
      </c>
      <c r="AV672" s="69">
        <v>8.1305999999999994</v>
      </c>
      <c r="AW672" s="69">
        <v>0.51480000000000004</v>
      </c>
      <c r="BB672" s="69"/>
    </row>
    <row r="673" spans="1:54" customFormat="1" ht="40" customHeight="1">
      <c r="A673" s="313">
        <v>672</v>
      </c>
      <c r="B673" s="136" t="s">
        <v>1790</v>
      </c>
      <c r="C673" s="136" t="s">
        <v>45</v>
      </c>
      <c r="D673" s="31">
        <f t="shared" si="46"/>
        <v>4</v>
      </c>
      <c r="E673" s="137" t="s">
        <v>80</v>
      </c>
      <c r="F673" s="31">
        <f t="shared" si="47"/>
        <v>4</v>
      </c>
      <c r="G673" s="137" t="s">
        <v>1854</v>
      </c>
      <c r="H673" s="138">
        <v>83</v>
      </c>
      <c r="I673" s="158">
        <f t="shared" si="48"/>
        <v>0.28698977770542006</v>
      </c>
      <c r="J673" s="95">
        <v>2.73926867161434E-5</v>
      </c>
      <c r="K673" s="137">
        <v>0.57395216272412397</v>
      </c>
      <c r="L673" s="137">
        <v>0.61983471074380203</v>
      </c>
      <c r="M673" s="137">
        <v>0.50512834069460699</v>
      </c>
      <c r="N673" s="136">
        <v>1</v>
      </c>
      <c r="O673" s="32">
        <v>43028</v>
      </c>
      <c r="P673" s="98">
        <f t="shared" si="49"/>
        <v>1</v>
      </c>
      <c r="Q673">
        <v>0</v>
      </c>
      <c r="R673">
        <v>1.65</v>
      </c>
      <c r="S673">
        <v>0</v>
      </c>
      <c r="T673" s="112" t="s">
        <v>73</v>
      </c>
      <c r="U673" s="137" t="s">
        <v>1855</v>
      </c>
      <c r="V673" s="137" t="s">
        <v>1856</v>
      </c>
      <c r="W673" s="69">
        <v>90</v>
      </c>
      <c r="X673" s="136">
        <v>1</v>
      </c>
      <c r="Y673" s="136">
        <v>12</v>
      </c>
      <c r="Z673" s="314"/>
      <c r="AA673" s="319">
        <v>0.54500000000000004</v>
      </c>
      <c r="AB673" s="315" t="s">
        <v>5176</v>
      </c>
      <c r="AC673" s="319">
        <v>1</v>
      </c>
      <c r="AD673" s="320">
        <v>1.8867924528301799E-2</v>
      </c>
      <c r="AE673" s="319">
        <v>2</v>
      </c>
      <c r="AF673" s="320">
        <v>3.7735849056603703E-2</v>
      </c>
      <c r="AG673" s="319">
        <v>1</v>
      </c>
      <c r="AH673" s="320">
        <v>1.8867924528301799E-2</v>
      </c>
      <c r="AI673" s="319">
        <v>0</v>
      </c>
      <c r="AJ673" s="320">
        <v>0</v>
      </c>
      <c r="AK673" s="320">
        <v>1.886792452830189E-2</v>
      </c>
      <c r="AL673" s="319">
        <v>5</v>
      </c>
      <c r="AM673" s="319">
        <v>5</v>
      </c>
      <c r="AN673" s="319">
        <v>7.6666666666666599</v>
      </c>
      <c r="AO673" s="319">
        <v>0.58888888888888802</v>
      </c>
      <c r="AP673">
        <v>12</v>
      </c>
      <c r="AQ673">
        <v>12</v>
      </c>
      <c r="AR673" s="136"/>
      <c r="AT673" s="69">
        <v>2.3148</v>
      </c>
      <c r="AU673" s="69">
        <v>2.3148</v>
      </c>
      <c r="AV673" s="69">
        <v>9.8867999999999991</v>
      </c>
      <c r="AW673" s="69">
        <v>0.4839</v>
      </c>
      <c r="BB673" s="69"/>
    </row>
    <row r="674" spans="1:54" customFormat="1" ht="40" customHeight="1">
      <c r="A674" s="313">
        <v>673</v>
      </c>
      <c r="B674" s="136" t="s">
        <v>1790</v>
      </c>
      <c r="C674" s="136" t="s">
        <v>45</v>
      </c>
      <c r="D674" s="31">
        <f t="shared" si="46"/>
        <v>4</v>
      </c>
      <c r="E674" s="137" t="s">
        <v>80</v>
      </c>
      <c r="F674" s="31">
        <f t="shared" si="47"/>
        <v>4</v>
      </c>
      <c r="G674" s="137" t="s">
        <v>1851</v>
      </c>
      <c r="H674" s="138">
        <v>124</v>
      </c>
      <c r="I674" s="158">
        <f t="shared" si="48"/>
        <v>0.31419468948695889</v>
      </c>
      <c r="J674" s="95">
        <v>5.0464058820587301E-8</v>
      </c>
      <c r="K674" s="137">
        <v>0.62838932850985896</v>
      </c>
      <c r="L674" s="137">
        <v>0.68181818181818199</v>
      </c>
      <c r="M674" s="137">
        <v>0.54824604854737402</v>
      </c>
      <c r="N674" s="136">
        <v>1</v>
      </c>
      <c r="O674" s="32">
        <v>43009</v>
      </c>
      <c r="P674" s="98">
        <f t="shared" si="49"/>
        <v>0</v>
      </c>
      <c r="Q674">
        <v>5.0999999999999996</v>
      </c>
      <c r="R674">
        <v>0</v>
      </c>
      <c r="S674">
        <v>0</v>
      </c>
      <c r="T674" s="112" t="s">
        <v>48</v>
      </c>
      <c r="U674" s="137" t="s">
        <v>1857</v>
      </c>
      <c r="V674" s="137" t="s">
        <v>1858</v>
      </c>
      <c r="W674" s="69">
        <v>75</v>
      </c>
      <c r="X674" s="136">
        <v>1</v>
      </c>
      <c r="Y674" s="136">
        <v>10</v>
      </c>
      <c r="Z674" s="314"/>
      <c r="AA674" s="319">
        <v>0.64895000000000003</v>
      </c>
      <c r="AB674" s="315" t="s">
        <v>5176</v>
      </c>
      <c r="AC674" s="319">
        <v>1</v>
      </c>
      <c r="AD674" s="320">
        <v>2.27272727272727E-2</v>
      </c>
      <c r="AE674" s="319">
        <v>2</v>
      </c>
      <c r="AF674" s="320">
        <v>4.54545454545454E-2</v>
      </c>
      <c r="AG674" s="319">
        <v>1</v>
      </c>
      <c r="AH674" s="320">
        <v>2.27272727272727E-2</v>
      </c>
      <c r="AI674" s="319">
        <v>0</v>
      </c>
      <c r="AJ674" s="320">
        <v>0</v>
      </c>
      <c r="AK674" s="320">
        <v>2.2727272727272731E-2</v>
      </c>
      <c r="AL674" s="319">
        <v>6.75</v>
      </c>
      <c r="AM674" s="319">
        <v>5</v>
      </c>
      <c r="AN674" s="319">
        <v>8.8333333333333304</v>
      </c>
      <c r="AO674" s="319">
        <v>0.68611111111111101</v>
      </c>
      <c r="AP674">
        <v>10</v>
      </c>
      <c r="AR674" s="136">
        <v>10</v>
      </c>
      <c r="AT674" s="69">
        <v>6.3414000000000001</v>
      </c>
      <c r="AU674" s="69">
        <v>2.3148</v>
      </c>
      <c r="AV674" s="69">
        <v>9.9641999999999999</v>
      </c>
      <c r="AW674" s="69">
        <v>0.62070000000000003</v>
      </c>
      <c r="BB674" s="69"/>
    </row>
    <row r="675" spans="1:54" customFormat="1" ht="40" customHeight="1">
      <c r="A675" s="313">
        <v>674</v>
      </c>
      <c r="B675" s="136" t="s">
        <v>1790</v>
      </c>
      <c r="C675" s="136" t="s">
        <v>45</v>
      </c>
      <c r="D675" s="31">
        <f t="shared" si="46"/>
        <v>4</v>
      </c>
      <c r="E675" s="137" t="s">
        <v>80</v>
      </c>
      <c r="F675" s="31">
        <f t="shared" si="47"/>
        <v>4</v>
      </c>
      <c r="G675" s="137" t="s">
        <v>1859</v>
      </c>
      <c r="H675" s="138">
        <v>98</v>
      </c>
      <c r="I675" s="158">
        <f t="shared" si="48"/>
        <v>0.39642903736159735</v>
      </c>
      <c r="J675" s="95">
        <v>9.3186605165662705E-7</v>
      </c>
      <c r="K675" s="137">
        <v>0.79285714285714304</v>
      </c>
      <c r="L675" s="137">
        <v>0.75</v>
      </c>
      <c r="M675" s="137">
        <v>0.85714285714285698</v>
      </c>
      <c r="N675" s="136">
        <v>1</v>
      </c>
      <c r="O675" s="32">
        <v>42997</v>
      </c>
      <c r="P675" s="98">
        <f t="shared" si="49"/>
        <v>0</v>
      </c>
      <c r="Q675">
        <v>2.5499999999999998</v>
      </c>
      <c r="R675">
        <v>0</v>
      </c>
      <c r="S675">
        <v>0</v>
      </c>
      <c r="T675" s="112" t="s">
        <v>48</v>
      </c>
      <c r="U675" s="137" t="s">
        <v>1860</v>
      </c>
      <c r="V675" s="137" t="s">
        <v>1861</v>
      </c>
      <c r="W675" s="69">
        <v>88</v>
      </c>
      <c r="X675" s="136">
        <v>1</v>
      </c>
      <c r="Y675" s="136">
        <v>1</v>
      </c>
      <c r="Z675" s="314"/>
      <c r="AA675" s="319">
        <v>0.77472949999999996</v>
      </c>
      <c r="AB675" s="315" t="s">
        <v>5179</v>
      </c>
      <c r="AC675" s="319">
        <v>1</v>
      </c>
      <c r="AD675" s="320">
        <v>2.0833333333333301E-2</v>
      </c>
      <c r="AE675" s="319">
        <v>1</v>
      </c>
      <c r="AF675" s="320">
        <v>2.0833333333333301E-2</v>
      </c>
      <c r="AG675" s="319">
        <v>1</v>
      </c>
      <c r="AH675" s="320">
        <v>2.0833333333333301E-2</v>
      </c>
      <c r="AI675" s="319">
        <v>0</v>
      </c>
      <c r="AJ675" s="320">
        <v>0</v>
      </c>
      <c r="AK675" s="320">
        <v>0</v>
      </c>
      <c r="AL675" s="319">
        <v>5</v>
      </c>
      <c r="AM675" s="319">
        <v>5</v>
      </c>
      <c r="AN675" s="319">
        <v>10</v>
      </c>
      <c r="AO675" s="319">
        <v>0.66666666666666596</v>
      </c>
      <c r="AP675">
        <v>1</v>
      </c>
      <c r="AR675" s="136">
        <v>1</v>
      </c>
      <c r="AT675" s="69">
        <v>2.3148</v>
      </c>
      <c r="AU675" s="69">
        <v>2.3148</v>
      </c>
      <c r="AV675" s="69">
        <v>9.9888999999999992</v>
      </c>
      <c r="AW675" s="69">
        <v>0.48730000000000001</v>
      </c>
      <c r="BB675" s="69"/>
    </row>
    <row r="676" spans="1:54" customFormat="1" ht="40" customHeight="1">
      <c r="A676" s="313">
        <v>675</v>
      </c>
      <c r="B676" s="136" t="s">
        <v>1790</v>
      </c>
      <c r="C676" s="136" t="s">
        <v>45</v>
      </c>
      <c r="D676" s="31">
        <f t="shared" si="46"/>
        <v>4</v>
      </c>
      <c r="E676" s="137" t="s">
        <v>80</v>
      </c>
      <c r="F676" s="31">
        <f t="shared" si="47"/>
        <v>4</v>
      </c>
      <c r="G676" s="137" t="s">
        <v>1862</v>
      </c>
      <c r="H676" s="138">
        <v>123</v>
      </c>
      <c r="I676" s="158">
        <f t="shared" si="48"/>
        <v>0.26796864442533402</v>
      </c>
      <c r="J676" s="95">
        <v>9.8053649580931401E-6</v>
      </c>
      <c r="K676" s="137">
        <v>0.53592748348570995</v>
      </c>
      <c r="L676" s="137">
        <v>0.51226009152380303</v>
      </c>
      <c r="M676" s="137">
        <v>0.57142857142857095</v>
      </c>
      <c r="N676" s="136">
        <v>1</v>
      </c>
      <c r="O676" s="32">
        <v>42925</v>
      </c>
      <c r="P676" s="98">
        <f t="shared" si="49"/>
        <v>0</v>
      </c>
      <c r="Q676">
        <v>2.5499999999999998</v>
      </c>
      <c r="R676">
        <v>1.65</v>
      </c>
      <c r="S676">
        <v>1.87</v>
      </c>
      <c r="T676" s="112" t="s">
        <v>48</v>
      </c>
      <c r="U676" s="137" t="s">
        <v>1863</v>
      </c>
      <c r="V676" s="137" t="s">
        <v>1864</v>
      </c>
      <c r="W676" s="69">
        <v>48</v>
      </c>
      <c r="X676" s="136">
        <v>1</v>
      </c>
      <c r="Y676" s="136">
        <v>9</v>
      </c>
      <c r="Z676" s="314"/>
      <c r="AA676" s="319">
        <v>2.4893534183931899E-2</v>
      </c>
      <c r="AB676" s="315" t="s">
        <v>5169</v>
      </c>
      <c r="AC676" s="319">
        <v>2</v>
      </c>
      <c r="AD676" s="320">
        <v>7.69230769230769E-2</v>
      </c>
      <c r="AE676" s="319">
        <v>0</v>
      </c>
      <c r="AF676" s="320">
        <v>0</v>
      </c>
      <c r="AG676" s="319">
        <v>2</v>
      </c>
      <c r="AH676" s="320">
        <v>7.69230769230769E-2</v>
      </c>
      <c r="AI676" s="319">
        <v>0</v>
      </c>
      <c r="AJ676" s="320">
        <v>0</v>
      </c>
      <c r="AK676" s="320">
        <v>0</v>
      </c>
      <c r="AL676" s="319">
        <v>6.75</v>
      </c>
      <c r="AM676" s="319">
        <v>5</v>
      </c>
      <c r="AN676" s="319">
        <v>8.8333333333333304</v>
      </c>
      <c r="AO676" s="319">
        <v>0.68611111111111101</v>
      </c>
      <c r="AP676">
        <v>9</v>
      </c>
      <c r="AQ676">
        <v>9</v>
      </c>
      <c r="AR676" s="136"/>
      <c r="AT676" s="69">
        <v>6.3414000000000001</v>
      </c>
      <c r="AU676" s="69">
        <v>2.3148</v>
      </c>
      <c r="AV676" s="69">
        <v>9.9641999999999999</v>
      </c>
      <c r="AW676" s="69">
        <v>0.62070000000000003</v>
      </c>
      <c r="BB676" s="69"/>
    </row>
    <row r="677" spans="1:54" customFormat="1" ht="40" customHeight="1">
      <c r="A677" s="313">
        <v>676</v>
      </c>
      <c r="B677" s="136" t="s">
        <v>1790</v>
      </c>
      <c r="C677" s="136" t="s">
        <v>45</v>
      </c>
      <c r="D677" s="31">
        <f t="shared" si="46"/>
        <v>4</v>
      </c>
      <c r="E677" s="137" t="s">
        <v>80</v>
      </c>
      <c r="F677" s="31">
        <f t="shared" si="47"/>
        <v>4</v>
      </c>
      <c r="G677" s="137" t="s">
        <v>1865</v>
      </c>
      <c r="H677" s="138">
        <v>97</v>
      </c>
      <c r="I677" s="158">
        <f t="shared" si="48"/>
        <v>0.51655734665235953</v>
      </c>
      <c r="J677" s="95">
        <v>0.41354520080554702</v>
      </c>
      <c r="K677" s="137">
        <v>0.61956949249917204</v>
      </c>
      <c r="L677" s="137">
        <v>0.68181818181818199</v>
      </c>
      <c r="M677" s="137">
        <v>0.526196458520657</v>
      </c>
      <c r="N677" s="136">
        <v>1</v>
      </c>
      <c r="O677" s="32">
        <v>42912</v>
      </c>
      <c r="P677" s="98">
        <f t="shared" si="49"/>
        <v>0</v>
      </c>
      <c r="Q677">
        <v>2.5499999999999998</v>
      </c>
      <c r="R677">
        <v>0</v>
      </c>
      <c r="S677">
        <v>0</v>
      </c>
      <c r="T677" s="112" t="s">
        <v>48</v>
      </c>
      <c r="U677" s="137" t="s">
        <v>1866</v>
      </c>
      <c r="V677" s="137" t="s">
        <v>1867</v>
      </c>
      <c r="W677" s="69">
        <v>134</v>
      </c>
      <c r="X677" s="136">
        <v>1</v>
      </c>
      <c r="Y677" s="136">
        <v>11</v>
      </c>
      <c r="Z677" s="314"/>
      <c r="AA677" s="319">
        <v>0.60499999999999998</v>
      </c>
      <c r="AB677" s="315" t="s">
        <v>5168</v>
      </c>
      <c r="AC677" s="319">
        <v>1</v>
      </c>
      <c r="AD677" s="320">
        <v>1.3698630136986301E-2</v>
      </c>
      <c r="AE677" s="319">
        <v>0</v>
      </c>
      <c r="AF677" s="320">
        <v>0</v>
      </c>
      <c r="AG677" s="319">
        <v>2</v>
      </c>
      <c r="AH677" s="320">
        <v>2.7397260273972601E-2</v>
      </c>
      <c r="AI677" s="319">
        <v>0</v>
      </c>
      <c r="AJ677" s="320">
        <v>0</v>
      </c>
      <c r="AK677" s="320">
        <v>0</v>
      </c>
      <c r="AL677" s="319">
        <v>5</v>
      </c>
      <c r="AM677" s="319">
        <v>6.2</v>
      </c>
      <c r="AN677" s="319">
        <v>4.6666666666666599</v>
      </c>
      <c r="AO677" s="319">
        <v>0.52888888888888796</v>
      </c>
      <c r="AP677">
        <v>11</v>
      </c>
      <c r="AR677" s="136">
        <v>11</v>
      </c>
      <c r="AT677" s="69">
        <v>2.3148</v>
      </c>
      <c r="AU677" s="69">
        <v>5</v>
      </c>
      <c r="AV677" s="69">
        <v>8.1305999999999994</v>
      </c>
      <c r="AW677" s="69">
        <v>0.51480000000000004</v>
      </c>
      <c r="BB677" s="69"/>
    </row>
    <row r="678" spans="1:54" customFormat="1" ht="40" customHeight="1">
      <c r="A678" s="313">
        <v>677</v>
      </c>
      <c r="B678" s="136" t="s">
        <v>1790</v>
      </c>
      <c r="C678" s="136" t="s">
        <v>45</v>
      </c>
      <c r="D678" s="31">
        <f t="shared" si="46"/>
        <v>4</v>
      </c>
      <c r="E678" s="137" t="s">
        <v>46</v>
      </c>
      <c r="F678" s="31">
        <f t="shared" si="47"/>
        <v>6</v>
      </c>
      <c r="G678" s="137" t="s">
        <v>1868</v>
      </c>
      <c r="H678" s="138">
        <v>32</v>
      </c>
      <c r="I678" s="158">
        <f t="shared" si="48"/>
        <v>0.25947461203873651</v>
      </c>
      <c r="J678" s="95">
        <v>5.4772100896020998E-2</v>
      </c>
      <c r="K678" s="137">
        <v>0.46417712318145199</v>
      </c>
      <c r="L678" s="137">
        <v>0.61983471074380203</v>
      </c>
      <c r="M678" s="137">
        <v>0.23069074183792801</v>
      </c>
      <c r="N678" s="136">
        <v>0</v>
      </c>
      <c r="O678" s="32">
        <v>42864</v>
      </c>
      <c r="P678" s="98">
        <f t="shared" si="49"/>
        <v>0</v>
      </c>
      <c r="Q678">
        <v>2.5499999999999998</v>
      </c>
      <c r="R678">
        <v>0</v>
      </c>
      <c r="S678">
        <v>0</v>
      </c>
      <c r="T678" s="112" t="s">
        <v>48</v>
      </c>
      <c r="U678" s="137" t="s">
        <v>1869</v>
      </c>
      <c r="V678" s="137" t="s">
        <v>1870</v>
      </c>
      <c r="W678" s="69">
        <v>36</v>
      </c>
      <c r="X678" s="136">
        <v>3</v>
      </c>
      <c r="Y678" s="136">
        <v>29</v>
      </c>
      <c r="Z678" s="314"/>
      <c r="AA678" s="319">
        <v>0.5</v>
      </c>
      <c r="AB678" s="315" t="s">
        <v>5165</v>
      </c>
      <c r="AC678" s="319">
        <v>2</v>
      </c>
      <c r="AD678" s="320">
        <v>9.5238095238095205E-2</v>
      </c>
      <c r="AE678" s="319">
        <v>1</v>
      </c>
      <c r="AF678" s="320">
        <v>4.7619047619047603E-2</v>
      </c>
      <c r="AG678" s="319">
        <v>0</v>
      </c>
      <c r="AH678" s="320">
        <v>0</v>
      </c>
      <c r="AI678" s="319">
        <v>1</v>
      </c>
      <c r="AJ678" s="320">
        <v>4.7619047619047603E-2</v>
      </c>
      <c r="AK678" s="320">
        <v>0</v>
      </c>
      <c r="AL678" s="319">
        <v>5</v>
      </c>
      <c r="AM678" s="319">
        <v>5</v>
      </c>
      <c r="AN678" s="319">
        <v>2</v>
      </c>
      <c r="AO678" s="319">
        <v>0.4</v>
      </c>
      <c r="AP678">
        <v>29</v>
      </c>
      <c r="AR678" s="136">
        <v>29</v>
      </c>
      <c r="AT678" s="69">
        <v>2.3148</v>
      </c>
      <c r="AU678" s="69">
        <v>2.3148</v>
      </c>
      <c r="AV678" s="69">
        <v>2.3148</v>
      </c>
      <c r="AW678" s="69">
        <v>0.23150000000000001</v>
      </c>
      <c r="BB678" s="69"/>
    </row>
    <row r="679" spans="1:54" customFormat="1" ht="40" customHeight="1">
      <c r="A679" s="313">
        <v>678</v>
      </c>
      <c r="B679" s="136" t="s">
        <v>1871</v>
      </c>
      <c r="C679" s="136" t="s">
        <v>45</v>
      </c>
      <c r="D679" s="31">
        <f t="shared" si="46"/>
        <v>4</v>
      </c>
      <c r="E679" s="137" t="s">
        <v>46</v>
      </c>
      <c r="F679" s="31">
        <f t="shared" si="47"/>
        <v>6</v>
      </c>
      <c r="G679" s="137" t="s">
        <v>1872</v>
      </c>
      <c r="H679" s="138">
        <v>28</v>
      </c>
      <c r="I679" s="158">
        <f t="shared" si="48"/>
        <v>0.74298218775740743</v>
      </c>
      <c r="J679" s="95">
        <v>0.89818680049290101</v>
      </c>
      <c r="K679" s="137">
        <v>0.58777757502191397</v>
      </c>
      <c r="L679" s="137">
        <v>0.68181818181818199</v>
      </c>
      <c r="M679" s="137">
        <v>0.44671666482751199</v>
      </c>
      <c r="N679" s="136">
        <v>0</v>
      </c>
      <c r="O679" s="32">
        <v>43968</v>
      </c>
      <c r="P679" s="98">
        <f t="shared" si="49"/>
        <v>0</v>
      </c>
      <c r="Q679">
        <v>0</v>
      </c>
      <c r="R679">
        <v>0</v>
      </c>
      <c r="S679">
        <v>0</v>
      </c>
      <c r="T679" s="112" t="s">
        <v>48</v>
      </c>
      <c r="U679" s="137" t="s">
        <v>1873</v>
      </c>
      <c r="V679" s="137" t="s">
        <v>1874</v>
      </c>
      <c r="W679" s="69">
        <v>85</v>
      </c>
      <c r="X679" s="136">
        <v>2</v>
      </c>
      <c r="Y679" s="136">
        <v>15</v>
      </c>
      <c r="Z679" s="314"/>
      <c r="AA679" s="319">
        <v>0.45454545454545398</v>
      </c>
      <c r="AB679" s="315" t="s">
        <v>5176</v>
      </c>
      <c r="AC679" s="319">
        <v>1</v>
      </c>
      <c r="AD679" s="320">
        <v>0.02</v>
      </c>
      <c r="AE679" s="319">
        <v>3</v>
      </c>
      <c r="AF679" s="320">
        <v>0.06</v>
      </c>
      <c r="AG679" s="319">
        <v>0</v>
      </c>
      <c r="AH679" s="320">
        <v>0</v>
      </c>
      <c r="AI679" s="319">
        <v>0</v>
      </c>
      <c r="AJ679" s="320">
        <v>0</v>
      </c>
      <c r="AK679" s="320">
        <v>0.02</v>
      </c>
      <c r="AL679" s="319">
        <v>5</v>
      </c>
      <c r="AM679" s="319">
        <v>5</v>
      </c>
      <c r="AN679" s="319">
        <v>2</v>
      </c>
      <c r="AO679" s="319">
        <v>0.4</v>
      </c>
      <c r="AP679">
        <v>15</v>
      </c>
      <c r="AR679" s="136">
        <v>15</v>
      </c>
      <c r="AT679" s="69">
        <v>2.3148</v>
      </c>
      <c r="AU679" s="69">
        <v>2.3148</v>
      </c>
      <c r="AV679" s="69">
        <v>2.3148</v>
      </c>
      <c r="AW679" s="69">
        <v>0.23150000000000001</v>
      </c>
      <c r="BB679" s="69"/>
    </row>
    <row r="680" spans="1:54" customFormat="1" ht="40" customHeight="1">
      <c r="A680" s="313">
        <v>679</v>
      </c>
      <c r="B680" s="136" t="s">
        <v>1871</v>
      </c>
      <c r="C680" s="136" t="s">
        <v>45</v>
      </c>
      <c r="D680" s="31">
        <f t="shared" si="46"/>
        <v>4</v>
      </c>
      <c r="E680" s="137" t="s">
        <v>221</v>
      </c>
      <c r="F680" s="31">
        <f t="shared" si="47"/>
        <v>2</v>
      </c>
      <c r="G680" s="137" t="s">
        <v>1875</v>
      </c>
      <c r="H680" s="138">
        <v>57</v>
      </c>
      <c r="I680" s="158">
        <f t="shared" si="48"/>
        <v>0.3829096262707265</v>
      </c>
      <c r="J680" s="95">
        <v>0.107914132654235</v>
      </c>
      <c r="K680" s="137">
        <v>0.657905119887218</v>
      </c>
      <c r="L680" s="137">
        <v>0.68181818181818199</v>
      </c>
      <c r="M680" s="137">
        <v>0.62203552699077302</v>
      </c>
      <c r="N680" s="136">
        <v>1</v>
      </c>
      <c r="O680" s="32">
        <v>43655</v>
      </c>
      <c r="P680" s="98">
        <f t="shared" si="49"/>
        <v>0</v>
      </c>
      <c r="Q680">
        <v>2.5499999999999998</v>
      </c>
      <c r="R680">
        <v>1.65</v>
      </c>
      <c r="S680">
        <v>0</v>
      </c>
      <c r="T680" s="112" t="s">
        <v>48</v>
      </c>
      <c r="U680" s="137" t="s">
        <v>1876</v>
      </c>
      <c r="V680" s="137" t="s">
        <v>1877</v>
      </c>
      <c r="W680" s="69">
        <v>104</v>
      </c>
      <c r="X680" s="136">
        <v>1</v>
      </c>
      <c r="Y680" s="136">
        <v>7</v>
      </c>
      <c r="Z680" s="314"/>
      <c r="AA680" s="319">
        <v>0.66549999999999998</v>
      </c>
      <c r="AB680" s="315" t="s">
        <v>5168</v>
      </c>
      <c r="AC680" s="319">
        <v>0</v>
      </c>
      <c r="AD680" s="320">
        <v>0</v>
      </c>
      <c r="AE680" s="319">
        <v>0</v>
      </c>
      <c r="AF680" s="320">
        <v>0</v>
      </c>
      <c r="AG680" s="319">
        <v>2</v>
      </c>
      <c r="AH680" s="320">
        <v>3.38983050847457E-2</v>
      </c>
      <c r="AI680" s="319">
        <v>0</v>
      </c>
      <c r="AJ680" s="320">
        <v>0</v>
      </c>
      <c r="AK680" s="320">
        <v>0</v>
      </c>
      <c r="AL680" s="319">
        <v>5</v>
      </c>
      <c r="AM680" s="319">
        <v>5</v>
      </c>
      <c r="AN680" s="319">
        <v>4.6666666666666599</v>
      </c>
      <c r="AO680" s="319">
        <v>0.48888888888888798</v>
      </c>
      <c r="AP680">
        <v>7</v>
      </c>
      <c r="AR680" s="136">
        <v>7</v>
      </c>
      <c r="AT680" s="69">
        <v>2.3148</v>
      </c>
      <c r="AU680" s="69">
        <v>2.3148</v>
      </c>
      <c r="AV680" s="69">
        <v>8.1305999999999994</v>
      </c>
      <c r="AW680" s="69">
        <v>0.42530000000000001</v>
      </c>
      <c r="BB680" s="69"/>
    </row>
    <row r="681" spans="1:54" customFormat="1" ht="40" customHeight="1">
      <c r="A681" s="313">
        <v>680</v>
      </c>
      <c r="B681" s="136" t="s">
        <v>1871</v>
      </c>
      <c r="C681" s="136" t="s">
        <v>45</v>
      </c>
      <c r="D681" s="31">
        <f t="shared" si="46"/>
        <v>4</v>
      </c>
      <c r="E681" s="137" t="s">
        <v>46</v>
      </c>
      <c r="F681" s="31">
        <f t="shared" si="47"/>
        <v>6</v>
      </c>
      <c r="G681" s="137" t="s">
        <v>1878</v>
      </c>
      <c r="H681" s="138">
        <v>351</v>
      </c>
      <c r="I681" s="158">
        <f t="shared" si="48"/>
        <v>0.31957679689038232</v>
      </c>
      <c r="J681" s="95">
        <v>3.6265236133648001E-5</v>
      </c>
      <c r="K681" s="137">
        <v>0.63911732854463099</v>
      </c>
      <c r="L681" s="137">
        <v>0.56348610067618299</v>
      </c>
      <c r="M681" s="137">
        <v>0.75256417034730305</v>
      </c>
      <c r="N681" s="136">
        <v>1</v>
      </c>
      <c r="O681" s="32">
        <v>43655</v>
      </c>
      <c r="P681" s="98">
        <f t="shared" si="49"/>
        <v>0</v>
      </c>
      <c r="Q681">
        <v>5.0999999999999996</v>
      </c>
      <c r="R681">
        <v>4.95</v>
      </c>
      <c r="S681">
        <v>3.74</v>
      </c>
      <c r="T681" s="112" t="s">
        <v>48</v>
      </c>
      <c r="U681" s="137" t="s">
        <v>1879</v>
      </c>
      <c r="V681" s="137" t="s">
        <v>1880</v>
      </c>
      <c r="W681" s="69">
        <v>125</v>
      </c>
      <c r="X681" s="136">
        <v>2</v>
      </c>
      <c r="Y681" s="136">
        <v>3</v>
      </c>
      <c r="Z681" s="314"/>
      <c r="AA681" s="319">
        <v>2.4893534183931899E-2</v>
      </c>
      <c r="AB681" s="315" t="s">
        <v>5168</v>
      </c>
      <c r="AC681" s="319">
        <v>1</v>
      </c>
      <c r="AD681" s="320">
        <v>1.4925373134328301E-2</v>
      </c>
      <c r="AE681" s="319">
        <v>1</v>
      </c>
      <c r="AF681" s="320">
        <v>1.4925373134328301E-2</v>
      </c>
      <c r="AG681" s="319">
        <v>2</v>
      </c>
      <c r="AH681" s="320">
        <v>2.9850746268656699E-2</v>
      </c>
      <c r="AI681" s="319">
        <v>1</v>
      </c>
      <c r="AJ681" s="320">
        <v>1.4925373134328301E-2</v>
      </c>
      <c r="AK681" s="320">
        <v>1.492537313432836E-2</v>
      </c>
      <c r="AL681" s="319">
        <v>8.5</v>
      </c>
      <c r="AM681" s="319">
        <v>5</v>
      </c>
      <c r="AN681" s="319">
        <v>3.5</v>
      </c>
      <c r="AO681" s="319">
        <v>0.56666666666666599</v>
      </c>
      <c r="AP681">
        <v>3</v>
      </c>
      <c r="AR681" s="136">
        <v>3</v>
      </c>
      <c r="AT681" s="69">
        <v>9.0888000000000009</v>
      </c>
      <c r="AU681" s="69">
        <v>2.3148</v>
      </c>
      <c r="AV681" s="69">
        <v>5.7443999999999997</v>
      </c>
      <c r="AW681" s="69">
        <v>0.5716</v>
      </c>
      <c r="BB681" s="69"/>
    </row>
    <row r="682" spans="1:54" customFormat="1" ht="40" customHeight="1">
      <c r="A682" s="313">
        <v>681</v>
      </c>
      <c r="B682" s="136" t="s">
        <v>1871</v>
      </c>
      <c r="C682" s="136" t="s">
        <v>45</v>
      </c>
      <c r="D682" s="31">
        <f t="shared" si="46"/>
        <v>4</v>
      </c>
      <c r="E682" s="137" t="s">
        <v>46</v>
      </c>
      <c r="F682" s="31">
        <f t="shared" si="47"/>
        <v>6</v>
      </c>
      <c r="G682" s="137" t="s">
        <v>1881</v>
      </c>
      <c r="H682" s="138">
        <v>367</v>
      </c>
      <c r="I682" s="158">
        <f t="shared" si="48"/>
        <v>0.33646376933909056</v>
      </c>
      <c r="J682" s="95">
        <v>1.0440929790744899E-6</v>
      </c>
      <c r="K682" s="137">
        <v>0.67292649458520204</v>
      </c>
      <c r="L682" s="137">
        <v>0.61983471074380103</v>
      </c>
      <c r="M682" s="137">
        <v>0.75256417034730305</v>
      </c>
      <c r="N682" s="136">
        <v>1</v>
      </c>
      <c r="O682" s="32">
        <v>43655</v>
      </c>
      <c r="P682" s="98">
        <f t="shared" si="49"/>
        <v>0</v>
      </c>
      <c r="Q682">
        <v>5.0999999999999996</v>
      </c>
      <c r="R682">
        <v>4.95</v>
      </c>
      <c r="S682">
        <v>3.74</v>
      </c>
      <c r="T682" s="112" t="s">
        <v>48</v>
      </c>
      <c r="U682" s="137" t="s">
        <v>1882</v>
      </c>
      <c r="V682" s="137" t="s">
        <v>1883</v>
      </c>
      <c r="W682" s="69">
        <v>127</v>
      </c>
      <c r="X682" s="136">
        <v>2</v>
      </c>
      <c r="Y682" s="136">
        <v>3</v>
      </c>
      <c r="Z682" s="314"/>
      <c r="AA682" s="319">
        <v>2.4893534183931899E-2</v>
      </c>
      <c r="AB682" s="315" t="s">
        <v>5168</v>
      </c>
      <c r="AC682" s="319">
        <v>1</v>
      </c>
      <c r="AD682" s="320">
        <v>1.47058823529411E-2</v>
      </c>
      <c r="AE682" s="319">
        <v>1</v>
      </c>
      <c r="AF682" s="320">
        <v>1.47058823529411E-2</v>
      </c>
      <c r="AG682" s="319">
        <v>2</v>
      </c>
      <c r="AH682" s="320">
        <v>2.94117647058823E-2</v>
      </c>
      <c r="AI682" s="319">
        <v>1</v>
      </c>
      <c r="AJ682" s="320">
        <v>1.47058823529411E-2</v>
      </c>
      <c r="AK682" s="320">
        <v>1.470588235294118E-2</v>
      </c>
      <c r="AL682" s="319">
        <v>8.5</v>
      </c>
      <c r="AM682" s="319">
        <v>5</v>
      </c>
      <c r="AN682" s="319">
        <v>6.1666666666666599</v>
      </c>
      <c r="AO682" s="319">
        <v>0.655555555555555</v>
      </c>
      <c r="AP682">
        <v>3</v>
      </c>
      <c r="AR682" s="136"/>
      <c r="AS682">
        <v>3</v>
      </c>
      <c r="AT682" s="69">
        <v>9.0888000000000009</v>
      </c>
      <c r="AU682" s="69">
        <v>2.3148</v>
      </c>
      <c r="AV682" s="69">
        <v>9.5120000000000005</v>
      </c>
      <c r="AW682" s="69">
        <v>0.69720000000000004</v>
      </c>
      <c r="BB682" s="69"/>
    </row>
    <row r="683" spans="1:54" customFormat="1" ht="40" customHeight="1">
      <c r="A683" s="313">
        <v>682</v>
      </c>
      <c r="B683" s="136" t="s">
        <v>1871</v>
      </c>
      <c r="C683" s="136" t="s">
        <v>119</v>
      </c>
      <c r="D683" s="31">
        <f t="shared" si="46"/>
        <v>1</v>
      </c>
      <c r="E683" s="137" t="s">
        <v>664</v>
      </c>
      <c r="F683" s="31">
        <f t="shared" si="47"/>
        <v>1</v>
      </c>
      <c r="G683" s="137" t="s">
        <v>1884</v>
      </c>
      <c r="H683" s="138">
        <v>159</v>
      </c>
      <c r="I683" s="158">
        <f t="shared" si="48"/>
        <v>0.38487687718157204</v>
      </c>
      <c r="J683" s="95">
        <v>1.87280862242231E-2</v>
      </c>
      <c r="K683" s="137">
        <v>0.75102566813892102</v>
      </c>
      <c r="L683" s="137">
        <v>0.75</v>
      </c>
      <c r="M683" s="137">
        <v>0.75256417034730305</v>
      </c>
      <c r="N683" s="136">
        <v>1</v>
      </c>
      <c r="O683" s="32">
        <v>43556</v>
      </c>
      <c r="P683" s="98">
        <f t="shared" si="49"/>
        <v>1</v>
      </c>
      <c r="Q683">
        <v>2.5499999999999998</v>
      </c>
      <c r="R683">
        <v>3.3</v>
      </c>
      <c r="S683">
        <v>0</v>
      </c>
      <c r="T683" s="112" t="s">
        <v>73</v>
      </c>
      <c r="U683" s="137" t="s">
        <v>1885</v>
      </c>
      <c r="V683" s="137" t="s">
        <v>1886</v>
      </c>
      <c r="W683" s="69">
        <v>141</v>
      </c>
      <c r="X683" s="136">
        <v>1</v>
      </c>
      <c r="Y683" s="136">
        <v>3</v>
      </c>
      <c r="Z683" s="314"/>
      <c r="AA683" s="319">
        <v>0.5</v>
      </c>
      <c r="AB683" s="315" t="s">
        <v>5165</v>
      </c>
      <c r="AC683" s="319">
        <v>2</v>
      </c>
      <c r="AD683" s="320">
        <v>2.6666666666666599E-2</v>
      </c>
      <c r="AE683" s="319">
        <v>1</v>
      </c>
      <c r="AF683" s="320">
        <v>1.3333333333333299E-2</v>
      </c>
      <c r="AG683" s="319">
        <v>1</v>
      </c>
      <c r="AH683" s="320">
        <v>1.3333333333333299E-2</v>
      </c>
      <c r="AI683" s="319">
        <v>0</v>
      </c>
      <c r="AJ683" s="320">
        <v>0</v>
      </c>
      <c r="AK683" s="320">
        <v>1.3333333333333331E-2</v>
      </c>
      <c r="AL683" s="319">
        <v>5</v>
      </c>
      <c r="AM683" s="319">
        <v>6.2</v>
      </c>
      <c r="AN683" s="319">
        <v>3.5</v>
      </c>
      <c r="AO683" s="319">
        <v>0.49</v>
      </c>
      <c r="AP683">
        <v>3</v>
      </c>
      <c r="AR683" s="136">
        <v>3</v>
      </c>
      <c r="AT683" s="69">
        <v>2.3148</v>
      </c>
      <c r="AU683" s="69">
        <v>5</v>
      </c>
      <c r="AV683" s="69">
        <v>5.7443999999999997</v>
      </c>
      <c r="AW683" s="69">
        <v>0.43530000000000002</v>
      </c>
      <c r="BB683" s="69"/>
    </row>
    <row r="684" spans="1:54" customFormat="1" ht="40" customHeight="1">
      <c r="A684" s="313">
        <v>683</v>
      </c>
      <c r="B684" s="136" t="s">
        <v>1871</v>
      </c>
      <c r="C684" s="136" t="s">
        <v>45</v>
      </c>
      <c r="D684" s="31">
        <f t="shared" si="46"/>
        <v>4</v>
      </c>
      <c r="E684" s="137" t="s">
        <v>664</v>
      </c>
      <c r="F684" s="31">
        <f t="shared" si="47"/>
        <v>1</v>
      </c>
      <c r="G684" s="137" t="s">
        <v>539</v>
      </c>
      <c r="H684" s="138">
        <v>488</v>
      </c>
      <c r="I684" s="158">
        <f t="shared" si="48"/>
        <v>0.25028973182452674</v>
      </c>
      <c r="J684" s="95">
        <v>6.6025284461979097E-8</v>
      </c>
      <c r="K684" s="137">
        <v>0.50057939762376902</v>
      </c>
      <c r="L684" s="137">
        <v>0.26287042461104398</v>
      </c>
      <c r="M684" s="137">
        <v>0.85714285714285698</v>
      </c>
      <c r="N684" s="136">
        <v>1</v>
      </c>
      <c r="O684" s="32">
        <v>43409</v>
      </c>
      <c r="P684" s="98">
        <f t="shared" si="49"/>
        <v>1</v>
      </c>
      <c r="Q684">
        <v>2.5499999999999998</v>
      </c>
      <c r="R684">
        <v>4.95</v>
      </c>
      <c r="S684">
        <v>0</v>
      </c>
      <c r="T684" s="112" t="s">
        <v>73</v>
      </c>
      <c r="U684" s="137" t="s">
        <v>1887</v>
      </c>
      <c r="V684" s="137" t="s">
        <v>1888</v>
      </c>
      <c r="W684" s="69">
        <v>195</v>
      </c>
      <c r="X684" s="136">
        <v>1</v>
      </c>
      <c r="Y684" s="136">
        <v>1</v>
      </c>
      <c r="Z684" s="314"/>
      <c r="AA684" s="319">
        <v>7.6675989991582304E-6</v>
      </c>
      <c r="AB684" s="315" t="s">
        <v>5168</v>
      </c>
      <c r="AC684" s="319">
        <v>1</v>
      </c>
      <c r="AD684" s="320">
        <v>9.5238095238095195E-3</v>
      </c>
      <c r="AE684" s="319">
        <v>1</v>
      </c>
      <c r="AF684" s="320">
        <v>9.5238095238095195E-3</v>
      </c>
      <c r="AG684" s="319">
        <v>2</v>
      </c>
      <c r="AH684" s="320">
        <v>1.9047619047619001E-2</v>
      </c>
      <c r="AI684" s="319">
        <v>0</v>
      </c>
      <c r="AJ684" s="320">
        <v>0</v>
      </c>
      <c r="AK684" s="320">
        <v>9.5238095238095247E-3</v>
      </c>
      <c r="AL684" s="319">
        <v>6.75</v>
      </c>
      <c r="AM684" s="319">
        <v>5</v>
      </c>
      <c r="AN684" s="319">
        <v>4.6666666666666599</v>
      </c>
      <c r="AO684" s="319">
        <v>0.54722222222222205</v>
      </c>
      <c r="AP684">
        <v>1</v>
      </c>
      <c r="AR684" s="136">
        <v>1</v>
      </c>
      <c r="AT684" s="69">
        <v>6.3414000000000001</v>
      </c>
      <c r="AU684" s="69">
        <v>2.3148</v>
      </c>
      <c r="AV684" s="69">
        <v>8.1305999999999994</v>
      </c>
      <c r="AW684" s="69">
        <v>0.55959999999999999</v>
      </c>
      <c r="BB684" s="69"/>
    </row>
    <row r="685" spans="1:54" customFormat="1" ht="40" customHeight="1">
      <c r="A685" s="313">
        <v>684</v>
      </c>
      <c r="B685" s="136" t="s">
        <v>1871</v>
      </c>
      <c r="C685" s="136" t="s">
        <v>45</v>
      </c>
      <c r="D685" s="31">
        <f t="shared" si="46"/>
        <v>4</v>
      </c>
      <c r="E685" s="137" t="s">
        <v>46</v>
      </c>
      <c r="F685" s="31">
        <f t="shared" si="47"/>
        <v>6</v>
      </c>
      <c r="G685" s="137" t="s">
        <v>1889</v>
      </c>
      <c r="H685" s="138">
        <v>210</v>
      </c>
      <c r="I685" s="158">
        <f t="shared" si="48"/>
        <v>0.6608400480747445</v>
      </c>
      <c r="J685" s="95">
        <v>0.52882295329234597</v>
      </c>
      <c r="K685" s="137">
        <v>0.79285714285714304</v>
      </c>
      <c r="L685" s="137">
        <v>0.75</v>
      </c>
      <c r="M685" s="137">
        <v>0.85714285714285698</v>
      </c>
      <c r="N685" s="136">
        <v>0</v>
      </c>
      <c r="O685" s="32">
        <v>43405</v>
      </c>
      <c r="P685" s="98">
        <f t="shared" si="49"/>
        <v>1</v>
      </c>
      <c r="Q685">
        <v>2.5499999999999998</v>
      </c>
      <c r="R685">
        <v>4.95</v>
      </c>
      <c r="S685">
        <v>0</v>
      </c>
      <c r="T685" s="112" t="s">
        <v>73</v>
      </c>
      <c r="U685" s="137" t="s">
        <v>1890</v>
      </c>
      <c r="V685" s="137" t="s">
        <v>1888</v>
      </c>
      <c r="W685" s="69">
        <v>195</v>
      </c>
      <c r="X685" s="136">
        <v>1</v>
      </c>
      <c r="Y685" s="136">
        <v>1</v>
      </c>
      <c r="Z685" s="314"/>
      <c r="AA685" s="319">
        <v>0.45909090909090899</v>
      </c>
      <c r="AB685" s="315" t="s">
        <v>5168</v>
      </c>
      <c r="AC685" s="319">
        <v>1</v>
      </c>
      <c r="AD685" s="320">
        <v>9.5238095238095195E-3</v>
      </c>
      <c r="AE685" s="319">
        <v>1</v>
      </c>
      <c r="AF685" s="320">
        <v>9.5238095238095195E-3</v>
      </c>
      <c r="AG685" s="319">
        <v>2</v>
      </c>
      <c r="AH685" s="320">
        <v>1.9047619047619001E-2</v>
      </c>
      <c r="AI685" s="319">
        <v>0</v>
      </c>
      <c r="AJ685" s="320">
        <v>0</v>
      </c>
      <c r="AK685" s="320">
        <v>9.5238095238095247E-3</v>
      </c>
      <c r="AL685" s="319">
        <v>6.75</v>
      </c>
      <c r="AM685" s="319">
        <v>5</v>
      </c>
      <c r="AN685" s="319">
        <v>2</v>
      </c>
      <c r="AO685" s="319">
        <v>0.45833333333333298</v>
      </c>
      <c r="AP685">
        <v>1</v>
      </c>
      <c r="AR685" s="136">
        <v>1</v>
      </c>
      <c r="AT685" s="69">
        <v>6.3414000000000001</v>
      </c>
      <c r="AU685" s="69">
        <v>2.3148</v>
      </c>
      <c r="AV685" s="69">
        <v>2.3148</v>
      </c>
      <c r="AW685" s="69">
        <v>0.36570000000000003</v>
      </c>
      <c r="BB685" s="69"/>
    </row>
    <row r="686" spans="1:54" customFormat="1" ht="40" customHeight="1">
      <c r="A686" s="313">
        <v>685</v>
      </c>
      <c r="B686" s="136" t="s">
        <v>1871</v>
      </c>
      <c r="C686" s="136" t="s">
        <v>45</v>
      </c>
      <c r="D686" s="31">
        <f t="shared" si="46"/>
        <v>4</v>
      </c>
      <c r="E686" s="137" t="s">
        <v>46</v>
      </c>
      <c r="F686" s="31">
        <f t="shared" si="47"/>
        <v>6</v>
      </c>
      <c r="G686" s="137" t="s">
        <v>1891</v>
      </c>
      <c r="H686" s="138">
        <v>421</v>
      </c>
      <c r="I686" s="158">
        <f t="shared" si="48"/>
        <v>0.39697002695905392</v>
      </c>
      <c r="J686" s="95">
        <v>1.08291106096481E-3</v>
      </c>
      <c r="K686" s="137">
        <v>0.79285714285714304</v>
      </c>
      <c r="L686" s="137">
        <v>0.75</v>
      </c>
      <c r="M686" s="137">
        <v>0.85714285714285698</v>
      </c>
      <c r="N686" s="136">
        <v>0</v>
      </c>
      <c r="O686" s="32">
        <v>43405</v>
      </c>
      <c r="P686" s="98">
        <f t="shared" si="49"/>
        <v>1</v>
      </c>
      <c r="Q686">
        <v>2.5499999999999998</v>
      </c>
      <c r="R686">
        <v>4.95</v>
      </c>
      <c r="S686">
        <v>0</v>
      </c>
      <c r="T686" s="112" t="s">
        <v>73</v>
      </c>
      <c r="U686" s="137" t="s">
        <v>1892</v>
      </c>
      <c r="V686" s="137" t="s">
        <v>1888</v>
      </c>
      <c r="W686" s="69">
        <v>195</v>
      </c>
      <c r="X686" s="136">
        <v>1</v>
      </c>
      <c r="Y686" s="136">
        <v>1</v>
      </c>
      <c r="Z686" s="314"/>
      <c r="AA686" s="319">
        <v>0.54500000000000004</v>
      </c>
      <c r="AB686" s="315" t="s">
        <v>5168</v>
      </c>
      <c r="AC686" s="319">
        <v>1</v>
      </c>
      <c r="AD686" s="320">
        <v>9.5238095238095195E-3</v>
      </c>
      <c r="AE686" s="319">
        <v>1</v>
      </c>
      <c r="AF686" s="320">
        <v>9.5238095238095195E-3</v>
      </c>
      <c r="AG686" s="319">
        <v>2</v>
      </c>
      <c r="AH686" s="320">
        <v>1.9047619047619001E-2</v>
      </c>
      <c r="AI686" s="319">
        <v>0</v>
      </c>
      <c r="AJ686" s="320">
        <v>0</v>
      </c>
      <c r="AK686" s="320">
        <v>9.5238095238095247E-3</v>
      </c>
      <c r="AL686" s="319">
        <v>8.5</v>
      </c>
      <c r="AM686" s="319">
        <v>5</v>
      </c>
      <c r="AN686" s="319">
        <v>4.6666666666666599</v>
      </c>
      <c r="AO686" s="319">
        <v>0.60555555555555496</v>
      </c>
      <c r="AP686">
        <v>1</v>
      </c>
      <c r="AR686" s="136">
        <v>1</v>
      </c>
      <c r="AT686" s="69">
        <v>9.0888000000000009</v>
      </c>
      <c r="AU686" s="69">
        <v>2.3148</v>
      </c>
      <c r="AV686" s="69">
        <v>8.1305999999999994</v>
      </c>
      <c r="AW686" s="69">
        <v>0.65110000000000001</v>
      </c>
      <c r="BB686" s="69"/>
    </row>
    <row r="687" spans="1:54" customFormat="1" ht="40" customHeight="1">
      <c r="A687" s="313">
        <v>686</v>
      </c>
      <c r="B687" s="136" t="s">
        <v>1871</v>
      </c>
      <c r="C687" s="136" t="s">
        <v>45</v>
      </c>
      <c r="D687" s="31">
        <f t="shared" si="46"/>
        <v>4</v>
      </c>
      <c r="E687" s="137" t="s">
        <v>46</v>
      </c>
      <c r="F687" s="31">
        <f t="shared" si="47"/>
        <v>6</v>
      </c>
      <c r="G687" s="137" t="s">
        <v>1893</v>
      </c>
      <c r="H687" s="138">
        <v>383</v>
      </c>
      <c r="I687" s="158">
        <f t="shared" si="48"/>
        <v>0.40709389955679193</v>
      </c>
      <c r="J687" s="95">
        <v>2.67776090190352E-9</v>
      </c>
      <c r="K687" s="137">
        <v>0.81418779643582295</v>
      </c>
      <c r="L687" s="137">
        <v>0.82499999999999996</v>
      </c>
      <c r="M687" s="137">
        <v>0.79796949108955795</v>
      </c>
      <c r="N687" s="136">
        <v>1</v>
      </c>
      <c r="O687" s="32">
        <v>43402</v>
      </c>
      <c r="P687" s="98">
        <f t="shared" si="49"/>
        <v>1</v>
      </c>
      <c r="Q687">
        <v>2.5499999999999998</v>
      </c>
      <c r="R687">
        <v>3.3</v>
      </c>
      <c r="S687">
        <v>0</v>
      </c>
      <c r="T687" s="112" t="s">
        <v>73</v>
      </c>
      <c r="U687" s="137" t="s">
        <v>1894</v>
      </c>
      <c r="V687" s="137" t="s">
        <v>1895</v>
      </c>
      <c r="W687" s="69">
        <v>145</v>
      </c>
      <c r="X687" s="136">
        <v>1</v>
      </c>
      <c r="Y687" s="136">
        <v>2</v>
      </c>
      <c r="Z687" s="314"/>
      <c r="AA687" s="319">
        <v>0.54</v>
      </c>
      <c r="AB687" s="315" t="s">
        <v>5179</v>
      </c>
      <c r="AC687" s="319">
        <v>1</v>
      </c>
      <c r="AD687" s="320">
        <v>1.3157894736842099E-2</v>
      </c>
      <c r="AE687" s="319">
        <v>1</v>
      </c>
      <c r="AF687" s="320">
        <v>1.3157894736842099E-2</v>
      </c>
      <c r="AG687" s="319">
        <v>1</v>
      </c>
      <c r="AH687" s="320">
        <v>1.3157894736842099E-2</v>
      </c>
      <c r="AI687" s="319">
        <v>0</v>
      </c>
      <c r="AJ687" s="320">
        <v>0</v>
      </c>
      <c r="AK687" s="320">
        <v>1.3157894736842099E-2</v>
      </c>
      <c r="AL687" s="319">
        <v>5</v>
      </c>
      <c r="AM687" s="319">
        <v>5</v>
      </c>
      <c r="AN687" s="319">
        <v>2</v>
      </c>
      <c r="AO687" s="319">
        <v>0.4</v>
      </c>
      <c r="AP687">
        <v>2</v>
      </c>
      <c r="AR687" s="136">
        <v>2</v>
      </c>
      <c r="AT687" s="69">
        <v>2.3148</v>
      </c>
      <c r="AU687" s="69">
        <v>2.3148</v>
      </c>
      <c r="AV687" s="69">
        <v>2.3148</v>
      </c>
      <c r="AW687" s="69">
        <v>0.23150000000000001</v>
      </c>
      <c r="BB687" s="69"/>
    </row>
    <row r="688" spans="1:54" customFormat="1" ht="40" customHeight="1">
      <c r="A688" s="313">
        <v>687</v>
      </c>
      <c r="B688" s="136" t="s">
        <v>1871</v>
      </c>
      <c r="C688" s="136" t="s">
        <v>45</v>
      </c>
      <c r="D688" s="31">
        <f t="shared" si="46"/>
        <v>4</v>
      </c>
      <c r="E688" s="137" t="s">
        <v>80</v>
      </c>
      <c r="F688" s="31">
        <f t="shared" si="47"/>
        <v>4</v>
      </c>
      <c r="G688" s="137" t="s">
        <v>159</v>
      </c>
      <c r="H688" s="138">
        <v>54</v>
      </c>
      <c r="I688" s="158">
        <f t="shared" si="48"/>
        <v>0.53096915378580201</v>
      </c>
      <c r="J688" s="95">
        <v>0.30690915001635699</v>
      </c>
      <c r="K688" s="137">
        <v>0.75502915755524702</v>
      </c>
      <c r="L688" s="137">
        <v>0.82499999999999996</v>
      </c>
      <c r="M688" s="137">
        <v>0.65007289388811795</v>
      </c>
      <c r="N688" s="136">
        <v>1</v>
      </c>
      <c r="O688" s="32">
        <v>43377</v>
      </c>
      <c r="P688" s="98">
        <f t="shared" si="49"/>
        <v>0</v>
      </c>
      <c r="Q688">
        <v>5.0999999999999996</v>
      </c>
      <c r="R688">
        <v>0</v>
      </c>
      <c r="S688">
        <v>0</v>
      </c>
      <c r="T688" s="112" t="s">
        <v>48</v>
      </c>
      <c r="U688" s="137" t="s">
        <v>1896</v>
      </c>
      <c r="V688" s="137" t="s">
        <v>1897</v>
      </c>
      <c r="W688" s="69">
        <v>144</v>
      </c>
      <c r="X688" s="136">
        <v>2</v>
      </c>
      <c r="Y688" s="136">
        <v>6</v>
      </c>
      <c r="Z688" s="314"/>
      <c r="AA688" s="319">
        <v>0.54500000000000004</v>
      </c>
      <c r="AB688" s="315" t="s">
        <v>5176</v>
      </c>
      <c r="AC688" s="319">
        <v>0</v>
      </c>
      <c r="AD688" s="320">
        <v>0</v>
      </c>
      <c r="AE688" s="319">
        <v>4</v>
      </c>
      <c r="AF688" s="320">
        <v>4.8780487804878002E-2</v>
      </c>
      <c r="AG688" s="319">
        <v>3</v>
      </c>
      <c r="AH688" s="320">
        <v>3.65853658536585E-2</v>
      </c>
      <c r="AI688" s="319">
        <v>1</v>
      </c>
      <c r="AJ688" s="320">
        <v>1.21951219512195E-2</v>
      </c>
      <c r="AK688" s="320">
        <v>3.6585365853658541E-2</v>
      </c>
      <c r="AL688" s="319">
        <v>6.75</v>
      </c>
      <c r="AM688" s="319">
        <v>5</v>
      </c>
      <c r="AN688" s="319">
        <v>4.6666666666666599</v>
      </c>
      <c r="AO688" s="319">
        <v>0.54722222222222205</v>
      </c>
      <c r="AP688">
        <v>6</v>
      </c>
      <c r="AR688" s="136">
        <v>6</v>
      </c>
      <c r="AT688" s="69">
        <v>6.3414000000000001</v>
      </c>
      <c r="AU688" s="69">
        <v>2.3148</v>
      </c>
      <c r="AV688" s="69">
        <v>8.1305999999999994</v>
      </c>
      <c r="AW688" s="69">
        <v>0.55959999999999999</v>
      </c>
      <c r="BB688" s="69"/>
    </row>
    <row r="689" spans="1:54" customFormat="1" ht="40" customHeight="1">
      <c r="A689" s="313">
        <v>688</v>
      </c>
      <c r="B689" s="136" t="s">
        <v>1871</v>
      </c>
      <c r="C689" s="136" t="s">
        <v>45</v>
      </c>
      <c r="D689" s="31">
        <f t="shared" si="46"/>
        <v>4</v>
      </c>
      <c r="E689" s="137" t="s">
        <v>46</v>
      </c>
      <c r="F689" s="31">
        <f t="shared" si="47"/>
        <v>6</v>
      </c>
      <c r="G689" s="137" t="s">
        <v>1898</v>
      </c>
      <c r="H689" s="138">
        <v>121</v>
      </c>
      <c r="I689" s="158">
        <f t="shared" si="48"/>
        <v>0.69425661039202247</v>
      </c>
      <c r="J689" s="95">
        <v>0.73060810089682704</v>
      </c>
      <c r="K689" s="137">
        <v>0.657905119887218</v>
      </c>
      <c r="L689" s="137">
        <v>0.68181818181818199</v>
      </c>
      <c r="M689" s="137">
        <v>0.62203552699077302</v>
      </c>
      <c r="N689" s="136">
        <v>1</v>
      </c>
      <c r="O689" s="32">
        <v>43375</v>
      </c>
      <c r="P689" s="98">
        <f t="shared" si="49"/>
        <v>0</v>
      </c>
      <c r="Q689">
        <v>2.5499999999999998</v>
      </c>
      <c r="R689">
        <v>3.3</v>
      </c>
      <c r="S689">
        <v>0</v>
      </c>
      <c r="T689" s="112" t="s">
        <v>48</v>
      </c>
      <c r="U689" s="137" t="s">
        <v>1899</v>
      </c>
      <c r="V689" s="137" t="s">
        <v>1900</v>
      </c>
      <c r="W689" s="69">
        <v>39</v>
      </c>
      <c r="X689" s="136">
        <v>1</v>
      </c>
      <c r="Y689" s="136">
        <v>7</v>
      </c>
      <c r="Z689" s="314"/>
      <c r="AA689" s="319">
        <v>0.55000000000000004</v>
      </c>
      <c r="AB689" s="315" t="s">
        <v>5165</v>
      </c>
      <c r="AC689" s="319">
        <v>2</v>
      </c>
      <c r="AD689" s="320">
        <v>9.0909090909090898E-2</v>
      </c>
      <c r="AE689" s="319">
        <v>1</v>
      </c>
      <c r="AF689" s="320">
        <v>4.54545454545454E-2</v>
      </c>
      <c r="AG689" s="319">
        <v>1</v>
      </c>
      <c r="AH689" s="320">
        <v>4.54545454545454E-2</v>
      </c>
      <c r="AI689" s="319">
        <v>0</v>
      </c>
      <c r="AJ689" s="320">
        <v>0</v>
      </c>
      <c r="AK689" s="320">
        <v>0</v>
      </c>
      <c r="AL689" s="319">
        <v>5</v>
      </c>
      <c r="AM689" s="319">
        <v>5</v>
      </c>
      <c r="AN689" s="319">
        <v>6.1666666666666599</v>
      </c>
      <c r="AO689" s="319">
        <v>0.53888888888888797</v>
      </c>
      <c r="AP689">
        <v>7</v>
      </c>
      <c r="AR689" s="136">
        <v>7</v>
      </c>
      <c r="AT689" s="69">
        <v>2.3148</v>
      </c>
      <c r="AU689" s="69">
        <v>2.3148</v>
      </c>
      <c r="AV689" s="69">
        <v>9.5120000000000005</v>
      </c>
      <c r="AW689" s="69">
        <v>0.47139999999999999</v>
      </c>
      <c r="BB689" s="69"/>
    </row>
    <row r="690" spans="1:54" customFormat="1" ht="40" customHeight="1">
      <c r="A690" s="313">
        <v>689</v>
      </c>
      <c r="B690" s="136" t="s">
        <v>1871</v>
      </c>
      <c r="C690" s="136" t="s">
        <v>45</v>
      </c>
      <c r="D690" s="31">
        <f t="shared" si="46"/>
        <v>4</v>
      </c>
      <c r="E690" s="137" t="s">
        <v>46</v>
      </c>
      <c r="F690" s="31">
        <f t="shared" si="47"/>
        <v>6</v>
      </c>
      <c r="G690" s="137" t="s">
        <v>1901</v>
      </c>
      <c r="H690" s="138">
        <v>82</v>
      </c>
      <c r="I690" s="158">
        <f t="shared" si="48"/>
        <v>0.83867195756621848</v>
      </c>
      <c r="J690" s="95">
        <v>0.91011922813242496</v>
      </c>
      <c r="K690" s="137">
        <v>0.76722468700001201</v>
      </c>
      <c r="L690" s="137">
        <v>0.82499999999999996</v>
      </c>
      <c r="M690" s="137">
        <v>0.68056171750003003</v>
      </c>
      <c r="N690" s="136">
        <v>1</v>
      </c>
      <c r="O690" s="32">
        <v>43137</v>
      </c>
      <c r="P690" s="98">
        <f t="shared" si="49"/>
        <v>0</v>
      </c>
      <c r="Q690">
        <v>2.5499999999999998</v>
      </c>
      <c r="R690">
        <v>1.65</v>
      </c>
      <c r="S690">
        <v>0</v>
      </c>
      <c r="T690" s="112" t="s">
        <v>48</v>
      </c>
      <c r="U690" s="137" t="s">
        <v>1902</v>
      </c>
      <c r="V690" s="137" t="s">
        <v>1903</v>
      </c>
      <c r="W690" s="69">
        <v>38</v>
      </c>
      <c r="X690" s="136">
        <v>2</v>
      </c>
      <c r="Y690" s="136">
        <v>5</v>
      </c>
      <c r="Z690" s="314"/>
      <c r="AA690" s="319">
        <v>0.60499999999999998</v>
      </c>
      <c r="AB690" s="315" t="s">
        <v>5178</v>
      </c>
      <c r="AC690" s="319">
        <v>1</v>
      </c>
      <c r="AD690" s="320">
        <v>4.54545454545454E-2</v>
      </c>
      <c r="AE690" s="319">
        <v>1</v>
      </c>
      <c r="AF690" s="320">
        <v>4.54545454545454E-2</v>
      </c>
      <c r="AG690" s="319">
        <v>0</v>
      </c>
      <c r="AH690" s="320">
        <v>0</v>
      </c>
      <c r="AI690" s="319">
        <v>0</v>
      </c>
      <c r="AJ690" s="320">
        <v>0</v>
      </c>
      <c r="AK690" s="320">
        <v>0</v>
      </c>
      <c r="AL690" s="319">
        <v>5</v>
      </c>
      <c r="AM690" s="319">
        <v>5</v>
      </c>
      <c r="AN690" s="319">
        <v>4.6666666666666599</v>
      </c>
      <c r="AO690" s="319">
        <v>0.48888888888888798</v>
      </c>
      <c r="AP690">
        <v>5</v>
      </c>
      <c r="AR690" s="136">
        <v>5</v>
      </c>
      <c r="AT690" s="69">
        <v>2.3148</v>
      </c>
      <c r="AU690" s="69">
        <v>2.3148</v>
      </c>
      <c r="AV690" s="69">
        <v>8.1305999999999994</v>
      </c>
      <c r="AW690" s="69">
        <v>0.42530000000000001</v>
      </c>
      <c r="BB690" s="69"/>
    </row>
    <row r="691" spans="1:54" customFormat="1" ht="40" customHeight="1">
      <c r="A691" s="313">
        <v>690</v>
      </c>
      <c r="B691" s="136" t="s">
        <v>1871</v>
      </c>
      <c r="C691" s="136" t="s">
        <v>119</v>
      </c>
      <c r="D691" s="31">
        <f t="shared" si="46"/>
        <v>1</v>
      </c>
      <c r="E691" s="137" t="s">
        <v>46</v>
      </c>
      <c r="F691" s="31">
        <f t="shared" si="47"/>
        <v>6</v>
      </c>
      <c r="G691" s="137" t="s">
        <v>1904</v>
      </c>
      <c r="H691" s="138">
        <v>73</v>
      </c>
      <c r="I691" s="158">
        <f t="shared" si="48"/>
        <v>0.84554431131317198</v>
      </c>
      <c r="J691" s="95">
        <v>0.99999999974424003</v>
      </c>
      <c r="K691" s="137">
        <v>0.69108862288210404</v>
      </c>
      <c r="L691" s="137">
        <v>0.61983471074380203</v>
      </c>
      <c r="M691" s="137">
        <v>0.79796949108955795</v>
      </c>
      <c r="N691" s="136">
        <v>1</v>
      </c>
      <c r="O691" s="32">
        <v>43039</v>
      </c>
      <c r="P691" s="98">
        <f t="shared" si="49"/>
        <v>1</v>
      </c>
      <c r="Q691">
        <v>0</v>
      </c>
      <c r="R691">
        <v>3.3</v>
      </c>
      <c r="S691">
        <v>0</v>
      </c>
      <c r="T691" s="112" t="s">
        <v>73</v>
      </c>
      <c r="U691" s="137" t="s">
        <v>1905</v>
      </c>
      <c r="V691" s="137" t="s">
        <v>1906</v>
      </c>
      <c r="W691" s="69">
        <v>195</v>
      </c>
      <c r="X691" s="136">
        <v>1</v>
      </c>
      <c r="Y691" s="136">
        <v>2</v>
      </c>
      <c r="Z691" s="314"/>
      <c r="AA691" s="319">
        <v>0.5</v>
      </c>
      <c r="AB691" s="315" t="s">
        <v>5176</v>
      </c>
      <c r="AC691" s="319">
        <v>2</v>
      </c>
      <c r="AD691" s="320">
        <v>1.7857142857142801E-2</v>
      </c>
      <c r="AE691" s="319">
        <v>3</v>
      </c>
      <c r="AF691" s="320">
        <v>2.6785714285714201E-2</v>
      </c>
      <c r="AG691" s="319">
        <v>1</v>
      </c>
      <c r="AH691" s="320">
        <v>8.9285714285714194E-3</v>
      </c>
      <c r="AI691" s="319">
        <v>0</v>
      </c>
      <c r="AJ691" s="320">
        <v>0</v>
      </c>
      <c r="AK691" s="320">
        <v>2.6785714285714281E-2</v>
      </c>
      <c r="AL691" s="319">
        <v>5</v>
      </c>
      <c r="AM691" s="319">
        <v>5</v>
      </c>
      <c r="AN691" s="319">
        <v>2</v>
      </c>
      <c r="AO691" s="319">
        <v>0.4</v>
      </c>
      <c r="AP691">
        <v>2</v>
      </c>
      <c r="AR691" s="136">
        <v>2</v>
      </c>
      <c r="AT691" s="69">
        <v>2.3148</v>
      </c>
      <c r="AU691" s="69">
        <v>2.3148</v>
      </c>
      <c r="AV691" s="69">
        <v>2.3148</v>
      </c>
      <c r="AW691" s="69">
        <v>0.23150000000000001</v>
      </c>
      <c r="BB691" s="69"/>
    </row>
    <row r="692" spans="1:54" customFormat="1" ht="40" customHeight="1">
      <c r="A692" s="313">
        <v>691</v>
      </c>
      <c r="B692" s="136" t="s">
        <v>1871</v>
      </c>
      <c r="C692" s="136" t="s">
        <v>45</v>
      </c>
      <c r="D692" s="31">
        <f t="shared" si="46"/>
        <v>4</v>
      </c>
      <c r="E692" s="137" t="s">
        <v>46</v>
      </c>
      <c r="F692" s="31">
        <f t="shared" si="47"/>
        <v>6</v>
      </c>
      <c r="G692" s="137" t="s">
        <v>1907</v>
      </c>
      <c r="H692" s="138">
        <v>294</v>
      </c>
      <c r="I692" s="158">
        <f t="shared" si="48"/>
        <v>0.91856724935467793</v>
      </c>
      <c r="J692" s="95">
        <v>0.99980890583770898</v>
      </c>
      <c r="K692" s="137">
        <v>0.83732559287164698</v>
      </c>
      <c r="L692" s="137">
        <v>0.99824999999999997</v>
      </c>
      <c r="M692" s="137">
        <v>0.59593898217911601</v>
      </c>
      <c r="N692" s="136">
        <v>0</v>
      </c>
      <c r="O692" s="32">
        <v>42843</v>
      </c>
      <c r="P692" s="98">
        <f t="shared" si="49"/>
        <v>0</v>
      </c>
      <c r="Q692">
        <v>2.5499999999999998</v>
      </c>
      <c r="R692">
        <v>3.3</v>
      </c>
      <c r="S692">
        <v>1.87</v>
      </c>
      <c r="T692" s="112" t="s">
        <v>48</v>
      </c>
      <c r="U692" s="137" t="s">
        <v>1908</v>
      </c>
      <c r="V692" s="137" t="s">
        <v>1909</v>
      </c>
      <c r="W692" s="69">
        <v>93</v>
      </c>
      <c r="X692" s="136">
        <v>2</v>
      </c>
      <c r="Y692" s="136">
        <v>8</v>
      </c>
      <c r="Z692" s="314"/>
      <c r="AA692" s="319">
        <v>0.43057851239669398</v>
      </c>
      <c r="AB692" s="315" t="s">
        <v>5176</v>
      </c>
      <c r="AC692" s="319">
        <v>1</v>
      </c>
      <c r="AD692" s="320">
        <v>1.9607843137254902E-2</v>
      </c>
      <c r="AE692" s="319">
        <v>5</v>
      </c>
      <c r="AF692" s="320">
        <v>9.8039215686274495E-2</v>
      </c>
      <c r="AG692" s="319">
        <v>0</v>
      </c>
      <c r="AH692" s="320">
        <v>0</v>
      </c>
      <c r="AI692" s="319">
        <v>0</v>
      </c>
      <c r="AJ692" s="320">
        <v>0</v>
      </c>
      <c r="AK692" s="320">
        <v>1.9607843137254902E-2</v>
      </c>
      <c r="AL692" s="319">
        <v>5</v>
      </c>
      <c r="AM692" s="319">
        <v>5</v>
      </c>
      <c r="AN692" s="319">
        <v>7.6666666666666599</v>
      </c>
      <c r="AO692" s="319">
        <v>0.58888888888888802</v>
      </c>
      <c r="AP692">
        <v>8</v>
      </c>
      <c r="AR692" s="136">
        <v>8</v>
      </c>
      <c r="AT692" s="69">
        <v>2.3148</v>
      </c>
      <c r="AU692" s="69">
        <v>2.3148</v>
      </c>
      <c r="AV692" s="69">
        <v>9.8867999999999991</v>
      </c>
      <c r="AW692" s="69">
        <v>0.4839</v>
      </c>
      <c r="BB692" s="69"/>
    </row>
    <row r="693" spans="1:54" customFormat="1" ht="40" customHeight="1">
      <c r="A693" s="313">
        <v>692</v>
      </c>
      <c r="B693" s="136" t="s">
        <v>1871</v>
      </c>
      <c r="C693" s="136" t="s">
        <v>45</v>
      </c>
      <c r="D693" s="31">
        <f t="shared" si="46"/>
        <v>4</v>
      </c>
      <c r="E693" s="137" t="s">
        <v>46</v>
      </c>
      <c r="F693" s="31">
        <f t="shared" si="47"/>
        <v>6</v>
      </c>
      <c r="G693" s="137" t="s">
        <v>1910</v>
      </c>
      <c r="H693" s="138">
        <v>86</v>
      </c>
      <c r="I693" s="158">
        <f t="shared" si="48"/>
        <v>0.4467534481904335</v>
      </c>
      <c r="J693" s="95">
        <v>0.25731588991080701</v>
      </c>
      <c r="K693" s="137">
        <v>0.63619100647005999</v>
      </c>
      <c r="L693" s="137">
        <v>0.75</v>
      </c>
      <c r="M693" s="137">
        <v>0.46547751617515098</v>
      </c>
      <c r="N693" s="136">
        <v>1</v>
      </c>
      <c r="O693" s="32">
        <v>42622</v>
      </c>
      <c r="P693" s="98">
        <f t="shared" si="49"/>
        <v>2</v>
      </c>
      <c r="Q693">
        <v>0</v>
      </c>
      <c r="R693">
        <v>0</v>
      </c>
      <c r="S693">
        <v>0</v>
      </c>
      <c r="T693" s="112" t="s">
        <v>64</v>
      </c>
      <c r="U693" s="137" t="s">
        <v>1911</v>
      </c>
      <c r="V693" s="137" t="s">
        <v>1912</v>
      </c>
      <c r="W693" s="69">
        <v>90</v>
      </c>
      <c r="X693" s="136">
        <v>1</v>
      </c>
      <c r="Y693" s="136">
        <v>14</v>
      </c>
      <c r="Z693" s="314"/>
      <c r="AA693" s="319">
        <v>0.5</v>
      </c>
      <c r="AB693" s="315" t="s">
        <v>5169</v>
      </c>
      <c r="AC693" s="319">
        <v>2</v>
      </c>
      <c r="AD693" s="320">
        <v>3.7735849056603703E-2</v>
      </c>
      <c r="AE693" s="319">
        <v>1</v>
      </c>
      <c r="AF693" s="320">
        <v>1.8867924528301799E-2</v>
      </c>
      <c r="AG693" s="319">
        <v>2</v>
      </c>
      <c r="AH693" s="320">
        <v>3.7735849056603703E-2</v>
      </c>
      <c r="AI693" s="319">
        <v>0</v>
      </c>
      <c r="AJ693" s="320">
        <v>0</v>
      </c>
      <c r="AK693" s="320">
        <v>0</v>
      </c>
      <c r="AL693" s="319">
        <v>5</v>
      </c>
      <c r="AM693" s="319">
        <v>5</v>
      </c>
      <c r="AN693" s="319">
        <v>2</v>
      </c>
      <c r="AO693" s="319">
        <v>0.4</v>
      </c>
      <c r="AP693">
        <v>14</v>
      </c>
      <c r="AR693" s="136">
        <v>14</v>
      </c>
      <c r="AT693" s="69">
        <v>2.3148</v>
      </c>
      <c r="AU693" s="69">
        <v>2.3148</v>
      </c>
      <c r="AV693" s="69">
        <v>2.3148</v>
      </c>
      <c r="AW693" s="69">
        <v>0.23150000000000001</v>
      </c>
      <c r="BB693" s="69"/>
    </row>
    <row r="694" spans="1:54" customFormat="1" ht="40" customHeight="1">
      <c r="A694" s="313">
        <v>693</v>
      </c>
      <c r="B694" s="136" t="s">
        <v>1913</v>
      </c>
      <c r="C694" s="136" t="s">
        <v>45</v>
      </c>
      <c r="D694" s="31">
        <f t="shared" si="46"/>
        <v>4</v>
      </c>
      <c r="E694" s="137" t="s">
        <v>80</v>
      </c>
      <c r="F694" s="31">
        <f t="shared" si="47"/>
        <v>4</v>
      </c>
      <c r="G694" s="137" t="s">
        <v>1914</v>
      </c>
      <c r="H694" s="138">
        <f>LEN(U694)</f>
        <v>127</v>
      </c>
      <c r="I694" s="158">
        <f t="shared" si="48"/>
        <v>0.40840855276391985</v>
      </c>
      <c r="J694" s="95">
        <v>2.6293090920167499E-3</v>
      </c>
      <c r="K694" s="137">
        <v>0.81418779643582295</v>
      </c>
      <c r="L694" s="137">
        <v>0.82499999999999996</v>
      </c>
      <c r="M694" s="137">
        <v>0.79796949108955795</v>
      </c>
      <c r="N694" s="136">
        <v>1</v>
      </c>
      <c r="O694" s="32">
        <v>44165</v>
      </c>
      <c r="P694" s="98">
        <f t="shared" si="49"/>
        <v>1</v>
      </c>
      <c r="Q694">
        <v>2.5499999999999998</v>
      </c>
      <c r="R694">
        <v>0</v>
      </c>
      <c r="S694">
        <v>0</v>
      </c>
      <c r="T694" s="112" t="s">
        <v>73</v>
      </c>
      <c r="U694" s="137" t="s">
        <v>1915</v>
      </c>
      <c r="V694" s="137" t="s">
        <v>1916</v>
      </c>
      <c r="W694" s="69">
        <f>LEN(V694)</f>
        <v>148</v>
      </c>
      <c r="X694" s="136">
        <v>2</v>
      </c>
      <c r="Y694" s="136">
        <v>2</v>
      </c>
      <c r="Z694" s="314"/>
      <c r="AA694" s="319">
        <v>0.54500000000000004</v>
      </c>
      <c r="AB694" s="315" t="s">
        <v>5176</v>
      </c>
      <c r="AC694" s="319">
        <v>1</v>
      </c>
      <c r="AD694" s="320">
        <v>1.1764705882352899E-2</v>
      </c>
      <c r="AE694" s="319">
        <v>2</v>
      </c>
      <c r="AF694" s="320">
        <v>2.3529411764705799E-2</v>
      </c>
      <c r="AG694" s="319">
        <v>0</v>
      </c>
      <c r="AH694" s="320">
        <v>0</v>
      </c>
      <c r="AI694" s="319">
        <v>0</v>
      </c>
      <c r="AJ694" s="320">
        <v>0</v>
      </c>
      <c r="AK694" s="320">
        <v>0</v>
      </c>
      <c r="AL694" s="319">
        <v>5</v>
      </c>
      <c r="AM694" s="319">
        <v>5</v>
      </c>
      <c r="AN694" s="319">
        <v>4.6666666666666599</v>
      </c>
      <c r="AO694" s="319">
        <v>0.48888888888888798</v>
      </c>
      <c r="AP694">
        <v>2</v>
      </c>
      <c r="AR694" s="136">
        <v>2</v>
      </c>
      <c r="AT694" s="69">
        <v>2.3148</v>
      </c>
      <c r="AU694" s="69">
        <v>2.3148</v>
      </c>
      <c r="AV694" s="69">
        <v>8.1305999999999994</v>
      </c>
      <c r="AW694" s="69">
        <v>0.42530000000000001</v>
      </c>
      <c r="BB694" s="69"/>
    </row>
    <row r="695" spans="1:54" customFormat="1" ht="40" customHeight="1">
      <c r="A695" s="313">
        <v>694</v>
      </c>
      <c r="B695" s="136" t="s">
        <v>1913</v>
      </c>
      <c r="C695" s="136" t="s">
        <v>45</v>
      </c>
      <c r="D695" s="31">
        <f t="shared" si="46"/>
        <v>4</v>
      </c>
      <c r="E695" s="137" t="s">
        <v>46</v>
      </c>
      <c r="F695" s="31">
        <f t="shared" si="47"/>
        <v>6</v>
      </c>
      <c r="G695" s="137" t="s">
        <v>1917</v>
      </c>
      <c r="H695" s="138">
        <f>LEN(U695)</f>
        <v>121</v>
      </c>
      <c r="I695" s="158">
        <f t="shared" si="48"/>
        <v>0.59758065536286453</v>
      </c>
      <c r="J695" s="95">
        <v>0.44413564258680799</v>
      </c>
      <c r="K695" s="137">
        <v>0.75102566813892102</v>
      </c>
      <c r="L695" s="137">
        <v>0.75</v>
      </c>
      <c r="M695" s="137">
        <v>0.75256417034730305</v>
      </c>
      <c r="N695" s="136">
        <v>1</v>
      </c>
      <c r="O695" s="32">
        <v>44128</v>
      </c>
      <c r="P695" s="98">
        <f t="shared" si="49"/>
        <v>0</v>
      </c>
      <c r="Q695">
        <v>0</v>
      </c>
      <c r="R695">
        <v>1.65</v>
      </c>
      <c r="S695">
        <v>0</v>
      </c>
      <c r="T695" s="112" t="s">
        <v>48</v>
      </c>
      <c r="U695" s="137" t="s">
        <v>1918</v>
      </c>
      <c r="V695" s="137" t="s">
        <v>1919</v>
      </c>
      <c r="W695" s="69">
        <f>LEN(V695)</f>
        <v>121</v>
      </c>
      <c r="X695" s="136">
        <v>0</v>
      </c>
      <c r="Y695" s="136">
        <v>3</v>
      </c>
      <c r="Z695" s="314"/>
      <c r="AA695" s="319">
        <v>0.55000000000000004</v>
      </c>
      <c r="AB695" s="315" t="s">
        <v>5176</v>
      </c>
      <c r="AC695" s="319">
        <v>0</v>
      </c>
      <c r="AD695" s="320">
        <v>0</v>
      </c>
      <c r="AE695" s="319">
        <v>2</v>
      </c>
      <c r="AF695" s="320">
        <v>2.7397260273972601E-2</v>
      </c>
      <c r="AG695" s="319">
        <v>0</v>
      </c>
      <c r="AH695" s="320">
        <v>0</v>
      </c>
      <c r="AI695" s="319">
        <v>0</v>
      </c>
      <c r="AJ695" s="320">
        <v>0</v>
      </c>
      <c r="AK695" s="320">
        <v>1.3698630136986301E-2</v>
      </c>
      <c r="AL695" s="319">
        <v>5</v>
      </c>
      <c r="AM695" s="319">
        <v>6.2</v>
      </c>
      <c r="AN695" s="319">
        <v>2</v>
      </c>
      <c r="AO695" s="319">
        <v>0.44</v>
      </c>
      <c r="AR695" s="136">
        <v>3</v>
      </c>
      <c r="AT695" s="69">
        <v>2.3148</v>
      </c>
      <c r="AU695" s="69">
        <v>5</v>
      </c>
      <c r="AV695" s="69">
        <v>2.3148</v>
      </c>
      <c r="AW695" s="69">
        <v>0.32100000000000001</v>
      </c>
      <c r="BB695" s="69"/>
    </row>
    <row r="696" spans="1:54" customFormat="1" ht="40" customHeight="1">
      <c r="A696" s="313">
        <v>695</v>
      </c>
      <c r="B696" s="136" t="s">
        <v>1913</v>
      </c>
      <c r="C696" s="136" t="s">
        <v>45</v>
      </c>
      <c r="D696" s="31">
        <f t="shared" si="46"/>
        <v>4</v>
      </c>
      <c r="E696" s="137" t="s">
        <v>221</v>
      </c>
      <c r="F696" s="31">
        <f t="shared" si="47"/>
        <v>2</v>
      </c>
      <c r="G696" s="137" t="s">
        <v>1920</v>
      </c>
      <c r="H696" s="138">
        <v>99</v>
      </c>
      <c r="I696" s="158">
        <f t="shared" si="48"/>
        <v>0.31337675449428126</v>
      </c>
      <c r="J696" s="95">
        <v>2.0965763845748301E-4</v>
      </c>
      <c r="K696" s="137">
        <v>0.62654385135010504</v>
      </c>
      <c r="L696" s="137">
        <v>0.51226009152380303</v>
      </c>
      <c r="M696" s="137">
        <v>0.79796949108955795</v>
      </c>
      <c r="N696" s="136">
        <v>1</v>
      </c>
      <c r="O696" s="32">
        <v>43956</v>
      </c>
      <c r="P696" s="98">
        <f t="shared" si="49"/>
        <v>1</v>
      </c>
      <c r="Q696">
        <v>0</v>
      </c>
      <c r="R696">
        <v>1.65</v>
      </c>
      <c r="S696">
        <v>0</v>
      </c>
      <c r="T696" s="112" t="s">
        <v>73</v>
      </c>
      <c r="U696" s="137" t="s">
        <v>1921</v>
      </c>
      <c r="V696" s="137" t="s">
        <v>1922</v>
      </c>
      <c r="W696" s="69">
        <v>76</v>
      </c>
      <c r="X696" s="136">
        <v>1</v>
      </c>
      <c r="Y696" s="136">
        <v>2</v>
      </c>
      <c r="Z696" s="314"/>
      <c r="AA696" s="319">
        <v>9.98202319436013E-3</v>
      </c>
      <c r="AB696" s="315" t="s">
        <v>5176</v>
      </c>
      <c r="AC696" s="319">
        <v>0</v>
      </c>
      <c r="AD696" s="320">
        <v>0</v>
      </c>
      <c r="AE696" s="319">
        <v>2</v>
      </c>
      <c r="AF696" s="320">
        <v>4.2553191489361701E-2</v>
      </c>
      <c r="AG696" s="319">
        <v>1</v>
      </c>
      <c r="AH696" s="320">
        <v>2.1276595744680799E-2</v>
      </c>
      <c r="AI696" s="319">
        <v>0</v>
      </c>
      <c r="AJ696" s="320">
        <v>0</v>
      </c>
      <c r="AK696" s="320">
        <v>2.1276595744680851E-2</v>
      </c>
      <c r="AL696" s="319">
        <v>5</v>
      </c>
      <c r="AM696" s="319">
        <v>5</v>
      </c>
      <c r="AN696" s="319">
        <v>3.5</v>
      </c>
      <c r="AO696" s="319">
        <v>0.45</v>
      </c>
      <c r="AP696">
        <v>2</v>
      </c>
      <c r="AR696" s="136">
        <v>2</v>
      </c>
      <c r="AT696" s="69">
        <v>2.3148</v>
      </c>
      <c r="AU696" s="69">
        <v>2.3148</v>
      </c>
      <c r="AV696" s="69">
        <v>5.7443999999999997</v>
      </c>
      <c r="AW696" s="69">
        <v>0.3458</v>
      </c>
      <c r="BB696" s="69"/>
    </row>
    <row r="697" spans="1:54" customFormat="1" ht="40" customHeight="1">
      <c r="A697" s="313">
        <v>696</v>
      </c>
      <c r="B697" s="136" t="s">
        <v>1913</v>
      </c>
      <c r="C697" s="136" t="s">
        <v>45</v>
      </c>
      <c r="D697" s="31">
        <f t="shared" si="46"/>
        <v>4</v>
      </c>
      <c r="E697" s="137" t="s">
        <v>221</v>
      </c>
      <c r="F697" s="31">
        <f t="shared" si="47"/>
        <v>2</v>
      </c>
      <c r="G697" s="137" t="s">
        <v>1923</v>
      </c>
      <c r="H697" s="138">
        <v>140</v>
      </c>
      <c r="I697" s="158">
        <f t="shared" si="48"/>
        <v>0.21719007144904939</v>
      </c>
      <c r="J697" s="95">
        <v>6.6244467689102699E-9</v>
      </c>
      <c r="K697" s="137">
        <v>0.43438013627365202</v>
      </c>
      <c r="L697" s="137">
        <v>0.68181818181818199</v>
      </c>
      <c r="M697" s="137">
        <v>6.3223067956857101E-2</v>
      </c>
      <c r="N697" s="136">
        <v>1</v>
      </c>
      <c r="O697" s="32">
        <v>43849</v>
      </c>
      <c r="P697" s="98">
        <f t="shared" si="49"/>
        <v>1</v>
      </c>
      <c r="Q697">
        <v>0</v>
      </c>
      <c r="R697">
        <v>0</v>
      </c>
      <c r="S697">
        <v>0</v>
      </c>
      <c r="T697" s="112" t="s">
        <v>73</v>
      </c>
      <c r="U697" s="137" t="s">
        <v>1924</v>
      </c>
      <c r="V697" s="137" t="s">
        <v>1925</v>
      </c>
      <c r="W697" s="69">
        <v>197</v>
      </c>
      <c r="X697" s="136">
        <v>2</v>
      </c>
      <c r="Y697" s="136">
        <v>43</v>
      </c>
      <c r="Z697" s="314"/>
      <c r="AA697" s="319">
        <v>0.5</v>
      </c>
      <c r="AB697" s="315" t="s">
        <v>5169</v>
      </c>
      <c r="AC697" s="319">
        <v>1</v>
      </c>
      <c r="AD697" s="320">
        <v>9.2592592592592501E-3</v>
      </c>
      <c r="AE697" s="319">
        <v>0</v>
      </c>
      <c r="AF697" s="320">
        <v>0</v>
      </c>
      <c r="AG697" s="319">
        <v>1</v>
      </c>
      <c r="AH697" s="320">
        <v>9.2592592592592501E-3</v>
      </c>
      <c r="AI697" s="319">
        <v>0</v>
      </c>
      <c r="AJ697" s="320">
        <v>0</v>
      </c>
      <c r="AK697" s="320">
        <v>0</v>
      </c>
      <c r="AL697" s="319">
        <v>6.75</v>
      </c>
      <c r="AM697" s="319">
        <v>5</v>
      </c>
      <c r="AN697" s="319">
        <v>2</v>
      </c>
      <c r="AO697" s="319">
        <v>0.45833333333333298</v>
      </c>
      <c r="AP697">
        <v>43</v>
      </c>
      <c r="AQ697">
        <v>43</v>
      </c>
      <c r="AR697" s="136"/>
      <c r="AT697" s="69">
        <v>6.3414000000000001</v>
      </c>
      <c r="AU697" s="69">
        <v>2.3148</v>
      </c>
      <c r="AV697" s="69">
        <v>2.3148</v>
      </c>
      <c r="AW697" s="69">
        <v>0.36570000000000003</v>
      </c>
      <c r="BB697" s="69"/>
    </row>
    <row r="698" spans="1:54" customFormat="1" ht="40" customHeight="1">
      <c r="A698" s="313">
        <v>697</v>
      </c>
      <c r="B698" s="136" t="s">
        <v>1913</v>
      </c>
      <c r="C698" s="136" t="s">
        <v>45</v>
      </c>
      <c r="D698" s="31">
        <f t="shared" si="46"/>
        <v>4</v>
      </c>
      <c r="E698" s="137" t="s">
        <v>46</v>
      </c>
      <c r="F698" s="31">
        <f t="shared" si="47"/>
        <v>6</v>
      </c>
      <c r="G698" s="137" t="s">
        <v>1926</v>
      </c>
      <c r="H698" s="138">
        <v>58</v>
      </c>
      <c r="I698" s="158">
        <f t="shared" si="48"/>
        <v>0.29234124856125532</v>
      </c>
      <c r="J698" s="95">
        <v>1.07303343983867E-2</v>
      </c>
      <c r="K698" s="137">
        <v>0.57395216272412397</v>
      </c>
      <c r="L698" s="137">
        <v>0.61983471074380203</v>
      </c>
      <c r="M698" s="137">
        <v>0.50512834069460699</v>
      </c>
      <c r="N698" s="136">
        <v>1</v>
      </c>
      <c r="O698" s="32">
        <v>43747</v>
      </c>
      <c r="P698" s="98">
        <f t="shared" si="49"/>
        <v>1</v>
      </c>
      <c r="Q698">
        <v>0</v>
      </c>
      <c r="R698">
        <v>0</v>
      </c>
      <c r="S698">
        <v>0</v>
      </c>
      <c r="T698" s="112" t="s">
        <v>73</v>
      </c>
      <c r="U698" s="137" t="s">
        <v>1927</v>
      </c>
      <c r="V698" s="137" t="s">
        <v>1928</v>
      </c>
      <c r="W698" s="69">
        <v>48</v>
      </c>
      <c r="X698" s="136">
        <v>1</v>
      </c>
      <c r="Y698" s="136">
        <v>12</v>
      </c>
      <c r="Z698" s="314"/>
      <c r="AA698" s="319">
        <v>0.55000000000000004</v>
      </c>
      <c r="AB698" s="315" t="s">
        <v>5176</v>
      </c>
      <c r="AC698" s="319">
        <v>0</v>
      </c>
      <c r="AD698" s="320">
        <v>0</v>
      </c>
      <c r="AE698" s="319">
        <v>1</v>
      </c>
      <c r="AF698" s="320">
        <v>3.3333333333333298E-2</v>
      </c>
      <c r="AG698" s="319">
        <v>0</v>
      </c>
      <c r="AH698" s="320">
        <v>0</v>
      </c>
      <c r="AI698" s="319">
        <v>0</v>
      </c>
      <c r="AJ698" s="320">
        <v>0</v>
      </c>
      <c r="AK698" s="320">
        <v>0</v>
      </c>
      <c r="AL698" s="319">
        <v>5</v>
      </c>
      <c r="AM698" s="319">
        <v>6.2</v>
      </c>
      <c r="AN698" s="319">
        <v>2</v>
      </c>
      <c r="AO698" s="319">
        <v>0.44</v>
      </c>
      <c r="AP698">
        <v>12</v>
      </c>
      <c r="AR698" s="136">
        <v>12</v>
      </c>
      <c r="AT698" s="69">
        <v>2.3148</v>
      </c>
      <c r="AU698" s="69">
        <v>5</v>
      </c>
      <c r="AV698" s="69">
        <v>2.3148</v>
      </c>
      <c r="AW698" s="69">
        <v>0.32100000000000001</v>
      </c>
      <c r="BB698" s="69"/>
    </row>
    <row r="699" spans="1:54" customFormat="1" ht="40" customHeight="1">
      <c r="A699" s="313">
        <v>698</v>
      </c>
      <c r="B699" s="136" t="s">
        <v>1913</v>
      </c>
      <c r="C699" s="136" t="s">
        <v>45</v>
      </c>
      <c r="D699" s="31">
        <f t="shared" si="46"/>
        <v>4</v>
      </c>
      <c r="E699" s="137" t="s">
        <v>46</v>
      </c>
      <c r="F699" s="31">
        <f t="shared" si="47"/>
        <v>6</v>
      </c>
      <c r="G699" s="137" t="s">
        <v>1275</v>
      </c>
      <c r="H699" s="138">
        <v>52</v>
      </c>
      <c r="I699" s="158">
        <f t="shared" si="48"/>
        <v>0.36430681789401925</v>
      </c>
      <c r="J699" s="95">
        <v>3.34930261306488E-4</v>
      </c>
      <c r="K699" s="137">
        <v>0.72827870552673202</v>
      </c>
      <c r="L699" s="137">
        <v>0.68181818181818199</v>
      </c>
      <c r="M699" s="137">
        <v>0.79796949108955795</v>
      </c>
      <c r="N699" s="136">
        <v>1</v>
      </c>
      <c r="O699" s="32">
        <v>43695</v>
      </c>
      <c r="P699" s="98">
        <f t="shared" si="49"/>
        <v>0</v>
      </c>
      <c r="Q699">
        <v>2.5499999999999998</v>
      </c>
      <c r="R699">
        <v>0</v>
      </c>
      <c r="S699">
        <v>0</v>
      </c>
      <c r="T699" s="112" t="s">
        <v>48</v>
      </c>
      <c r="U699" s="137" t="s">
        <v>1276</v>
      </c>
      <c r="V699" s="137" t="s">
        <v>1277</v>
      </c>
      <c r="W699" s="69">
        <v>82</v>
      </c>
      <c r="X699" s="136">
        <v>1</v>
      </c>
      <c r="Y699" s="136">
        <v>2</v>
      </c>
      <c r="Z699" s="314"/>
      <c r="AA699" s="319">
        <v>0.5</v>
      </c>
      <c r="AB699" s="315" t="s">
        <v>5176</v>
      </c>
      <c r="AC699" s="319">
        <v>0</v>
      </c>
      <c r="AD699" s="320">
        <v>0</v>
      </c>
      <c r="AE699" s="319">
        <v>1</v>
      </c>
      <c r="AF699" s="320">
        <v>2.04081632653061E-2</v>
      </c>
      <c r="AG699" s="319">
        <v>0</v>
      </c>
      <c r="AH699" s="320">
        <v>0</v>
      </c>
      <c r="AI699" s="319">
        <v>0</v>
      </c>
      <c r="AJ699" s="320">
        <v>0</v>
      </c>
      <c r="AK699" s="320">
        <v>2.0408163265306121E-2</v>
      </c>
      <c r="AL699" s="319">
        <v>5</v>
      </c>
      <c r="AM699" s="319">
        <v>5</v>
      </c>
      <c r="AN699" s="319">
        <v>2</v>
      </c>
      <c r="AO699" s="319">
        <v>0.4</v>
      </c>
      <c r="AP699">
        <v>2</v>
      </c>
      <c r="AR699" s="136">
        <v>2</v>
      </c>
      <c r="AT699" s="69">
        <v>2.3148</v>
      </c>
      <c r="AU699" s="69">
        <v>2.3148</v>
      </c>
      <c r="AV699" s="69">
        <v>2.3148</v>
      </c>
      <c r="AW699" s="69">
        <v>0.23150000000000001</v>
      </c>
      <c r="BB699" s="69"/>
    </row>
    <row r="700" spans="1:54" customFormat="1" ht="40" customHeight="1">
      <c r="A700" s="313">
        <v>699</v>
      </c>
      <c r="B700" s="136" t="s">
        <v>1913</v>
      </c>
      <c r="C700" s="136" t="s">
        <v>45</v>
      </c>
      <c r="D700" s="31">
        <f t="shared" si="46"/>
        <v>4</v>
      </c>
      <c r="E700" s="137" t="s">
        <v>46</v>
      </c>
      <c r="F700" s="31">
        <f t="shared" si="47"/>
        <v>6</v>
      </c>
      <c r="G700" s="137" t="s">
        <v>1929</v>
      </c>
      <c r="H700" s="138">
        <v>29</v>
      </c>
      <c r="I700" s="158">
        <f t="shared" si="48"/>
        <v>0.47619153116751828</v>
      </c>
      <c r="J700" s="95">
        <v>6.5025919477893601E-2</v>
      </c>
      <c r="K700" s="137">
        <v>0.88735714285714296</v>
      </c>
      <c r="L700" s="137">
        <v>0.90749999999999997</v>
      </c>
      <c r="M700" s="137">
        <v>0.85714285714285698</v>
      </c>
      <c r="N700" s="136">
        <v>1</v>
      </c>
      <c r="O700" s="32">
        <v>43584</v>
      </c>
      <c r="P700" s="98">
        <f t="shared" si="49"/>
        <v>0</v>
      </c>
      <c r="Q700">
        <v>0</v>
      </c>
      <c r="R700">
        <v>0</v>
      </c>
      <c r="S700">
        <v>0</v>
      </c>
      <c r="T700" s="112" t="s">
        <v>48</v>
      </c>
      <c r="U700" s="137" t="s">
        <v>1930</v>
      </c>
      <c r="V700" s="137" t="s">
        <v>1931</v>
      </c>
      <c r="W700" s="69">
        <v>86</v>
      </c>
      <c r="X700" s="136">
        <v>1</v>
      </c>
      <c r="Y700" s="136">
        <v>1</v>
      </c>
      <c r="Z700" s="314"/>
      <c r="AA700" s="319">
        <v>0.54500000000000004</v>
      </c>
      <c r="AB700" s="315" t="s">
        <v>5178</v>
      </c>
      <c r="AC700" s="319">
        <v>2</v>
      </c>
      <c r="AD700" s="320">
        <v>0.04</v>
      </c>
      <c r="AE700" s="319">
        <v>2</v>
      </c>
      <c r="AF700" s="320">
        <v>0.04</v>
      </c>
      <c r="AG700" s="319">
        <v>1</v>
      </c>
      <c r="AH700" s="320">
        <v>0.02</v>
      </c>
      <c r="AI700" s="319">
        <v>0</v>
      </c>
      <c r="AJ700" s="320">
        <v>0</v>
      </c>
      <c r="AK700" s="320">
        <v>0</v>
      </c>
      <c r="AL700" s="319">
        <v>5</v>
      </c>
      <c r="AM700" s="319">
        <v>5</v>
      </c>
      <c r="AN700" s="319">
        <v>5</v>
      </c>
      <c r="AO700" s="319">
        <v>0.5</v>
      </c>
      <c r="AP700">
        <v>1</v>
      </c>
      <c r="AR700" s="136">
        <v>1</v>
      </c>
      <c r="AT700" s="69">
        <v>2.3148</v>
      </c>
      <c r="AU700" s="69">
        <v>2.3148</v>
      </c>
      <c r="AV700" s="69">
        <v>8.5815000000000001</v>
      </c>
      <c r="AW700" s="69">
        <v>0.44040000000000001</v>
      </c>
      <c r="BB700" s="69"/>
    </row>
    <row r="701" spans="1:54" customFormat="1" ht="40" customHeight="1">
      <c r="A701" s="313">
        <v>700</v>
      </c>
      <c r="B701" s="136" t="s">
        <v>1913</v>
      </c>
      <c r="C701" s="136" t="s">
        <v>59</v>
      </c>
      <c r="D701" s="31">
        <f t="shared" si="46"/>
        <v>5</v>
      </c>
      <c r="E701" s="137" t="s">
        <v>46</v>
      </c>
      <c r="F701" s="31">
        <f t="shared" si="47"/>
        <v>6</v>
      </c>
      <c r="G701" s="137" t="s">
        <v>1932</v>
      </c>
      <c r="H701" s="138">
        <v>101</v>
      </c>
      <c r="I701" s="158">
        <f t="shared" si="48"/>
        <v>0.44114794994683099</v>
      </c>
      <c r="J701" s="95">
        <v>0.24317857134903101</v>
      </c>
      <c r="K701" s="137">
        <v>0.63911732854463099</v>
      </c>
      <c r="L701" s="137">
        <v>0.56348610067618299</v>
      </c>
      <c r="M701" s="137">
        <v>0.75256417034730305</v>
      </c>
      <c r="N701" s="136">
        <v>1</v>
      </c>
      <c r="O701" s="32">
        <v>43582</v>
      </c>
      <c r="P701" s="98">
        <f t="shared" si="49"/>
        <v>1</v>
      </c>
      <c r="Q701">
        <v>0</v>
      </c>
      <c r="R701">
        <v>1.65</v>
      </c>
      <c r="S701">
        <v>0</v>
      </c>
      <c r="T701" s="112" t="s">
        <v>73</v>
      </c>
      <c r="U701" s="137" t="s">
        <v>1933</v>
      </c>
      <c r="V701" s="137" t="s">
        <v>1931</v>
      </c>
      <c r="W701" s="69">
        <v>86</v>
      </c>
      <c r="X701" s="136">
        <v>2</v>
      </c>
      <c r="Y701" s="136">
        <v>3</v>
      </c>
      <c r="Z701" s="314"/>
      <c r="AA701" s="319">
        <v>2.2630485621756301E-2</v>
      </c>
      <c r="AB701" s="315" t="s">
        <v>5178</v>
      </c>
      <c r="AC701" s="319">
        <v>2</v>
      </c>
      <c r="AD701" s="320">
        <v>0.04</v>
      </c>
      <c r="AE701" s="319">
        <v>2</v>
      </c>
      <c r="AF701" s="320">
        <v>0.04</v>
      </c>
      <c r="AG701" s="319">
        <v>1</v>
      </c>
      <c r="AH701" s="320">
        <v>0.02</v>
      </c>
      <c r="AI701" s="319">
        <v>0</v>
      </c>
      <c r="AJ701" s="320">
        <v>0</v>
      </c>
      <c r="AK701" s="320">
        <v>0</v>
      </c>
      <c r="AL701" s="319">
        <v>5</v>
      </c>
      <c r="AM701" s="319">
        <v>5</v>
      </c>
      <c r="AN701" s="319">
        <v>2</v>
      </c>
      <c r="AO701" s="319">
        <v>0.4</v>
      </c>
      <c r="AP701">
        <v>3</v>
      </c>
      <c r="AQ701">
        <v>3</v>
      </c>
      <c r="AR701" s="136"/>
      <c r="AT701" s="69">
        <v>2.3148</v>
      </c>
      <c r="AU701" s="69">
        <v>2.3148</v>
      </c>
      <c r="AV701" s="69">
        <v>2.3148</v>
      </c>
      <c r="AW701" s="69">
        <v>0.23150000000000001</v>
      </c>
      <c r="BB701" s="69"/>
    </row>
    <row r="702" spans="1:54" customFormat="1" ht="40" customHeight="1">
      <c r="A702" s="313">
        <v>701</v>
      </c>
      <c r="B702" s="136" t="s">
        <v>1913</v>
      </c>
      <c r="C702" s="136" t="s">
        <v>45</v>
      </c>
      <c r="D702" s="31">
        <f t="shared" si="46"/>
        <v>4</v>
      </c>
      <c r="E702" s="137" t="s">
        <v>46</v>
      </c>
      <c r="F702" s="31">
        <f t="shared" si="47"/>
        <v>6</v>
      </c>
      <c r="G702" s="137" t="s">
        <v>1934</v>
      </c>
      <c r="H702" s="138">
        <v>22</v>
      </c>
      <c r="I702" s="158">
        <f t="shared" si="48"/>
        <v>0.3379930438334689</v>
      </c>
      <c r="J702" s="95">
        <v>3.9795081196877802E-2</v>
      </c>
      <c r="K702" s="137">
        <v>0.63619100647005999</v>
      </c>
      <c r="L702" s="137">
        <v>0.75</v>
      </c>
      <c r="M702" s="137">
        <v>0.46547751617515098</v>
      </c>
      <c r="N702" s="136">
        <v>1</v>
      </c>
      <c r="O702" s="32">
        <v>43529</v>
      </c>
      <c r="P702" s="98">
        <f t="shared" si="49"/>
        <v>2</v>
      </c>
      <c r="Q702">
        <v>0</v>
      </c>
      <c r="R702">
        <v>0</v>
      </c>
      <c r="S702">
        <v>0</v>
      </c>
      <c r="T702" s="112" t="s">
        <v>64</v>
      </c>
      <c r="U702" s="137" t="s">
        <v>1935</v>
      </c>
      <c r="V702" s="137" t="s">
        <v>1936</v>
      </c>
      <c r="W702" s="69">
        <v>66</v>
      </c>
      <c r="X702" s="136">
        <v>1</v>
      </c>
      <c r="Y702" s="136">
        <v>14</v>
      </c>
      <c r="Z702" s="314"/>
      <c r="AA702" s="319">
        <v>0.5</v>
      </c>
      <c r="AB702" s="315" t="s">
        <v>5167</v>
      </c>
      <c r="AC702" s="319">
        <v>1</v>
      </c>
      <c r="AD702" s="320">
        <v>2.6315789473684199E-2</v>
      </c>
      <c r="AE702" s="319">
        <v>1</v>
      </c>
      <c r="AF702" s="320">
        <v>2.6315789473684199E-2</v>
      </c>
      <c r="AG702" s="319">
        <v>1</v>
      </c>
      <c r="AH702" s="320">
        <v>2.6315789473684199E-2</v>
      </c>
      <c r="AI702" s="319">
        <v>3</v>
      </c>
      <c r="AJ702" s="320">
        <v>7.8947368421052599E-2</v>
      </c>
      <c r="AK702" s="320">
        <v>2.6315789473684209E-2</v>
      </c>
      <c r="AL702" s="319">
        <v>5</v>
      </c>
      <c r="AM702" s="319">
        <v>5</v>
      </c>
      <c r="AN702" s="319">
        <v>2</v>
      </c>
      <c r="AO702" s="319">
        <v>0.4</v>
      </c>
      <c r="AP702">
        <v>14</v>
      </c>
      <c r="AQ702">
        <v>14</v>
      </c>
      <c r="AR702" s="136"/>
      <c r="AT702" s="69">
        <v>2.3148</v>
      </c>
      <c r="AU702" s="69">
        <v>2.3148</v>
      </c>
      <c r="AV702" s="69">
        <v>2.3148</v>
      </c>
      <c r="AW702" s="69">
        <v>0.23150000000000001</v>
      </c>
      <c r="BB702" s="69"/>
    </row>
    <row r="703" spans="1:54" customFormat="1" ht="40" customHeight="1">
      <c r="A703" s="313">
        <v>702</v>
      </c>
      <c r="B703" s="136" t="s">
        <v>1913</v>
      </c>
      <c r="C703" s="136" t="s">
        <v>45</v>
      </c>
      <c r="D703" s="31">
        <f t="shared" si="46"/>
        <v>4</v>
      </c>
      <c r="E703" s="137" t="s">
        <v>46</v>
      </c>
      <c r="F703" s="31">
        <f t="shared" si="47"/>
        <v>6</v>
      </c>
      <c r="G703" s="137" t="s">
        <v>1937</v>
      </c>
      <c r="H703" s="138">
        <v>68</v>
      </c>
      <c r="I703" s="158">
        <f t="shared" si="48"/>
        <v>0.79747024761771601</v>
      </c>
      <c r="J703" s="95">
        <v>0.85922620952114603</v>
      </c>
      <c r="K703" s="137">
        <v>0.73571428571428599</v>
      </c>
      <c r="L703" s="137">
        <v>0.75</v>
      </c>
      <c r="M703" s="137">
        <v>0.71428571428571397</v>
      </c>
      <c r="N703" s="136">
        <v>1</v>
      </c>
      <c r="O703" s="32">
        <v>43471</v>
      </c>
      <c r="P703" s="98">
        <f t="shared" si="49"/>
        <v>0</v>
      </c>
      <c r="Q703">
        <v>2.5499999999999998</v>
      </c>
      <c r="R703">
        <v>0</v>
      </c>
      <c r="S703">
        <v>0</v>
      </c>
      <c r="T703" s="112" t="s">
        <v>48</v>
      </c>
      <c r="U703" s="137" t="s">
        <v>1938</v>
      </c>
      <c r="V703" s="137" t="s">
        <v>1939</v>
      </c>
      <c r="W703" s="69">
        <v>28</v>
      </c>
      <c r="X703" s="136">
        <v>2</v>
      </c>
      <c r="Y703" s="136">
        <v>4</v>
      </c>
      <c r="Z703" s="314"/>
      <c r="AA703" s="319">
        <v>0.5</v>
      </c>
      <c r="AB703" s="315" t="s">
        <v>5177</v>
      </c>
      <c r="AC703" s="319">
        <v>0</v>
      </c>
      <c r="AD703" s="320">
        <v>0</v>
      </c>
      <c r="AE703" s="319">
        <v>1</v>
      </c>
      <c r="AF703" s="320">
        <v>6.25E-2</v>
      </c>
      <c r="AG703" s="319">
        <v>1</v>
      </c>
      <c r="AH703" s="320">
        <v>6.25E-2</v>
      </c>
      <c r="AI703" s="319">
        <v>0</v>
      </c>
      <c r="AJ703" s="320">
        <v>0</v>
      </c>
      <c r="AK703" s="320">
        <v>6.25E-2</v>
      </c>
      <c r="AL703" s="319">
        <v>5</v>
      </c>
      <c r="AM703" s="319">
        <v>5</v>
      </c>
      <c r="AN703" s="319">
        <v>2</v>
      </c>
      <c r="AO703" s="319">
        <v>0.4</v>
      </c>
      <c r="AP703">
        <v>4</v>
      </c>
      <c r="AR703" s="136">
        <v>4</v>
      </c>
      <c r="AT703" s="69">
        <v>2.3148</v>
      </c>
      <c r="AU703" s="69">
        <v>2.3148</v>
      </c>
      <c r="AV703" s="69">
        <v>2.3148</v>
      </c>
      <c r="AW703" s="69">
        <v>0.23150000000000001</v>
      </c>
      <c r="BB703" s="69"/>
    </row>
    <row r="704" spans="1:54" customFormat="1" ht="40" customHeight="1">
      <c r="A704" s="313">
        <v>703</v>
      </c>
      <c r="B704" s="136" t="s">
        <v>1913</v>
      </c>
      <c r="C704" s="136" t="s">
        <v>119</v>
      </c>
      <c r="D704" s="31">
        <f t="shared" si="46"/>
        <v>1</v>
      </c>
      <c r="E704" s="137" t="s">
        <v>46</v>
      </c>
      <c r="F704" s="31">
        <f t="shared" si="47"/>
        <v>6</v>
      </c>
      <c r="G704" s="137" t="s">
        <v>1940</v>
      </c>
      <c r="H704" s="138">
        <v>73</v>
      </c>
      <c r="I704" s="158">
        <f t="shared" si="48"/>
        <v>0.4047062355569403</v>
      </c>
      <c r="J704" s="95">
        <v>4.0224674678057598E-2</v>
      </c>
      <c r="K704" s="137">
        <v>0.76918779643582302</v>
      </c>
      <c r="L704" s="137">
        <v>0.75</v>
      </c>
      <c r="M704" s="137">
        <v>0.79796949108955795</v>
      </c>
      <c r="N704" s="136">
        <v>1</v>
      </c>
      <c r="O704" s="32">
        <v>43459</v>
      </c>
      <c r="P704" s="98">
        <f t="shared" si="49"/>
        <v>0</v>
      </c>
      <c r="Q704">
        <v>2.5499999999999998</v>
      </c>
      <c r="R704">
        <v>1.65</v>
      </c>
      <c r="S704">
        <v>0</v>
      </c>
      <c r="T704" s="112" t="s">
        <v>48</v>
      </c>
      <c r="U704" s="137" t="s">
        <v>1941</v>
      </c>
      <c r="V704" s="137" t="s">
        <v>1942</v>
      </c>
      <c r="W704" s="69">
        <v>61</v>
      </c>
      <c r="X704" s="136">
        <v>3</v>
      </c>
      <c r="Y704" s="136">
        <v>2</v>
      </c>
      <c r="Z704" s="314"/>
      <c r="AA704" s="319">
        <v>0.59450000000000003</v>
      </c>
      <c r="AB704" s="315" t="s">
        <v>5168</v>
      </c>
      <c r="AC704" s="319">
        <v>0</v>
      </c>
      <c r="AD704" s="320">
        <v>0</v>
      </c>
      <c r="AE704" s="319">
        <v>1</v>
      </c>
      <c r="AF704" s="320">
        <v>2.7027027027027001E-2</v>
      </c>
      <c r="AG704" s="319">
        <v>2</v>
      </c>
      <c r="AH704" s="320">
        <v>5.4054054054054002E-2</v>
      </c>
      <c r="AI704" s="319">
        <v>0</v>
      </c>
      <c r="AJ704" s="320">
        <v>0</v>
      </c>
      <c r="AK704" s="320">
        <v>0</v>
      </c>
      <c r="AL704" s="319">
        <v>6.75</v>
      </c>
      <c r="AM704" s="319">
        <v>7.4</v>
      </c>
      <c r="AN704" s="319">
        <v>2</v>
      </c>
      <c r="AO704" s="319">
        <v>0.538333333333333</v>
      </c>
      <c r="AP704">
        <v>2</v>
      </c>
      <c r="AR704" s="136">
        <v>2</v>
      </c>
      <c r="AT704" s="69">
        <v>6.3414000000000001</v>
      </c>
      <c r="AU704" s="69">
        <v>7.6852</v>
      </c>
      <c r="AV704" s="69">
        <v>2.3148</v>
      </c>
      <c r="AW704" s="69">
        <v>0.54469999999999996</v>
      </c>
      <c r="BB704" s="69"/>
    </row>
    <row r="705" spans="1:54" customFormat="1" ht="40" customHeight="1">
      <c r="A705" s="313">
        <v>704</v>
      </c>
      <c r="B705" s="136" t="s">
        <v>1913</v>
      </c>
      <c r="C705" s="136" t="s">
        <v>59</v>
      </c>
      <c r="D705" s="31">
        <f t="shared" si="46"/>
        <v>5</v>
      </c>
      <c r="E705" s="137" t="s">
        <v>46</v>
      </c>
      <c r="F705" s="31">
        <f t="shared" si="47"/>
        <v>6</v>
      </c>
      <c r="G705" s="137" t="s">
        <v>1943</v>
      </c>
      <c r="H705" s="138">
        <v>59</v>
      </c>
      <c r="I705" s="158">
        <f t="shared" si="48"/>
        <v>0.90192546584960143</v>
      </c>
      <c r="J705" s="95">
        <v>0.99476002260829399</v>
      </c>
      <c r="K705" s="137">
        <v>0.80909090909090897</v>
      </c>
      <c r="L705" s="137">
        <v>0.68181818181818199</v>
      </c>
      <c r="M705" s="137">
        <v>1</v>
      </c>
      <c r="N705" s="136">
        <v>1</v>
      </c>
      <c r="O705" s="32">
        <v>43390</v>
      </c>
      <c r="P705" s="98">
        <f t="shared" si="49"/>
        <v>1</v>
      </c>
      <c r="Q705">
        <v>0</v>
      </c>
      <c r="R705">
        <v>0</v>
      </c>
      <c r="S705">
        <v>0</v>
      </c>
      <c r="T705" s="112" t="s">
        <v>73</v>
      </c>
      <c r="U705" s="137" t="s">
        <v>1944</v>
      </c>
      <c r="V705" s="137" t="s">
        <v>1945</v>
      </c>
      <c r="W705" s="69">
        <v>55</v>
      </c>
      <c r="X705" s="136">
        <v>1</v>
      </c>
      <c r="Y705" s="136">
        <v>0</v>
      </c>
      <c r="Z705" s="314"/>
      <c r="AA705" s="319">
        <v>0.5</v>
      </c>
      <c r="AB705" s="315" t="s">
        <v>5176</v>
      </c>
      <c r="AC705" s="319">
        <v>2</v>
      </c>
      <c r="AD705" s="320">
        <v>7.4074074074074001E-2</v>
      </c>
      <c r="AE705" s="319">
        <v>3</v>
      </c>
      <c r="AF705" s="320">
        <v>0.11111111111111099</v>
      </c>
      <c r="AG705" s="319">
        <v>0</v>
      </c>
      <c r="AH705" s="320">
        <v>0</v>
      </c>
      <c r="AI705" s="319">
        <v>0</v>
      </c>
      <c r="AJ705" s="320">
        <v>0</v>
      </c>
      <c r="AK705" s="320">
        <v>0</v>
      </c>
      <c r="AL705" s="319">
        <v>5</v>
      </c>
      <c r="AM705" s="319">
        <v>5</v>
      </c>
      <c r="AN705" s="319">
        <v>5</v>
      </c>
      <c r="AO705" s="319">
        <v>0.5</v>
      </c>
      <c r="AP705">
        <v>0</v>
      </c>
      <c r="AR705" s="136">
        <v>0</v>
      </c>
      <c r="AT705" s="69">
        <v>2.3148</v>
      </c>
      <c r="AU705" s="69">
        <v>2.3148</v>
      </c>
      <c r="AV705" s="69">
        <v>8.5815000000000001</v>
      </c>
      <c r="AW705" s="69">
        <v>0.44040000000000001</v>
      </c>
      <c r="BB705" s="69"/>
    </row>
    <row r="706" spans="1:54" customFormat="1" ht="40" customHeight="1">
      <c r="A706" s="313">
        <v>705</v>
      </c>
      <c r="B706" s="136" t="s">
        <v>1913</v>
      </c>
      <c r="C706" s="136" t="s">
        <v>45</v>
      </c>
      <c r="D706" s="31">
        <f t="shared" ref="D706:D769" si="50">IF(C706="投诉",4,IF(C706="建议",1,IF(C706="举报",2,IF(C706="求助",3,5))))</f>
        <v>4</v>
      </c>
      <c r="E706" s="137" t="s">
        <v>46</v>
      </c>
      <c r="F706" s="31">
        <f t="shared" ref="F706:F769" si="51">IF(E706="12345app",1,IF(E706="e福州app",2,IF(E706="qq",3,IF(E706="电话",4,IF(E706="短信",5,IF(E706="网站",6,IF(E706="微博",7,IF(E706="微信",8,9))))))))</f>
        <v>6</v>
      </c>
      <c r="G706" s="137" t="s">
        <v>1946</v>
      </c>
      <c r="H706" s="138">
        <v>140</v>
      </c>
      <c r="I706" s="158">
        <f t="shared" ref="I706:I769" si="52">(J706+K706)/2</f>
        <v>0.69742245050462448</v>
      </c>
      <c r="J706" s="95">
        <v>0.96907993091830402</v>
      </c>
      <c r="K706" s="137">
        <v>0.42576497009094499</v>
      </c>
      <c r="L706" s="137">
        <v>0.68181818181818199</v>
      </c>
      <c r="M706" s="137">
        <v>4.1685152500090097E-2</v>
      </c>
      <c r="N706" s="136">
        <v>0</v>
      </c>
      <c r="O706" s="32">
        <v>43336</v>
      </c>
      <c r="P706" s="98">
        <f t="shared" ref="P706:P769" si="53">IF(T706="利己",0,IF(T706="生态",2,1))</f>
        <v>2</v>
      </c>
      <c r="Q706">
        <v>0</v>
      </c>
      <c r="R706">
        <v>0</v>
      </c>
      <c r="S706">
        <v>0</v>
      </c>
      <c r="T706" s="112" t="s">
        <v>64</v>
      </c>
      <c r="U706" s="137" t="s">
        <v>1947</v>
      </c>
      <c r="V706" s="137" t="s">
        <v>1948</v>
      </c>
      <c r="W706" s="69">
        <v>45</v>
      </c>
      <c r="X706" s="136">
        <v>3</v>
      </c>
      <c r="Y706" s="136">
        <v>45</v>
      </c>
      <c r="Z706" s="314"/>
      <c r="AA706" s="319">
        <v>0.5</v>
      </c>
      <c r="AB706" s="315" t="s">
        <v>5168</v>
      </c>
      <c r="AC706" s="319">
        <v>0</v>
      </c>
      <c r="AD706" s="320">
        <v>0</v>
      </c>
      <c r="AE706" s="319">
        <v>0</v>
      </c>
      <c r="AF706" s="320">
        <v>0</v>
      </c>
      <c r="AG706" s="319">
        <v>1</v>
      </c>
      <c r="AH706" s="320">
        <v>3.8461538461538401E-2</v>
      </c>
      <c r="AI706" s="319">
        <v>0</v>
      </c>
      <c r="AJ706" s="320">
        <v>0</v>
      </c>
      <c r="AK706" s="320">
        <v>0</v>
      </c>
      <c r="AL706" s="319">
        <v>5</v>
      </c>
      <c r="AM706" s="319">
        <v>5</v>
      </c>
      <c r="AN706" s="319">
        <v>4.6666666666666599</v>
      </c>
      <c r="AO706" s="319">
        <v>0.48888888888888798</v>
      </c>
      <c r="AP706">
        <v>45</v>
      </c>
      <c r="AR706" s="136">
        <v>45</v>
      </c>
      <c r="AT706" s="69">
        <v>2.3148</v>
      </c>
      <c r="AU706" s="69">
        <v>2.3148</v>
      </c>
      <c r="AV706" s="69">
        <v>8.1305999999999994</v>
      </c>
      <c r="AW706" s="69">
        <v>0.42530000000000001</v>
      </c>
      <c r="BB706" s="69"/>
    </row>
    <row r="707" spans="1:54" customFormat="1" ht="40" customHeight="1">
      <c r="A707" s="313">
        <v>706</v>
      </c>
      <c r="B707" s="136" t="s">
        <v>1913</v>
      </c>
      <c r="C707" s="136" t="s">
        <v>45</v>
      </c>
      <c r="D707" s="31">
        <f t="shared" si="50"/>
        <v>4</v>
      </c>
      <c r="E707" s="137" t="s">
        <v>46</v>
      </c>
      <c r="F707" s="31">
        <f t="shared" si="51"/>
        <v>6</v>
      </c>
      <c r="G707" s="137" t="s">
        <v>1949</v>
      </c>
      <c r="H707" s="138">
        <v>47</v>
      </c>
      <c r="I707" s="158">
        <f t="shared" si="52"/>
        <v>0.46492443941878647</v>
      </c>
      <c r="J707" s="95">
        <v>0.19413459312328701</v>
      </c>
      <c r="K707" s="137">
        <v>0.73571428571428599</v>
      </c>
      <c r="L707" s="137">
        <v>0.75</v>
      </c>
      <c r="M707" s="137">
        <v>0.71428571428571397</v>
      </c>
      <c r="N707" s="136">
        <v>0</v>
      </c>
      <c r="O707" s="32">
        <v>43332</v>
      </c>
      <c r="P707" s="98">
        <f t="shared" si="53"/>
        <v>2</v>
      </c>
      <c r="Q707">
        <v>0</v>
      </c>
      <c r="R707">
        <v>0</v>
      </c>
      <c r="S707">
        <v>0</v>
      </c>
      <c r="T707" s="112" t="s">
        <v>64</v>
      </c>
      <c r="U707" s="137" t="s">
        <v>1950</v>
      </c>
      <c r="V707" s="137" t="s">
        <v>1951</v>
      </c>
      <c r="W707" s="69">
        <v>66</v>
      </c>
      <c r="X707" s="136">
        <v>1</v>
      </c>
      <c r="Y707" s="136">
        <v>4</v>
      </c>
      <c r="Z707" s="314"/>
      <c r="AA707" s="319">
        <v>0.5</v>
      </c>
      <c r="AB707" s="315" t="s">
        <v>5194</v>
      </c>
      <c r="AC707" s="319">
        <v>0</v>
      </c>
      <c r="AD707" s="320">
        <v>0</v>
      </c>
      <c r="AE707" s="319">
        <v>1</v>
      </c>
      <c r="AF707" s="320">
        <v>2.5641025641025599E-2</v>
      </c>
      <c r="AG707" s="319">
        <v>0</v>
      </c>
      <c r="AH707" s="320">
        <v>0</v>
      </c>
      <c r="AI707" s="319">
        <v>1</v>
      </c>
      <c r="AJ707" s="320">
        <v>2.5641025641025599E-2</v>
      </c>
      <c r="AK707" s="320">
        <v>0</v>
      </c>
      <c r="AL707" s="319">
        <v>5</v>
      </c>
      <c r="AM707" s="319">
        <v>5</v>
      </c>
      <c r="AN707" s="319">
        <v>2</v>
      </c>
      <c r="AO707" s="319">
        <v>0.4</v>
      </c>
      <c r="AP707">
        <v>4</v>
      </c>
      <c r="AR707" s="136">
        <v>4</v>
      </c>
      <c r="AT707" s="69">
        <v>2.3148</v>
      </c>
      <c r="AU707" s="69">
        <v>2.3148</v>
      </c>
      <c r="AV707" s="69">
        <v>2.3148</v>
      </c>
      <c r="AW707" s="69">
        <v>0.23150000000000001</v>
      </c>
      <c r="BB707" s="69"/>
    </row>
    <row r="708" spans="1:54" customFormat="1" ht="40" customHeight="1">
      <c r="A708" s="313">
        <v>707</v>
      </c>
      <c r="B708" s="136" t="s">
        <v>1913</v>
      </c>
      <c r="C708" s="136" t="s">
        <v>45</v>
      </c>
      <c r="D708" s="31">
        <f t="shared" si="50"/>
        <v>4</v>
      </c>
      <c r="E708" s="137" t="s">
        <v>46</v>
      </c>
      <c r="F708" s="31">
        <f t="shared" si="51"/>
        <v>6</v>
      </c>
      <c r="G708" s="137" t="s">
        <v>1952</v>
      </c>
      <c r="H708" s="138">
        <v>50</v>
      </c>
      <c r="I708" s="158">
        <f t="shared" si="52"/>
        <v>0.59606925134191346</v>
      </c>
      <c r="J708" s="95">
        <v>0.62785278839811298</v>
      </c>
      <c r="K708" s="137">
        <v>0.56428571428571395</v>
      </c>
      <c r="L708" s="137">
        <v>0.75</v>
      </c>
      <c r="M708" s="137">
        <v>0.28571428571428598</v>
      </c>
      <c r="N708" s="136">
        <v>0</v>
      </c>
      <c r="O708" s="32">
        <v>43332</v>
      </c>
      <c r="P708" s="98">
        <f t="shared" si="53"/>
        <v>1</v>
      </c>
      <c r="Q708">
        <v>0</v>
      </c>
      <c r="R708">
        <v>0</v>
      </c>
      <c r="S708">
        <v>0</v>
      </c>
      <c r="T708" s="112" t="s">
        <v>73</v>
      </c>
      <c r="U708" s="137" t="s">
        <v>1953</v>
      </c>
      <c r="V708" s="137" t="s">
        <v>1954</v>
      </c>
      <c r="W708" s="69">
        <v>42</v>
      </c>
      <c r="X708" s="136">
        <v>3</v>
      </c>
      <c r="Y708" s="136">
        <v>25</v>
      </c>
      <c r="Z708" s="314"/>
      <c r="AA708" s="319">
        <v>0.55000000000000004</v>
      </c>
      <c r="AB708" s="331" t="s">
        <v>5172</v>
      </c>
      <c r="AC708" s="319">
        <v>0</v>
      </c>
      <c r="AD708" s="320">
        <v>0</v>
      </c>
      <c r="AE708" s="319">
        <v>0</v>
      </c>
      <c r="AF708" s="320">
        <v>0</v>
      </c>
      <c r="AG708" s="319">
        <v>0</v>
      </c>
      <c r="AH708" s="320">
        <v>0</v>
      </c>
      <c r="AI708" s="319">
        <v>0</v>
      </c>
      <c r="AJ708" s="320">
        <v>0</v>
      </c>
      <c r="AK708" s="320">
        <v>0</v>
      </c>
      <c r="AL708" s="319">
        <v>5</v>
      </c>
      <c r="AM708" s="319">
        <v>5</v>
      </c>
      <c r="AN708" s="319">
        <v>2</v>
      </c>
      <c r="AO708" s="319">
        <v>0.4</v>
      </c>
      <c r="AP708">
        <v>25</v>
      </c>
      <c r="AR708" s="136">
        <v>25</v>
      </c>
      <c r="AT708" s="69">
        <v>2.3148</v>
      </c>
      <c r="AU708" s="69">
        <v>2.3148</v>
      </c>
      <c r="AV708" s="69">
        <v>2.3148</v>
      </c>
      <c r="AW708" s="69">
        <v>0.23150000000000001</v>
      </c>
      <c r="BB708" s="69"/>
    </row>
    <row r="709" spans="1:54" customFormat="1" ht="40" customHeight="1">
      <c r="A709" s="313">
        <v>708</v>
      </c>
      <c r="B709" s="136" t="s">
        <v>1913</v>
      </c>
      <c r="C709" s="136" t="s">
        <v>45</v>
      </c>
      <c r="D709" s="31">
        <f t="shared" si="50"/>
        <v>4</v>
      </c>
      <c r="E709" s="137" t="s">
        <v>80</v>
      </c>
      <c r="F709" s="31">
        <f t="shared" si="51"/>
        <v>4</v>
      </c>
      <c r="G709" s="137" t="s">
        <v>1955</v>
      </c>
      <c r="H709" s="138">
        <v>151</v>
      </c>
      <c r="I709" s="158">
        <f t="shared" si="52"/>
        <v>0.32880755744886087</v>
      </c>
      <c r="J709" s="95">
        <v>2.7371547250965002E-9</v>
      </c>
      <c r="K709" s="137">
        <v>0.65761511216056701</v>
      </c>
      <c r="L709" s="137">
        <v>0.61983471074380103</v>
      </c>
      <c r="M709" s="137">
        <v>0.71428571428571397</v>
      </c>
      <c r="N709" s="136">
        <v>1</v>
      </c>
      <c r="O709" s="32">
        <v>43205</v>
      </c>
      <c r="P709" s="98">
        <f t="shared" si="53"/>
        <v>0</v>
      </c>
      <c r="Q709">
        <v>12.75</v>
      </c>
      <c r="R709">
        <v>0</v>
      </c>
      <c r="S709">
        <v>0</v>
      </c>
      <c r="T709" s="112" t="s">
        <v>48</v>
      </c>
      <c r="U709" s="137" t="s">
        <v>1956</v>
      </c>
      <c r="V709" s="137" t="s">
        <v>1957</v>
      </c>
      <c r="W709" s="69">
        <v>148</v>
      </c>
      <c r="X709" s="136">
        <v>1</v>
      </c>
      <c r="Y709" s="136">
        <v>4</v>
      </c>
      <c r="Z709" s="314"/>
      <c r="AA709" s="319">
        <v>0.54</v>
      </c>
      <c r="AB709" s="315" t="s">
        <v>5193</v>
      </c>
      <c r="AC709" s="319">
        <v>2</v>
      </c>
      <c r="AD709" s="320">
        <v>2.4691358024691301E-2</v>
      </c>
      <c r="AE709" s="319">
        <v>2</v>
      </c>
      <c r="AF709" s="320">
        <v>2.4691358024691301E-2</v>
      </c>
      <c r="AG709" s="319">
        <v>1</v>
      </c>
      <c r="AH709" s="320">
        <v>1.23456790123456E-2</v>
      </c>
      <c r="AI709" s="319">
        <v>2</v>
      </c>
      <c r="AJ709" s="320">
        <v>2.4691358024691301E-2</v>
      </c>
      <c r="AK709" s="320">
        <v>1.234567901234568E-2</v>
      </c>
      <c r="AL709" s="319">
        <v>6.75</v>
      </c>
      <c r="AM709" s="319">
        <v>5</v>
      </c>
      <c r="AN709" s="319">
        <v>7.3333333333333304</v>
      </c>
      <c r="AO709" s="319">
        <v>0.63611111111111096</v>
      </c>
      <c r="AP709">
        <v>4</v>
      </c>
      <c r="AQ709">
        <v>4</v>
      </c>
      <c r="AR709" s="136"/>
      <c r="AT709" s="69">
        <v>6.3414000000000001</v>
      </c>
      <c r="AU709" s="69">
        <v>2.3148</v>
      </c>
      <c r="AV709" s="69">
        <v>9.8416999999999994</v>
      </c>
      <c r="AW709" s="69">
        <v>0.61660000000000004</v>
      </c>
      <c r="BB709" s="69"/>
    </row>
    <row r="710" spans="1:54" customFormat="1" ht="40" customHeight="1">
      <c r="A710" s="313">
        <v>709</v>
      </c>
      <c r="B710" s="136" t="s">
        <v>1913</v>
      </c>
      <c r="C710" s="136" t="s">
        <v>45</v>
      </c>
      <c r="D710" s="31">
        <f t="shared" si="50"/>
        <v>4</v>
      </c>
      <c r="E710" s="137" t="s">
        <v>80</v>
      </c>
      <c r="F710" s="31">
        <f t="shared" si="51"/>
        <v>4</v>
      </c>
      <c r="G710" s="137" t="s">
        <v>364</v>
      </c>
      <c r="H710" s="138">
        <v>40</v>
      </c>
      <c r="I710" s="158">
        <f t="shared" si="52"/>
        <v>0.4191361462294072</v>
      </c>
      <c r="J710" s="95">
        <v>7.1047605458802399E-2</v>
      </c>
      <c r="K710" s="137">
        <v>0.76722468700001201</v>
      </c>
      <c r="L710" s="137">
        <v>0.82499999999999996</v>
      </c>
      <c r="M710" s="137">
        <v>0.68056171750003003</v>
      </c>
      <c r="N710" s="136">
        <v>1</v>
      </c>
      <c r="O710" s="32">
        <v>43204</v>
      </c>
      <c r="P710" s="98">
        <f t="shared" si="53"/>
        <v>0</v>
      </c>
      <c r="Q710">
        <v>7.65</v>
      </c>
      <c r="R710">
        <v>0</v>
      </c>
      <c r="S710">
        <v>0</v>
      </c>
      <c r="T710" s="112" t="s">
        <v>48</v>
      </c>
      <c r="U710" s="137" t="s">
        <v>1958</v>
      </c>
      <c r="V710" s="137" t="s">
        <v>1957</v>
      </c>
      <c r="W710" s="69">
        <v>148</v>
      </c>
      <c r="X710" s="136">
        <v>2</v>
      </c>
      <c r="Y710" s="136">
        <v>5</v>
      </c>
      <c r="Z710" s="314"/>
      <c r="AA710" s="319">
        <v>0.5</v>
      </c>
      <c r="AB710" s="315" t="s">
        <v>5193</v>
      </c>
      <c r="AC710" s="319">
        <v>2</v>
      </c>
      <c r="AD710" s="320">
        <v>2.4691358024691301E-2</v>
      </c>
      <c r="AE710" s="319">
        <v>2</v>
      </c>
      <c r="AF710" s="320">
        <v>2.4691358024691301E-2</v>
      </c>
      <c r="AG710" s="319">
        <v>1</v>
      </c>
      <c r="AH710" s="320">
        <v>1.23456790123456E-2</v>
      </c>
      <c r="AI710" s="319">
        <v>2</v>
      </c>
      <c r="AJ710" s="320">
        <v>2.4691358024691301E-2</v>
      </c>
      <c r="AK710" s="320">
        <v>1.234567901234568E-2</v>
      </c>
      <c r="AL710" s="319">
        <v>6.75</v>
      </c>
      <c r="AM710" s="319">
        <v>5</v>
      </c>
      <c r="AN710" s="319">
        <v>4.6666666666666599</v>
      </c>
      <c r="AO710" s="319">
        <v>0.54722222222222205</v>
      </c>
      <c r="AP710">
        <v>5</v>
      </c>
      <c r="AR710" s="136">
        <v>5</v>
      </c>
      <c r="AT710" s="69">
        <v>6.3414000000000001</v>
      </c>
      <c r="AU710" s="69">
        <v>2.3148</v>
      </c>
      <c r="AV710" s="69">
        <v>8.1305999999999994</v>
      </c>
      <c r="AW710" s="69">
        <v>0.55959999999999999</v>
      </c>
      <c r="BB710" s="69"/>
    </row>
    <row r="711" spans="1:54" customFormat="1" ht="40" customHeight="1">
      <c r="A711" s="313">
        <v>710</v>
      </c>
      <c r="B711" s="136" t="s">
        <v>1913</v>
      </c>
      <c r="C711" s="136" t="s">
        <v>45</v>
      </c>
      <c r="D711" s="31">
        <f t="shared" si="50"/>
        <v>4</v>
      </c>
      <c r="E711" s="137" t="s">
        <v>80</v>
      </c>
      <c r="F711" s="31">
        <f t="shared" si="51"/>
        <v>4</v>
      </c>
      <c r="G711" s="137" t="s">
        <v>159</v>
      </c>
      <c r="H711" s="138">
        <v>39</v>
      </c>
      <c r="I711" s="158">
        <f t="shared" si="52"/>
        <v>0.40232518110672688</v>
      </c>
      <c r="J711" s="95">
        <v>3.5462565777630697E-2</v>
      </c>
      <c r="K711" s="137">
        <v>0.76918779643582302</v>
      </c>
      <c r="L711" s="137">
        <v>0.75</v>
      </c>
      <c r="M711" s="137">
        <v>0.79796949108955795</v>
      </c>
      <c r="N711" s="136">
        <v>1</v>
      </c>
      <c r="O711" s="32">
        <v>43200</v>
      </c>
      <c r="P711" s="98">
        <f t="shared" si="53"/>
        <v>0</v>
      </c>
      <c r="Q711">
        <v>5.0999999999999996</v>
      </c>
      <c r="R711">
        <v>0</v>
      </c>
      <c r="S711">
        <v>0</v>
      </c>
      <c r="T711" s="112" t="s">
        <v>48</v>
      </c>
      <c r="U711" s="137" t="s">
        <v>1959</v>
      </c>
      <c r="V711" s="137" t="s">
        <v>1960</v>
      </c>
      <c r="W711" s="69">
        <v>157</v>
      </c>
      <c r="X711" s="136">
        <v>2</v>
      </c>
      <c r="Y711" s="136">
        <v>2</v>
      </c>
      <c r="Z711" s="314"/>
      <c r="AA711" s="319">
        <v>0.60499999999999998</v>
      </c>
      <c r="AB711" s="315" t="s">
        <v>5193</v>
      </c>
      <c r="AC711" s="319">
        <v>2</v>
      </c>
      <c r="AD711" s="320">
        <v>2.3255813953488299E-2</v>
      </c>
      <c r="AE711" s="319">
        <v>2</v>
      </c>
      <c r="AF711" s="320">
        <v>2.3255813953488299E-2</v>
      </c>
      <c r="AG711" s="319">
        <v>1</v>
      </c>
      <c r="AH711" s="320">
        <v>1.1627906976744099E-2</v>
      </c>
      <c r="AI711" s="319">
        <v>2</v>
      </c>
      <c r="AJ711" s="320">
        <v>2.3255813953488299E-2</v>
      </c>
      <c r="AK711" s="320">
        <v>1.1627906976744189E-2</v>
      </c>
      <c r="AL711" s="319">
        <v>6.75</v>
      </c>
      <c r="AM711" s="319">
        <v>7.4</v>
      </c>
      <c r="AN711" s="319">
        <v>2</v>
      </c>
      <c r="AO711" s="319">
        <v>0.538333333333333</v>
      </c>
      <c r="AP711">
        <v>2</v>
      </c>
      <c r="AR711" s="136">
        <v>2</v>
      </c>
      <c r="AT711" s="69">
        <v>6.3414000000000001</v>
      </c>
      <c r="AU711" s="69">
        <v>7.6852</v>
      </c>
      <c r="AV711" s="69">
        <v>2.3148</v>
      </c>
      <c r="AW711" s="69">
        <v>0.54469999999999996</v>
      </c>
      <c r="BB711" s="69"/>
    </row>
    <row r="712" spans="1:54" customFormat="1" ht="40" customHeight="1">
      <c r="A712" s="313">
        <v>711</v>
      </c>
      <c r="B712" s="136" t="s">
        <v>1913</v>
      </c>
      <c r="C712" s="136" t="s">
        <v>45</v>
      </c>
      <c r="D712" s="31">
        <f t="shared" si="50"/>
        <v>4</v>
      </c>
      <c r="E712" s="137" t="s">
        <v>80</v>
      </c>
      <c r="F712" s="31">
        <f t="shared" si="51"/>
        <v>4</v>
      </c>
      <c r="G712" s="137" t="s">
        <v>1961</v>
      </c>
      <c r="H712" s="138">
        <v>159</v>
      </c>
      <c r="I712" s="158">
        <f t="shared" si="52"/>
        <v>0.81955866423470303</v>
      </c>
      <c r="J712" s="95">
        <v>0.99999999992477495</v>
      </c>
      <c r="K712" s="137">
        <v>0.63911732854463099</v>
      </c>
      <c r="L712" s="137">
        <v>0.56348610067618299</v>
      </c>
      <c r="M712" s="137">
        <v>0.75256417034730305</v>
      </c>
      <c r="N712" s="136">
        <v>1</v>
      </c>
      <c r="O712" s="32">
        <v>43179</v>
      </c>
      <c r="P712" s="98">
        <f t="shared" si="53"/>
        <v>1</v>
      </c>
      <c r="Q712">
        <v>0</v>
      </c>
      <c r="R712">
        <v>0</v>
      </c>
      <c r="S712">
        <v>0</v>
      </c>
      <c r="T712" s="112" t="s">
        <v>73</v>
      </c>
      <c r="U712" s="137" t="s">
        <v>1962</v>
      </c>
      <c r="V712" s="137" t="s">
        <v>1963</v>
      </c>
      <c r="W712" s="69">
        <v>77</v>
      </c>
      <c r="X712" s="136">
        <v>2</v>
      </c>
      <c r="Y712" s="136">
        <v>3</v>
      </c>
      <c r="Z712" s="314"/>
      <c r="AA712" s="319">
        <v>0.5</v>
      </c>
      <c r="AB712" s="315" t="s">
        <v>5169</v>
      </c>
      <c r="AC712" s="319">
        <v>2</v>
      </c>
      <c r="AD712" s="320">
        <v>4.8780487804878002E-2</v>
      </c>
      <c r="AE712" s="319">
        <v>0</v>
      </c>
      <c r="AF712" s="320">
        <v>0</v>
      </c>
      <c r="AG712" s="319">
        <v>2</v>
      </c>
      <c r="AH712" s="320">
        <v>4.8780487804878002E-2</v>
      </c>
      <c r="AI712" s="319">
        <v>0</v>
      </c>
      <c r="AJ712" s="320">
        <v>0</v>
      </c>
      <c r="AK712" s="320">
        <v>0</v>
      </c>
      <c r="AL712" s="319">
        <v>5</v>
      </c>
      <c r="AM712" s="319">
        <v>5</v>
      </c>
      <c r="AN712" s="319">
        <v>4.6666666666666599</v>
      </c>
      <c r="AO712" s="319">
        <v>0.48888888888888798</v>
      </c>
      <c r="AP712">
        <v>3</v>
      </c>
      <c r="AR712" s="136">
        <v>3</v>
      </c>
      <c r="AT712" s="69">
        <v>2.3148</v>
      </c>
      <c r="AU712" s="69">
        <v>2.3148</v>
      </c>
      <c r="AV712" s="69">
        <v>8.1305999999999994</v>
      </c>
      <c r="AW712" s="69">
        <v>0.42530000000000001</v>
      </c>
      <c r="BB712" s="69"/>
    </row>
    <row r="713" spans="1:54" customFormat="1" ht="40" customHeight="1">
      <c r="A713" s="313">
        <v>712</v>
      </c>
      <c r="B713" s="136" t="s">
        <v>1913</v>
      </c>
      <c r="C713" s="136" t="s">
        <v>45</v>
      </c>
      <c r="D713" s="31">
        <f t="shared" si="50"/>
        <v>4</v>
      </c>
      <c r="E713" s="137" t="s">
        <v>80</v>
      </c>
      <c r="F713" s="31">
        <f t="shared" si="51"/>
        <v>4</v>
      </c>
      <c r="G713" s="137" t="s">
        <v>159</v>
      </c>
      <c r="H713" s="138">
        <v>45</v>
      </c>
      <c r="I713" s="158">
        <f t="shared" si="52"/>
        <v>0.40777199527186059</v>
      </c>
      <c r="J713" s="95">
        <v>1.3561941078982199E-3</v>
      </c>
      <c r="K713" s="137">
        <v>0.81418779643582295</v>
      </c>
      <c r="L713" s="137">
        <v>0.82499999999999996</v>
      </c>
      <c r="M713" s="137">
        <v>0.79796949108955795</v>
      </c>
      <c r="N713" s="136">
        <v>1</v>
      </c>
      <c r="O713" s="32">
        <v>43080</v>
      </c>
      <c r="P713" s="98">
        <f t="shared" si="53"/>
        <v>0</v>
      </c>
      <c r="Q713">
        <v>7.65</v>
      </c>
      <c r="R713">
        <v>0</v>
      </c>
      <c r="S713">
        <v>0</v>
      </c>
      <c r="T713" s="112" t="s">
        <v>48</v>
      </c>
      <c r="U713" s="137" t="s">
        <v>1964</v>
      </c>
      <c r="V713" s="137" t="s">
        <v>1965</v>
      </c>
      <c r="W713" s="69">
        <v>179</v>
      </c>
      <c r="X713" s="136">
        <v>2</v>
      </c>
      <c r="Y713" s="136">
        <v>2</v>
      </c>
      <c r="Z713" s="314"/>
      <c r="AA713" s="319">
        <v>0.60499999999999998</v>
      </c>
      <c r="AB713" s="315" t="s">
        <v>5193</v>
      </c>
      <c r="AC713" s="319">
        <v>2</v>
      </c>
      <c r="AD713" s="320">
        <v>2.1276595744680799E-2</v>
      </c>
      <c r="AE713" s="319">
        <v>2</v>
      </c>
      <c r="AF713" s="320">
        <v>2.1276595744680799E-2</v>
      </c>
      <c r="AG713" s="319">
        <v>1</v>
      </c>
      <c r="AH713" s="320">
        <v>1.0638297872340399E-2</v>
      </c>
      <c r="AI713" s="319">
        <v>2</v>
      </c>
      <c r="AJ713" s="320">
        <v>2.1276595744680799E-2</v>
      </c>
      <c r="AK713" s="320">
        <v>1.063829787234043E-2</v>
      </c>
      <c r="AL713" s="319">
        <v>5</v>
      </c>
      <c r="AM713" s="319">
        <v>5</v>
      </c>
      <c r="AN713" s="319">
        <v>2</v>
      </c>
      <c r="AO713" s="319">
        <v>0.4</v>
      </c>
      <c r="AP713">
        <v>2</v>
      </c>
      <c r="AR713" s="136">
        <v>2</v>
      </c>
      <c r="AT713" s="69">
        <v>2.3148</v>
      </c>
      <c r="AU713" s="69">
        <v>2.3148</v>
      </c>
      <c r="AV713" s="69">
        <v>2.3148</v>
      </c>
      <c r="AW713" s="69">
        <v>0.23150000000000001</v>
      </c>
      <c r="BB713" s="69"/>
    </row>
    <row r="714" spans="1:54" customFormat="1" ht="40" customHeight="1">
      <c r="A714" s="313">
        <v>713</v>
      </c>
      <c r="B714" s="136" t="s">
        <v>1913</v>
      </c>
      <c r="C714" s="136" t="s">
        <v>45</v>
      </c>
      <c r="D714" s="31">
        <f t="shared" si="50"/>
        <v>4</v>
      </c>
      <c r="E714" s="137" t="s">
        <v>46</v>
      </c>
      <c r="F714" s="31">
        <f t="shared" si="51"/>
        <v>6</v>
      </c>
      <c r="G714" s="137" t="s">
        <v>1966</v>
      </c>
      <c r="H714" s="138">
        <v>87</v>
      </c>
      <c r="I714" s="158">
        <f t="shared" si="52"/>
        <v>0.38567402559977593</v>
      </c>
      <c r="J714" s="95">
        <v>2.1602547637288301E-3</v>
      </c>
      <c r="K714" s="137">
        <v>0.76918779643582302</v>
      </c>
      <c r="L714" s="137">
        <v>0.75</v>
      </c>
      <c r="M714" s="137">
        <v>0.79796949108955795</v>
      </c>
      <c r="N714" s="136">
        <v>1</v>
      </c>
      <c r="O714" s="32">
        <v>43072</v>
      </c>
      <c r="P714" s="98">
        <f t="shared" si="53"/>
        <v>0</v>
      </c>
      <c r="Q714">
        <v>5.0999999999999996</v>
      </c>
      <c r="R714">
        <v>0</v>
      </c>
      <c r="S714">
        <v>0</v>
      </c>
      <c r="T714" s="112" t="s">
        <v>48</v>
      </c>
      <c r="U714" s="137" t="s">
        <v>1967</v>
      </c>
      <c r="V714" s="137" t="s">
        <v>1968</v>
      </c>
      <c r="W714" s="69">
        <v>152</v>
      </c>
      <c r="X714" s="136">
        <v>1</v>
      </c>
      <c r="Y714" s="136">
        <v>2</v>
      </c>
      <c r="Z714" s="314"/>
      <c r="AA714" s="319">
        <v>0.55000000000000004</v>
      </c>
      <c r="AB714" s="315" t="s">
        <v>5178</v>
      </c>
      <c r="AC714" s="319">
        <v>3</v>
      </c>
      <c r="AD714" s="320">
        <v>3.5714285714285698E-2</v>
      </c>
      <c r="AE714" s="319">
        <v>3</v>
      </c>
      <c r="AF714" s="320">
        <v>3.5714285714285698E-2</v>
      </c>
      <c r="AG714" s="319">
        <v>1</v>
      </c>
      <c r="AH714" s="320">
        <v>1.1904761904761901E-2</v>
      </c>
      <c r="AI714" s="319">
        <v>2</v>
      </c>
      <c r="AJ714" s="320">
        <v>2.3809523809523801E-2</v>
      </c>
      <c r="AK714" s="320">
        <v>1.1904761904761901E-2</v>
      </c>
      <c r="AL714" s="319">
        <v>5</v>
      </c>
      <c r="AM714" s="319">
        <v>5</v>
      </c>
      <c r="AN714" s="319">
        <v>4.6666666666666599</v>
      </c>
      <c r="AO714" s="319">
        <v>0.48888888888888798</v>
      </c>
      <c r="AP714">
        <v>2</v>
      </c>
      <c r="AR714" s="136">
        <v>2</v>
      </c>
      <c r="AT714" s="69">
        <v>2.3148</v>
      </c>
      <c r="AU714" s="69">
        <v>2.3148</v>
      </c>
      <c r="AV714" s="69">
        <v>8.1305999999999994</v>
      </c>
      <c r="AW714" s="69">
        <v>0.42530000000000001</v>
      </c>
      <c r="BB714" s="69"/>
    </row>
    <row r="715" spans="1:54" customFormat="1" ht="40" customHeight="1">
      <c r="A715" s="313">
        <v>714</v>
      </c>
      <c r="B715" s="136" t="s">
        <v>1913</v>
      </c>
      <c r="C715" s="136" t="s">
        <v>45</v>
      </c>
      <c r="D715" s="31">
        <f t="shared" si="50"/>
        <v>4</v>
      </c>
      <c r="E715" s="137" t="s">
        <v>80</v>
      </c>
      <c r="F715" s="31">
        <f t="shared" si="51"/>
        <v>4</v>
      </c>
      <c r="G715" s="137" t="s">
        <v>180</v>
      </c>
      <c r="H715" s="138">
        <v>56</v>
      </c>
      <c r="I715" s="158">
        <f t="shared" si="52"/>
        <v>0.39073530291112546</v>
      </c>
      <c r="J715" s="95">
        <v>7.5632010796489201E-4</v>
      </c>
      <c r="K715" s="137">
        <v>0.78071428571428603</v>
      </c>
      <c r="L715" s="137">
        <v>0.82499999999999996</v>
      </c>
      <c r="M715" s="137">
        <v>0.71428571428571397</v>
      </c>
      <c r="N715" s="136">
        <v>1</v>
      </c>
      <c r="O715" s="32">
        <v>43071</v>
      </c>
      <c r="P715" s="98">
        <f t="shared" si="53"/>
        <v>0</v>
      </c>
      <c r="Q715">
        <v>5.0999999999999996</v>
      </c>
      <c r="R715">
        <v>0</v>
      </c>
      <c r="S715">
        <v>0</v>
      </c>
      <c r="T715" s="112" t="s">
        <v>48</v>
      </c>
      <c r="U715" s="137" t="s">
        <v>1969</v>
      </c>
      <c r="V715" s="137" t="s">
        <v>1970</v>
      </c>
      <c r="W715" s="69">
        <v>184</v>
      </c>
      <c r="X715" s="136">
        <v>2</v>
      </c>
      <c r="Y715" s="136">
        <v>4</v>
      </c>
      <c r="Z715" s="314"/>
      <c r="AA715" s="319">
        <v>0.54500000000000004</v>
      </c>
      <c r="AB715" s="315" t="s">
        <v>5165</v>
      </c>
      <c r="AC715" s="319">
        <v>3</v>
      </c>
      <c r="AD715" s="320">
        <v>3.0927835051546299E-2</v>
      </c>
      <c r="AE715" s="319">
        <v>2</v>
      </c>
      <c r="AF715" s="320">
        <v>2.06185567010309E-2</v>
      </c>
      <c r="AG715" s="319">
        <v>1</v>
      </c>
      <c r="AH715" s="320">
        <v>1.03092783505154E-2</v>
      </c>
      <c r="AI715" s="319">
        <v>2</v>
      </c>
      <c r="AJ715" s="320">
        <v>2.06185567010309E-2</v>
      </c>
      <c r="AK715" s="320">
        <v>1.030927835051546E-2</v>
      </c>
      <c r="AL715" s="319">
        <v>5</v>
      </c>
      <c r="AM715" s="319">
        <v>5</v>
      </c>
      <c r="AN715" s="319">
        <v>4.6666666666666599</v>
      </c>
      <c r="AO715" s="319">
        <v>0.48888888888888798</v>
      </c>
      <c r="AP715">
        <v>4</v>
      </c>
      <c r="AR715" s="136">
        <v>4</v>
      </c>
      <c r="AT715" s="69">
        <v>2.3148</v>
      </c>
      <c r="AU715" s="69">
        <v>2.3148</v>
      </c>
      <c r="AV715" s="69">
        <v>8.1305999999999994</v>
      </c>
      <c r="AW715" s="69">
        <v>0.42530000000000001</v>
      </c>
      <c r="BB715" s="69"/>
    </row>
    <row r="716" spans="1:54" customFormat="1" ht="40" customHeight="1">
      <c r="A716" s="313">
        <v>715</v>
      </c>
      <c r="B716" s="136" t="s">
        <v>1913</v>
      </c>
      <c r="C716" s="136" t="s">
        <v>45</v>
      </c>
      <c r="D716" s="31">
        <f t="shared" si="50"/>
        <v>4</v>
      </c>
      <c r="E716" s="137" t="s">
        <v>46</v>
      </c>
      <c r="F716" s="31">
        <f t="shared" si="51"/>
        <v>6</v>
      </c>
      <c r="G716" s="137" t="s">
        <v>1971</v>
      </c>
      <c r="H716" s="138">
        <v>169</v>
      </c>
      <c r="I716" s="158">
        <f t="shared" si="52"/>
        <v>0.34448747438485228</v>
      </c>
      <c r="J716" s="95">
        <v>6.4502247895115204E-6</v>
      </c>
      <c r="K716" s="137">
        <v>0.68896849854491504</v>
      </c>
      <c r="L716" s="137">
        <v>0.82499999999999996</v>
      </c>
      <c r="M716" s="137">
        <v>0.48492124636228701</v>
      </c>
      <c r="N716" s="136">
        <v>1</v>
      </c>
      <c r="O716" s="32">
        <v>43067</v>
      </c>
      <c r="P716" s="98">
        <f t="shared" si="53"/>
        <v>0</v>
      </c>
      <c r="Q716">
        <v>2.5499999999999998</v>
      </c>
      <c r="R716">
        <v>1.65</v>
      </c>
      <c r="S716">
        <v>0</v>
      </c>
      <c r="T716" s="112" t="s">
        <v>48</v>
      </c>
      <c r="U716" s="137" t="s">
        <v>1972</v>
      </c>
      <c r="V716" s="137" t="s">
        <v>1973</v>
      </c>
      <c r="W716" s="69">
        <v>178</v>
      </c>
      <c r="X716" s="136">
        <v>2</v>
      </c>
      <c r="Y716" s="136">
        <v>13</v>
      </c>
      <c r="Z716" s="314"/>
      <c r="AA716" s="319">
        <v>0.55000000000000004</v>
      </c>
      <c r="AB716" s="315" t="s">
        <v>5165</v>
      </c>
      <c r="AC716" s="319">
        <v>3</v>
      </c>
      <c r="AD716" s="320">
        <v>3.2258064516128997E-2</v>
      </c>
      <c r="AE716" s="319">
        <v>2</v>
      </c>
      <c r="AF716" s="320">
        <v>2.1505376344085999E-2</v>
      </c>
      <c r="AG716" s="319">
        <v>1</v>
      </c>
      <c r="AH716" s="320">
        <v>1.0752688172042999E-2</v>
      </c>
      <c r="AI716" s="319">
        <v>2</v>
      </c>
      <c r="AJ716" s="320">
        <v>2.1505376344085999E-2</v>
      </c>
      <c r="AK716" s="320">
        <v>1.075268817204301E-2</v>
      </c>
      <c r="AL716" s="319">
        <v>5</v>
      </c>
      <c r="AM716" s="319">
        <v>5</v>
      </c>
      <c r="AN716" s="319">
        <v>2</v>
      </c>
      <c r="AO716" s="319">
        <v>0.4</v>
      </c>
      <c r="AP716">
        <v>13</v>
      </c>
      <c r="AR716" s="136">
        <v>13</v>
      </c>
      <c r="AT716" s="69">
        <v>2.3148</v>
      </c>
      <c r="AU716" s="69">
        <v>2.3148</v>
      </c>
      <c r="AV716" s="69">
        <v>2.3148</v>
      </c>
      <c r="AW716" s="69">
        <v>0.23150000000000001</v>
      </c>
      <c r="BB716" s="69"/>
    </row>
    <row r="717" spans="1:54" customFormat="1" ht="40" customHeight="1">
      <c r="A717" s="313">
        <v>716</v>
      </c>
      <c r="B717" s="136" t="s">
        <v>1913</v>
      </c>
      <c r="C717" s="136" t="s">
        <v>45</v>
      </c>
      <c r="D717" s="31">
        <f t="shared" si="50"/>
        <v>4</v>
      </c>
      <c r="E717" s="137" t="s">
        <v>80</v>
      </c>
      <c r="F717" s="31">
        <f t="shared" si="51"/>
        <v>4</v>
      </c>
      <c r="G717" s="137" t="s">
        <v>305</v>
      </c>
      <c r="H717" s="138">
        <v>52</v>
      </c>
      <c r="I717" s="158">
        <f t="shared" si="52"/>
        <v>0.38759880376785588</v>
      </c>
      <c r="J717" s="95">
        <v>2.01684499804647E-2</v>
      </c>
      <c r="K717" s="137">
        <v>0.75502915755524702</v>
      </c>
      <c r="L717" s="137">
        <v>0.82499999999999996</v>
      </c>
      <c r="M717" s="137">
        <v>0.65007289388811795</v>
      </c>
      <c r="N717" s="136">
        <v>1</v>
      </c>
      <c r="O717" s="32">
        <v>43063</v>
      </c>
      <c r="P717" s="98">
        <f t="shared" si="53"/>
        <v>0</v>
      </c>
      <c r="Q717">
        <v>5.0999999999999996</v>
      </c>
      <c r="R717">
        <v>0</v>
      </c>
      <c r="S717">
        <v>0</v>
      </c>
      <c r="T717" s="112" t="s">
        <v>48</v>
      </c>
      <c r="U717" s="137" t="s">
        <v>1974</v>
      </c>
      <c r="V717" s="137" t="s">
        <v>1975</v>
      </c>
      <c r="W717" s="69">
        <v>176</v>
      </c>
      <c r="X717" s="136">
        <v>2</v>
      </c>
      <c r="Y717" s="136">
        <v>6</v>
      </c>
      <c r="Z717" s="314"/>
      <c r="AA717" s="319">
        <v>0.54500000000000004</v>
      </c>
      <c r="AB717" s="315" t="s">
        <v>5165</v>
      </c>
      <c r="AC717" s="319">
        <v>3</v>
      </c>
      <c r="AD717" s="320">
        <v>3.2608695652173898E-2</v>
      </c>
      <c r="AE717" s="319">
        <v>2</v>
      </c>
      <c r="AF717" s="320">
        <v>2.1739130434782601E-2</v>
      </c>
      <c r="AG717" s="319">
        <v>1</v>
      </c>
      <c r="AH717" s="320">
        <v>1.0869565217391301E-2</v>
      </c>
      <c r="AI717" s="319">
        <v>2</v>
      </c>
      <c r="AJ717" s="320">
        <v>2.1739130434782601E-2</v>
      </c>
      <c r="AK717" s="320">
        <v>1.0869565217391301E-2</v>
      </c>
      <c r="AL717" s="319">
        <v>6.75</v>
      </c>
      <c r="AM717" s="319">
        <v>5</v>
      </c>
      <c r="AN717" s="319">
        <v>7.3333333333333304</v>
      </c>
      <c r="AO717" s="319">
        <v>0.63611111111111096</v>
      </c>
      <c r="AP717">
        <v>6</v>
      </c>
      <c r="AR717" s="136">
        <v>6</v>
      </c>
      <c r="AT717" s="69">
        <v>6.3414000000000001</v>
      </c>
      <c r="AU717" s="69">
        <v>2.3148</v>
      </c>
      <c r="AV717" s="69">
        <v>9.8416999999999994</v>
      </c>
      <c r="AW717" s="69">
        <v>0.61660000000000004</v>
      </c>
      <c r="BB717" s="69"/>
    </row>
    <row r="718" spans="1:54" customFormat="1" ht="40" customHeight="1">
      <c r="A718" s="313">
        <v>717</v>
      </c>
      <c r="B718" s="136" t="s">
        <v>1913</v>
      </c>
      <c r="C718" s="136" t="s">
        <v>45</v>
      </c>
      <c r="D718" s="31">
        <f t="shared" si="50"/>
        <v>4</v>
      </c>
      <c r="E718" s="137" t="s">
        <v>80</v>
      </c>
      <c r="F718" s="31">
        <f t="shared" si="51"/>
        <v>4</v>
      </c>
      <c r="G718" s="137" t="s">
        <v>305</v>
      </c>
      <c r="H718" s="138">
        <v>39</v>
      </c>
      <c r="I718" s="158">
        <f t="shared" si="52"/>
        <v>0.43257535314557055</v>
      </c>
      <c r="J718" s="95">
        <v>2.7293563433998101E-2</v>
      </c>
      <c r="K718" s="137">
        <v>0.83785714285714297</v>
      </c>
      <c r="L718" s="137">
        <v>0.82499999999999996</v>
      </c>
      <c r="M718" s="137">
        <v>0.85714285714285698</v>
      </c>
      <c r="N718" s="136">
        <v>1</v>
      </c>
      <c r="O718" s="32">
        <v>43030</v>
      </c>
      <c r="P718" s="98">
        <f t="shared" si="53"/>
        <v>0</v>
      </c>
      <c r="Q718">
        <v>5.0999999999999996</v>
      </c>
      <c r="R718">
        <v>0</v>
      </c>
      <c r="S718">
        <v>0</v>
      </c>
      <c r="T718" s="112" t="s">
        <v>48</v>
      </c>
      <c r="U718" s="137" t="s">
        <v>1976</v>
      </c>
      <c r="V718" s="137" t="s">
        <v>1977</v>
      </c>
      <c r="W718" s="69">
        <v>47</v>
      </c>
      <c r="X718" s="136">
        <v>1</v>
      </c>
      <c r="Y718" s="136">
        <v>1</v>
      </c>
      <c r="Z718" s="314"/>
      <c r="AA718" s="319">
        <v>0.54500000000000004</v>
      </c>
      <c r="AB718" s="315" t="s">
        <v>5168</v>
      </c>
      <c r="AC718" s="319">
        <v>0</v>
      </c>
      <c r="AD718" s="320">
        <v>0</v>
      </c>
      <c r="AE718" s="319">
        <v>0</v>
      </c>
      <c r="AF718" s="320">
        <v>0</v>
      </c>
      <c r="AG718" s="319">
        <v>1</v>
      </c>
      <c r="AH718" s="320">
        <v>0.04</v>
      </c>
      <c r="AI718" s="319">
        <v>0</v>
      </c>
      <c r="AJ718" s="320">
        <v>0</v>
      </c>
      <c r="AK718" s="320">
        <v>0</v>
      </c>
      <c r="AL718" s="319">
        <v>6.75</v>
      </c>
      <c r="AM718" s="319">
        <v>5</v>
      </c>
      <c r="AN718" s="319">
        <v>7.3333333333333304</v>
      </c>
      <c r="AO718" s="319">
        <v>0.63611111111111096</v>
      </c>
      <c r="AP718" s="319">
        <v>1</v>
      </c>
      <c r="AR718" s="136"/>
      <c r="AT718" s="69">
        <v>6.3414000000000001</v>
      </c>
      <c r="AU718" s="69">
        <v>2.3148</v>
      </c>
      <c r="AV718" s="69">
        <v>9.8416999999999994</v>
      </c>
      <c r="AW718" s="69">
        <v>0.61660000000000004</v>
      </c>
      <c r="BB718" s="69"/>
    </row>
    <row r="719" spans="1:54" customFormat="1" ht="40" customHeight="1">
      <c r="A719" s="313">
        <v>718</v>
      </c>
      <c r="B719" s="136" t="s">
        <v>1913</v>
      </c>
      <c r="C719" s="136" t="s">
        <v>45</v>
      </c>
      <c r="D719" s="31">
        <f t="shared" si="50"/>
        <v>4</v>
      </c>
      <c r="E719" s="137" t="s">
        <v>46</v>
      </c>
      <c r="F719" s="31">
        <f t="shared" si="51"/>
        <v>6</v>
      </c>
      <c r="G719" s="137" t="s">
        <v>1978</v>
      </c>
      <c r="H719" s="138">
        <v>154</v>
      </c>
      <c r="I719" s="158">
        <f t="shared" si="52"/>
        <v>0.37190710914319519</v>
      </c>
      <c r="J719" s="95">
        <v>7.4900813329392707E-9</v>
      </c>
      <c r="K719" s="137">
        <v>0.74381421079630905</v>
      </c>
      <c r="L719" s="137">
        <v>0.82499999999999996</v>
      </c>
      <c r="M719" s="137">
        <v>0.62203552699077302</v>
      </c>
      <c r="N719" s="136">
        <v>0</v>
      </c>
      <c r="O719" s="32">
        <v>43025</v>
      </c>
      <c r="P719" s="98">
        <f t="shared" si="53"/>
        <v>0</v>
      </c>
      <c r="Q719">
        <v>2.5499999999999998</v>
      </c>
      <c r="R719">
        <v>0</v>
      </c>
      <c r="S719">
        <v>0</v>
      </c>
      <c r="T719" s="112" t="s">
        <v>48</v>
      </c>
      <c r="U719" s="137" t="s">
        <v>1979</v>
      </c>
      <c r="V719" s="137" t="s">
        <v>1980</v>
      </c>
      <c r="W719" s="69">
        <v>97</v>
      </c>
      <c r="X719" s="136">
        <v>3</v>
      </c>
      <c r="Y719" s="136">
        <v>7</v>
      </c>
      <c r="Z719" s="314"/>
      <c r="AA719" s="319">
        <v>0.45454545454545398</v>
      </c>
      <c r="AB719" s="315" t="s">
        <v>5165</v>
      </c>
      <c r="AC719" s="319">
        <v>2</v>
      </c>
      <c r="AD719" s="320">
        <v>3.5087719298245598E-2</v>
      </c>
      <c r="AE719" s="319">
        <v>1</v>
      </c>
      <c r="AF719" s="320">
        <v>1.7543859649122799E-2</v>
      </c>
      <c r="AG719" s="319">
        <v>1</v>
      </c>
      <c r="AH719" s="320">
        <v>1.7543859649122799E-2</v>
      </c>
      <c r="AI719" s="319">
        <v>1</v>
      </c>
      <c r="AJ719" s="320">
        <v>1.7543859649122799E-2</v>
      </c>
      <c r="AK719" s="320">
        <v>0</v>
      </c>
      <c r="AL719" s="319">
        <v>5</v>
      </c>
      <c r="AM719" s="319">
        <v>5</v>
      </c>
      <c r="AN719" s="319">
        <v>7.3333333333333304</v>
      </c>
      <c r="AO719" s="319">
        <v>0.57777777777777695</v>
      </c>
      <c r="AP719">
        <v>7</v>
      </c>
      <c r="AR719" s="136">
        <v>7</v>
      </c>
      <c r="AT719" s="69">
        <v>2.3148</v>
      </c>
      <c r="AU719" s="69">
        <v>2.3148</v>
      </c>
      <c r="AV719" s="69">
        <v>9.8416999999999994</v>
      </c>
      <c r="AW719" s="69">
        <v>0.4824</v>
      </c>
      <c r="BB719" s="69"/>
    </row>
    <row r="720" spans="1:54" customFormat="1" ht="40" customHeight="1">
      <c r="A720" s="313">
        <v>719</v>
      </c>
      <c r="B720" s="136" t="s">
        <v>1913</v>
      </c>
      <c r="C720" s="136" t="s">
        <v>45</v>
      </c>
      <c r="D720" s="31">
        <f t="shared" si="50"/>
        <v>4</v>
      </c>
      <c r="E720" s="137" t="s">
        <v>80</v>
      </c>
      <c r="F720" s="31">
        <f t="shared" si="51"/>
        <v>4</v>
      </c>
      <c r="G720" s="137" t="s">
        <v>359</v>
      </c>
      <c r="H720" s="138">
        <v>49</v>
      </c>
      <c r="I720" s="158">
        <f t="shared" si="52"/>
        <v>0.37754644384080999</v>
      </c>
      <c r="J720" s="95">
        <v>4.0672195426989504E-3</v>
      </c>
      <c r="K720" s="137">
        <v>0.75102566813892102</v>
      </c>
      <c r="L720" s="137">
        <v>0.75</v>
      </c>
      <c r="M720" s="137">
        <v>0.75256417034730305</v>
      </c>
      <c r="N720" s="136">
        <v>1</v>
      </c>
      <c r="O720" s="32">
        <v>43021</v>
      </c>
      <c r="P720" s="98">
        <f t="shared" si="53"/>
        <v>0</v>
      </c>
      <c r="Q720">
        <v>5.0999999999999996</v>
      </c>
      <c r="R720">
        <v>0</v>
      </c>
      <c r="S720">
        <v>0</v>
      </c>
      <c r="T720" s="112" t="s">
        <v>48</v>
      </c>
      <c r="U720" s="137" t="s">
        <v>1981</v>
      </c>
      <c r="V720" s="137" t="s">
        <v>1982</v>
      </c>
      <c r="W720" s="69">
        <v>161</v>
      </c>
      <c r="X720" s="136">
        <v>2</v>
      </c>
      <c r="Y720" s="136">
        <v>3</v>
      </c>
      <c r="Z720" s="314"/>
      <c r="AA720" s="319">
        <v>0.5</v>
      </c>
      <c r="AB720" s="315" t="s">
        <v>5165</v>
      </c>
      <c r="AC720" s="319">
        <v>2</v>
      </c>
      <c r="AD720" s="320">
        <v>2.27272727272727E-2</v>
      </c>
      <c r="AE720" s="319">
        <v>0</v>
      </c>
      <c r="AF720" s="320">
        <v>0</v>
      </c>
      <c r="AG720" s="319">
        <v>0</v>
      </c>
      <c r="AH720" s="320">
        <v>0</v>
      </c>
      <c r="AI720" s="319">
        <v>0</v>
      </c>
      <c r="AJ720" s="320">
        <v>0</v>
      </c>
      <c r="AK720" s="320">
        <v>0</v>
      </c>
      <c r="AL720" s="319">
        <v>6.75</v>
      </c>
      <c r="AM720" s="319">
        <v>5</v>
      </c>
      <c r="AN720" s="319">
        <v>7.3333333333333304</v>
      </c>
      <c r="AO720" s="319">
        <v>0.63611111111111096</v>
      </c>
      <c r="AP720">
        <v>3</v>
      </c>
      <c r="AR720" s="136">
        <v>3</v>
      </c>
      <c r="AT720" s="69">
        <v>6.3414000000000001</v>
      </c>
      <c r="AU720" s="69">
        <v>2.3148</v>
      </c>
      <c r="AV720" s="69">
        <v>9.8416999999999994</v>
      </c>
      <c r="AW720" s="69">
        <v>0.61660000000000004</v>
      </c>
      <c r="BB720" s="69"/>
    </row>
    <row r="721" spans="1:54" customFormat="1" ht="40" customHeight="1">
      <c r="A721" s="313">
        <v>720</v>
      </c>
      <c r="B721" s="136" t="s">
        <v>1913</v>
      </c>
      <c r="C721" s="136" t="s">
        <v>45</v>
      </c>
      <c r="D721" s="31">
        <f t="shared" si="50"/>
        <v>4</v>
      </c>
      <c r="E721" s="137" t="s">
        <v>80</v>
      </c>
      <c r="F721" s="31">
        <f t="shared" si="51"/>
        <v>4</v>
      </c>
      <c r="G721" s="137" t="s">
        <v>305</v>
      </c>
      <c r="H721" s="138">
        <v>65</v>
      </c>
      <c r="I721" s="158">
        <f t="shared" si="52"/>
        <v>0.44697853439636254</v>
      </c>
      <c r="J721" s="95">
        <v>6.59992593558212E-3</v>
      </c>
      <c r="K721" s="137">
        <v>0.88735714285714296</v>
      </c>
      <c r="L721" s="137">
        <v>0.90749999999999997</v>
      </c>
      <c r="M721" s="137">
        <v>0.85714285714285698</v>
      </c>
      <c r="N721" s="136">
        <v>1</v>
      </c>
      <c r="O721" s="32">
        <v>43017</v>
      </c>
      <c r="P721" s="98">
        <f t="shared" si="53"/>
        <v>0</v>
      </c>
      <c r="Q721">
        <v>5.0999999999999996</v>
      </c>
      <c r="R721">
        <v>0</v>
      </c>
      <c r="S721">
        <v>0</v>
      </c>
      <c r="T721" s="112" t="s">
        <v>48</v>
      </c>
      <c r="U721" s="137" t="s">
        <v>1983</v>
      </c>
      <c r="V721" s="137" t="s">
        <v>1984</v>
      </c>
      <c r="W721" s="69">
        <v>38</v>
      </c>
      <c r="X721" s="136">
        <v>1</v>
      </c>
      <c r="Y721" s="136">
        <v>1</v>
      </c>
      <c r="Z721" s="314"/>
      <c r="AA721" s="319">
        <v>0.5</v>
      </c>
      <c r="AB721" s="315" t="s">
        <v>5176</v>
      </c>
      <c r="AC721" s="319">
        <v>0</v>
      </c>
      <c r="AD721" s="320">
        <v>0</v>
      </c>
      <c r="AE721" s="319">
        <v>3</v>
      </c>
      <c r="AF721" s="320">
        <v>0.13636363636363599</v>
      </c>
      <c r="AG721" s="319">
        <v>0</v>
      </c>
      <c r="AH721" s="320">
        <v>0</v>
      </c>
      <c r="AI721" s="319">
        <v>0</v>
      </c>
      <c r="AJ721" s="320">
        <v>0</v>
      </c>
      <c r="AK721" s="320">
        <v>4.5454545454545463E-2</v>
      </c>
      <c r="AL721" s="319">
        <v>6.75</v>
      </c>
      <c r="AM721" s="319">
        <v>5</v>
      </c>
      <c r="AN721" s="319">
        <v>7.3333333333333304</v>
      </c>
      <c r="AO721" s="319">
        <v>0.63611111111111096</v>
      </c>
      <c r="AP721">
        <v>1</v>
      </c>
      <c r="AQ721">
        <v>1</v>
      </c>
      <c r="AR721" s="136"/>
      <c r="AT721" s="69">
        <v>6.3414000000000001</v>
      </c>
      <c r="AU721" s="69">
        <v>2.3148</v>
      </c>
      <c r="AV721" s="69">
        <v>9.8416999999999994</v>
      </c>
      <c r="AW721" s="69">
        <v>0.61660000000000004</v>
      </c>
      <c r="BB721" s="69"/>
    </row>
    <row r="722" spans="1:54" customFormat="1" ht="40" customHeight="1">
      <c r="A722" s="313">
        <v>721</v>
      </c>
      <c r="B722" s="136" t="s">
        <v>1913</v>
      </c>
      <c r="C722" s="136" t="s">
        <v>59</v>
      </c>
      <c r="D722" s="31">
        <f t="shared" si="50"/>
        <v>5</v>
      </c>
      <c r="E722" s="137" t="s">
        <v>80</v>
      </c>
      <c r="F722" s="31">
        <f t="shared" si="51"/>
        <v>4</v>
      </c>
      <c r="G722" s="137" t="s">
        <v>1985</v>
      </c>
      <c r="H722" s="138">
        <v>30</v>
      </c>
      <c r="I722" s="158">
        <f t="shared" si="52"/>
        <v>0.40588367373231454</v>
      </c>
      <c r="J722" s="95">
        <v>0.120678724582525</v>
      </c>
      <c r="K722" s="137">
        <v>0.69108862288210404</v>
      </c>
      <c r="L722" s="137">
        <v>0.61983471074380203</v>
      </c>
      <c r="M722" s="137">
        <v>0.79796949108955795</v>
      </c>
      <c r="N722" s="136">
        <v>1</v>
      </c>
      <c r="O722" s="32">
        <v>42911</v>
      </c>
      <c r="P722" s="98">
        <f t="shared" si="53"/>
        <v>1</v>
      </c>
      <c r="Q722">
        <v>0</v>
      </c>
      <c r="R722">
        <v>0</v>
      </c>
      <c r="S722">
        <v>0</v>
      </c>
      <c r="T722" s="112" t="s">
        <v>73</v>
      </c>
      <c r="U722" s="137" t="s">
        <v>1986</v>
      </c>
      <c r="V722" s="137" t="s">
        <v>1987</v>
      </c>
      <c r="W722" s="69">
        <v>69</v>
      </c>
      <c r="X722" s="136">
        <v>1</v>
      </c>
      <c r="Y722" s="136">
        <v>2</v>
      </c>
      <c r="Z722" s="314"/>
      <c r="AA722" s="319">
        <v>0.60499999999999998</v>
      </c>
      <c r="AB722" s="315" t="s">
        <v>5168</v>
      </c>
      <c r="AC722" s="319">
        <v>0</v>
      </c>
      <c r="AD722" s="320">
        <v>0</v>
      </c>
      <c r="AE722" s="319">
        <v>0</v>
      </c>
      <c r="AF722" s="320">
        <v>0</v>
      </c>
      <c r="AG722" s="319">
        <v>2</v>
      </c>
      <c r="AH722" s="320">
        <v>5.7142857142857099E-2</v>
      </c>
      <c r="AI722" s="319">
        <v>0</v>
      </c>
      <c r="AJ722" s="320">
        <v>0</v>
      </c>
      <c r="AK722" s="320">
        <v>0</v>
      </c>
      <c r="AL722" s="319">
        <v>5</v>
      </c>
      <c r="AM722" s="319">
        <v>6.2</v>
      </c>
      <c r="AN722" s="319">
        <v>3.5</v>
      </c>
      <c r="AO722" s="319">
        <v>0.49</v>
      </c>
      <c r="AP722">
        <v>2</v>
      </c>
      <c r="AR722" s="136">
        <v>2</v>
      </c>
      <c r="AT722" s="69">
        <v>2.3148</v>
      </c>
      <c r="AU722" s="69">
        <v>5</v>
      </c>
      <c r="AV722" s="69">
        <v>5.7443999999999997</v>
      </c>
      <c r="AW722" s="69">
        <v>0.43530000000000002</v>
      </c>
      <c r="BB722" s="69"/>
    </row>
    <row r="723" spans="1:54" customFormat="1" ht="40" customHeight="1">
      <c r="A723" s="313">
        <v>722</v>
      </c>
      <c r="B723" s="136" t="s">
        <v>1913</v>
      </c>
      <c r="C723" s="136" t="s">
        <v>45</v>
      </c>
      <c r="D723" s="31">
        <f t="shared" si="50"/>
        <v>4</v>
      </c>
      <c r="E723" s="137" t="s">
        <v>46</v>
      </c>
      <c r="F723" s="31">
        <f t="shared" si="51"/>
        <v>6</v>
      </c>
      <c r="G723" s="137" t="s">
        <v>1588</v>
      </c>
      <c r="H723" s="138">
        <v>397</v>
      </c>
      <c r="I723" s="158">
        <f t="shared" si="52"/>
        <v>0.30536341441209552</v>
      </c>
      <c r="J723" s="95">
        <v>4.5040950626407101E-4</v>
      </c>
      <c r="K723" s="137">
        <v>0.61027641931792698</v>
      </c>
      <c r="L723" s="137">
        <v>0.61983471074380103</v>
      </c>
      <c r="M723" s="137">
        <v>0.59593898217911601</v>
      </c>
      <c r="N723" s="136">
        <v>0</v>
      </c>
      <c r="O723" s="32">
        <v>42663</v>
      </c>
      <c r="P723" s="98">
        <f t="shared" si="53"/>
        <v>0</v>
      </c>
      <c r="Q723">
        <v>5.0999999999999996</v>
      </c>
      <c r="R723">
        <v>0</v>
      </c>
      <c r="S723">
        <v>1.87</v>
      </c>
      <c r="T723" s="112" t="s">
        <v>48</v>
      </c>
      <c r="U723" s="137" t="s">
        <v>1988</v>
      </c>
      <c r="V723" s="137" t="s">
        <v>1590</v>
      </c>
      <c r="W723" s="69">
        <v>129</v>
      </c>
      <c r="X723" s="136">
        <v>1</v>
      </c>
      <c r="Y723" s="136">
        <v>8</v>
      </c>
      <c r="Z723" s="314"/>
      <c r="AA723" s="319">
        <v>0.43057851239669398</v>
      </c>
      <c r="AB723" s="315" t="s">
        <v>5169</v>
      </c>
      <c r="AC723" s="319">
        <v>3</v>
      </c>
      <c r="AD723" s="320">
        <v>4.1666666666666602E-2</v>
      </c>
      <c r="AE723" s="319">
        <v>0</v>
      </c>
      <c r="AF723" s="320">
        <v>0</v>
      </c>
      <c r="AG723" s="319">
        <v>3</v>
      </c>
      <c r="AH723" s="320">
        <v>4.1666666666666602E-2</v>
      </c>
      <c r="AI723" s="319">
        <v>0</v>
      </c>
      <c r="AJ723" s="320">
        <v>0</v>
      </c>
      <c r="AK723" s="320">
        <v>0</v>
      </c>
      <c r="AL723" s="319">
        <v>5</v>
      </c>
      <c r="AM723" s="319">
        <v>5</v>
      </c>
      <c r="AN723" s="319">
        <v>6.1666666666666599</v>
      </c>
      <c r="AO723" s="319">
        <v>0.53888888888888797</v>
      </c>
      <c r="AP723">
        <v>8</v>
      </c>
      <c r="AR723" s="136">
        <v>8</v>
      </c>
      <c r="AT723" s="69">
        <v>2.3148</v>
      </c>
      <c r="AU723" s="69">
        <v>2.3148</v>
      </c>
      <c r="AV723" s="69">
        <v>9.5120000000000005</v>
      </c>
      <c r="AW723" s="69">
        <v>0.47139999999999999</v>
      </c>
      <c r="BB723" s="69"/>
    </row>
    <row r="724" spans="1:54" customFormat="1" ht="40" customHeight="1">
      <c r="A724" s="313">
        <v>723</v>
      </c>
      <c r="B724" s="136" t="s">
        <v>1989</v>
      </c>
      <c r="C724" s="136" t="s">
        <v>45</v>
      </c>
      <c r="D724" s="31">
        <f t="shared" si="50"/>
        <v>4</v>
      </c>
      <c r="E724" s="137" t="s">
        <v>80</v>
      </c>
      <c r="F724" s="31">
        <f t="shared" si="51"/>
        <v>4</v>
      </c>
      <c r="G724" s="137" t="s">
        <v>1990</v>
      </c>
      <c r="H724" s="138">
        <f>LEN(U724)</f>
        <v>59</v>
      </c>
      <c r="I724" s="158">
        <f t="shared" si="52"/>
        <v>0.38774359548287568</v>
      </c>
      <c r="J724" s="95">
        <v>8.2625039657393505E-3</v>
      </c>
      <c r="K724" s="137">
        <v>0.76722468700001201</v>
      </c>
      <c r="L724" s="137">
        <v>0.82499999999999996</v>
      </c>
      <c r="M724" s="137">
        <v>0.68056171750003003</v>
      </c>
      <c r="N724" s="136">
        <v>1</v>
      </c>
      <c r="O724" s="32">
        <v>44121</v>
      </c>
      <c r="P724" s="98">
        <f t="shared" si="53"/>
        <v>1</v>
      </c>
      <c r="Q724">
        <v>2.5499999999999998</v>
      </c>
      <c r="R724">
        <v>0</v>
      </c>
      <c r="S724">
        <v>0</v>
      </c>
      <c r="T724" s="112" t="s">
        <v>73</v>
      </c>
      <c r="U724" s="137" t="s">
        <v>1991</v>
      </c>
      <c r="V724" s="137" t="s">
        <v>1992</v>
      </c>
      <c r="W724" s="69">
        <f>LEN(V724)</f>
        <v>83</v>
      </c>
      <c r="X724" s="136">
        <v>1</v>
      </c>
      <c r="Y724" s="136">
        <v>5</v>
      </c>
      <c r="Z724" s="314"/>
      <c r="AA724" s="319">
        <v>0.54500000000000004</v>
      </c>
      <c r="AB724" s="315" t="s">
        <v>5176</v>
      </c>
      <c r="AC724" s="319">
        <v>0</v>
      </c>
      <c r="AD724" s="320">
        <v>0</v>
      </c>
      <c r="AE724" s="319">
        <v>3</v>
      </c>
      <c r="AF724" s="320">
        <v>6.1224489795918297E-2</v>
      </c>
      <c r="AG724" s="319">
        <v>1</v>
      </c>
      <c r="AH724" s="320">
        <v>2.04081632653061E-2</v>
      </c>
      <c r="AI724" s="319">
        <v>0</v>
      </c>
      <c r="AJ724" s="320">
        <v>0</v>
      </c>
      <c r="AK724" s="320">
        <v>4.0816326530612242E-2</v>
      </c>
      <c r="AL724" s="319">
        <v>5</v>
      </c>
      <c r="AM724" s="319">
        <v>5</v>
      </c>
      <c r="AN724" s="319">
        <v>7.3333333333333304</v>
      </c>
      <c r="AO724" s="319">
        <v>0.57777777777777695</v>
      </c>
      <c r="AP724">
        <v>5</v>
      </c>
      <c r="AR724" s="136">
        <v>5</v>
      </c>
      <c r="AT724" s="69">
        <v>2.3148</v>
      </c>
      <c r="AU724" s="69">
        <v>2.3148</v>
      </c>
      <c r="AV724" s="69">
        <v>9.8416999999999994</v>
      </c>
      <c r="AW724" s="69">
        <v>0.4824</v>
      </c>
      <c r="BB724" s="69"/>
    </row>
    <row r="725" spans="1:54" customFormat="1" ht="40" customHeight="1">
      <c r="A725" s="313">
        <v>724</v>
      </c>
      <c r="B725" s="136" t="s">
        <v>1989</v>
      </c>
      <c r="C725" s="136" t="s">
        <v>45</v>
      </c>
      <c r="D725" s="31">
        <f t="shared" si="50"/>
        <v>4</v>
      </c>
      <c r="E725" s="137" t="s">
        <v>80</v>
      </c>
      <c r="F725" s="31">
        <f t="shared" si="51"/>
        <v>4</v>
      </c>
      <c r="G725" s="137" t="s">
        <v>1993</v>
      </c>
      <c r="H725" s="138">
        <f>LEN(U725)</f>
        <v>41</v>
      </c>
      <c r="I725" s="158">
        <f t="shared" si="52"/>
        <v>0.34595475953286453</v>
      </c>
      <c r="J725" s="95">
        <v>2.9410205208140199E-3</v>
      </c>
      <c r="K725" s="137">
        <v>0.68896849854491504</v>
      </c>
      <c r="L725" s="137">
        <v>0.82499999999999996</v>
      </c>
      <c r="M725" s="137">
        <v>0.48492124636228701</v>
      </c>
      <c r="N725" s="136">
        <v>1</v>
      </c>
      <c r="O725" s="32">
        <v>44104</v>
      </c>
      <c r="P725" s="98">
        <f t="shared" si="53"/>
        <v>1</v>
      </c>
      <c r="Q725">
        <v>0</v>
      </c>
      <c r="R725">
        <v>0</v>
      </c>
      <c r="S725">
        <v>0</v>
      </c>
      <c r="T725" s="112" t="s">
        <v>73</v>
      </c>
      <c r="U725" s="137" t="s">
        <v>1994</v>
      </c>
      <c r="V725" s="137" t="s">
        <v>1995</v>
      </c>
      <c r="W725" s="69">
        <f>LEN(V725)</f>
        <v>74</v>
      </c>
      <c r="X725" s="136">
        <v>0</v>
      </c>
      <c r="Y725" s="136">
        <v>13</v>
      </c>
      <c r="Z725" s="314"/>
      <c r="AA725" s="319">
        <v>0.54500000000000004</v>
      </c>
      <c r="AB725" s="315" t="s">
        <v>5176</v>
      </c>
      <c r="AC725" s="319">
        <v>0</v>
      </c>
      <c r="AD725" s="320">
        <v>0</v>
      </c>
      <c r="AE725" s="319">
        <v>3</v>
      </c>
      <c r="AF725" s="320">
        <v>6.6666666666666596E-2</v>
      </c>
      <c r="AG725" s="319">
        <v>1</v>
      </c>
      <c r="AH725" s="320">
        <v>2.2222222222222199E-2</v>
      </c>
      <c r="AI725" s="319">
        <v>0</v>
      </c>
      <c r="AJ725" s="320">
        <v>0</v>
      </c>
      <c r="AK725" s="320">
        <v>4.4444444444444453E-2</v>
      </c>
      <c r="AL725" s="319">
        <v>5</v>
      </c>
      <c r="AM725" s="319">
        <v>5</v>
      </c>
      <c r="AN725" s="319">
        <v>4.6666666666666599</v>
      </c>
      <c r="AO725" s="319">
        <v>0.48888888888888798</v>
      </c>
      <c r="AR725" s="136">
        <v>13</v>
      </c>
      <c r="AT725" s="69">
        <v>2.3148</v>
      </c>
      <c r="AU725" s="69">
        <v>2.3148</v>
      </c>
      <c r="AV725" s="69">
        <v>8.1305999999999994</v>
      </c>
      <c r="AW725" s="69">
        <v>0.42530000000000001</v>
      </c>
      <c r="BB725" s="69"/>
    </row>
    <row r="726" spans="1:54" customFormat="1" ht="40" customHeight="1">
      <c r="A726" s="313">
        <v>725</v>
      </c>
      <c r="B726" s="136" t="s">
        <v>1989</v>
      </c>
      <c r="C726" s="136" t="s">
        <v>45</v>
      </c>
      <c r="D726" s="31">
        <f t="shared" si="50"/>
        <v>4</v>
      </c>
      <c r="E726" s="137" t="s">
        <v>80</v>
      </c>
      <c r="F726" s="31">
        <f t="shared" si="51"/>
        <v>4</v>
      </c>
      <c r="G726" s="137" t="s">
        <v>1996</v>
      </c>
      <c r="H726" s="138">
        <v>80</v>
      </c>
      <c r="I726" s="158">
        <f t="shared" si="52"/>
        <v>0.45097089524759026</v>
      </c>
      <c r="J726" s="95">
        <v>6.4084647638037506E-2</v>
      </c>
      <c r="K726" s="137">
        <v>0.83785714285714297</v>
      </c>
      <c r="L726" s="137">
        <v>0.82499999999999996</v>
      </c>
      <c r="M726" s="137">
        <v>0.85714285714285698</v>
      </c>
      <c r="N726" s="136">
        <v>1</v>
      </c>
      <c r="O726" s="32">
        <v>44042</v>
      </c>
      <c r="P726" s="98">
        <f t="shared" si="53"/>
        <v>1</v>
      </c>
      <c r="Q726">
        <v>2.5499999999999998</v>
      </c>
      <c r="R726">
        <v>3.3</v>
      </c>
      <c r="S726">
        <v>0</v>
      </c>
      <c r="T726" s="112" t="s">
        <v>73</v>
      </c>
      <c r="U726" s="137" t="s">
        <v>1997</v>
      </c>
      <c r="V726" s="137" t="s">
        <v>1998</v>
      </c>
      <c r="W726" s="69">
        <v>66</v>
      </c>
      <c r="X726" s="136">
        <v>1</v>
      </c>
      <c r="Y726" s="136">
        <v>1</v>
      </c>
      <c r="Z726" s="314"/>
      <c r="AA726" s="319">
        <v>0.64895000000000003</v>
      </c>
      <c r="AB726" s="331" t="s">
        <v>5164</v>
      </c>
      <c r="AC726" s="319">
        <v>0</v>
      </c>
      <c r="AD726" s="320">
        <v>0</v>
      </c>
      <c r="AE726" s="319">
        <v>0</v>
      </c>
      <c r="AF726" s="320">
        <v>0</v>
      </c>
      <c r="AG726" s="319">
        <v>0</v>
      </c>
      <c r="AH726" s="320">
        <v>0</v>
      </c>
      <c r="AI726" s="319">
        <v>0</v>
      </c>
      <c r="AJ726" s="320">
        <v>0</v>
      </c>
      <c r="AK726" s="320">
        <v>0</v>
      </c>
      <c r="AL726" s="319">
        <v>5</v>
      </c>
      <c r="AM726" s="319">
        <v>6.2</v>
      </c>
      <c r="AN726" s="319">
        <v>7.3333333333333304</v>
      </c>
      <c r="AO726" s="319">
        <v>0.61777777777777698</v>
      </c>
      <c r="AP726" s="319">
        <v>1</v>
      </c>
      <c r="AR726" s="136"/>
      <c r="AT726" s="69">
        <v>2.3148</v>
      </c>
      <c r="AU726" s="69">
        <v>5</v>
      </c>
      <c r="AV726" s="69">
        <v>9.8416999999999994</v>
      </c>
      <c r="AW726" s="69">
        <v>0.57189999999999996</v>
      </c>
      <c r="BB726" s="69"/>
    </row>
    <row r="727" spans="1:54" customFormat="1" ht="40" customHeight="1">
      <c r="A727" s="313">
        <v>726</v>
      </c>
      <c r="B727" s="136" t="s">
        <v>1989</v>
      </c>
      <c r="C727" s="136" t="s">
        <v>45</v>
      </c>
      <c r="D727" s="31">
        <f t="shared" si="50"/>
        <v>4</v>
      </c>
      <c r="E727" s="137" t="s">
        <v>221</v>
      </c>
      <c r="F727" s="31">
        <f t="shared" si="51"/>
        <v>2</v>
      </c>
      <c r="G727" s="137" t="s">
        <v>1999</v>
      </c>
      <c r="H727" s="138">
        <v>76</v>
      </c>
      <c r="I727" s="158">
        <f t="shared" si="52"/>
        <v>0.35858267969408786</v>
      </c>
      <c r="J727" s="95">
        <v>7.0487821583457002E-3</v>
      </c>
      <c r="K727" s="137">
        <v>0.71011657722983001</v>
      </c>
      <c r="L727" s="137">
        <v>0.68181818181818199</v>
      </c>
      <c r="M727" s="137">
        <v>0.75256417034730305</v>
      </c>
      <c r="N727" s="136">
        <v>1</v>
      </c>
      <c r="O727" s="32">
        <v>43842</v>
      </c>
      <c r="P727" s="98">
        <f t="shared" si="53"/>
        <v>0</v>
      </c>
      <c r="Q727">
        <v>7.65</v>
      </c>
      <c r="R727">
        <v>0</v>
      </c>
      <c r="S727">
        <v>0</v>
      </c>
      <c r="T727" s="112" t="s">
        <v>48</v>
      </c>
      <c r="U727" s="137" t="s">
        <v>2000</v>
      </c>
      <c r="V727" s="137" t="s">
        <v>2001</v>
      </c>
      <c r="W727" s="69">
        <v>98</v>
      </c>
      <c r="X727" s="136">
        <v>2</v>
      </c>
      <c r="Y727" s="136">
        <v>3</v>
      </c>
      <c r="Z727" s="314"/>
      <c r="AA727" s="319">
        <v>0.5</v>
      </c>
      <c r="AB727" s="315" t="s">
        <v>5176</v>
      </c>
      <c r="AC727" s="319">
        <v>1</v>
      </c>
      <c r="AD727" s="320">
        <v>1.6949152542372801E-2</v>
      </c>
      <c r="AE727" s="319">
        <v>2</v>
      </c>
      <c r="AF727" s="320">
        <v>3.38983050847457E-2</v>
      </c>
      <c r="AG727" s="319">
        <v>0</v>
      </c>
      <c r="AH727" s="320">
        <v>0</v>
      </c>
      <c r="AI727" s="319">
        <v>0</v>
      </c>
      <c r="AJ727" s="320">
        <v>0</v>
      </c>
      <c r="AK727" s="320">
        <v>1.6949152542372881E-2</v>
      </c>
      <c r="AL727" s="319">
        <v>5</v>
      </c>
      <c r="AM727" s="319">
        <v>5</v>
      </c>
      <c r="AN727" s="319">
        <v>7.3333333333333304</v>
      </c>
      <c r="AO727" s="319">
        <v>0.57777777777777695</v>
      </c>
      <c r="AP727">
        <v>3</v>
      </c>
      <c r="AR727" s="136"/>
      <c r="AS727">
        <v>3</v>
      </c>
      <c r="AT727" s="69">
        <v>2.3148</v>
      </c>
      <c r="AU727" s="69">
        <v>2.3148</v>
      </c>
      <c r="AV727" s="69">
        <v>9.8416999999999994</v>
      </c>
      <c r="AW727" s="69">
        <v>0.4824</v>
      </c>
      <c r="BB727" s="69"/>
    </row>
    <row r="728" spans="1:54" customFormat="1" ht="40" customHeight="1">
      <c r="A728" s="313">
        <v>727</v>
      </c>
      <c r="B728" s="136" t="s">
        <v>1989</v>
      </c>
      <c r="C728" s="136" t="s">
        <v>45</v>
      </c>
      <c r="D728" s="31">
        <f t="shared" si="50"/>
        <v>4</v>
      </c>
      <c r="E728" s="137" t="s">
        <v>80</v>
      </c>
      <c r="F728" s="31">
        <f t="shared" si="51"/>
        <v>4</v>
      </c>
      <c r="G728" s="137" t="s">
        <v>2002</v>
      </c>
      <c r="H728" s="138">
        <v>32</v>
      </c>
      <c r="I728" s="158">
        <f t="shared" si="52"/>
        <v>0.31971505795090499</v>
      </c>
      <c r="J728" s="95">
        <v>3.2391094317499899E-3</v>
      </c>
      <c r="K728" s="137">
        <v>0.63619100647005999</v>
      </c>
      <c r="L728" s="137">
        <v>0.75</v>
      </c>
      <c r="M728" s="137">
        <v>0.46547751617515098</v>
      </c>
      <c r="N728" s="136">
        <v>1</v>
      </c>
      <c r="O728" s="32">
        <v>43637</v>
      </c>
      <c r="P728" s="98">
        <f t="shared" si="53"/>
        <v>0</v>
      </c>
      <c r="Q728">
        <v>0</v>
      </c>
      <c r="R728">
        <v>0</v>
      </c>
      <c r="S728">
        <v>0</v>
      </c>
      <c r="T728" s="112" t="s">
        <v>48</v>
      </c>
      <c r="U728" s="137" t="s">
        <v>2003</v>
      </c>
      <c r="V728" s="137" t="s">
        <v>2004</v>
      </c>
      <c r="W728" s="69">
        <v>82</v>
      </c>
      <c r="X728" s="136">
        <v>2</v>
      </c>
      <c r="Y728" s="136">
        <v>14</v>
      </c>
      <c r="Z728" s="314"/>
      <c r="AA728" s="319">
        <v>0.5</v>
      </c>
      <c r="AB728" s="315" t="s">
        <v>5176</v>
      </c>
      <c r="AC728" s="319">
        <v>0</v>
      </c>
      <c r="AD728" s="320">
        <v>0</v>
      </c>
      <c r="AE728" s="319">
        <v>5</v>
      </c>
      <c r="AF728" s="320">
        <v>0.11111111111111099</v>
      </c>
      <c r="AG728" s="319">
        <v>2</v>
      </c>
      <c r="AH728" s="320">
        <v>4.4444444444444398E-2</v>
      </c>
      <c r="AI728" s="319">
        <v>0</v>
      </c>
      <c r="AJ728" s="320">
        <v>0</v>
      </c>
      <c r="AK728" s="320">
        <v>6.6666666666666666E-2</v>
      </c>
      <c r="AL728" s="319">
        <v>5</v>
      </c>
      <c r="AM728" s="319">
        <v>5</v>
      </c>
      <c r="AN728" s="319">
        <v>4.6666666666666599</v>
      </c>
      <c r="AO728" s="319">
        <v>0.48888888888888798</v>
      </c>
      <c r="AP728">
        <v>14</v>
      </c>
      <c r="AR728" s="136">
        <v>14</v>
      </c>
      <c r="AT728" s="69">
        <v>2.3148</v>
      </c>
      <c r="AU728" s="69">
        <v>2.3148</v>
      </c>
      <c r="AV728" s="69">
        <v>8.1305999999999994</v>
      </c>
      <c r="AW728" s="69">
        <v>0.42530000000000001</v>
      </c>
      <c r="BB728" s="69"/>
    </row>
    <row r="729" spans="1:54" customFormat="1" ht="40" customHeight="1">
      <c r="A729" s="313">
        <v>728</v>
      </c>
      <c r="B729" s="136" t="s">
        <v>1989</v>
      </c>
      <c r="C729" s="136" t="s">
        <v>45</v>
      </c>
      <c r="D729" s="31">
        <f t="shared" si="50"/>
        <v>4</v>
      </c>
      <c r="E729" s="137" t="s">
        <v>80</v>
      </c>
      <c r="F729" s="31">
        <f t="shared" si="51"/>
        <v>4</v>
      </c>
      <c r="G729" s="137" t="s">
        <v>944</v>
      </c>
      <c r="H729" s="138">
        <v>113</v>
      </c>
      <c r="I729" s="158">
        <f t="shared" si="52"/>
        <v>0.38361235111443054</v>
      </c>
      <c r="J729" s="95">
        <v>1.5228849070680901E-8</v>
      </c>
      <c r="K729" s="137">
        <v>0.76722468700001201</v>
      </c>
      <c r="L729" s="137">
        <v>0.82499999999999996</v>
      </c>
      <c r="M729" s="137">
        <v>0.68056171750003003</v>
      </c>
      <c r="N729" s="136">
        <v>1</v>
      </c>
      <c r="O729" s="32">
        <v>43331</v>
      </c>
      <c r="P729" s="98">
        <f t="shared" si="53"/>
        <v>1</v>
      </c>
      <c r="Q729">
        <v>0</v>
      </c>
      <c r="R729">
        <v>3.3</v>
      </c>
      <c r="S729">
        <v>0</v>
      </c>
      <c r="T729" s="112" t="s">
        <v>73</v>
      </c>
      <c r="U729" s="137" t="s">
        <v>2005</v>
      </c>
      <c r="V729" s="137" t="s">
        <v>2006</v>
      </c>
      <c r="W729" s="69">
        <v>73</v>
      </c>
      <c r="X729" s="136">
        <v>3</v>
      </c>
      <c r="Y729" s="136">
        <v>5</v>
      </c>
      <c r="Z729" s="314"/>
      <c r="AA729" s="319">
        <v>0.64895000000000003</v>
      </c>
      <c r="AB729" s="315" t="s">
        <v>5176</v>
      </c>
      <c r="AC729" s="319">
        <v>0</v>
      </c>
      <c r="AD729" s="320">
        <v>0</v>
      </c>
      <c r="AE729" s="319">
        <v>3</v>
      </c>
      <c r="AF729" s="320">
        <v>6.9767441860465101E-2</v>
      </c>
      <c r="AG729" s="319">
        <v>1</v>
      </c>
      <c r="AH729" s="320">
        <v>2.3255813953488299E-2</v>
      </c>
      <c r="AI729" s="319">
        <v>0</v>
      </c>
      <c r="AJ729" s="320">
        <v>0</v>
      </c>
      <c r="AK729" s="320">
        <v>6.9767441860465115E-2</v>
      </c>
      <c r="AL729" s="319">
        <v>6.75</v>
      </c>
      <c r="AM729" s="319">
        <v>6.2</v>
      </c>
      <c r="AN729" s="319">
        <v>7.3333333333333304</v>
      </c>
      <c r="AO729" s="319">
        <v>0.676111111111111</v>
      </c>
      <c r="AP729">
        <v>5</v>
      </c>
      <c r="AR729" s="136"/>
      <c r="AS729">
        <v>5</v>
      </c>
      <c r="AT729" s="69">
        <v>6.3414000000000001</v>
      </c>
      <c r="AU729" s="69">
        <v>5</v>
      </c>
      <c r="AV729" s="69">
        <v>9.8416999999999994</v>
      </c>
      <c r="AW729" s="69">
        <v>0.70609999999999995</v>
      </c>
      <c r="BB729" s="69"/>
    </row>
    <row r="730" spans="1:54" customFormat="1" ht="40" customHeight="1">
      <c r="A730" s="313">
        <v>729</v>
      </c>
      <c r="B730" s="136" t="s">
        <v>1989</v>
      </c>
      <c r="C730" s="136" t="s">
        <v>45</v>
      </c>
      <c r="D730" s="31">
        <f t="shared" si="50"/>
        <v>4</v>
      </c>
      <c r="E730" s="137" t="s">
        <v>46</v>
      </c>
      <c r="F730" s="31">
        <f t="shared" si="51"/>
        <v>6</v>
      </c>
      <c r="G730" s="137" t="s">
        <v>2007</v>
      </c>
      <c r="H730" s="138">
        <v>116</v>
      </c>
      <c r="I730" s="158">
        <f t="shared" si="52"/>
        <v>0.36416893070463424</v>
      </c>
      <c r="J730" s="95">
        <v>5.9155882536465699E-5</v>
      </c>
      <c r="K730" s="137">
        <v>0.72827870552673202</v>
      </c>
      <c r="L730" s="137">
        <v>0.68181818181818199</v>
      </c>
      <c r="M730" s="137">
        <v>0.79796949108955795</v>
      </c>
      <c r="N730" s="136">
        <v>0</v>
      </c>
      <c r="O730" s="32">
        <v>43228</v>
      </c>
      <c r="P730" s="98">
        <f t="shared" si="53"/>
        <v>0</v>
      </c>
      <c r="Q730">
        <v>2.5499999999999998</v>
      </c>
      <c r="R730">
        <v>0</v>
      </c>
      <c r="S730">
        <v>0</v>
      </c>
      <c r="T730" s="112" t="s">
        <v>48</v>
      </c>
      <c r="U730" s="137" t="s">
        <v>2008</v>
      </c>
      <c r="V730" s="137" t="s">
        <v>2009</v>
      </c>
      <c r="W730" s="69">
        <v>120</v>
      </c>
      <c r="X730" s="136">
        <v>1</v>
      </c>
      <c r="Y730" s="136">
        <v>2</v>
      </c>
      <c r="Z730" s="314"/>
      <c r="AA730" s="319">
        <v>0.55000000000000004</v>
      </c>
      <c r="AB730" s="315" t="s">
        <v>5193</v>
      </c>
      <c r="AC730" s="319">
        <v>2</v>
      </c>
      <c r="AD730" s="320">
        <v>2.94117647058823E-2</v>
      </c>
      <c r="AE730" s="319">
        <v>2</v>
      </c>
      <c r="AF730" s="320">
        <v>2.94117647058823E-2</v>
      </c>
      <c r="AG730" s="319">
        <v>1</v>
      </c>
      <c r="AH730" s="320">
        <v>1.47058823529411E-2</v>
      </c>
      <c r="AI730" s="319">
        <v>2</v>
      </c>
      <c r="AJ730" s="320">
        <v>2.94117647058823E-2</v>
      </c>
      <c r="AK730" s="320">
        <v>1.470588235294118E-2</v>
      </c>
      <c r="AL730" s="319">
        <v>5</v>
      </c>
      <c r="AM730" s="319">
        <v>5</v>
      </c>
      <c r="AN730" s="319">
        <v>2</v>
      </c>
      <c r="AO730" s="319">
        <v>0.4</v>
      </c>
      <c r="AP730">
        <v>2</v>
      </c>
      <c r="AQ730">
        <v>2</v>
      </c>
      <c r="AR730" s="136"/>
      <c r="AT730" s="69">
        <v>2.3148</v>
      </c>
      <c r="AU730" s="69">
        <v>2.3148</v>
      </c>
      <c r="AV730" s="69">
        <v>2.3148</v>
      </c>
      <c r="AW730" s="69">
        <v>0.23150000000000001</v>
      </c>
      <c r="BB730" s="69"/>
    </row>
    <row r="731" spans="1:54" customFormat="1" ht="40" customHeight="1">
      <c r="A731" s="313">
        <v>730</v>
      </c>
      <c r="B731" s="136" t="s">
        <v>1989</v>
      </c>
      <c r="C731" s="136" t="s">
        <v>45</v>
      </c>
      <c r="D731" s="31">
        <f t="shared" si="50"/>
        <v>4</v>
      </c>
      <c r="E731" s="137" t="s">
        <v>80</v>
      </c>
      <c r="F731" s="31">
        <f t="shared" si="51"/>
        <v>4</v>
      </c>
      <c r="G731" s="137" t="s">
        <v>305</v>
      </c>
      <c r="H731" s="138">
        <v>49</v>
      </c>
      <c r="I731" s="158">
        <f t="shared" si="52"/>
        <v>0.39048834769264251</v>
      </c>
      <c r="J731" s="95">
        <v>2.6240967099899802E-4</v>
      </c>
      <c r="K731" s="137">
        <v>0.78071428571428603</v>
      </c>
      <c r="L731" s="137">
        <v>0.82499999999999996</v>
      </c>
      <c r="M731" s="137">
        <v>0.71428571428571397</v>
      </c>
      <c r="N731" s="136">
        <v>1</v>
      </c>
      <c r="O731" s="32">
        <v>43196</v>
      </c>
      <c r="P731" s="98">
        <f t="shared" si="53"/>
        <v>0</v>
      </c>
      <c r="Q731">
        <v>7.65</v>
      </c>
      <c r="R731">
        <v>0</v>
      </c>
      <c r="S731">
        <v>0</v>
      </c>
      <c r="T731" s="112" t="s">
        <v>48</v>
      </c>
      <c r="U731" s="137" t="s">
        <v>2010</v>
      </c>
      <c r="V731" s="137" t="s">
        <v>2011</v>
      </c>
      <c r="W731" s="69">
        <v>152</v>
      </c>
      <c r="X731" s="136">
        <v>2</v>
      </c>
      <c r="Y731" s="136">
        <v>4</v>
      </c>
      <c r="Z731" s="314"/>
      <c r="AA731" s="319">
        <v>0.5</v>
      </c>
      <c r="AB731" s="315" t="s">
        <v>5193</v>
      </c>
      <c r="AC731" s="319">
        <v>2</v>
      </c>
      <c r="AD731" s="320">
        <v>2.2988505747126398E-2</v>
      </c>
      <c r="AE731" s="319">
        <v>2</v>
      </c>
      <c r="AF731" s="320">
        <v>2.2988505747126398E-2</v>
      </c>
      <c r="AG731" s="319">
        <v>1</v>
      </c>
      <c r="AH731" s="320">
        <v>1.1494252873563199E-2</v>
      </c>
      <c r="AI731" s="319">
        <v>2</v>
      </c>
      <c r="AJ731" s="320">
        <v>2.2988505747126398E-2</v>
      </c>
      <c r="AK731" s="320">
        <v>1.149425287356322E-2</v>
      </c>
      <c r="AL731" s="319">
        <v>6.75</v>
      </c>
      <c r="AM731" s="319">
        <v>5</v>
      </c>
      <c r="AN731" s="319">
        <v>7.3333333333333304</v>
      </c>
      <c r="AO731" s="319">
        <v>0.63611111111111096</v>
      </c>
      <c r="AP731">
        <v>4</v>
      </c>
      <c r="AR731" s="136">
        <v>4</v>
      </c>
      <c r="AT731" s="69">
        <v>6.3414000000000001</v>
      </c>
      <c r="AU731" s="69">
        <v>2.3148</v>
      </c>
      <c r="AV731" s="69">
        <v>9.8416999999999994</v>
      </c>
      <c r="AW731" s="69">
        <v>0.61660000000000004</v>
      </c>
      <c r="BB731" s="69"/>
    </row>
    <row r="732" spans="1:54" customFormat="1" ht="40" customHeight="1">
      <c r="A732" s="313">
        <v>731</v>
      </c>
      <c r="B732" s="136" t="s">
        <v>1989</v>
      </c>
      <c r="C732" s="136" t="s">
        <v>45</v>
      </c>
      <c r="D732" s="31">
        <f t="shared" si="50"/>
        <v>4</v>
      </c>
      <c r="E732" s="137" t="s">
        <v>46</v>
      </c>
      <c r="F732" s="31">
        <f t="shared" si="51"/>
        <v>6</v>
      </c>
      <c r="G732" s="137" t="s">
        <v>2012</v>
      </c>
      <c r="H732" s="138">
        <v>114</v>
      </c>
      <c r="I732" s="158">
        <f t="shared" si="52"/>
        <v>0.32605982351976548</v>
      </c>
      <c r="J732" s="95">
        <v>6.8310761688006303E-5</v>
      </c>
      <c r="K732" s="137">
        <v>0.65205133627784295</v>
      </c>
      <c r="L732" s="137">
        <v>0.75</v>
      </c>
      <c r="M732" s="137">
        <v>0.50512834069460699</v>
      </c>
      <c r="N732" s="136">
        <v>1</v>
      </c>
      <c r="O732" s="32">
        <v>42509</v>
      </c>
      <c r="P732" s="98">
        <f t="shared" si="53"/>
        <v>1</v>
      </c>
      <c r="Q732">
        <v>0</v>
      </c>
      <c r="R732">
        <v>0</v>
      </c>
      <c r="S732">
        <v>0</v>
      </c>
      <c r="T732" s="112" t="s">
        <v>73</v>
      </c>
      <c r="U732" s="137" t="s">
        <v>2013</v>
      </c>
      <c r="V732" s="137" t="s">
        <v>2014</v>
      </c>
      <c r="W732" s="69">
        <v>123</v>
      </c>
      <c r="X732" s="136">
        <v>1</v>
      </c>
      <c r="Y732" s="136">
        <v>12</v>
      </c>
      <c r="Z732" s="314"/>
      <c r="AA732" s="319">
        <v>0.5</v>
      </c>
      <c r="AB732" s="315" t="s">
        <v>5176</v>
      </c>
      <c r="AC732" s="319">
        <v>1</v>
      </c>
      <c r="AD732" s="320">
        <v>1.47058823529411E-2</v>
      </c>
      <c r="AE732" s="319">
        <v>2</v>
      </c>
      <c r="AF732" s="320">
        <v>2.94117647058823E-2</v>
      </c>
      <c r="AG732" s="319">
        <v>1</v>
      </c>
      <c r="AH732" s="320">
        <v>1.47058823529411E-2</v>
      </c>
      <c r="AI732" s="319">
        <v>0</v>
      </c>
      <c r="AJ732" s="320">
        <v>0</v>
      </c>
      <c r="AK732" s="320">
        <v>1.470588235294118E-2</v>
      </c>
      <c r="AL732" s="319">
        <v>5</v>
      </c>
      <c r="AM732" s="319">
        <v>5</v>
      </c>
      <c r="AN732" s="319">
        <v>6.1666666666666599</v>
      </c>
      <c r="AO732" s="319">
        <v>0.53888888888888797</v>
      </c>
      <c r="AP732">
        <v>12</v>
      </c>
      <c r="AQ732">
        <v>12</v>
      </c>
      <c r="AR732" s="136"/>
      <c r="AT732" s="69">
        <v>2.3148</v>
      </c>
      <c r="AU732" s="69">
        <v>2.3148</v>
      </c>
      <c r="AV732" s="69">
        <v>9.5120000000000005</v>
      </c>
      <c r="AW732" s="69">
        <v>0.47139999999999999</v>
      </c>
      <c r="BB732" s="69"/>
    </row>
    <row r="733" spans="1:54" customFormat="1" ht="40" customHeight="1">
      <c r="A733" s="313">
        <v>732</v>
      </c>
      <c r="B733" s="136" t="s">
        <v>2015</v>
      </c>
      <c r="C733" s="136" t="s">
        <v>45</v>
      </c>
      <c r="D733" s="31">
        <f t="shared" si="50"/>
        <v>4</v>
      </c>
      <c r="E733" s="137" t="s">
        <v>80</v>
      </c>
      <c r="F733" s="31">
        <f t="shared" si="51"/>
        <v>4</v>
      </c>
      <c r="G733" s="137" t="s">
        <v>2016</v>
      </c>
      <c r="H733" s="138">
        <f t="shared" ref="H733:H742" si="54">LEN(U733)</f>
        <v>43</v>
      </c>
      <c r="I733" s="158">
        <f t="shared" si="52"/>
        <v>0.39968204462825463</v>
      </c>
      <c r="J733" s="95">
        <v>3.33842111758831E-3</v>
      </c>
      <c r="K733" s="137">
        <v>0.79602566813892095</v>
      </c>
      <c r="L733" s="137">
        <v>0.82499999999999996</v>
      </c>
      <c r="M733" s="137">
        <v>0.75256417034730305</v>
      </c>
      <c r="N733" s="136">
        <v>1</v>
      </c>
      <c r="O733" s="32">
        <v>44178</v>
      </c>
      <c r="P733" s="98">
        <f t="shared" si="53"/>
        <v>0</v>
      </c>
      <c r="Q733">
        <v>7.65</v>
      </c>
      <c r="R733">
        <v>0</v>
      </c>
      <c r="S733">
        <v>0</v>
      </c>
      <c r="T733" s="112" t="s">
        <v>48</v>
      </c>
      <c r="U733" s="137" t="s">
        <v>2017</v>
      </c>
      <c r="V733" s="137" t="s">
        <v>2018</v>
      </c>
      <c r="W733" s="69">
        <f t="shared" ref="W733:W742" si="55">LEN(V733)</f>
        <v>32</v>
      </c>
      <c r="X733" s="136">
        <v>0</v>
      </c>
      <c r="Y733" s="136">
        <v>3</v>
      </c>
      <c r="Z733" s="314"/>
      <c r="AA733" s="319">
        <v>0.59450000000000003</v>
      </c>
      <c r="AB733" s="315" t="s">
        <v>5165</v>
      </c>
      <c r="AC733" s="319">
        <v>3</v>
      </c>
      <c r="AD733" s="320">
        <v>0.15</v>
      </c>
      <c r="AE733" s="319">
        <v>2</v>
      </c>
      <c r="AF733" s="320">
        <v>0.1</v>
      </c>
      <c r="AG733" s="319">
        <v>1</v>
      </c>
      <c r="AH733" s="320">
        <v>0.05</v>
      </c>
      <c r="AI733" s="319">
        <v>0</v>
      </c>
      <c r="AJ733" s="320">
        <v>0</v>
      </c>
      <c r="AK733" s="320">
        <v>0</v>
      </c>
      <c r="AL733" s="319">
        <v>6.75</v>
      </c>
      <c r="AM733" s="319">
        <v>5</v>
      </c>
      <c r="AN733" s="319">
        <v>7.3333333333333304</v>
      </c>
      <c r="AO733" s="319">
        <v>0.63611111111111096</v>
      </c>
      <c r="AR733" s="136">
        <v>3</v>
      </c>
      <c r="AT733" s="69">
        <v>6.3414000000000001</v>
      </c>
      <c r="AU733" s="69">
        <v>2.3148</v>
      </c>
      <c r="AV733" s="69">
        <v>9.8416999999999994</v>
      </c>
      <c r="AW733" s="69">
        <v>0.61660000000000004</v>
      </c>
      <c r="BB733" s="69"/>
    </row>
    <row r="734" spans="1:54" customFormat="1" ht="40" customHeight="1">
      <c r="A734" s="313">
        <v>733</v>
      </c>
      <c r="B734" s="136" t="s">
        <v>2015</v>
      </c>
      <c r="C734" s="136" t="s">
        <v>45</v>
      </c>
      <c r="D734" s="31">
        <f t="shared" si="50"/>
        <v>4</v>
      </c>
      <c r="E734" s="137" t="s">
        <v>80</v>
      </c>
      <c r="F734" s="31">
        <f t="shared" si="51"/>
        <v>4</v>
      </c>
      <c r="G734" s="137" t="s">
        <v>2016</v>
      </c>
      <c r="H734" s="138">
        <f t="shared" si="54"/>
        <v>32</v>
      </c>
      <c r="I734" s="158">
        <f t="shared" si="52"/>
        <v>0.54072770492894351</v>
      </c>
      <c r="J734" s="95">
        <v>0.30074112414360099</v>
      </c>
      <c r="K734" s="137">
        <v>0.78071428571428603</v>
      </c>
      <c r="L734" s="137">
        <v>0.82499999999999996</v>
      </c>
      <c r="M734" s="137">
        <v>0.71428571428571397</v>
      </c>
      <c r="N734" s="136">
        <v>1</v>
      </c>
      <c r="O734" s="32">
        <v>44176</v>
      </c>
      <c r="P734" s="98">
        <f t="shared" si="53"/>
        <v>0</v>
      </c>
      <c r="Q734">
        <v>2.5499999999999998</v>
      </c>
      <c r="R734">
        <v>0</v>
      </c>
      <c r="S734">
        <v>0</v>
      </c>
      <c r="T734" s="112" t="s">
        <v>48</v>
      </c>
      <c r="U734" s="137" t="s">
        <v>2019</v>
      </c>
      <c r="V734" s="137" t="s">
        <v>2018</v>
      </c>
      <c r="W734" s="69">
        <f t="shared" si="55"/>
        <v>32</v>
      </c>
      <c r="X734" s="136">
        <v>0</v>
      </c>
      <c r="Y734" s="136">
        <v>4</v>
      </c>
      <c r="Z734" s="314"/>
      <c r="AA734" s="319">
        <v>0.54500000000000004</v>
      </c>
      <c r="AB734" s="315" t="s">
        <v>5165</v>
      </c>
      <c r="AC734" s="319">
        <v>3</v>
      </c>
      <c r="AD734" s="320">
        <v>0.15</v>
      </c>
      <c r="AE734" s="319">
        <v>2</v>
      </c>
      <c r="AF734" s="320">
        <v>0.1</v>
      </c>
      <c r="AG734" s="319">
        <v>1</v>
      </c>
      <c r="AH734" s="320">
        <v>0.05</v>
      </c>
      <c r="AI734" s="319">
        <v>0</v>
      </c>
      <c r="AJ734" s="320">
        <v>0</v>
      </c>
      <c r="AK734" s="320">
        <v>0</v>
      </c>
      <c r="AL734" s="319">
        <v>6.75</v>
      </c>
      <c r="AM734" s="319">
        <v>5</v>
      </c>
      <c r="AN734" s="319">
        <v>4.6666666666666599</v>
      </c>
      <c r="AO734" s="319">
        <v>0.54722222222222205</v>
      </c>
      <c r="AR734" s="136">
        <v>4</v>
      </c>
      <c r="AT734" s="69">
        <v>6.3414000000000001</v>
      </c>
      <c r="AU734" s="69">
        <v>2.3148</v>
      </c>
      <c r="AV734" s="69">
        <v>8.1305999999999994</v>
      </c>
      <c r="AW734" s="69">
        <v>0.55959999999999999</v>
      </c>
      <c r="BB734" s="69"/>
    </row>
    <row r="735" spans="1:54" customFormat="1" ht="40" customHeight="1">
      <c r="A735" s="313">
        <v>734</v>
      </c>
      <c r="B735" s="136" t="s">
        <v>2015</v>
      </c>
      <c r="C735" s="136" t="s">
        <v>45</v>
      </c>
      <c r="D735" s="31">
        <f t="shared" si="50"/>
        <v>4</v>
      </c>
      <c r="E735" s="137" t="s">
        <v>80</v>
      </c>
      <c r="F735" s="31">
        <f t="shared" si="51"/>
        <v>4</v>
      </c>
      <c r="G735" s="137" t="s">
        <v>2020</v>
      </c>
      <c r="H735" s="138">
        <f t="shared" si="54"/>
        <v>53</v>
      </c>
      <c r="I735" s="158">
        <f t="shared" si="52"/>
        <v>0.39142368646017295</v>
      </c>
      <c r="J735" s="95">
        <v>2.1330872060598702E-3</v>
      </c>
      <c r="K735" s="137">
        <v>0.78071428571428603</v>
      </c>
      <c r="L735" s="137">
        <v>0.82499999999999996</v>
      </c>
      <c r="M735" s="137">
        <v>0.71428571428571397</v>
      </c>
      <c r="N735" s="136">
        <v>1</v>
      </c>
      <c r="O735" s="32">
        <v>44175</v>
      </c>
      <c r="P735" s="98">
        <f t="shared" si="53"/>
        <v>0</v>
      </c>
      <c r="Q735">
        <v>2.5499999999999998</v>
      </c>
      <c r="R735">
        <v>0</v>
      </c>
      <c r="S735">
        <v>0</v>
      </c>
      <c r="T735" s="112" t="s">
        <v>48</v>
      </c>
      <c r="U735" s="137" t="s">
        <v>2021</v>
      </c>
      <c r="V735" s="137" t="s">
        <v>2022</v>
      </c>
      <c r="W735" s="69">
        <f t="shared" si="55"/>
        <v>144</v>
      </c>
      <c r="X735" s="136">
        <v>0</v>
      </c>
      <c r="Y735" s="136">
        <v>4</v>
      </c>
      <c r="Z735" s="314"/>
      <c r="AA735" s="319">
        <v>0.54500000000000004</v>
      </c>
      <c r="AB735" s="315" t="s">
        <v>5176</v>
      </c>
      <c r="AC735" s="319">
        <v>0</v>
      </c>
      <c r="AD735" s="320">
        <v>0</v>
      </c>
      <c r="AE735" s="319">
        <v>4</v>
      </c>
      <c r="AF735" s="320">
        <v>4.7619047619047603E-2</v>
      </c>
      <c r="AG735" s="319">
        <v>2</v>
      </c>
      <c r="AH735" s="320">
        <v>2.3809523809523801E-2</v>
      </c>
      <c r="AI735" s="319">
        <v>1</v>
      </c>
      <c r="AJ735" s="320">
        <v>1.1904761904761901E-2</v>
      </c>
      <c r="AK735" s="320">
        <v>3.5714285714285712E-2</v>
      </c>
      <c r="AL735" s="319">
        <v>6.75</v>
      </c>
      <c r="AM735" s="319">
        <v>5</v>
      </c>
      <c r="AN735" s="319">
        <v>4.6666666666666599</v>
      </c>
      <c r="AO735" s="319">
        <v>0.54722222222222205</v>
      </c>
      <c r="AR735" s="136">
        <v>4</v>
      </c>
      <c r="AT735" s="69">
        <v>6.3414000000000001</v>
      </c>
      <c r="AU735" s="69">
        <v>2.3148</v>
      </c>
      <c r="AV735" s="69">
        <v>8.1305999999999994</v>
      </c>
      <c r="AW735" s="69">
        <v>0.55959999999999999</v>
      </c>
      <c r="BB735" s="69"/>
    </row>
    <row r="736" spans="1:54" customFormat="1" ht="40" customHeight="1">
      <c r="A736" s="313">
        <v>735</v>
      </c>
      <c r="B736" s="136" t="s">
        <v>2015</v>
      </c>
      <c r="C736" s="136" t="s">
        <v>45</v>
      </c>
      <c r="D736" s="31">
        <f t="shared" si="50"/>
        <v>4</v>
      </c>
      <c r="E736" s="137" t="s">
        <v>80</v>
      </c>
      <c r="F736" s="31">
        <f t="shared" si="51"/>
        <v>4</v>
      </c>
      <c r="G736" s="137" t="s">
        <v>2016</v>
      </c>
      <c r="H736" s="138">
        <f t="shared" si="54"/>
        <v>32</v>
      </c>
      <c r="I736" s="158">
        <f t="shared" si="52"/>
        <v>0.41281263757127523</v>
      </c>
      <c r="J736" s="95">
        <v>5.8400588142538498E-2</v>
      </c>
      <c r="K736" s="137">
        <v>0.76722468700001201</v>
      </c>
      <c r="L736" s="137">
        <v>0.82499999999999996</v>
      </c>
      <c r="M736" s="137">
        <v>0.68056171750003003</v>
      </c>
      <c r="N736" s="136">
        <v>1</v>
      </c>
      <c r="O736" s="32">
        <v>44175</v>
      </c>
      <c r="P736" s="98">
        <f t="shared" si="53"/>
        <v>0</v>
      </c>
      <c r="Q736">
        <v>2.5499999999999998</v>
      </c>
      <c r="R736">
        <v>0</v>
      </c>
      <c r="S736">
        <v>0</v>
      </c>
      <c r="T736" s="112" t="s">
        <v>48</v>
      </c>
      <c r="U736" s="137" t="s">
        <v>2023</v>
      </c>
      <c r="V736" s="137" t="s">
        <v>2018</v>
      </c>
      <c r="W736" s="69">
        <f t="shared" si="55"/>
        <v>32</v>
      </c>
      <c r="X736" s="136">
        <v>0</v>
      </c>
      <c r="Y736" s="136">
        <v>5</v>
      </c>
      <c r="Z736" s="314"/>
      <c r="AA736" s="319">
        <v>0.54500000000000004</v>
      </c>
      <c r="AB736" s="315" t="s">
        <v>5165</v>
      </c>
      <c r="AC736" s="319">
        <v>3</v>
      </c>
      <c r="AD736" s="320">
        <v>0.15</v>
      </c>
      <c r="AE736" s="319">
        <v>2</v>
      </c>
      <c r="AF736" s="320">
        <v>0.1</v>
      </c>
      <c r="AG736" s="319">
        <v>1</v>
      </c>
      <c r="AH736" s="320">
        <v>0.05</v>
      </c>
      <c r="AI736" s="319">
        <v>0</v>
      </c>
      <c r="AJ736" s="320">
        <v>0</v>
      </c>
      <c r="AK736" s="320">
        <v>0</v>
      </c>
      <c r="AL736" s="319">
        <v>6.75</v>
      </c>
      <c r="AM736" s="319">
        <v>5</v>
      </c>
      <c r="AN736" s="319">
        <v>4.6666666666666599</v>
      </c>
      <c r="AO736" s="319">
        <v>0.54722222222222205</v>
      </c>
      <c r="AR736" s="136">
        <v>5</v>
      </c>
      <c r="AT736" s="69">
        <v>6.3414000000000001</v>
      </c>
      <c r="AU736" s="69">
        <v>2.3148</v>
      </c>
      <c r="AV736" s="69">
        <v>8.1305999999999994</v>
      </c>
      <c r="AW736" s="69">
        <v>0.55959999999999999</v>
      </c>
      <c r="BB736" s="69"/>
    </row>
    <row r="737" spans="1:54" customFormat="1" ht="40" customHeight="1">
      <c r="A737" s="313">
        <v>736</v>
      </c>
      <c r="B737" s="136" t="s">
        <v>2015</v>
      </c>
      <c r="C737" s="136" t="s">
        <v>45</v>
      </c>
      <c r="D737" s="31">
        <f t="shared" si="50"/>
        <v>4</v>
      </c>
      <c r="E737" s="137" t="s">
        <v>80</v>
      </c>
      <c r="F737" s="31">
        <f t="shared" si="51"/>
        <v>4</v>
      </c>
      <c r="G737" s="137" t="s">
        <v>2024</v>
      </c>
      <c r="H737" s="138">
        <f t="shared" si="54"/>
        <v>55</v>
      </c>
      <c r="I737" s="158">
        <f t="shared" si="52"/>
        <v>0.42556271132201895</v>
      </c>
      <c r="J737" s="95">
        <v>8.3900735644025906E-2</v>
      </c>
      <c r="K737" s="137">
        <v>0.76722468700001201</v>
      </c>
      <c r="L737" s="137">
        <v>0.82499999999999996</v>
      </c>
      <c r="M737" s="137">
        <v>0.68056171750003003</v>
      </c>
      <c r="N737" s="136">
        <v>1</v>
      </c>
      <c r="O737" s="32">
        <v>44174</v>
      </c>
      <c r="P737" s="98">
        <f t="shared" si="53"/>
        <v>0</v>
      </c>
      <c r="Q737">
        <v>5.0999999999999996</v>
      </c>
      <c r="R737">
        <v>0</v>
      </c>
      <c r="S737">
        <v>0</v>
      </c>
      <c r="T737" s="112" t="s">
        <v>48</v>
      </c>
      <c r="U737" s="137" t="s">
        <v>2025</v>
      </c>
      <c r="V737" s="137" t="s">
        <v>2018</v>
      </c>
      <c r="W737" s="69">
        <f t="shared" si="55"/>
        <v>32</v>
      </c>
      <c r="X737" s="136">
        <v>0</v>
      </c>
      <c r="Y737" s="136">
        <v>5</v>
      </c>
      <c r="Z737" s="314"/>
      <c r="AA737" s="319">
        <v>0.54500000000000004</v>
      </c>
      <c r="AB737" s="315" t="s">
        <v>5165</v>
      </c>
      <c r="AC737" s="319">
        <v>3</v>
      </c>
      <c r="AD737" s="320">
        <v>0.15</v>
      </c>
      <c r="AE737" s="319">
        <v>2</v>
      </c>
      <c r="AF737" s="320">
        <v>0.1</v>
      </c>
      <c r="AG737" s="319">
        <v>1</v>
      </c>
      <c r="AH737" s="320">
        <v>0.05</v>
      </c>
      <c r="AI737" s="319">
        <v>0</v>
      </c>
      <c r="AJ737" s="320">
        <v>0</v>
      </c>
      <c r="AK737" s="320">
        <v>0</v>
      </c>
      <c r="AL737" s="319">
        <v>6.75</v>
      </c>
      <c r="AM737" s="319">
        <v>5</v>
      </c>
      <c r="AN737" s="319">
        <v>7.3333333333333304</v>
      </c>
      <c r="AO737" s="319">
        <v>0.63611111111111096</v>
      </c>
      <c r="AQ737">
        <v>5</v>
      </c>
      <c r="AR737" s="136"/>
      <c r="AT737" s="69">
        <v>6.3414000000000001</v>
      </c>
      <c r="AU737" s="69">
        <v>2.3148</v>
      </c>
      <c r="AV737" s="69">
        <v>9.8416999999999994</v>
      </c>
      <c r="AW737" s="69">
        <v>0.61660000000000004</v>
      </c>
      <c r="BB737" s="69"/>
    </row>
    <row r="738" spans="1:54" customFormat="1" ht="40" customHeight="1">
      <c r="A738" s="313">
        <v>737</v>
      </c>
      <c r="B738" s="136" t="s">
        <v>2015</v>
      </c>
      <c r="C738" s="136" t="s">
        <v>45</v>
      </c>
      <c r="D738" s="31">
        <f t="shared" si="50"/>
        <v>4</v>
      </c>
      <c r="E738" s="137" t="s">
        <v>80</v>
      </c>
      <c r="F738" s="31">
        <f t="shared" si="51"/>
        <v>4</v>
      </c>
      <c r="G738" s="137" t="s">
        <v>1713</v>
      </c>
      <c r="H738" s="138">
        <f t="shared" si="54"/>
        <v>41</v>
      </c>
      <c r="I738" s="158">
        <f t="shared" si="52"/>
        <v>0.60311181405743253</v>
      </c>
      <c r="J738" s="95">
        <v>0.36836648525772198</v>
      </c>
      <c r="K738" s="137">
        <v>0.83785714285714297</v>
      </c>
      <c r="L738" s="137">
        <v>0.82499999999999996</v>
      </c>
      <c r="M738" s="137">
        <v>0.85714285714285698</v>
      </c>
      <c r="N738" s="136">
        <v>1</v>
      </c>
      <c r="O738" s="32">
        <v>44172</v>
      </c>
      <c r="P738" s="98">
        <f t="shared" si="53"/>
        <v>0</v>
      </c>
      <c r="Q738">
        <v>5.0999999999999996</v>
      </c>
      <c r="R738">
        <v>0</v>
      </c>
      <c r="S738">
        <v>0</v>
      </c>
      <c r="T738" s="112" t="s">
        <v>48</v>
      </c>
      <c r="U738" s="137" t="s">
        <v>2026</v>
      </c>
      <c r="V738" s="137" t="s">
        <v>2027</v>
      </c>
      <c r="W738" s="69">
        <f t="shared" si="55"/>
        <v>137</v>
      </c>
      <c r="X738" s="136">
        <v>0</v>
      </c>
      <c r="Y738" s="136">
        <v>1</v>
      </c>
      <c r="Z738" s="314"/>
      <c r="AA738" s="319">
        <v>0.54500000000000004</v>
      </c>
      <c r="AB738" s="315" t="s">
        <v>5176</v>
      </c>
      <c r="AC738" s="319">
        <v>0</v>
      </c>
      <c r="AD738" s="320">
        <v>0</v>
      </c>
      <c r="AE738" s="319">
        <v>4</v>
      </c>
      <c r="AF738" s="320">
        <v>4.8780487804878002E-2</v>
      </c>
      <c r="AG738" s="319">
        <v>2</v>
      </c>
      <c r="AH738" s="320">
        <v>2.4390243902439001E-2</v>
      </c>
      <c r="AI738" s="319">
        <v>1</v>
      </c>
      <c r="AJ738" s="320">
        <v>1.21951219512195E-2</v>
      </c>
      <c r="AK738" s="320">
        <v>3.6585365853658541E-2</v>
      </c>
      <c r="AL738" s="319">
        <v>6.75</v>
      </c>
      <c r="AM738" s="319">
        <v>5</v>
      </c>
      <c r="AN738" s="319">
        <v>7.3333333333333304</v>
      </c>
      <c r="AO738" s="319">
        <v>0.63611111111111096</v>
      </c>
      <c r="AR738" s="136">
        <v>1</v>
      </c>
      <c r="AT738" s="69">
        <v>6.3414000000000001</v>
      </c>
      <c r="AU738" s="69">
        <v>2.3148</v>
      </c>
      <c r="AV738" s="69">
        <v>9.8416999999999994</v>
      </c>
      <c r="AW738" s="69">
        <v>0.61660000000000004</v>
      </c>
      <c r="BB738" s="69"/>
    </row>
    <row r="739" spans="1:54" customFormat="1" ht="40" customHeight="1">
      <c r="A739" s="313">
        <v>738</v>
      </c>
      <c r="B739" s="136" t="s">
        <v>2015</v>
      </c>
      <c r="C739" s="136" t="s">
        <v>45</v>
      </c>
      <c r="D739" s="31">
        <f t="shared" si="50"/>
        <v>4</v>
      </c>
      <c r="E739" s="137" t="s">
        <v>80</v>
      </c>
      <c r="F739" s="31">
        <f t="shared" si="51"/>
        <v>4</v>
      </c>
      <c r="G739" s="137" t="s">
        <v>1713</v>
      </c>
      <c r="H739" s="138">
        <f t="shared" si="54"/>
        <v>75</v>
      </c>
      <c r="I739" s="158">
        <f t="shared" si="52"/>
        <v>0.39648186839003546</v>
      </c>
      <c r="J739" s="95">
        <v>1.0659392292788899E-4</v>
      </c>
      <c r="K739" s="137">
        <v>0.79285714285714304</v>
      </c>
      <c r="L739" s="137">
        <v>0.75</v>
      </c>
      <c r="M739" s="137">
        <v>0.85714285714285698</v>
      </c>
      <c r="N739" s="136">
        <v>1</v>
      </c>
      <c r="O739" s="32">
        <v>44171</v>
      </c>
      <c r="P739" s="98">
        <f t="shared" si="53"/>
        <v>0</v>
      </c>
      <c r="Q739">
        <v>10.199999999999999</v>
      </c>
      <c r="R739">
        <v>0</v>
      </c>
      <c r="S739">
        <v>0</v>
      </c>
      <c r="T739" s="112" t="s">
        <v>48</v>
      </c>
      <c r="U739" s="137" t="s">
        <v>2028</v>
      </c>
      <c r="V739" s="137" t="s">
        <v>2029</v>
      </c>
      <c r="W739" s="69">
        <f t="shared" si="55"/>
        <v>112</v>
      </c>
      <c r="X739" s="136">
        <v>0</v>
      </c>
      <c r="Y739" s="136">
        <v>1</v>
      </c>
      <c r="Z739" s="314"/>
      <c r="AA739" s="319">
        <v>0.55000000000000004</v>
      </c>
      <c r="AB739" s="315" t="s">
        <v>5176</v>
      </c>
      <c r="AC739" s="319">
        <v>0</v>
      </c>
      <c r="AD739" s="320">
        <v>0</v>
      </c>
      <c r="AE739" s="319">
        <v>4</v>
      </c>
      <c r="AF739" s="320">
        <v>6.0606060606060601E-2</v>
      </c>
      <c r="AG739" s="319">
        <v>1</v>
      </c>
      <c r="AH739" s="320">
        <v>1.51515151515151E-2</v>
      </c>
      <c r="AI739" s="319">
        <v>1</v>
      </c>
      <c r="AJ739" s="320">
        <v>1.51515151515151E-2</v>
      </c>
      <c r="AK739" s="320">
        <v>4.5454545454545463E-2</v>
      </c>
      <c r="AL739" s="319">
        <v>6.75</v>
      </c>
      <c r="AM739" s="319">
        <v>5</v>
      </c>
      <c r="AN739" s="319">
        <v>4.6666666666666599</v>
      </c>
      <c r="AO739" s="319">
        <v>0.54722222222222205</v>
      </c>
      <c r="AQ739">
        <v>1</v>
      </c>
      <c r="AR739" s="136"/>
      <c r="AT739" s="69">
        <v>6.3414000000000001</v>
      </c>
      <c r="AU739" s="69">
        <v>2.3148</v>
      </c>
      <c r="AV739" s="69">
        <v>8.1305999999999994</v>
      </c>
      <c r="AW739" s="69">
        <v>0.55959999999999999</v>
      </c>
      <c r="BB739" s="69"/>
    </row>
    <row r="740" spans="1:54" customFormat="1" ht="40" customHeight="1">
      <c r="A740" s="313">
        <v>739</v>
      </c>
      <c r="B740" s="136" t="s">
        <v>2015</v>
      </c>
      <c r="C740" s="136" t="s">
        <v>45</v>
      </c>
      <c r="D740" s="31">
        <f t="shared" si="50"/>
        <v>4</v>
      </c>
      <c r="E740" s="137" t="s">
        <v>80</v>
      </c>
      <c r="F740" s="31">
        <f t="shared" si="51"/>
        <v>4</v>
      </c>
      <c r="G740" s="137" t="s">
        <v>2020</v>
      </c>
      <c r="H740" s="138">
        <f t="shared" si="54"/>
        <v>37</v>
      </c>
      <c r="I740" s="158">
        <f t="shared" si="52"/>
        <v>0.40451002650964246</v>
      </c>
      <c r="J740" s="95">
        <v>1.2994384880364E-2</v>
      </c>
      <c r="K740" s="137">
        <v>0.79602566813892095</v>
      </c>
      <c r="L740" s="137">
        <v>0.82499999999999996</v>
      </c>
      <c r="M740" s="137">
        <v>0.75256417034730305</v>
      </c>
      <c r="N740" s="136">
        <v>1</v>
      </c>
      <c r="O740" s="32">
        <v>44171</v>
      </c>
      <c r="P740" s="98">
        <f t="shared" si="53"/>
        <v>0</v>
      </c>
      <c r="Q740">
        <v>2.5499999999999998</v>
      </c>
      <c r="R740">
        <v>0</v>
      </c>
      <c r="S740">
        <v>0</v>
      </c>
      <c r="T740" s="112" t="s">
        <v>48</v>
      </c>
      <c r="U740" s="137" t="s">
        <v>2030</v>
      </c>
      <c r="V740" s="137" t="s">
        <v>2031</v>
      </c>
      <c r="W740" s="69">
        <f t="shared" si="55"/>
        <v>36</v>
      </c>
      <c r="X740" s="136">
        <v>0</v>
      </c>
      <c r="Y740" s="136">
        <v>3</v>
      </c>
      <c r="Z740" s="314"/>
      <c r="AA740" s="319">
        <v>0.54500000000000004</v>
      </c>
      <c r="AB740" s="315" t="s">
        <v>5176</v>
      </c>
      <c r="AC740" s="319">
        <v>0</v>
      </c>
      <c r="AD740" s="320">
        <v>0</v>
      </c>
      <c r="AE740" s="319">
        <v>1</v>
      </c>
      <c r="AF740" s="320">
        <v>4.54545454545454E-2</v>
      </c>
      <c r="AG740" s="319">
        <v>0</v>
      </c>
      <c r="AH740" s="320">
        <v>0</v>
      </c>
      <c r="AI740" s="319">
        <v>0</v>
      </c>
      <c r="AJ740" s="320">
        <v>0</v>
      </c>
      <c r="AK740" s="320">
        <v>0</v>
      </c>
      <c r="AL740" s="319">
        <v>6.75</v>
      </c>
      <c r="AM740" s="319">
        <v>5</v>
      </c>
      <c r="AN740" s="319">
        <v>4.6666666666666599</v>
      </c>
      <c r="AO740" s="319">
        <v>0.54722222222222205</v>
      </c>
      <c r="AQ740">
        <v>3</v>
      </c>
      <c r="AR740" s="136"/>
      <c r="AT740" s="69">
        <v>6.3414000000000001</v>
      </c>
      <c r="AU740" s="69">
        <v>2.3148</v>
      </c>
      <c r="AV740" s="69">
        <v>8.1305999999999994</v>
      </c>
      <c r="AW740" s="69">
        <v>0.55959999999999999</v>
      </c>
      <c r="BB740" s="69"/>
    </row>
    <row r="741" spans="1:54" customFormat="1" ht="40" customHeight="1">
      <c r="A741" s="313">
        <v>740</v>
      </c>
      <c r="B741" s="136" t="s">
        <v>2015</v>
      </c>
      <c r="C741" s="136" t="s">
        <v>45</v>
      </c>
      <c r="D741" s="31">
        <f t="shared" si="50"/>
        <v>4</v>
      </c>
      <c r="E741" s="137" t="s">
        <v>80</v>
      </c>
      <c r="F741" s="31">
        <f t="shared" si="51"/>
        <v>4</v>
      </c>
      <c r="G741" s="137" t="s">
        <v>2032</v>
      </c>
      <c r="H741" s="138">
        <f t="shared" si="54"/>
        <v>46</v>
      </c>
      <c r="I741" s="158">
        <f t="shared" si="52"/>
        <v>0.40280426505790284</v>
      </c>
      <c r="J741" s="95">
        <v>2.4894244401519699E-2</v>
      </c>
      <c r="K741" s="137">
        <v>0.78071428571428603</v>
      </c>
      <c r="L741" s="137">
        <v>0.82499999999999996</v>
      </c>
      <c r="M741" s="137">
        <v>0.71428571428571397</v>
      </c>
      <c r="N741" s="136">
        <v>1</v>
      </c>
      <c r="O741" s="32">
        <v>44170</v>
      </c>
      <c r="P741" s="98">
        <f t="shared" si="53"/>
        <v>0</v>
      </c>
      <c r="Q741">
        <v>5.0999999999999996</v>
      </c>
      <c r="R741">
        <v>0</v>
      </c>
      <c r="S741">
        <v>0</v>
      </c>
      <c r="T741" s="112" t="s">
        <v>48</v>
      </c>
      <c r="U741" s="137" t="s">
        <v>2033</v>
      </c>
      <c r="V741" s="137" t="s">
        <v>2031</v>
      </c>
      <c r="W741" s="69">
        <f t="shared" si="55"/>
        <v>36</v>
      </c>
      <c r="X741" s="136">
        <v>0</v>
      </c>
      <c r="Y741" s="136">
        <v>4</v>
      </c>
      <c r="Z741" s="314"/>
      <c r="AA741" s="319">
        <v>0.66549999999999998</v>
      </c>
      <c r="AB741" s="315" t="s">
        <v>5176</v>
      </c>
      <c r="AC741" s="319">
        <v>0</v>
      </c>
      <c r="AD741" s="320">
        <v>0</v>
      </c>
      <c r="AE741" s="319">
        <v>1</v>
      </c>
      <c r="AF741" s="320">
        <v>4.54545454545454E-2</v>
      </c>
      <c r="AG741" s="319">
        <v>0</v>
      </c>
      <c r="AH741" s="320">
        <v>0</v>
      </c>
      <c r="AI741" s="319">
        <v>0</v>
      </c>
      <c r="AJ741" s="320">
        <v>0</v>
      </c>
      <c r="AK741" s="320">
        <v>0</v>
      </c>
      <c r="AL741" s="319">
        <v>6.75</v>
      </c>
      <c r="AM741" s="319">
        <v>6.2</v>
      </c>
      <c r="AN741" s="319">
        <v>4.6666666666666599</v>
      </c>
      <c r="AO741" s="319">
        <v>0.58722222222222198</v>
      </c>
      <c r="AQ741">
        <v>4</v>
      </c>
      <c r="AR741" s="136"/>
      <c r="AT741" s="69">
        <v>6.3414000000000001</v>
      </c>
      <c r="AU741" s="69">
        <v>5</v>
      </c>
      <c r="AV741" s="69">
        <v>8.1305999999999994</v>
      </c>
      <c r="AW741" s="69">
        <v>0.64910000000000001</v>
      </c>
      <c r="BB741" s="69"/>
    </row>
    <row r="742" spans="1:54" customFormat="1" ht="40" customHeight="1">
      <c r="A742" s="313">
        <v>741</v>
      </c>
      <c r="B742" s="136" t="s">
        <v>2015</v>
      </c>
      <c r="C742" s="136" t="s">
        <v>45</v>
      </c>
      <c r="D742" s="31">
        <f t="shared" si="50"/>
        <v>4</v>
      </c>
      <c r="E742" s="137" t="s">
        <v>80</v>
      </c>
      <c r="F742" s="31">
        <f t="shared" si="51"/>
        <v>4</v>
      </c>
      <c r="G742" s="137" t="s">
        <v>2034</v>
      </c>
      <c r="H742" s="138">
        <f t="shared" si="54"/>
        <v>40</v>
      </c>
      <c r="I742" s="158">
        <f t="shared" si="52"/>
        <v>0.85129168027379554</v>
      </c>
      <c r="J742" s="95">
        <v>0.90655769240867001</v>
      </c>
      <c r="K742" s="137">
        <v>0.79602566813892095</v>
      </c>
      <c r="L742" s="137">
        <v>0.82499999999999996</v>
      </c>
      <c r="M742" s="137">
        <v>0.75256417034730305</v>
      </c>
      <c r="N742" s="136">
        <v>1</v>
      </c>
      <c r="O742" s="32">
        <v>44169</v>
      </c>
      <c r="P742" s="98">
        <f t="shared" si="53"/>
        <v>0</v>
      </c>
      <c r="Q742">
        <v>2.5499999999999998</v>
      </c>
      <c r="R742">
        <v>0</v>
      </c>
      <c r="S742">
        <v>0</v>
      </c>
      <c r="T742" s="112" t="s">
        <v>48</v>
      </c>
      <c r="U742" s="137" t="s">
        <v>2035</v>
      </c>
      <c r="V742" s="137" t="s">
        <v>2029</v>
      </c>
      <c r="W742" s="69">
        <f t="shared" si="55"/>
        <v>112</v>
      </c>
      <c r="X742" s="136">
        <v>1</v>
      </c>
      <c r="Y742" s="136">
        <v>3</v>
      </c>
      <c r="Z742" s="314"/>
      <c r="AA742" s="319">
        <v>0.60499999999999998</v>
      </c>
      <c r="AB742" s="315" t="s">
        <v>5176</v>
      </c>
      <c r="AC742" s="319">
        <v>0</v>
      </c>
      <c r="AD742" s="320">
        <v>0</v>
      </c>
      <c r="AE742" s="319">
        <v>4</v>
      </c>
      <c r="AF742" s="320">
        <v>6.0606060606060601E-2</v>
      </c>
      <c r="AG742" s="319">
        <v>1</v>
      </c>
      <c r="AH742" s="320">
        <v>1.51515151515151E-2</v>
      </c>
      <c r="AI742" s="319">
        <v>1</v>
      </c>
      <c r="AJ742" s="320">
        <v>1.51515151515151E-2</v>
      </c>
      <c r="AK742" s="320">
        <v>4.5454545454545463E-2</v>
      </c>
      <c r="AL742" s="319">
        <v>6.75</v>
      </c>
      <c r="AM742" s="319">
        <v>6.2</v>
      </c>
      <c r="AN742" s="319">
        <v>2</v>
      </c>
      <c r="AO742" s="319">
        <v>0.49833333333333302</v>
      </c>
      <c r="AP742">
        <v>3</v>
      </c>
      <c r="AQ742">
        <v>3</v>
      </c>
      <c r="AR742" s="136"/>
      <c r="AT742" s="69">
        <v>6.3414000000000001</v>
      </c>
      <c r="AU742" s="69">
        <v>5</v>
      </c>
      <c r="AV742" s="69">
        <v>2.3148</v>
      </c>
      <c r="AW742" s="69">
        <v>0.45519999999999999</v>
      </c>
      <c r="BB742" s="69"/>
    </row>
    <row r="743" spans="1:54" customFormat="1" ht="40" customHeight="1">
      <c r="A743" s="313">
        <v>742</v>
      </c>
      <c r="B743" s="136" t="s">
        <v>2015</v>
      </c>
      <c r="C743" s="136" t="s">
        <v>45</v>
      </c>
      <c r="D743" s="31">
        <f t="shared" si="50"/>
        <v>4</v>
      </c>
      <c r="E743" s="137" t="s">
        <v>80</v>
      </c>
      <c r="F743" s="31">
        <f t="shared" si="51"/>
        <v>4</v>
      </c>
      <c r="G743" s="137" t="s">
        <v>2036</v>
      </c>
      <c r="H743" s="138">
        <v>153</v>
      </c>
      <c r="I743" s="158">
        <f t="shared" si="52"/>
        <v>0.40721245721546101</v>
      </c>
      <c r="J743" s="95">
        <v>2.3711799509906799E-4</v>
      </c>
      <c r="K743" s="137">
        <v>0.81418779643582295</v>
      </c>
      <c r="L743" s="137">
        <v>0.82499999999999996</v>
      </c>
      <c r="M743" s="137">
        <v>0.79796949108955795</v>
      </c>
      <c r="N743" s="136">
        <v>1</v>
      </c>
      <c r="O743" s="32">
        <v>43921</v>
      </c>
      <c r="P743" s="98">
        <f t="shared" si="53"/>
        <v>0</v>
      </c>
      <c r="Q743">
        <v>5.0999999999999996</v>
      </c>
      <c r="R743">
        <v>0</v>
      </c>
      <c r="S743">
        <v>0</v>
      </c>
      <c r="T743" s="112" t="s">
        <v>48</v>
      </c>
      <c r="U743" s="137" t="s">
        <v>2037</v>
      </c>
      <c r="V743" s="137" t="s">
        <v>2038</v>
      </c>
      <c r="W743" s="69">
        <v>38</v>
      </c>
      <c r="X743" s="136">
        <v>1</v>
      </c>
      <c r="Y743" s="136">
        <v>2</v>
      </c>
      <c r="Z743" s="314"/>
      <c r="AA743" s="319">
        <v>0.59450000000000003</v>
      </c>
      <c r="AB743" s="315" t="s">
        <v>5167</v>
      </c>
      <c r="AC743" s="319">
        <v>1</v>
      </c>
      <c r="AD743" s="320">
        <v>4.3478260869565202E-2</v>
      </c>
      <c r="AE743" s="319">
        <v>0</v>
      </c>
      <c r="AF743" s="320">
        <v>0</v>
      </c>
      <c r="AG743" s="319">
        <v>0</v>
      </c>
      <c r="AH743" s="320">
        <v>0</v>
      </c>
      <c r="AI743" s="319">
        <v>2</v>
      </c>
      <c r="AJ743" s="320">
        <v>8.6956521739130405E-2</v>
      </c>
      <c r="AK743" s="320">
        <v>0</v>
      </c>
      <c r="AL743" s="319">
        <v>5</v>
      </c>
      <c r="AM743" s="319">
        <v>6.2</v>
      </c>
      <c r="AN743" s="319">
        <v>7.3333333333333304</v>
      </c>
      <c r="AO743" s="319">
        <v>0.61777777777777698</v>
      </c>
      <c r="AP743">
        <v>2</v>
      </c>
      <c r="AR743" s="136"/>
      <c r="AS743">
        <v>2</v>
      </c>
      <c r="AT743" s="69">
        <v>2.3148</v>
      </c>
      <c r="AU743" s="69">
        <v>5</v>
      </c>
      <c r="AV743" s="69">
        <v>9.8416999999999994</v>
      </c>
      <c r="AW743" s="69">
        <v>0.57189999999999996</v>
      </c>
      <c r="BB743" s="69"/>
    </row>
    <row r="744" spans="1:54" customFormat="1" ht="40" customHeight="1">
      <c r="A744" s="313">
        <v>743</v>
      </c>
      <c r="B744" s="136" t="s">
        <v>2015</v>
      </c>
      <c r="C744" s="136" t="s">
        <v>52</v>
      </c>
      <c r="D744" s="31">
        <f t="shared" si="50"/>
        <v>3</v>
      </c>
      <c r="E744" s="137" t="s">
        <v>46</v>
      </c>
      <c r="F744" s="31">
        <f t="shared" si="51"/>
        <v>6</v>
      </c>
      <c r="G744" s="137" t="s">
        <v>2039</v>
      </c>
      <c r="H744" s="138">
        <v>66</v>
      </c>
      <c r="I744" s="158">
        <f t="shared" si="52"/>
        <v>0.35505828863154304</v>
      </c>
      <c r="J744" s="95">
        <v>3.3256064568831802E-11</v>
      </c>
      <c r="K744" s="137">
        <v>0.71011657722983001</v>
      </c>
      <c r="L744" s="137">
        <v>0.68181818181818199</v>
      </c>
      <c r="M744" s="137">
        <v>0.75256417034730305</v>
      </c>
      <c r="N744" s="136">
        <v>0</v>
      </c>
      <c r="O744" s="32">
        <v>43751</v>
      </c>
      <c r="P744" s="98">
        <f t="shared" si="53"/>
        <v>0</v>
      </c>
      <c r="Q744">
        <v>2.5499999999999998</v>
      </c>
      <c r="R744">
        <v>0</v>
      </c>
      <c r="S744">
        <v>0</v>
      </c>
      <c r="T744" s="112" t="s">
        <v>48</v>
      </c>
      <c r="U744" s="137" t="s">
        <v>2040</v>
      </c>
      <c r="V744" s="137" t="s">
        <v>2041</v>
      </c>
      <c r="W744" s="69">
        <v>49</v>
      </c>
      <c r="X744" s="136">
        <v>1</v>
      </c>
      <c r="Y744" s="136">
        <v>3</v>
      </c>
      <c r="Z744" s="314"/>
      <c r="AA744" s="319">
        <v>0.45454545454545398</v>
      </c>
      <c r="AB744" s="315" t="s">
        <v>5178</v>
      </c>
      <c r="AC744" s="319">
        <v>2</v>
      </c>
      <c r="AD744" s="320">
        <v>6.8965517241379296E-2</v>
      </c>
      <c r="AE744" s="319">
        <v>2</v>
      </c>
      <c r="AF744" s="320">
        <v>6.8965517241379296E-2</v>
      </c>
      <c r="AG744" s="319">
        <v>0</v>
      </c>
      <c r="AH744" s="320">
        <v>0</v>
      </c>
      <c r="AI744" s="319">
        <v>0</v>
      </c>
      <c r="AJ744" s="320">
        <v>0</v>
      </c>
      <c r="AK744" s="320">
        <v>0</v>
      </c>
      <c r="AL744" s="319">
        <v>5</v>
      </c>
      <c r="AM744" s="319">
        <v>5</v>
      </c>
      <c r="AN744" s="319">
        <v>2</v>
      </c>
      <c r="AO744" s="319">
        <v>0.4</v>
      </c>
      <c r="AP744">
        <v>3</v>
      </c>
      <c r="AR744" s="136">
        <v>3</v>
      </c>
      <c r="AT744" s="69">
        <v>2.3148</v>
      </c>
      <c r="AU744" s="69">
        <v>2.3148</v>
      </c>
      <c r="AV744" s="69">
        <v>2.3148</v>
      </c>
      <c r="AW744" s="69">
        <v>0.23150000000000001</v>
      </c>
      <c r="BB744" s="69"/>
    </row>
    <row r="745" spans="1:54" customFormat="1" ht="40" customHeight="1">
      <c r="A745" s="313">
        <v>744</v>
      </c>
      <c r="B745" s="136" t="s">
        <v>2015</v>
      </c>
      <c r="C745" s="136" t="s">
        <v>59</v>
      </c>
      <c r="D745" s="31">
        <f t="shared" si="50"/>
        <v>5</v>
      </c>
      <c r="E745" s="137" t="s">
        <v>46</v>
      </c>
      <c r="F745" s="31">
        <f t="shared" si="51"/>
        <v>6</v>
      </c>
      <c r="G745" s="137" t="s">
        <v>2042</v>
      </c>
      <c r="H745" s="138">
        <v>225</v>
      </c>
      <c r="I745" s="158">
        <f t="shared" si="52"/>
        <v>0.774851018389205</v>
      </c>
      <c r="J745" s="95">
        <v>0.99959308713876904</v>
      </c>
      <c r="K745" s="137">
        <v>0.55010894963964097</v>
      </c>
      <c r="L745" s="137">
        <v>0.38486858867302998</v>
      </c>
      <c r="M745" s="137">
        <v>0.79796949108955795</v>
      </c>
      <c r="N745" s="136">
        <v>1</v>
      </c>
      <c r="O745" s="32">
        <v>43430</v>
      </c>
      <c r="P745" s="98">
        <f t="shared" si="53"/>
        <v>0</v>
      </c>
      <c r="Q745">
        <v>2.5499999999999998</v>
      </c>
      <c r="R745">
        <v>1.65</v>
      </c>
      <c r="S745">
        <v>0</v>
      </c>
      <c r="T745" s="112" t="s">
        <v>48</v>
      </c>
      <c r="U745" s="137" t="s">
        <v>2043</v>
      </c>
      <c r="V745" s="137" t="s">
        <v>2044</v>
      </c>
      <c r="W745" s="69">
        <v>46</v>
      </c>
      <c r="X745" s="136">
        <v>2</v>
      </c>
      <c r="Y745" s="136">
        <v>2</v>
      </c>
      <c r="Z745" s="314"/>
      <c r="AA745" s="319">
        <v>4.5594098277725801E-4</v>
      </c>
      <c r="AB745" s="315" t="s">
        <v>5169</v>
      </c>
      <c r="AC745" s="319">
        <v>1</v>
      </c>
      <c r="AD745" s="320">
        <v>3.5714285714285698E-2</v>
      </c>
      <c r="AE745" s="319">
        <v>0</v>
      </c>
      <c r="AF745" s="320">
        <v>0</v>
      </c>
      <c r="AG745" s="319">
        <v>1</v>
      </c>
      <c r="AH745" s="320">
        <v>3.5714285714285698E-2</v>
      </c>
      <c r="AI745" s="319">
        <v>0</v>
      </c>
      <c r="AJ745" s="320">
        <v>0</v>
      </c>
      <c r="AK745" s="320">
        <v>0</v>
      </c>
      <c r="AL745" s="319">
        <v>5</v>
      </c>
      <c r="AM745" s="319">
        <v>5</v>
      </c>
      <c r="AN745" s="319">
        <v>2</v>
      </c>
      <c r="AO745" s="319">
        <v>0.4</v>
      </c>
      <c r="AP745">
        <v>2</v>
      </c>
      <c r="AR745" s="136">
        <v>2</v>
      </c>
      <c r="AT745" s="69">
        <v>2.3148</v>
      </c>
      <c r="AU745" s="69">
        <v>2.3148</v>
      </c>
      <c r="AV745" s="69">
        <v>2.3148</v>
      </c>
      <c r="AW745" s="69">
        <v>0.23150000000000001</v>
      </c>
      <c r="BB745" s="69"/>
    </row>
    <row r="746" spans="1:54" customFormat="1" ht="40" customHeight="1">
      <c r="A746" s="313">
        <v>745</v>
      </c>
      <c r="B746" s="136" t="s">
        <v>2015</v>
      </c>
      <c r="C746" s="136" t="s">
        <v>45</v>
      </c>
      <c r="D746" s="31">
        <f t="shared" si="50"/>
        <v>4</v>
      </c>
      <c r="E746" s="137" t="s">
        <v>46</v>
      </c>
      <c r="F746" s="31">
        <f t="shared" si="51"/>
        <v>6</v>
      </c>
      <c r="G746" s="137" t="s">
        <v>2045</v>
      </c>
      <c r="H746" s="138">
        <v>79</v>
      </c>
      <c r="I746" s="158">
        <f t="shared" si="52"/>
        <v>0.86783473241146247</v>
      </c>
      <c r="J746" s="95">
        <v>0.99995517910863896</v>
      </c>
      <c r="K746" s="137">
        <v>0.73571428571428599</v>
      </c>
      <c r="L746" s="137">
        <v>0.75</v>
      </c>
      <c r="M746" s="137">
        <v>0.71428571428571397</v>
      </c>
      <c r="N746" s="136">
        <v>1</v>
      </c>
      <c r="O746" s="32">
        <v>43419</v>
      </c>
      <c r="P746" s="98">
        <f t="shared" si="53"/>
        <v>0</v>
      </c>
      <c r="Q746">
        <v>2.5499999999999998</v>
      </c>
      <c r="R746">
        <v>1.65</v>
      </c>
      <c r="S746">
        <v>0</v>
      </c>
      <c r="T746" s="112" t="s">
        <v>48</v>
      </c>
      <c r="U746" s="137" t="s">
        <v>2046</v>
      </c>
      <c r="V746" s="137" t="s">
        <v>2047</v>
      </c>
      <c r="W746" s="69">
        <v>92</v>
      </c>
      <c r="X746" s="136">
        <v>1</v>
      </c>
      <c r="Y746" s="136">
        <v>4</v>
      </c>
      <c r="Z746" s="314"/>
      <c r="AA746" s="319">
        <v>0.60499999999999998</v>
      </c>
      <c r="AB746" s="315" t="s">
        <v>5165</v>
      </c>
      <c r="AC746" s="319">
        <v>1</v>
      </c>
      <c r="AD746" s="320">
        <v>1.9607843137254902E-2</v>
      </c>
      <c r="AE746" s="319">
        <v>0</v>
      </c>
      <c r="AF746" s="320">
        <v>0</v>
      </c>
      <c r="AG746" s="319">
        <v>0</v>
      </c>
      <c r="AH746" s="320">
        <v>0</v>
      </c>
      <c r="AI746" s="319">
        <v>0</v>
      </c>
      <c r="AJ746" s="320">
        <v>0</v>
      </c>
      <c r="AK746" s="320">
        <v>0</v>
      </c>
      <c r="AL746" s="319">
        <v>5</v>
      </c>
      <c r="AM746" s="319">
        <v>6.2</v>
      </c>
      <c r="AN746" s="319">
        <v>2</v>
      </c>
      <c r="AO746" s="319">
        <v>0.44</v>
      </c>
      <c r="AP746">
        <v>4</v>
      </c>
      <c r="AR746" s="136">
        <v>4</v>
      </c>
      <c r="AT746" s="69">
        <v>2.3148</v>
      </c>
      <c r="AU746" s="69">
        <v>5</v>
      </c>
      <c r="AV746" s="69">
        <v>2.3148</v>
      </c>
      <c r="AW746" s="69">
        <v>0.32100000000000001</v>
      </c>
      <c r="BB746" s="69"/>
    </row>
    <row r="747" spans="1:54" customFormat="1" ht="40" customHeight="1">
      <c r="A747" s="313">
        <v>746</v>
      </c>
      <c r="B747" s="136" t="s">
        <v>2015</v>
      </c>
      <c r="C747" s="136" t="s">
        <v>45</v>
      </c>
      <c r="D747" s="31">
        <f t="shared" si="50"/>
        <v>4</v>
      </c>
      <c r="E747" s="137" t="s">
        <v>46</v>
      </c>
      <c r="F747" s="31">
        <f t="shared" si="51"/>
        <v>6</v>
      </c>
      <c r="G747" s="137" t="s">
        <v>2048</v>
      </c>
      <c r="H747" s="138">
        <v>16</v>
      </c>
      <c r="I747" s="158">
        <f t="shared" si="52"/>
        <v>0.81786419865121751</v>
      </c>
      <c r="J747" s="95">
        <v>0.99953739083237503</v>
      </c>
      <c r="K747" s="137">
        <v>0.63619100647005999</v>
      </c>
      <c r="L747" s="137">
        <v>0.75</v>
      </c>
      <c r="M747" s="137">
        <v>0.46547751617515098</v>
      </c>
      <c r="N747" s="136">
        <v>0</v>
      </c>
      <c r="O747" s="32">
        <v>43054</v>
      </c>
      <c r="P747" s="98">
        <f t="shared" si="53"/>
        <v>1</v>
      </c>
      <c r="Q747">
        <v>0</v>
      </c>
      <c r="R747">
        <v>0</v>
      </c>
      <c r="S747">
        <v>0</v>
      </c>
      <c r="T747" s="112" t="s">
        <v>73</v>
      </c>
      <c r="U747" s="137" t="s">
        <v>2049</v>
      </c>
      <c r="V747" s="137" t="s">
        <v>2050</v>
      </c>
      <c r="W747" s="69">
        <v>27</v>
      </c>
      <c r="X747" s="136">
        <v>1</v>
      </c>
      <c r="Y747" s="136">
        <v>14</v>
      </c>
      <c r="Z747" s="314"/>
      <c r="AA747" s="319">
        <v>0.5</v>
      </c>
      <c r="AB747" s="315" t="s">
        <v>5178</v>
      </c>
      <c r="AC747" s="319">
        <v>1</v>
      </c>
      <c r="AD747" s="320">
        <v>6.6666666666666596E-2</v>
      </c>
      <c r="AE747" s="319">
        <v>1</v>
      </c>
      <c r="AF747" s="320">
        <v>6.6666666666666596E-2</v>
      </c>
      <c r="AG747" s="319">
        <v>0</v>
      </c>
      <c r="AH747" s="320">
        <v>0</v>
      </c>
      <c r="AI747" s="319">
        <v>0</v>
      </c>
      <c r="AJ747" s="320">
        <v>0</v>
      </c>
      <c r="AK747" s="320">
        <v>0</v>
      </c>
      <c r="AL747" s="319">
        <v>5</v>
      </c>
      <c r="AM747" s="319">
        <v>5</v>
      </c>
      <c r="AN747" s="319">
        <v>2</v>
      </c>
      <c r="AO747" s="319">
        <v>0.4</v>
      </c>
      <c r="AP747">
        <v>14</v>
      </c>
      <c r="AR747" s="136">
        <v>14</v>
      </c>
      <c r="AT747" s="69">
        <v>2.3148</v>
      </c>
      <c r="AU747" s="69">
        <v>2.3148</v>
      </c>
      <c r="AV747" s="69">
        <v>2.3148</v>
      </c>
      <c r="AW747" s="69">
        <v>0.23150000000000001</v>
      </c>
      <c r="BB747" s="69"/>
    </row>
    <row r="748" spans="1:54" customFormat="1" ht="40" customHeight="1">
      <c r="A748" s="313">
        <v>747</v>
      </c>
      <c r="B748" s="136" t="s">
        <v>2015</v>
      </c>
      <c r="C748" s="136" t="s">
        <v>45</v>
      </c>
      <c r="D748" s="31">
        <f t="shared" si="50"/>
        <v>4</v>
      </c>
      <c r="E748" s="137" t="s">
        <v>80</v>
      </c>
      <c r="F748" s="31">
        <f t="shared" si="51"/>
        <v>4</v>
      </c>
      <c r="G748" s="137" t="s">
        <v>2051</v>
      </c>
      <c r="H748" s="138">
        <v>38</v>
      </c>
      <c r="I748" s="158">
        <f t="shared" si="52"/>
        <v>0.90443888592944199</v>
      </c>
      <c r="J748" s="95">
        <v>0.99468997542306103</v>
      </c>
      <c r="K748" s="137">
        <v>0.81418779643582295</v>
      </c>
      <c r="L748" s="137">
        <v>0.82499999999999996</v>
      </c>
      <c r="M748" s="137">
        <v>0.79796949108955795</v>
      </c>
      <c r="N748" s="136">
        <v>1</v>
      </c>
      <c r="O748" s="32">
        <v>43054</v>
      </c>
      <c r="P748" s="98">
        <f t="shared" si="53"/>
        <v>1</v>
      </c>
      <c r="Q748">
        <v>0</v>
      </c>
      <c r="R748">
        <v>0</v>
      </c>
      <c r="S748">
        <v>0</v>
      </c>
      <c r="T748" s="112" t="s">
        <v>73</v>
      </c>
      <c r="U748" s="137" t="s">
        <v>2052</v>
      </c>
      <c r="V748" s="137" t="s">
        <v>2050</v>
      </c>
      <c r="W748" s="69">
        <v>27</v>
      </c>
      <c r="X748" s="136">
        <v>1</v>
      </c>
      <c r="Y748" s="136">
        <v>2</v>
      </c>
      <c r="Z748" s="314"/>
      <c r="AA748" s="319">
        <v>0.60499999999999998</v>
      </c>
      <c r="AB748" s="315" t="s">
        <v>5178</v>
      </c>
      <c r="AC748" s="319">
        <v>1</v>
      </c>
      <c r="AD748" s="320">
        <v>6.6666666666666596E-2</v>
      </c>
      <c r="AE748" s="319">
        <v>1</v>
      </c>
      <c r="AF748" s="320">
        <v>6.6666666666666596E-2</v>
      </c>
      <c r="AG748" s="319">
        <v>0</v>
      </c>
      <c r="AH748" s="320">
        <v>0</v>
      </c>
      <c r="AI748" s="319">
        <v>0</v>
      </c>
      <c r="AJ748" s="320">
        <v>0</v>
      </c>
      <c r="AK748" s="320">
        <v>0</v>
      </c>
      <c r="AL748" s="319">
        <v>5</v>
      </c>
      <c r="AM748" s="319">
        <v>6.2</v>
      </c>
      <c r="AN748" s="319">
        <v>2</v>
      </c>
      <c r="AO748" s="319">
        <v>0.44</v>
      </c>
      <c r="AP748">
        <v>2</v>
      </c>
      <c r="AR748" s="136">
        <v>2</v>
      </c>
      <c r="AT748" s="69">
        <v>2.3148</v>
      </c>
      <c r="AU748" s="69">
        <v>5</v>
      </c>
      <c r="AV748" s="69">
        <v>2.3148</v>
      </c>
      <c r="AW748" s="69">
        <v>0.32100000000000001</v>
      </c>
      <c r="BB748" s="69"/>
    </row>
    <row r="749" spans="1:54" customFormat="1" ht="40" customHeight="1">
      <c r="A749" s="313">
        <v>748</v>
      </c>
      <c r="B749" s="136" t="s">
        <v>2053</v>
      </c>
      <c r="C749" s="136" t="s">
        <v>45</v>
      </c>
      <c r="D749" s="31">
        <f t="shared" si="50"/>
        <v>4</v>
      </c>
      <c r="E749" s="137" t="s">
        <v>221</v>
      </c>
      <c r="F749" s="31">
        <f t="shared" si="51"/>
        <v>2</v>
      </c>
      <c r="G749" s="137" t="s">
        <v>2054</v>
      </c>
      <c r="H749" s="138">
        <f>LEN(U749)</f>
        <v>108</v>
      </c>
      <c r="I749" s="158">
        <f t="shared" si="52"/>
        <v>0.79338411254486552</v>
      </c>
      <c r="J749" s="95">
        <v>0.88128964168146795</v>
      </c>
      <c r="K749" s="137">
        <v>0.70547858340826297</v>
      </c>
      <c r="L749" s="137">
        <v>0.82499999999999996</v>
      </c>
      <c r="M749" s="137">
        <v>0.526196458520657</v>
      </c>
      <c r="N749" s="136">
        <v>1</v>
      </c>
      <c r="O749" s="32">
        <v>44134</v>
      </c>
      <c r="P749" s="98">
        <f t="shared" si="53"/>
        <v>1</v>
      </c>
      <c r="Q749">
        <v>2.5499999999999998</v>
      </c>
      <c r="R749">
        <v>1.65</v>
      </c>
      <c r="S749">
        <v>0</v>
      </c>
      <c r="T749" s="112" t="s">
        <v>73</v>
      </c>
      <c r="U749" s="137" t="s">
        <v>2055</v>
      </c>
      <c r="V749" s="137" t="s">
        <v>2056</v>
      </c>
      <c r="W749" s="69">
        <f>LEN(V749)</f>
        <v>218</v>
      </c>
      <c r="X749" s="136">
        <v>1</v>
      </c>
      <c r="Y749" s="136">
        <v>11</v>
      </c>
      <c r="Z749" s="314"/>
      <c r="AA749" s="319">
        <v>0.45454545454545398</v>
      </c>
      <c r="AB749" s="315" t="s">
        <v>5165</v>
      </c>
      <c r="AC749" s="319">
        <v>2</v>
      </c>
      <c r="AD749" s="320">
        <v>1.5748031496062902E-2</v>
      </c>
      <c r="AE749" s="319">
        <v>1</v>
      </c>
      <c r="AF749" s="320">
        <v>7.8740157480314907E-3</v>
      </c>
      <c r="AG749" s="319">
        <v>0</v>
      </c>
      <c r="AH749" s="320">
        <v>0</v>
      </c>
      <c r="AI749" s="319">
        <v>0</v>
      </c>
      <c r="AJ749" s="320">
        <v>0</v>
      </c>
      <c r="AK749" s="320">
        <v>0</v>
      </c>
      <c r="AL749" s="319">
        <v>5</v>
      </c>
      <c r="AM749" s="319">
        <v>5</v>
      </c>
      <c r="AN749" s="319">
        <v>2</v>
      </c>
      <c r="AO749" s="319">
        <v>0.4</v>
      </c>
      <c r="AP749">
        <v>11</v>
      </c>
      <c r="AR749" s="136">
        <v>11</v>
      </c>
      <c r="AT749" s="69">
        <v>2.3148</v>
      </c>
      <c r="AU749" s="69">
        <v>2.3148</v>
      </c>
      <c r="AV749" s="69">
        <v>2.3148</v>
      </c>
      <c r="AW749" s="69">
        <v>0.23150000000000001</v>
      </c>
      <c r="BB749" s="69"/>
    </row>
    <row r="750" spans="1:54" customFormat="1" ht="40" customHeight="1">
      <c r="A750" s="313">
        <v>749</v>
      </c>
      <c r="B750" s="136" t="s">
        <v>2053</v>
      </c>
      <c r="C750" s="136" t="s">
        <v>45</v>
      </c>
      <c r="D750" s="31">
        <f t="shared" si="50"/>
        <v>4</v>
      </c>
      <c r="E750" s="137" t="s">
        <v>221</v>
      </c>
      <c r="F750" s="31">
        <f t="shared" si="51"/>
        <v>2</v>
      </c>
      <c r="G750" s="137" t="s">
        <v>2057</v>
      </c>
      <c r="H750" s="138">
        <f>LEN(U750)</f>
        <v>48</v>
      </c>
      <c r="I750" s="158">
        <f t="shared" si="52"/>
        <v>0.86045991358365648</v>
      </c>
      <c r="J750" s="95">
        <v>0.99869514016730099</v>
      </c>
      <c r="K750" s="137">
        <v>0.72222468700001197</v>
      </c>
      <c r="L750" s="137">
        <v>0.75</v>
      </c>
      <c r="M750" s="137">
        <v>0.68056171750003003</v>
      </c>
      <c r="N750" s="136">
        <v>0</v>
      </c>
      <c r="O750" s="32">
        <v>44126</v>
      </c>
      <c r="P750" s="98">
        <f t="shared" si="53"/>
        <v>0</v>
      </c>
      <c r="Q750">
        <v>2.5499999999999998</v>
      </c>
      <c r="R750">
        <v>1.65</v>
      </c>
      <c r="S750">
        <v>0</v>
      </c>
      <c r="T750" s="112" t="s">
        <v>48</v>
      </c>
      <c r="U750" s="137" t="s">
        <v>2058</v>
      </c>
      <c r="V750" s="137" t="s">
        <v>2059</v>
      </c>
      <c r="W750" s="69">
        <f>LEN(V750)</f>
        <v>33</v>
      </c>
      <c r="X750" s="136">
        <v>0</v>
      </c>
      <c r="Y750" s="136">
        <v>5</v>
      </c>
      <c r="Z750" s="314"/>
      <c r="AA750" s="319">
        <v>0.5</v>
      </c>
      <c r="AB750" s="315" t="s">
        <v>5165</v>
      </c>
      <c r="AC750" s="319">
        <v>3</v>
      </c>
      <c r="AD750" s="320">
        <v>0.14285714285714199</v>
      </c>
      <c r="AE750" s="319">
        <v>2</v>
      </c>
      <c r="AF750" s="320">
        <v>9.5238095238095205E-2</v>
      </c>
      <c r="AG750" s="319">
        <v>1</v>
      </c>
      <c r="AH750" s="320">
        <v>4.7619047619047603E-2</v>
      </c>
      <c r="AI750" s="319">
        <v>0</v>
      </c>
      <c r="AJ750" s="320">
        <v>0</v>
      </c>
      <c r="AK750" s="320">
        <v>0</v>
      </c>
      <c r="AL750" s="319">
        <v>6.75</v>
      </c>
      <c r="AM750" s="319">
        <v>5</v>
      </c>
      <c r="AN750" s="319">
        <v>2</v>
      </c>
      <c r="AO750" s="319">
        <v>0.45833333333333298</v>
      </c>
      <c r="AR750" s="136">
        <v>5</v>
      </c>
      <c r="AT750" s="69">
        <v>6.3414000000000001</v>
      </c>
      <c r="AU750" s="69">
        <v>2.3148</v>
      </c>
      <c r="AV750" s="69">
        <v>2.3148</v>
      </c>
      <c r="AW750" s="69">
        <v>0.36570000000000003</v>
      </c>
      <c r="BB750" s="69"/>
    </row>
    <row r="751" spans="1:54" customFormat="1" ht="40" customHeight="1">
      <c r="A751" s="313">
        <v>750</v>
      </c>
      <c r="B751" s="136" t="s">
        <v>2053</v>
      </c>
      <c r="C751" s="136" t="s">
        <v>45</v>
      </c>
      <c r="D751" s="31">
        <f t="shared" si="50"/>
        <v>4</v>
      </c>
      <c r="E751" s="137" t="s">
        <v>46</v>
      </c>
      <c r="F751" s="31">
        <f t="shared" si="51"/>
        <v>6</v>
      </c>
      <c r="G751" s="137" t="s">
        <v>2060</v>
      </c>
      <c r="H751" s="138">
        <v>155</v>
      </c>
      <c r="I751" s="158">
        <f t="shared" si="52"/>
        <v>0.27138216093897743</v>
      </c>
      <c r="J751" s="95">
        <v>1.65506190388243E-5</v>
      </c>
      <c r="K751" s="137">
        <v>0.54274777125891605</v>
      </c>
      <c r="L751" s="137">
        <v>0.82499999999999996</v>
      </c>
      <c r="M751" s="137">
        <v>0.119369428147289</v>
      </c>
      <c r="N751" s="136">
        <v>0</v>
      </c>
      <c r="O751" s="32">
        <v>44005</v>
      </c>
      <c r="P751" s="98">
        <f t="shared" si="53"/>
        <v>2</v>
      </c>
      <c r="Q751">
        <v>0</v>
      </c>
      <c r="R751">
        <v>0</v>
      </c>
      <c r="S751">
        <v>1.87</v>
      </c>
      <c r="T751" s="112" t="s">
        <v>64</v>
      </c>
      <c r="U751" s="137" t="s">
        <v>2061</v>
      </c>
      <c r="V751" s="137" t="s">
        <v>2062</v>
      </c>
      <c r="W751" s="69">
        <v>28</v>
      </c>
      <c r="X751" s="136">
        <v>3</v>
      </c>
      <c r="Y751" s="136">
        <v>38</v>
      </c>
      <c r="Z751" s="314"/>
      <c r="AA751" s="319">
        <v>0.45909090909090899</v>
      </c>
      <c r="AB751" s="315" t="s">
        <v>5176</v>
      </c>
      <c r="AC751" s="319">
        <v>0</v>
      </c>
      <c r="AD751" s="320">
        <v>0</v>
      </c>
      <c r="AE751" s="319">
        <v>1</v>
      </c>
      <c r="AF751" s="320">
        <v>5.2631578947368397E-2</v>
      </c>
      <c r="AG751" s="319">
        <v>0</v>
      </c>
      <c r="AH751" s="320">
        <v>0</v>
      </c>
      <c r="AI751" s="319">
        <v>0</v>
      </c>
      <c r="AJ751" s="320">
        <v>0</v>
      </c>
      <c r="AK751" s="320">
        <v>0</v>
      </c>
      <c r="AL751" s="319">
        <v>5</v>
      </c>
      <c r="AM751" s="319">
        <v>8.3333333333333304</v>
      </c>
      <c r="AN751" s="319">
        <v>2</v>
      </c>
      <c r="AO751" s="319">
        <v>0.51111111111111096</v>
      </c>
      <c r="AP751">
        <v>38</v>
      </c>
      <c r="AR751" s="136">
        <v>38</v>
      </c>
      <c r="AT751" s="69">
        <v>2.3148</v>
      </c>
      <c r="AU751" s="69">
        <v>8.9379000000000008</v>
      </c>
      <c r="AV751" s="69">
        <v>2.3148</v>
      </c>
      <c r="AW751" s="69">
        <v>0.45219999999999999</v>
      </c>
      <c r="BB751" s="69"/>
    </row>
    <row r="752" spans="1:54" customFormat="1" ht="40" customHeight="1">
      <c r="A752" s="313">
        <v>751</v>
      </c>
      <c r="B752" s="136" t="s">
        <v>2053</v>
      </c>
      <c r="C752" s="136" t="s">
        <v>59</v>
      </c>
      <c r="D752" s="31">
        <f t="shared" si="50"/>
        <v>5</v>
      </c>
      <c r="E752" s="137" t="s">
        <v>221</v>
      </c>
      <c r="F752" s="31">
        <f t="shared" si="51"/>
        <v>2</v>
      </c>
      <c r="G752" s="137" t="s">
        <v>2053</v>
      </c>
      <c r="H752" s="138">
        <v>49</v>
      </c>
      <c r="I752" s="158">
        <f t="shared" si="52"/>
        <v>0.38133555712553341</v>
      </c>
      <c r="J752" s="95">
        <v>5.2554537021236802E-2</v>
      </c>
      <c r="K752" s="137">
        <v>0.71011657722983001</v>
      </c>
      <c r="L752" s="137">
        <v>0.68181818181818199</v>
      </c>
      <c r="M752" s="137">
        <v>0.75256417034730305</v>
      </c>
      <c r="N752" s="136">
        <v>1</v>
      </c>
      <c r="O752" s="32">
        <v>43932</v>
      </c>
      <c r="P752" s="98">
        <f t="shared" si="53"/>
        <v>0</v>
      </c>
      <c r="Q752">
        <v>0</v>
      </c>
      <c r="R752">
        <v>1.65</v>
      </c>
      <c r="S752">
        <v>0</v>
      </c>
      <c r="T752" s="112" t="s">
        <v>48</v>
      </c>
      <c r="U752" s="137" t="s">
        <v>2063</v>
      </c>
      <c r="V752" s="137" t="s">
        <v>2064</v>
      </c>
      <c r="W752" s="69">
        <v>153</v>
      </c>
      <c r="X752" s="136">
        <v>2</v>
      </c>
      <c r="Y752" s="136">
        <v>3</v>
      </c>
      <c r="Z752" s="314"/>
      <c r="AA752" s="319">
        <v>0.55000000000000004</v>
      </c>
      <c r="AB752" s="315" t="s">
        <v>5178</v>
      </c>
      <c r="AC752" s="319">
        <v>1</v>
      </c>
      <c r="AD752" s="320">
        <v>1.20481927710843E-2</v>
      </c>
      <c r="AE752" s="319">
        <v>1</v>
      </c>
      <c r="AF752" s="320">
        <v>1.20481927710843E-2</v>
      </c>
      <c r="AG752" s="319">
        <v>0</v>
      </c>
      <c r="AH752" s="320">
        <v>0</v>
      </c>
      <c r="AI752" s="319">
        <v>0</v>
      </c>
      <c r="AJ752" s="320">
        <v>0</v>
      </c>
      <c r="AK752" s="320">
        <v>0</v>
      </c>
      <c r="AL752" s="319">
        <v>5</v>
      </c>
      <c r="AM752" s="319">
        <v>5</v>
      </c>
      <c r="AN752" s="319">
        <v>3.5</v>
      </c>
      <c r="AO752" s="319">
        <v>0.45</v>
      </c>
      <c r="AP752">
        <v>3</v>
      </c>
      <c r="AR752" s="136">
        <v>3</v>
      </c>
      <c r="AT752" s="69">
        <v>2.3148</v>
      </c>
      <c r="AU752" s="69">
        <v>2.3148</v>
      </c>
      <c r="AV752" s="69">
        <v>5.7443999999999997</v>
      </c>
      <c r="AW752" s="69">
        <v>0.3458</v>
      </c>
      <c r="BB752" s="69"/>
    </row>
    <row r="753" spans="1:54" customFormat="1" ht="40" customHeight="1">
      <c r="A753" s="313">
        <v>752</v>
      </c>
      <c r="B753" s="136" t="s">
        <v>2053</v>
      </c>
      <c r="C753" s="136" t="s">
        <v>45</v>
      </c>
      <c r="D753" s="31">
        <f t="shared" si="50"/>
        <v>4</v>
      </c>
      <c r="E753" s="137" t="s">
        <v>46</v>
      </c>
      <c r="F753" s="31">
        <f t="shared" si="51"/>
        <v>6</v>
      </c>
      <c r="G753" s="137" t="s">
        <v>2065</v>
      </c>
      <c r="H753" s="138">
        <v>202</v>
      </c>
      <c r="I753" s="158">
        <f t="shared" si="52"/>
        <v>0.32241665451513912</v>
      </c>
      <c r="J753" s="95">
        <v>8.6423025602182495E-3</v>
      </c>
      <c r="K753" s="137">
        <v>0.63619100647005999</v>
      </c>
      <c r="L753" s="137">
        <v>0.75</v>
      </c>
      <c r="M753" s="137">
        <v>0.46547751617515098</v>
      </c>
      <c r="N753" s="136">
        <v>0</v>
      </c>
      <c r="O753" s="32">
        <v>43493</v>
      </c>
      <c r="P753" s="98">
        <f t="shared" si="53"/>
        <v>0</v>
      </c>
      <c r="Q753">
        <v>2.5499999999999998</v>
      </c>
      <c r="R753">
        <v>1.65</v>
      </c>
      <c r="S753">
        <v>0</v>
      </c>
      <c r="T753" s="112" t="s">
        <v>48</v>
      </c>
      <c r="U753" s="137" t="s">
        <v>2066</v>
      </c>
      <c r="V753" s="137" t="s">
        <v>2067</v>
      </c>
      <c r="W753" s="69">
        <v>37</v>
      </c>
      <c r="X753" s="136">
        <v>2</v>
      </c>
      <c r="Y753" s="136">
        <v>14</v>
      </c>
      <c r="Z753" s="314"/>
      <c r="AA753" s="319">
        <v>0.59450000000000003</v>
      </c>
      <c r="AB753" s="315" t="s">
        <v>5176</v>
      </c>
      <c r="AC753" s="319">
        <v>0</v>
      </c>
      <c r="AD753" s="320">
        <v>0</v>
      </c>
      <c r="AE753" s="319">
        <v>3</v>
      </c>
      <c r="AF753" s="320">
        <v>0.14285714285714199</v>
      </c>
      <c r="AG753" s="319">
        <v>1</v>
      </c>
      <c r="AH753" s="320">
        <v>4.7619047619047603E-2</v>
      </c>
      <c r="AI753" s="319">
        <v>0</v>
      </c>
      <c r="AJ753" s="320">
        <v>0</v>
      </c>
      <c r="AK753" s="320">
        <v>4.7619047619047623E-2</v>
      </c>
      <c r="AL753" s="319">
        <v>5</v>
      </c>
      <c r="AM753" s="319">
        <v>5</v>
      </c>
      <c r="AN753" s="319">
        <v>10</v>
      </c>
      <c r="AO753" s="319">
        <v>0.66666666666666596</v>
      </c>
      <c r="AP753">
        <v>14</v>
      </c>
      <c r="AQ753">
        <v>14</v>
      </c>
      <c r="AR753" s="136"/>
      <c r="AT753" s="69">
        <v>2.3148</v>
      </c>
      <c r="AU753" s="69">
        <v>2.3148</v>
      </c>
      <c r="AV753" s="69">
        <v>9.9888999999999992</v>
      </c>
      <c r="AW753" s="69">
        <v>0.48730000000000001</v>
      </c>
      <c r="BB753" s="69"/>
    </row>
    <row r="754" spans="1:54" customFormat="1" ht="40" customHeight="1">
      <c r="A754" s="313">
        <v>753</v>
      </c>
      <c r="B754" s="136" t="s">
        <v>2053</v>
      </c>
      <c r="C754" s="136" t="s">
        <v>45</v>
      </c>
      <c r="D754" s="31">
        <f t="shared" si="50"/>
        <v>4</v>
      </c>
      <c r="E754" s="137" t="s">
        <v>46</v>
      </c>
      <c r="F754" s="31">
        <f t="shared" si="51"/>
        <v>6</v>
      </c>
      <c r="G754" s="137" t="s">
        <v>2068</v>
      </c>
      <c r="H754" s="138">
        <v>184</v>
      </c>
      <c r="I754" s="158">
        <f t="shared" si="52"/>
        <v>0.58575870482116199</v>
      </c>
      <c r="J754" s="95">
        <v>0.53532640317226399</v>
      </c>
      <c r="K754" s="137">
        <v>0.63619100647005999</v>
      </c>
      <c r="L754" s="137">
        <v>0.75</v>
      </c>
      <c r="M754" s="137">
        <v>0.46547751617515098</v>
      </c>
      <c r="N754" s="136">
        <v>0</v>
      </c>
      <c r="O754" s="32">
        <v>43493</v>
      </c>
      <c r="P754" s="98">
        <f t="shared" si="53"/>
        <v>0</v>
      </c>
      <c r="Q754">
        <v>2.5499999999999998</v>
      </c>
      <c r="R754">
        <v>1.65</v>
      </c>
      <c r="S754">
        <v>0</v>
      </c>
      <c r="T754" s="112" t="s">
        <v>48</v>
      </c>
      <c r="U754" s="137" t="s">
        <v>2069</v>
      </c>
      <c r="V754" s="137" t="s">
        <v>2067</v>
      </c>
      <c r="W754" s="69">
        <v>37</v>
      </c>
      <c r="X754" s="136">
        <v>2</v>
      </c>
      <c r="Y754" s="136">
        <v>14</v>
      </c>
      <c r="Z754" s="314"/>
      <c r="AA754" s="319">
        <v>0.59450000000000003</v>
      </c>
      <c r="AB754" s="315" t="s">
        <v>5176</v>
      </c>
      <c r="AC754" s="319">
        <v>0</v>
      </c>
      <c r="AD754" s="320">
        <v>0</v>
      </c>
      <c r="AE754" s="319">
        <v>3</v>
      </c>
      <c r="AF754" s="320">
        <v>0.14285714285714199</v>
      </c>
      <c r="AG754" s="319">
        <v>1</v>
      </c>
      <c r="AH754" s="320">
        <v>4.7619047619047603E-2</v>
      </c>
      <c r="AI754" s="319">
        <v>0</v>
      </c>
      <c r="AJ754" s="320">
        <v>0</v>
      </c>
      <c r="AK754" s="320">
        <v>4.7619047619047623E-2</v>
      </c>
      <c r="AL754" s="319">
        <v>5</v>
      </c>
      <c r="AM754" s="319">
        <v>5</v>
      </c>
      <c r="AN754" s="319">
        <v>10</v>
      </c>
      <c r="AO754" s="319">
        <v>0.66666666666666596</v>
      </c>
      <c r="AP754">
        <v>14</v>
      </c>
      <c r="AQ754">
        <v>14</v>
      </c>
      <c r="AR754" s="136"/>
      <c r="AT754" s="69">
        <v>2.3148</v>
      </c>
      <c r="AU754" s="69">
        <v>2.3148</v>
      </c>
      <c r="AV754" s="69">
        <v>9.9888999999999992</v>
      </c>
      <c r="AW754" s="69">
        <v>0.48730000000000001</v>
      </c>
      <c r="BB754" s="69"/>
    </row>
    <row r="755" spans="1:54" customFormat="1" ht="40" customHeight="1">
      <c r="A755" s="313">
        <v>754</v>
      </c>
      <c r="B755" s="136" t="s">
        <v>2053</v>
      </c>
      <c r="C755" s="136" t="s">
        <v>45</v>
      </c>
      <c r="D755" s="31">
        <f t="shared" si="50"/>
        <v>4</v>
      </c>
      <c r="E755" s="137" t="s">
        <v>46</v>
      </c>
      <c r="F755" s="31">
        <f t="shared" si="51"/>
        <v>6</v>
      </c>
      <c r="G755" s="137" t="s">
        <v>2070</v>
      </c>
      <c r="H755" s="138">
        <v>23</v>
      </c>
      <c r="I755" s="158">
        <f t="shared" si="52"/>
        <v>0.876235679954534</v>
      </c>
      <c r="J755" s="95">
        <v>0.95644569177014704</v>
      </c>
      <c r="K755" s="137">
        <v>0.79602566813892095</v>
      </c>
      <c r="L755" s="137">
        <v>0.82499999999999996</v>
      </c>
      <c r="M755" s="137">
        <v>0.75256417034730305</v>
      </c>
      <c r="N755" s="136">
        <v>0</v>
      </c>
      <c r="O755" s="32">
        <v>43491</v>
      </c>
      <c r="P755" s="98">
        <f t="shared" si="53"/>
        <v>1</v>
      </c>
      <c r="Q755">
        <v>0</v>
      </c>
      <c r="R755">
        <v>0</v>
      </c>
      <c r="S755">
        <v>0</v>
      </c>
      <c r="T755" s="112" t="s">
        <v>73</v>
      </c>
      <c r="U755" s="137" t="s">
        <v>2071</v>
      </c>
      <c r="V755" s="137" t="s">
        <v>2067</v>
      </c>
      <c r="W755" s="69">
        <v>37</v>
      </c>
      <c r="X755" s="136">
        <v>1</v>
      </c>
      <c r="Y755" s="136">
        <v>3</v>
      </c>
      <c r="Z755" s="314"/>
      <c r="AA755" s="319">
        <v>0.66549999999999998</v>
      </c>
      <c r="AB755" s="315" t="s">
        <v>5176</v>
      </c>
      <c r="AC755" s="319">
        <v>0</v>
      </c>
      <c r="AD755" s="320">
        <v>0</v>
      </c>
      <c r="AE755" s="319">
        <v>3</v>
      </c>
      <c r="AF755" s="320">
        <v>0.14285714285714199</v>
      </c>
      <c r="AG755" s="319">
        <v>1</v>
      </c>
      <c r="AH755" s="320">
        <v>4.7619047619047603E-2</v>
      </c>
      <c r="AI755" s="319">
        <v>0</v>
      </c>
      <c r="AJ755" s="320">
        <v>0</v>
      </c>
      <c r="AK755" s="320">
        <v>4.7619047619047623E-2</v>
      </c>
      <c r="AL755" s="319">
        <v>5</v>
      </c>
      <c r="AM755" s="319">
        <v>5</v>
      </c>
      <c r="AN755" s="319">
        <v>2</v>
      </c>
      <c r="AO755" s="319">
        <v>0.4</v>
      </c>
      <c r="AP755">
        <v>3</v>
      </c>
      <c r="AQ755">
        <v>3</v>
      </c>
      <c r="AR755" s="136"/>
      <c r="AT755" s="69">
        <v>2.3148</v>
      </c>
      <c r="AU755" s="69">
        <v>2.3148</v>
      </c>
      <c r="AV755" s="69">
        <v>2.3148</v>
      </c>
      <c r="AW755" s="69">
        <v>0.23150000000000001</v>
      </c>
      <c r="BB755" s="69"/>
    </row>
    <row r="756" spans="1:54" customFormat="1" ht="40" customHeight="1">
      <c r="A756" s="313">
        <v>755</v>
      </c>
      <c r="B756" s="136" t="s">
        <v>2053</v>
      </c>
      <c r="C756" s="136" t="s">
        <v>45</v>
      </c>
      <c r="D756" s="31">
        <f t="shared" si="50"/>
        <v>4</v>
      </c>
      <c r="E756" s="137" t="s">
        <v>46</v>
      </c>
      <c r="F756" s="31">
        <f t="shared" si="51"/>
        <v>6</v>
      </c>
      <c r="G756" s="137" t="s">
        <v>2072</v>
      </c>
      <c r="H756" s="138">
        <v>53</v>
      </c>
      <c r="I756" s="158">
        <f t="shared" si="52"/>
        <v>0.39740328221982602</v>
      </c>
      <c r="J756" s="95">
        <v>1.4092278725366E-2</v>
      </c>
      <c r="K756" s="137">
        <v>0.78071428571428603</v>
      </c>
      <c r="L756" s="137">
        <v>0.82499999999999996</v>
      </c>
      <c r="M756" s="137">
        <v>0.71428571428571397</v>
      </c>
      <c r="N756" s="136">
        <v>0</v>
      </c>
      <c r="O756" s="32">
        <v>43490</v>
      </c>
      <c r="P756" s="98">
        <f t="shared" si="53"/>
        <v>1</v>
      </c>
      <c r="Q756">
        <v>0</v>
      </c>
      <c r="R756">
        <v>0</v>
      </c>
      <c r="S756">
        <v>0</v>
      </c>
      <c r="T756" s="112" t="s">
        <v>73</v>
      </c>
      <c r="U756" s="137" t="s">
        <v>2073</v>
      </c>
      <c r="V756" s="137" t="s">
        <v>2067</v>
      </c>
      <c r="W756" s="69">
        <v>37</v>
      </c>
      <c r="X756" s="136">
        <v>1</v>
      </c>
      <c r="Y756" s="136">
        <v>4</v>
      </c>
      <c r="Z756" s="314"/>
      <c r="AA756" s="319">
        <v>0.60499999999999998</v>
      </c>
      <c r="AB756" s="315" t="s">
        <v>5176</v>
      </c>
      <c r="AC756" s="319">
        <v>0</v>
      </c>
      <c r="AD756" s="320">
        <v>0</v>
      </c>
      <c r="AE756" s="319">
        <v>3</v>
      </c>
      <c r="AF756" s="320">
        <v>0.14285714285714199</v>
      </c>
      <c r="AG756" s="319">
        <v>1</v>
      </c>
      <c r="AH756" s="320">
        <v>4.7619047619047603E-2</v>
      </c>
      <c r="AI756" s="319">
        <v>0</v>
      </c>
      <c r="AJ756" s="320">
        <v>0</v>
      </c>
      <c r="AK756" s="320">
        <v>4.7619047619047623E-2</v>
      </c>
      <c r="AL756" s="319">
        <v>5</v>
      </c>
      <c r="AM756" s="319">
        <v>5</v>
      </c>
      <c r="AN756" s="319">
        <v>4.6666666666666599</v>
      </c>
      <c r="AO756" s="319">
        <v>0.48888888888888798</v>
      </c>
      <c r="AP756">
        <v>4</v>
      </c>
      <c r="AQ756">
        <v>4</v>
      </c>
      <c r="AR756" s="136"/>
      <c r="AT756" s="69">
        <v>2.3148</v>
      </c>
      <c r="AU756" s="69">
        <v>2.3148</v>
      </c>
      <c r="AV756" s="69">
        <v>8.1305999999999994</v>
      </c>
      <c r="AW756" s="69">
        <v>0.42530000000000001</v>
      </c>
      <c r="BB756" s="69"/>
    </row>
    <row r="757" spans="1:54" customFormat="1" ht="40" customHeight="1">
      <c r="A757" s="313">
        <v>756</v>
      </c>
      <c r="B757" s="136" t="s">
        <v>2053</v>
      </c>
      <c r="C757" s="136" t="s">
        <v>45</v>
      </c>
      <c r="D757" s="31">
        <f t="shared" si="50"/>
        <v>4</v>
      </c>
      <c r="E757" s="137" t="s">
        <v>46</v>
      </c>
      <c r="F757" s="31">
        <f t="shared" si="51"/>
        <v>6</v>
      </c>
      <c r="G757" s="137" t="s">
        <v>2070</v>
      </c>
      <c r="H757" s="138">
        <v>47</v>
      </c>
      <c r="I757" s="158">
        <f t="shared" si="52"/>
        <v>0.71048867757148559</v>
      </c>
      <c r="J757" s="95">
        <v>0.64026306942868505</v>
      </c>
      <c r="K757" s="137">
        <v>0.78071428571428603</v>
      </c>
      <c r="L757" s="137">
        <v>0.82499999999999996</v>
      </c>
      <c r="M757" s="137">
        <v>0.71428571428571397</v>
      </c>
      <c r="N757" s="136">
        <v>0</v>
      </c>
      <c r="O757" s="32">
        <v>43490</v>
      </c>
      <c r="P757" s="98">
        <f t="shared" si="53"/>
        <v>1</v>
      </c>
      <c r="Q757">
        <v>0</v>
      </c>
      <c r="R757">
        <v>1.65</v>
      </c>
      <c r="S757">
        <v>0</v>
      </c>
      <c r="T757" s="112" t="s">
        <v>73</v>
      </c>
      <c r="U757" s="137" t="s">
        <v>2074</v>
      </c>
      <c r="V757" s="137" t="s">
        <v>2067</v>
      </c>
      <c r="W757" s="69">
        <v>37</v>
      </c>
      <c r="X757" s="136">
        <v>1</v>
      </c>
      <c r="Y757" s="136">
        <v>4</v>
      </c>
      <c r="Z757" s="314"/>
      <c r="AA757" s="319">
        <v>0.60499999999999998</v>
      </c>
      <c r="AB757" s="315" t="s">
        <v>5176</v>
      </c>
      <c r="AC757" s="319">
        <v>0</v>
      </c>
      <c r="AD757" s="320">
        <v>0</v>
      </c>
      <c r="AE757" s="319">
        <v>3</v>
      </c>
      <c r="AF757" s="320">
        <v>0.14285714285714199</v>
      </c>
      <c r="AG757" s="319">
        <v>1</v>
      </c>
      <c r="AH757" s="320">
        <v>4.7619047619047603E-2</v>
      </c>
      <c r="AI757" s="319">
        <v>0</v>
      </c>
      <c r="AJ757" s="320">
        <v>0</v>
      </c>
      <c r="AK757" s="320">
        <v>4.7619047619047623E-2</v>
      </c>
      <c r="AL757" s="319">
        <v>5</v>
      </c>
      <c r="AM757" s="319">
        <v>5</v>
      </c>
      <c r="AN757" s="319">
        <v>2</v>
      </c>
      <c r="AO757" s="319">
        <v>0.4</v>
      </c>
      <c r="AP757">
        <v>4</v>
      </c>
      <c r="AQ757">
        <v>4</v>
      </c>
      <c r="AR757" s="136"/>
      <c r="AT757" s="69">
        <v>2.3148</v>
      </c>
      <c r="AU757" s="69">
        <v>2.3148</v>
      </c>
      <c r="AV757" s="69">
        <v>2.3148</v>
      </c>
      <c r="AW757" s="69">
        <v>0.23150000000000001</v>
      </c>
      <c r="BB757" s="69"/>
    </row>
    <row r="758" spans="1:54" customFormat="1" ht="40" customHeight="1">
      <c r="A758" s="313">
        <v>757</v>
      </c>
      <c r="B758" s="136" t="s">
        <v>2053</v>
      </c>
      <c r="C758" s="136" t="s">
        <v>45</v>
      </c>
      <c r="D758" s="31">
        <f t="shared" si="50"/>
        <v>4</v>
      </c>
      <c r="E758" s="137" t="s">
        <v>80</v>
      </c>
      <c r="F758" s="31">
        <f t="shared" si="51"/>
        <v>4</v>
      </c>
      <c r="G758" s="137" t="s">
        <v>778</v>
      </c>
      <c r="H758" s="138">
        <v>48</v>
      </c>
      <c r="I758" s="158">
        <f t="shared" si="52"/>
        <v>0.80487048638374947</v>
      </c>
      <c r="J758" s="95">
        <v>0.96577247422258405</v>
      </c>
      <c r="K758" s="137">
        <v>0.643968498544915</v>
      </c>
      <c r="L758" s="137">
        <v>0.75</v>
      </c>
      <c r="M758" s="137">
        <v>0.48492124636228701</v>
      </c>
      <c r="N758" s="136">
        <v>0</v>
      </c>
      <c r="O758" s="32">
        <v>43327</v>
      </c>
      <c r="P758" s="98">
        <f t="shared" si="53"/>
        <v>0</v>
      </c>
      <c r="Q758">
        <v>0</v>
      </c>
      <c r="R758">
        <v>0</v>
      </c>
      <c r="S758">
        <v>0</v>
      </c>
      <c r="T758" s="112" t="s">
        <v>48</v>
      </c>
      <c r="U758" s="137" t="s">
        <v>2075</v>
      </c>
      <c r="V758" s="137" t="s">
        <v>2076</v>
      </c>
      <c r="W758" s="69">
        <v>33</v>
      </c>
      <c r="X758" s="136">
        <v>3</v>
      </c>
      <c r="Y758" s="136">
        <v>13</v>
      </c>
      <c r="Z758" s="314"/>
      <c r="AA758" s="319">
        <v>0.60499999999999998</v>
      </c>
      <c r="AB758" s="331" t="s">
        <v>5172</v>
      </c>
      <c r="AC758" s="319">
        <v>0</v>
      </c>
      <c r="AD758" s="320">
        <v>0</v>
      </c>
      <c r="AE758" s="319">
        <v>0</v>
      </c>
      <c r="AF758" s="320">
        <v>0</v>
      </c>
      <c r="AG758" s="319">
        <v>0</v>
      </c>
      <c r="AH758" s="320">
        <v>0</v>
      </c>
      <c r="AI758" s="319">
        <v>0</v>
      </c>
      <c r="AJ758" s="320">
        <v>0</v>
      </c>
      <c r="AK758" s="320">
        <v>0</v>
      </c>
      <c r="AL758" s="319">
        <v>5</v>
      </c>
      <c r="AM758" s="319">
        <v>6.2</v>
      </c>
      <c r="AN758" s="319">
        <v>2</v>
      </c>
      <c r="AO758" s="319">
        <v>0.44</v>
      </c>
      <c r="AP758">
        <v>13</v>
      </c>
      <c r="AR758" s="136">
        <v>13</v>
      </c>
      <c r="AT758" s="69">
        <v>2.3148</v>
      </c>
      <c r="AU758" s="69">
        <v>5</v>
      </c>
      <c r="AV758" s="69">
        <v>2.3148</v>
      </c>
      <c r="AW758" s="69">
        <v>0.32100000000000001</v>
      </c>
      <c r="BB758" s="69"/>
    </row>
    <row r="759" spans="1:54" customFormat="1" ht="40" customHeight="1">
      <c r="A759" s="313">
        <v>758</v>
      </c>
      <c r="B759" s="136" t="s">
        <v>2053</v>
      </c>
      <c r="C759" s="136" t="s">
        <v>45</v>
      </c>
      <c r="D759" s="31">
        <f t="shared" si="50"/>
        <v>4</v>
      </c>
      <c r="E759" s="137" t="s">
        <v>80</v>
      </c>
      <c r="F759" s="31">
        <f t="shared" si="51"/>
        <v>4</v>
      </c>
      <c r="G759" s="137" t="s">
        <v>2077</v>
      </c>
      <c r="H759" s="138">
        <v>74</v>
      </c>
      <c r="I759" s="158">
        <f t="shared" si="52"/>
        <v>0.72962649428966297</v>
      </c>
      <c r="J759" s="95">
        <v>0.807201652301483</v>
      </c>
      <c r="K759" s="137">
        <v>0.65205133627784295</v>
      </c>
      <c r="L759" s="137">
        <v>0.75</v>
      </c>
      <c r="M759" s="137">
        <v>0.50512834069460699</v>
      </c>
      <c r="N759" s="136">
        <v>0</v>
      </c>
      <c r="O759" s="32">
        <v>43314</v>
      </c>
      <c r="P759" s="98">
        <f t="shared" si="53"/>
        <v>1</v>
      </c>
      <c r="Q759">
        <v>0</v>
      </c>
      <c r="R759">
        <v>3.3</v>
      </c>
      <c r="S759">
        <v>0</v>
      </c>
      <c r="T759" s="112" t="s">
        <v>73</v>
      </c>
      <c r="U759" s="137" t="s">
        <v>2078</v>
      </c>
      <c r="V759" s="137" t="s">
        <v>2079</v>
      </c>
      <c r="W759" s="69">
        <v>160</v>
      </c>
      <c r="X759" s="136">
        <v>1</v>
      </c>
      <c r="Y759" s="136">
        <v>12</v>
      </c>
      <c r="Z759" s="314"/>
      <c r="AA759" s="319">
        <v>0.54500000000000004</v>
      </c>
      <c r="AB759" s="315" t="s">
        <v>5168</v>
      </c>
      <c r="AC759" s="319">
        <v>2</v>
      </c>
      <c r="AD759" s="320">
        <v>2.2988505747126398E-2</v>
      </c>
      <c r="AE759" s="319">
        <v>2</v>
      </c>
      <c r="AF759" s="320">
        <v>2.2988505747126398E-2</v>
      </c>
      <c r="AG759" s="319">
        <v>3</v>
      </c>
      <c r="AH759" s="320">
        <v>3.4482758620689599E-2</v>
      </c>
      <c r="AI759" s="319">
        <v>0</v>
      </c>
      <c r="AJ759" s="320">
        <v>0</v>
      </c>
      <c r="AK759" s="320">
        <v>0</v>
      </c>
      <c r="AL759" s="319">
        <v>6.75</v>
      </c>
      <c r="AM759" s="319">
        <v>7.4</v>
      </c>
      <c r="AN759" s="319">
        <v>2</v>
      </c>
      <c r="AO759" s="319">
        <v>0.538333333333333</v>
      </c>
      <c r="AP759" s="319">
        <v>12</v>
      </c>
      <c r="AR759" s="136"/>
      <c r="AT759" s="69">
        <v>6.3414000000000001</v>
      </c>
      <c r="AU759" s="69">
        <v>7.6852</v>
      </c>
      <c r="AV759" s="69">
        <v>2.3148</v>
      </c>
      <c r="AW759" s="69">
        <v>0.54469999999999996</v>
      </c>
      <c r="BB759" s="69"/>
    </row>
    <row r="760" spans="1:54" customFormat="1" ht="40" customHeight="1">
      <c r="A760" s="313">
        <v>759</v>
      </c>
      <c r="B760" s="136" t="s">
        <v>2053</v>
      </c>
      <c r="C760" s="136" t="s">
        <v>45</v>
      </c>
      <c r="D760" s="31">
        <f t="shared" si="50"/>
        <v>4</v>
      </c>
      <c r="E760" s="137" t="s">
        <v>80</v>
      </c>
      <c r="F760" s="31">
        <f t="shared" si="51"/>
        <v>4</v>
      </c>
      <c r="G760" s="137" t="s">
        <v>2077</v>
      </c>
      <c r="H760" s="138">
        <v>98</v>
      </c>
      <c r="I760" s="158">
        <f t="shared" si="52"/>
        <v>0.43934217990645552</v>
      </c>
      <c r="J760" s="95">
        <v>0.12673630786485901</v>
      </c>
      <c r="K760" s="137">
        <v>0.75194805194805203</v>
      </c>
      <c r="L760" s="137">
        <v>0.68181818181818199</v>
      </c>
      <c r="M760" s="137">
        <v>0.85714285714285698</v>
      </c>
      <c r="N760" s="136">
        <v>0</v>
      </c>
      <c r="O760" s="32">
        <v>43313</v>
      </c>
      <c r="P760" s="98">
        <f t="shared" si="53"/>
        <v>1</v>
      </c>
      <c r="Q760">
        <v>0</v>
      </c>
      <c r="R760">
        <v>3.3</v>
      </c>
      <c r="S760">
        <v>0</v>
      </c>
      <c r="T760" s="112" t="s">
        <v>73</v>
      </c>
      <c r="U760" s="137" t="s">
        <v>2080</v>
      </c>
      <c r="V760" s="137" t="s">
        <v>2081</v>
      </c>
      <c r="W760" s="69">
        <v>164</v>
      </c>
      <c r="X760" s="136">
        <v>1</v>
      </c>
      <c r="Y760" s="136">
        <v>1</v>
      </c>
      <c r="Z760" s="314"/>
      <c r="AA760" s="319">
        <v>0.413223140495867</v>
      </c>
      <c r="AB760" s="315" t="s">
        <v>5169</v>
      </c>
      <c r="AC760" s="319">
        <v>4</v>
      </c>
      <c r="AD760" s="320">
        <v>4.2553191489361701E-2</v>
      </c>
      <c r="AE760" s="319">
        <v>0</v>
      </c>
      <c r="AF760" s="320">
        <v>0</v>
      </c>
      <c r="AG760" s="319">
        <v>4</v>
      </c>
      <c r="AH760" s="320">
        <v>4.2553191489361701E-2</v>
      </c>
      <c r="AI760" s="319">
        <v>1</v>
      </c>
      <c r="AJ760" s="320">
        <v>1.0638297872340399E-2</v>
      </c>
      <c r="AK760" s="320">
        <v>1.063829787234043E-2</v>
      </c>
      <c r="AL760" s="319">
        <v>6.75</v>
      </c>
      <c r="AM760" s="319">
        <v>6.2</v>
      </c>
      <c r="AN760" s="319">
        <v>2</v>
      </c>
      <c r="AO760" s="319">
        <v>0.49833333333333302</v>
      </c>
      <c r="AP760">
        <v>1</v>
      </c>
      <c r="AR760" s="136">
        <v>1</v>
      </c>
      <c r="AT760" s="69">
        <v>6.3414000000000001</v>
      </c>
      <c r="AU760" s="69">
        <v>5</v>
      </c>
      <c r="AV760" s="69">
        <v>2.3148</v>
      </c>
      <c r="AW760" s="69">
        <v>0.45519999999999999</v>
      </c>
      <c r="BB760" s="69"/>
    </row>
    <row r="761" spans="1:54" customFormat="1" ht="40" customHeight="1">
      <c r="A761" s="313">
        <v>760</v>
      </c>
      <c r="B761" s="136" t="s">
        <v>2053</v>
      </c>
      <c r="C761" s="136" t="s">
        <v>45</v>
      </c>
      <c r="D761" s="31">
        <f t="shared" si="50"/>
        <v>4</v>
      </c>
      <c r="E761" s="137" t="s">
        <v>80</v>
      </c>
      <c r="F761" s="31">
        <f t="shared" si="51"/>
        <v>4</v>
      </c>
      <c r="G761" s="137" t="s">
        <v>2077</v>
      </c>
      <c r="H761" s="138">
        <v>114</v>
      </c>
      <c r="I761" s="158">
        <f t="shared" si="52"/>
        <v>0.60137805533215849</v>
      </c>
      <c r="J761" s="95">
        <v>0.55863059721802399</v>
      </c>
      <c r="K761" s="137">
        <v>0.64412551344629299</v>
      </c>
      <c r="L761" s="137">
        <v>0.61983471074380203</v>
      </c>
      <c r="M761" s="137">
        <v>0.68056171750003003</v>
      </c>
      <c r="N761" s="136">
        <v>0</v>
      </c>
      <c r="O761" s="32">
        <v>43307</v>
      </c>
      <c r="P761" s="98">
        <f t="shared" si="53"/>
        <v>0</v>
      </c>
      <c r="Q761">
        <v>0</v>
      </c>
      <c r="R761">
        <v>0</v>
      </c>
      <c r="S761">
        <v>0</v>
      </c>
      <c r="T761" s="112" t="s">
        <v>48</v>
      </c>
      <c r="U761" s="137" t="s">
        <v>2082</v>
      </c>
      <c r="V761" s="137" t="s">
        <v>2083</v>
      </c>
      <c r="W761" s="69">
        <v>166</v>
      </c>
      <c r="X761" s="136">
        <v>2</v>
      </c>
      <c r="Y761" s="136">
        <v>5</v>
      </c>
      <c r="Z761" s="314"/>
      <c r="AA761" s="319">
        <v>0.59450000000000003</v>
      </c>
      <c r="AB761" s="315" t="s">
        <v>5169</v>
      </c>
      <c r="AC761" s="319">
        <v>4</v>
      </c>
      <c r="AD761" s="320">
        <v>4.2553191489361701E-2</v>
      </c>
      <c r="AE761" s="319">
        <v>2</v>
      </c>
      <c r="AF761" s="320">
        <v>2.1276595744680799E-2</v>
      </c>
      <c r="AG761" s="319">
        <v>4</v>
      </c>
      <c r="AH761" s="320">
        <v>4.2553191489361701E-2</v>
      </c>
      <c r="AI761" s="319">
        <v>1</v>
      </c>
      <c r="AJ761" s="320">
        <v>1.0638297872340399E-2</v>
      </c>
      <c r="AK761" s="320">
        <v>1.063829787234043E-2</v>
      </c>
      <c r="AL761" s="319">
        <v>5</v>
      </c>
      <c r="AM761" s="319">
        <v>6.2</v>
      </c>
      <c r="AN761" s="319">
        <v>7.3333333333333304</v>
      </c>
      <c r="AO761" s="319">
        <v>0.61777777777777698</v>
      </c>
      <c r="AP761">
        <v>5</v>
      </c>
      <c r="AR761" s="136">
        <v>5</v>
      </c>
      <c r="AT761" s="69">
        <v>2.3148</v>
      </c>
      <c r="AU761" s="69">
        <v>5</v>
      </c>
      <c r="AV761" s="69">
        <v>9.8416999999999994</v>
      </c>
      <c r="AW761" s="69">
        <v>0.57189999999999996</v>
      </c>
      <c r="BB761" s="69"/>
    </row>
    <row r="762" spans="1:54" customFormat="1" ht="40" customHeight="1">
      <c r="A762" s="313">
        <v>761</v>
      </c>
      <c r="B762" s="136" t="s">
        <v>2053</v>
      </c>
      <c r="C762" s="136" t="s">
        <v>45</v>
      </c>
      <c r="D762" s="31">
        <f t="shared" si="50"/>
        <v>4</v>
      </c>
      <c r="E762" s="137" t="s">
        <v>80</v>
      </c>
      <c r="F762" s="31">
        <f t="shared" si="51"/>
        <v>4</v>
      </c>
      <c r="G762" s="137" t="s">
        <v>180</v>
      </c>
      <c r="H762" s="138">
        <v>48</v>
      </c>
      <c r="I762" s="158">
        <f t="shared" si="52"/>
        <v>0.34418795403328167</v>
      </c>
      <c r="J762" s="95">
        <v>3.1519491738851702E-7</v>
      </c>
      <c r="K762" s="137">
        <v>0.68837559287164596</v>
      </c>
      <c r="L762" s="137">
        <v>0.75</v>
      </c>
      <c r="M762" s="137">
        <v>0.59593898217911601</v>
      </c>
      <c r="N762" s="136">
        <v>1</v>
      </c>
      <c r="O762" s="32">
        <v>43298</v>
      </c>
      <c r="P762" s="98">
        <f t="shared" si="53"/>
        <v>0</v>
      </c>
      <c r="Q762">
        <v>0</v>
      </c>
      <c r="R762">
        <v>0</v>
      </c>
      <c r="S762">
        <v>0</v>
      </c>
      <c r="T762" s="112" t="s">
        <v>48</v>
      </c>
      <c r="U762" s="137" t="s">
        <v>2084</v>
      </c>
      <c r="V762" s="137" t="s">
        <v>2085</v>
      </c>
      <c r="W762" s="69">
        <v>104</v>
      </c>
      <c r="X762" s="136">
        <v>3</v>
      </c>
      <c r="Y762" s="136">
        <v>8</v>
      </c>
      <c r="Z762" s="314"/>
      <c r="AA762" s="319">
        <v>0.60499999999999998</v>
      </c>
      <c r="AB762" s="315" t="s">
        <v>5165</v>
      </c>
      <c r="AC762" s="319">
        <v>4</v>
      </c>
      <c r="AD762" s="320">
        <v>6.6666666666666596E-2</v>
      </c>
      <c r="AE762" s="319">
        <v>1</v>
      </c>
      <c r="AF762" s="320">
        <v>1.6666666666666601E-2</v>
      </c>
      <c r="AG762" s="319">
        <v>3</v>
      </c>
      <c r="AH762" s="320">
        <v>0.05</v>
      </c>
      <c r="AI762" s="319">
        <v>0</v>
      </c>
      <c r="AJ762" s="320">
        <v>0</v>
      </c>
      <c r="AK762" s="320">
        <v>1.666666666666667E-2</v>
      </c>
      <c r="AL762" s="319">
        <v>5</v>
      </c>
      <c r="AM762" s="319">
        <v>6.2</v>
      </c>
      <c r="AN762" s="319">
        <v>2</v>
      </c>
      <c r="AO762" s="319">
        <v>0.44</v>
      </c>
      <c r="AP762">
        <v>8</v>
      </c>
      <c r="AR762" s="136">
        <v>8</v>
      </c>
      <c r="AT762" s="69">
        <v>2.3148</v>
      </c>
      <c r="AU762" s="69">
        <v>5</v>
      </c>
      <c r="AV762" s="69">
        <v>2.3148</v>
      </c>
      <c r="AW762" s="69">
        <v>0.32100000000000001</v>
      </c>
      <c r="BB762" s="69"/>
    </row>
    <row r="763" spans="1:54" customFormat="1" ht="40" customHeight="1">
      <c r="A763" s="313">
        <v>762</v>
      </c>
      <c r="B763" s="136" t="s">
        <v>2053</v>
      </c>
      <c r="C763" s="136" t="s">
        <v>59</v>
      </c>
      <c r="D763" s="31">
        <f t="shared" si="50"/>
        <v>5</v>
      </c>
      <c r="E763" s="137" t="s">
        <v>46</v>
      </c>
      <c r="F763" s="31">
        <f t="shared" si="51"/>
        <v>6</v>
      </c>
      <c r="G763" s="137" t="s">
        <v>2086</v>
      </c>
      <c r="H763" s="138">
        <v>93</v>
      </c>
      <c r="I763" s="158">
        <f t="shared" si="52"/>
        <v>0.61570539407163893</v>
      </c>
      <c r="J763" s="95">
        <v>0.99374845048093996</v>
      </c>
      <c r="K763" s="137">
        <v>0.23766233766233799</v>
      </c>
      <c r="L763" s="137">
        <v>0.68181818181818199</v>
      </c>
      <c r="M763" s="137">
        <v>-0.42857142857142899</v>
      </c>
      <c r="N763" s="136">
        <v>1</v>
      </c>
      <c r="O763" s="32">
        <v>43213</v>
      </c>
      <c r="P763" s="98">
        <f t="shared" si="53"/>
        <v>1</v>
      </c>
      <c r="Q763">
        <v>0</v>
      </c>
      <c r="R763">
        <v>0</v>
      </c>
      <c r="S763">
        <v>0</v>
      </c>
      <c r="T763" s="112" t="s">
        <v>73</v>
      </c>
      <c r="U763" s="137" t="s">
        <v>2087</v>
      </c>
      <c r="V763" s="137" t="s">
        <v>2088</v>
      </c>
      <c r="W763" s="69">
        <v>18</v>
      </c>
      <c r="X763" s="136">
        <v>1</v>
      </c>
      <c r="Y763" s="136">
        <v>100</v>
      </c>
      <c r="Z763" s="314"/>
      <c r="AA763" s="319">
        <v>0.66549999999999998</v>
      </c>
      <c r="AB763" s="315" t="s">
        <v>5176</v>
      </c>
      <c r="AC763" s="319">
        <v>0</v>
      </c>
      <c r="AD763" s="320">
        <v>0</v>
      </c>
      <c r="AE763" s="319">
        <v>1</v>
      </c>
      <c r="AF763" s="320">
        <v>8.3333333333333301E-2</v>
      </c>
      <c r="AG763" s="319">
        <v>0</v>
      </c>
      <c r="AH763" s="320">
        <v>0</v>
      </c>
      <c r="AI763" s="319">
        <v>0</v>
      </c>
      <c r="AJ763" s="320">
        <v>0</v>
      </c>
      <c r="AK763" s="320">
        <v>0</v>
      </c>
      <c r="AL763" s="319">
        <v>5</v>
      </c>
      <c r="AM763" s="319">
        <v>6.2</v>
      </c>
      <c r="AN763" s="319">
        <v>3.5</v>
      </c>
      <c r="AO763" s="319">
        <v>0.49</v>
      </c>
      <c r="AP763">
        <v>100</v>
      </c>
      <c r="AR763" s="136"/>
      <c r="AS763">
        <v>100</v>
      </c>
      <c r="AT763" s="69">
        <v>2.3148</v>
      </c>
      <c r="AU763" s="69">
        <v>5</v>
      </c>
      <c r="AV763" s="69">
        <v>5.7443999999999997</v>
      </c>
      <c r="AW763" s="69">
        <v>0.43530000000000002</v>
      </c>
      <c r="BB763" s="69"/>
    </row>
    <row r="764" spans="1:54" customFormat="1" ht="40" customHeight="1">
      <c r="A764" s="313">
        <v>763</v>
      </c>
      <c r="B764" s="136" t="s">
        <v>2053</v>
      </c>
      <c r="C764" s="136" t="s">
        <v>59</v>
      </c>
      <c r="D764" s="31">
        <f t="shared" si="50"/>
        <v>5</v>
      </c>
      <c r="E764" s="137" t="s">
        <v>46</v>
      </c>
      <c r="F764" s="31">
        <f t="shared" si="51"/>
        <v>6</v>
      </c>
      <c r="G764" s="137" t="s">
        <v>2089</v>
      </c>
      <c r="H764" s="138">
        <v>282</v>
      </c>
      <c r="I764" s="158">
        <f t="shared" si="52"/>
        <v>0.34202845708679142</v>
      </c>
      <c r="J764" s="95">
        <v>3.10811091072982E-3</v>
      </c>
      <c r="K764" s="137">
        <v>0.68094880326285301</v>
      </c>
      <c r="L764" s="137">
        <v>0.56348610067618299</v>
      </c>
      <c r="M764" s="137">
        <v>0.85714285714285698</v>
      </c>
      <c r="N764" s="136">
        <v>1</v>
      </c>
      <c r="O764" s="32">
        <v>43096</v>
      </c>
      <c r="P764" s="98">
        <f t="shared" si="53"/>
        <v>1</v>
      </c>
      <c r="Q764">
        <v>0</v>
      </c>
      <c r="R764">
        <v>0</v>
      </c>
      <c r="S764">
        <v>0</v>
      </c>
      <c r="T764" s="112" t="s">
        <v>73</v>
      </c>
      <c r="U764" s="137" t="s">
        <v>2090</v>
      </c>
      <c r="V764" s="137" t="s">
        <v>2091</v>
      </c>
      <c r="W764" s="69">
        <v>132</v>
      </c>
      <c r="X764" s="136">
        <v>4</v>
      </c>
      <c r="Y764" s="136">
        <v>1</v>
      </c>
      <c r="Z764" s="314"/>
      <c r="AA764" s="319">
        <v>1.10809615276841E-2</v>
      </c>
      <c r="AB764" s="315" t="s">
        <v>5176</v>
      </c>
      <c r="AC764" s="319">
        <v>1</v>
      </c>
      <c r="AD764" s="320">
        <v>1.35135135135135E-2</v>
      </c>
      <c r="AE764" s="319">
        <v>3</v>
      </c>
      <c r="AF764" s="320">
        <v>4.0540540540540501E-2</v>
      </c>
      <c r="AG764" s="319">
        <v>0</v>
      </c>
      <c r="AH764" s="320">
        <v>0</v>
      </c>
      <c r="AI764" s="319">
        <v>1</v>
      </c>
      <c r="AJ764" s="320">
        <v>1.35135135135135E-2</v>
      </c>
      <c r="AK764" s="320">
        <v>0</v>
      </c>
      <c r="AL764" s="319">
        <v>5</v>
      </c>
      <c r="AM764" s="319">
        <v>5</v>
      </c>
      <c r="AN764" s="319">
        <v>2</v>
      </c>
      <c r="AO764" s="319">
        <v>0.4</v>
      </c>
      <c r="AP764">
        <v>1</v>
      </c>
      <c r="AR764" s="136">
        <v>1</v>
      </c>
      <c r="AT764" s="69">
        <v>2.3148</v>
      </c>
      <c r="AU764" s="69">
        <v>2.3148</v>
      </c>
      <c r="AV764" s="69">
        <v>2.3148</v>
      </c>
      <c r="AW764" s="69">
        <v>0.23150000000000001</v>
      </c>
      <c r="BB764" s="69"/>
    </row>
    <row r="765" spans="1:54" customFormat="1" ht="40" customHeight="1">
      <c r="A765" s="313">
        <v>764</v>
      </c>
      <c r="B765" s="136" t="s">
        <v>2053</v>
      </c>
      <c r="C765" s="136" t="s">
        <v>59</v>
      </c>
      <c r="D765" s="31">
        <f t="shared" si="50"/>
        <v>5</v>
      </c>
      <c r="E765" s="137" t="s">
        <v>80</v>
      </c>
      <c r="F765" s="31">
        <f t="shared" si="51"/>
        <v>4</v>
      </c>
      <c r="G765" s="137" t="s">
        <v>2092</v>
      </c>
      <c r="H765" s="138">
        <v>100</v>
      </c>
      <c r="I765" s="158">
        <f t="shared" si="52"/>
        <v>0.86732006064982603</v>
      </c>
      <c r="J765" s="95">
        <v>0.98361445316073104</v>
      </c>
      <c r="K765" s="137">
        <v>0.75102566813892102</v>
      </c>
      <c r="L765" s="137">
        <v>0.75</v>
      </c>
      <c r="M765" s="137">
        <v>0.75256417034730305</v>
      </c>
      <c r="N765" s="136">
        <v>1</v>
      </c>
      <c r="O765" s="32">
        <v>42979</v>
      </c>
      <c r="P765" s="98">
        <f t="shared" si="53"/>
        <v>1</v>
      </c>
      <c r="Q765">
        <v>0</v>
      </c>
      <c r="R765">
        <v>1.65</v>
      </c>
      <c r="S765">
        <v>0</v>
      </c>
      <c r="T765" s="112" t="s">
        <v>73</v>
      </c>
      <c r="U765" s="137" t="s">
        <v>2093</v>
      </c>
      <c r="V765" s="137" t="s">
        <v>2094</v>
      </c>
      <c r="W765" s="69">
        <v>171</v>
      </c>
      <c r="X765" s="136">
        <v>1</v>
      </c>
      <c r="Y765" s="136">
        <v>3</v>
      </c>
      <c r="Z765" s="314"/>
      <c r="AA765" s="319">
        <v>0.5</v>
      </c>
      <c r="AB765" s="315" t="s">
        <v>5167</v>
      </c>
      <c r="AC765" s="319">
        <v>1</v>
      </c>
      <c r="AD765" s="320">
        <v>1.0869565217391301E-2</v>
      </c>
      <c r="AE765" s="319">
        <v>1</v>
      </c>
      <c r="AF765" s="320">
        <v>1.0869565217391301E-2</v>
      </c>
      <c r="AG765" s="319">
        <v>2</v>
      </c>
      <c r="AH765" s="320">
        <v>2.1739130434782601E-2</v>
      </c>
      <c r="AI765" s="319">
        <v>4</v>
      </c>
      <c r="AJ765" s="320">
        <v>4.3478260869565202E-2</v>
      </c>
      <c r="AK765" s="320">
        <v>0</v>
      </c>
      <c r="AL765" s="319">
        <v>5</v>
      </c>
      <c r="AM765" s="319">
        <v>5</v>
      </c>
      <c r="AN765" s="319">
        <v>2</v>
      </c>
      <c r="AO765" s="319">
        <v>0.4</v>
      </c>
      <c r="AP765">
        <v>3</v>
      </c>
      <c r="AR765" s="136">
        <v>3</v>
      </c>
      <c r="AT765" s="69">
        <v>2.3148</v>
      </c>
      <c r="AU765" s="69">
        <v>2.3148</v>
      </c>
      <c r="AV765" s="69">
        <v>2.3148</v>
      </c>
      <c r="AW765" s="69">
        <v>0.23150000000000001</v>
      </c>
      <c r="BB765" s="69"/>
    </row>
    <row r="766" spans="1:54" customFormat="1" ht="40" customHeight="1">
      <c r="A766" s="313">
        <v>765</v>
      </c>
      <c r="B766" s="136" t="s">
        <v>2053</v>
      </c>
      <c r="C766" s="136" t="s">
        <v>45</v>
      </c>
      <c r="D766" s="31">
        <f t="shared" si="50"/>
        <v>4</v>
      </c>
      <c r="E766" s="137" t="s">
        <v>80</v>
      </c>
      <c r="F766" s="31">
        <f t="shared" si="51"/>
        <v>4</v>
      </c>
      <c r="G766" s="137" t="s">
        <v>2095</v>
      </c>
      <c r="H766" s="138">
        <v>120</v>
      </c>
      <c r="I766" s="158">
        <f t="shared" si="52"/>
        <v>0.39253845431108492</v>
      </c>
      <c r="J766" s="95">
        <v>1.5889112186346799E-2</v>
      </c>
      <c r="K766" s="137">
        <v>0.76918779643582302</v>
      </c>
      <c r="L766" s="137">
        <v>0.75</v>
      </c>
      <c r="M766" s="137">
        <v>0.79796949108955795</v>
      </c>
      <c r="N766" s="136">
        <v>1</v>
      </c>
      <c r="O766" s="32">
        <v>42975</v>
      </c>
      <c r="P766" s="98">
        <f t="shared" si="53"/>
        <v>1</v>
      </c>
      <c r="Q766">
        <v>0</v>
      </c>
      <c r="R766">
        <v>1.65</v>
      </c>
      <c r="S766">
        <v>0</v>
      </c>
      <c r="T766" s="112" t="s">
        <v>73</v>
      </c>
      <c r="U766" s="137" t="s">
        <v>2096</v>
      </c>
      <c r="V766" s="137" t="s">
        <v>2097</v>
      </c>
      <c r="W766" s="69">
        <v>56</v>
      </c>
      <c r="X766" s="136">
        <v>3</v>
      </c>
      <c r="Y766" s="136">
        <v>2</v>
      </c>
      <c r="Z766" s="314"/>
      <c r="AA766" s="319">
        <v>0.54500000000000004</v>
      </c>
      <c r="AB766" s="331" t="s">
        <v>5172</v>
      </c>
      <c r="AC766" s="319">
        <v>0</v>
      </c>
      <c r="AD766" s="320">
        <v>0</v>
      </c>
      <c r="AE766" s="319">
        <v>0</v>
      </c>
      <c r="AF766" s="320">
        <v>0</v>
      </c>
      <c r="AG766" s="319">
        <v>0</v>
      </c>
      <c r="AH766" s="320">
        <v>0</v>
      </c>
      <c r="AI766" s="319">
        <v>0</v>
      </c>
      <c r="AJ766" s="320">
        <v>0</v>
      </c>
      <c r="AK766" s="320">
        <v>0</v>
      </c>
      <c r="AL766" s="319">
        <v>5</v>
      </c>
      <c r="AM766" s="319">
        <v>5</v>
      </c>
      <c r="AN766" s="319">
        <v>4.6666666666666599</v>
      </c>
      <c r="AO766" s="319">
        <v>0.48888888888888798</v>
      </c>
      <c r="AP766" s="319">
        <v>2</v>
      </c>
      <c r="AR766" s="136"/>
      <c r="AT766" s="69">
        <v>2.3148</v>
      </c>
      <c r="AU766" s="69">
        <v>2.3148</v>
      </c>
      <c r="AV766" s="69">
        <v>8.1305999999999994</v>
      </c>
      <c r="AW766" s="69">
        <v>0.42530000000000001</v>
      </c>
      <c r="BB766" s="69"/>
    </row>
    <row r="767" spans="1:54" customFormat="1" ht="40" customHeight="1">
      <c r="A767" s="313">
        <v>766</v>
      </c>
      <c r="B767" s="136" t="s">
        <v>2098</v>
      </c>
      <c r="C767" s="136" t="s">
        <v>45</v>
      </c>
      <c r="D767" s="31">
        <f t="shared" si="50"/>
        <v>4</v>
      </c>
      <c r="E767" s="137" t="s">
        <v>221</v>
      </c>
      <c r="F767" s="31">
        <f t="shared" si="51"/>
        <v>2</v>
      </c>
      <c r="G767" s="137" t="s">
        <v>2099</v>
      </c>
      <c r="H767" s="138">
        <f>LEN(U767)</f>
        <v>40</v>
      </c>
      <c r="I767" s="158">
        <f t="shared" si="52"/>
        <v>0.39801544110786763</v>
      </c>
      <c r="J767" s="95">
        <v>5.2140768143083002E-6</v>
      </c>
      <c r="K767" s="137">
        <v>0.79602566813892095</v>
      </c>
      <c r="L767" s="137">
        <v>0.82499999999999996</v>
      </c>
      <c r="M767" s="137">
        <v>0.75256417034730305</v>
      </c>
      <c r="N767" s="136">
        <v>1</v>
      </c>
      <c r="O767" s="32">
        <v>44170</v>
      </c>
      <c r="P767" s="98">
        <f t="shared" si="53"/>
        <v>1</v>
      </c>
      <c r="Q767">
        <v>0</v>
      </c>
      <c r="R767">
        <v>0</v>
      </c>
      <c r="S767">
        <v>0</v>
      </c>
      <c r="T767" s="112" t="s">
        <v>73</v>
      </c>
      <c r="U767" s="137" t="s">
        <v>2100</v>
      </c>
      <c r="V767" s="137" t="s">
        <v>2101</v>
      </c>
      <c r="W767" s="69">
        <f>LEN(V767)</f>
        <v>92</v>
      </c>
      <c r="X767" s="136">
        <v>0</v>
      </c>
      <c r="Y767" s="136">
        <v>3</v>
      </c>
      <c r="Z767" s="314"/>
      <c r="AA767" s="319">
        <v>0.55000000000000004</v>
      </c>
      <c r="AB767" s="315" t="s">
        <v>5176</v>
      </c>
      <c r="AC767" s="319">
        <v>0</v>
      </c>
      <c r="AD767" s="320">
        <v>0</v>
      </c>
      <c r="AE767" s="319">
        <v>2</v>
      </c>
      <c r="AF767" s="320">
        <v>3.8461538461538401E-2</v>
      </c>
      <c r="AG767" s="319">
        <v>0</v>
      </c>
      <c r="AH767" s="320">
        <v>0</v>
      </c>
      <c r="AI767" s="319">
        <v>1</v>
      </c>
      <c r="AJ767" s="320">
        <v>1.9230769230769201E-2</v>
      </c>
      <c r="AK767" s="320">
        <v>0</v>
      </c>
      <c r="AL767" s="319">
        <v>5</v>
      </c>
      <c r="AM767" s="319">
        <v>5</v>
      </c>
      <c r="AN767" s="319">
        <v>2</v>
      </c>
      <c r="AO767" s="319">
        <v>0.4</v>
      </c>
      <c r="AP767" s="319">
        <v>3</v>
      </c>
      <c r="AR767" s="136"/>
      <c r="AT767" s="69">
        <v>2.3148</v>
      </c>
      <c r="AU767" s="69">
        <v>2.3148</v>
      </c>
      <c r="AV767" s="69">
        <v>2.3148</v>
      </c>
      <c r="AW767" s="69">
        <v>0.23150000000000001</v>
      </c>
      <c r="BB767" s="69"/>
    </row>
    <row r="768" spans="1:54" customFormat="1" ht="40" customHeight="1">
      <c r="A768" s="313">
        <v>767</v>
      </c>
      <c r="B768" s="136" t="s">
        <v>2098</v>
      </c>
      <c r="C768" s="136" t="s">
        <v>59</v>
      </c>
      <c r="D768" s="31">
        <f t="shared" si="50"/>
        <v>5</v>
      </c>
      <c r="E768" s="137" t="s">
        <v>1223</v>
      </c>
      <c r="F768" s="31">
        <f t="shared" si="51"/>
        <v>8</v>
      </c>
      <c r="G768" s="137" t="s">
        <v>1239</v>
      </c>
      <c r="H768" s="138">
        <f>LEN(U768)</f>
        <v>164</v>
      </c>
      <c r="I768" s="158">
        <f t="shared" si="52"/>
        <v>0.41949798443507091</v>
      </c>
      <c r="J768" s="95">
        <v>6.7095142423860804E-2</v>
      </c>
      <c r="K768" s="137">
        <v>0.771900826446281</v>
      </c>
      <c r="L768" s="137">
        <v>0.61983471074380103</v>
      </c>
      <c r="M768" s="137">
        <v>1</v>
      </c>
      <c r="N768" s="136">
        <v>1</v>
      </c>
      <c r="O768" s="32">
        <v>44139</v>
      </c>
      <c r="P768" s="98">
        <f t="shared" si="53"/>
        <v>1</v>
      </c>
      <c r="Q768">
        <v>0</v>
      </c>
      <c r="R768">
        <v>0</v>
      </c>
      <c r="S768">
        <v>0</v>
      </c>
      <c r="T768" s="112" t="s">
        <v>73</v>
      </c>
      <c r="U768" s="137" t="s">
        <v>1240</v>
      </c>
      <c r="V768" s="137" t="s">
        <v>1241</v>
      </c>
      <c r="W768" s="69">
        <f>LEN(V768)</f>
        <v>120</v>
      </c>
      <c r="X768" s="136">
        <v>0</v>
      </c>
      <c r="Y768" s="136">
        <v>0</v>
      </c>
      <c r="Z768" s="314"/>
      <c r="AA768" s="319">
        <v>9.1578194443670893E-3</v>
      </c>
      <c r="AB768" s="315" t="s">
        <v>5165</v>
      </c>
      <c r="AC768" s="319">
        <v>1</v>
      </c>
      <c r="AD768" s="320">
        <v>1.3698630136986301E-2</v>
      </c>
      <c r="AE768" s="319">
        <v>0</v>
      </c>
      <c r="AF768" s="320">
        <v>0</v>
      </c>
      <c r="AG768" s="319">
        <v>0</v>
      </c>
      <c r="AH768" s="320">
        <v>0</v>
      </c>
      <c r="AI768" s="319">
        <v>0</v>
      </c>
      <c r="AJ768" s="320">
        <v>0</v>
      </c>
      <c r="AK768" s="320">
        <v>0</v>
      </c>
      <c r="AL768" s="319">
        <v>5</v>
      </c>
      <c r="AM768" s="319">
        <v>5</v>
      </c>
      <c r="AN768" s="319">
        <v>3.5</v>
      </c>
      <c r="AO768" s="319">
        <v>0.45</v>
      </c>
      <c r="AR768" s="136">
        <v>0</v>
      </c>
      <c r="AT768" s="69">
        <v>2.3148</v>
      </c>
      <c r="AU768" s="69">
        <v>2.3148</v>
      </c>
      <c r="AV768" s="69">
        <v>5.7443999999999997</v>
      </c>
      <c r="AW768" s="69">
        <v>0.3458</v>
      </c>
      <c r="BB768" s="69"/>
    </row>
    <row r="769" spans="1:54" customFormat="1" ht="40" customHeight="1">
      <c r="A769" s="313">
        <v>768</v>
      </c>
      <c r="B769" s="136" t="s">
        <v>2098</v>
      </c>
      <c r="C769" s="136" t="s">
        <v>45</v>
      </c>
      <c r="D769" s="31">
        <f t="shared" si="50"/>
        <v>4</v>
      </c>
      <c r="E769" s="137" t="s">
        <v>1223</v>
      </c>
      <c r="F769" s="31">
        <f t="shared" si="51"/>
        <v>8</v>
      </c>
      <c r="G769" s="137" t="s">
        <v>2102</v>
      </c>
      <c r="H769" s="138">
        <f>LEN(U769)</f>
        <v>143</v>
      </c>
      <c r="I769" s="158">
        <f t="shared" si="52"/>
        <v>0.78688902296326901</v>
      </c>
      <c r="J769" s="95">
        <v>0.99999974986557705</v>
      </c>
      <c r="K769" s="137">
        <v>0.57377829606096098</v>
      </c>
      <c r="L769" s="137">
        <v>0.38486858867302998</v>
      </c>
      <c r="M769" s="137">
        <v>0.85714285714285698</v>
      </c>
      <c r="N769" s="136">
        <v>1</v>
      </c>
      <c r="O769" s="32">
        <v>44069</v>
      </c>
      <c r="P769" s="98">
        <f t="shared" si="53"/>
        <v>1</v>
      </c>
      <c r="Q769">
        <v>0</v>
      </c>
      <c r="R769">
        <v>1.65</v>
      </c>
      <c r="S769">
        <v>0</v>
      </c>
      <c r="T769" s="112" t="s">
        <v>73</v>
      </c>
      <c r="U769" s="137" t="s">
        <v>2103</v>
      </c>
      <c r="V769" s="137" t="s">
        <v>2104</v>
      </c>
      <c r="W769" s="69">
        <f>LEN(V769)</f>
        <v>157</v>
      </c>
      <c r="X769" s="136">
        <v>0</v>
      </c>
      <c r="Y769" s="136">
        <v>1</v>
      </c>
      <c r="Z769" s="314"/>
      <c r="AA769" s="319">
        <v>1.2393760883331699E-3</v>
      </c>
      <c r="AB769" s="315" t="s">
        <v>5176</v>
      </c>
      <c r="AC769" s="319">
        <v>1</v>
      </c>
      <c r="AD769" s="320">
        <v>1.0752688172042999E-2</v>
      </c>
      <c r="AE769" s="319">
        <v>3</v>
      </c>
      <c r="AF769" s="320">
        <v>3.2258064516128997E-2</v>
      </c>
      <c r="AG769" s="319">
        <v>1</v>
      </c>
      <c r="AH769" s="320">
        <v>1.0752688172042999E-2</v>
      </c>
      <c r="AI769" s="319">
        <v>0</v>
      </c>
      <c r="AJ769" s="320">
        <v>0</v>
      </c>
      <c r="AK769" s="320">
        <v>0</v>
      </c>
      <c r="AL769" s="319">
        <v>7.2857142857142803</v>
      </c>
      <c r="AM769" s="319">
        <v>5</v>
      </c>
      <c r="AN769" s="319">
        <v>2</v>
      </c>
      <c r="AO769" s="319">
        <v>0.476190476190476</v>
      </c>
      <c r="AR769" s="136">
        <v>1</v>
      </c>
      <c r="AT769" s="69">
        <v>7.4837999999999996</v>
      </c>
      <c r="AU769" s="69">
        <v>2.3148</v>
      </c>
      <c r="AV769" s="69">
        <v>2.3148</v>
      </c>
      <c r="AW769" s="69">
        <v>0.40379999999999999</v>
      </c>
      <c r="BB769" s="69"/>
    </row>
    <row r="770" spans="1:54" customFormat="1" ht="40" customHeight="1">
      <c r="A770" s="313">
        <v>769</v>
      </c>
      <c r="B770" s="136" t="s">
        <v>2098</v>
      </c>
      <c r="C770" s="136" t="s">
        <v>59</v>
      </c>
      <c r="D770" s="31">
        <f t="shared" ref="D770:D833" si="56">IF(C770="投诉",4,IF(C770="建议",1,IF(C770="举报",2,IF(C770="求助",3,5))))</f>
        <v>5</v>
      </c>
      <c r="E770" s="137" t="s">
        <v>1223</v>
      </c>
      <c r="F770" s="31">
        <f t="shared" ref="F770:F833" si="57">IF(E770="12345app",1,IF(E770="e福州app",2,IF(E770="qq",3,IF(E770="电话",4,IF(E770="短信",5,IF(E770="网站",6,IF(E770="微博",7,IF(E770="微信",8,9))))))))</f>
        <v>8</v>
      </c>
      <c r="G770" s="137" t="s">
        <v>2105</v>
      </c>
      <c r="H770" s="138">
        <v>31</v>
      </c>
      <c r="I770" s="158">
        <f t="shared" ref="I770:I833" si="58">(J770+K770)/2</f>
        <v>0.87585056259279803</v>
      </c>
      <c r="J770" s="95">
        <v>0.99975307323754403</v>
      </c>
      <c r="K770" s="137">
        <v>0.75194805194805203</v>
      </c>
      <c r="L770" s="137">
        <v>0.68181818181818199</v>
      </c>
      <c r="M770" s="137">
        <v>0.85714285714285698</v>
      </c>
      <c r="N770" s="136">
        <v>1</v>
      </c>
      <c r="O770" s="32">
        <v>44034</v>
      </c>
      <c r="P770" s="98">
        <f t="shared" ref="P770:P833" si="59">IF(T770="利己",0,IF(T770="生态",2,1))</f>
        <v>1</v>
      </c>
      <c r="Q770">
        <v>0</v>
      </c>
      <c r="R770">
        <v>0</v>
      </c>
      <c r="S770">
        <v>0</v>
      </c>
      <c r="T770" s="112" t="s">
        <v>73</v>
      </c>
      <c r="U770" s="137" t="s">
        <v>2106</v>
      </c>
      <c r="V770" s="137" t="s">
        <v>2107</v>
      </c>
      <c r="W770" s="69">
        <v>96</v>
      </c>
      <c r="X770" s="136">
        <v>1</v>
      </c>
      <c r="Y770" s="136">
        <v>1</v>
      </c>
      <c r="Z770" s="314"/>
      <c r="AA770" s="319">
        <v>0.54500000000000004</v>
      </c>
      <c r="AB770" s="315" t="s">
        <v>5176</v>
      </c>
      <c r="AC770" s="319">
        <v>1</v>
      </c>
      <c r="AD770" s="320">
        <v>1.7857142857142801E-2</v>
      </c>
      <c r="AE770" s="319">
        <v>3</v>
      </c>
      <c r="AF770" s="320">
        <v>5.3571428571428499E-2</v>
      </c>
      <c r="AG770" s="319">
        <v>0</v>
      </c>
      <c r="AH770" s="320">
        <v>0</v>
      </c>
      <c r="AI770" s="319">
        <v>0</v>
      </c>
      <c r="AJ770" s="320">
        <v>0</v>
      </c>
      <c r="AK770" s="320">
        <v>1.785714285714286E-2</v>
      </c>
      <c r="AL770" s="319">
        <v>5</v>
      </c>
      <c r="AM770" s="319">
        <v>5</v>
      </c>
      <c r="AN770" s="319">
        <v>3.5</v>
      </c>
      <c r="AO770" s="319">
        <v>0.45</v>
      </c>
      <c r="AP770">
        <v>1</v>
      </c>
      <c r="AR770" s="136">
        <v>1</v>
      </c>
      <c r="AT770" s="69">
        <v>2.3148</v>
      </c>
      <c r="AU770" s="69">
        <v>2.3148</v>
      </c>
      <c r="AV770" s="69">
        <v>5.7443999999999997</v>
      </c>
      <c r="AW770" s="69">
        <v>0.3458</v>
      </c>
      <c r="BB770" s="69"/>
    </row>
    <row r="771" spans="1:54" customFormat="1" ht="40" customHeight="1">
      <c r="A771" s="313">
        <v>770</v>
      </c>
      <c r="B771" s="136" t="s">
        <v>2098</v>
      </c>
      <c r="C771" s="136" t="s">
        <v>45</v>
      </c>
      <c r="D771" s="31">
        <f t="shared" si="56"/>
        <v>4</v>
      </c>
      <c r="E771" s="137" t="s">
        <v>1223</v>
      </c>
      <c r="F771" s="31">
        <f t="shared" si="57"/>
        <v>8</v>
      </c>
      <c r="G771" s="137" t="s">
        <v>2108</v>
      </c>
      <c r="H771" s="138">
        <v>111</v>
      </c>
      <c r="I771" s="158">
        <f t="shared" si="58"/>
        <v>0.34181067737294973</v>
      </c>
      <c r="J771" s="95">
        <v>2.5716234858681498E-2</v>
      </c>
      <c r="K771" s="137">
        <v>0.657905119887218</v>
      </c>
      <c r="L771" s="137">
        <v>0.68181818181818199</v>
      </c>
      <c r="M771" s="137">
        <v>0.62203552699077302</v>
      </c>
      <c r="N771" s="136">
        <v>1</v>
      </c>
      <c r="O771" s="32">
        <v>44032</v>
      </c>
      <c r="P771" s="98">
        <f t="shared" si="59"/>
        <v>1</v>
      </c>
      <c r="Q771">
        <v>0</v>
      </c>
      <c r="R771">
        <v>4.95</v>
      </c>
      <c r="S771">
        <v>0</v>
      </c>
      <c r="T771" s="112" t="s">
        <v>73</v>
      </c>
      <c r="U771" s="137" t="s">
        <v>2109</v>
      </c>
      <c r="V771" s="137" t="s">
        <v>2110</v>
      </c>
      <c r="W771" s="69">
        <v>177</v>
      </c>
      <c r="X771" s="136">
        <v>1</v>
      </c>
      <c r="Y771" s="136">
        <v>7</v>
      </c>
      <c r="Z771" s="314"/>
      <c r="AA771" s="319">
        <v>2.7133952260485799E-2</v>
      </c>
      <c r="AB771" s="315" t="s">
        <v>5168</v>
      </c>
      <c r="AC771" s="319">
        <v>1</v>
      </c>
      <c r="AD771" s="320">
        <v>9.7087378640776708E-3</v>
      </c>
      <c r="AE771" s="319">
        <v>1</v>
      </c>
      <c r="AF771" s="320">
        <v>9.7087378640776708E-3</v>
      </c>
      <c r="AG771" s="319">
        <v>2</v>
      </c>
      <c r="AH771" s="320">
        <v>1.94174757281553E-2</v>
      </c>
      <c r="AI771" s="319">
        <v>0</v>
      </c>
      <c r="AJ771" s="320">
        <v>0</v>
      </c>
      <c r="AK771" s="320">
        <v>0</v>
      </c>
      <c r="AL771" s="319">
        <v>5</v>
      </c>
      <c r="AM771" s="319">
        <v>5</v>
      </c>
      <c r="AN771" s="319">
        <v>4.6666666666666599</v>
      </c>
      <c r="AO771" s="319">
        <v>0.48888888888888798</v>
      </c>
      <c r="AP771">
        <v>7</v>
      </c>
      <c r="AR771" s="136"/>
      <c r="AS771">
        <v>7</v>
      </c>
      <c r="AT771" s="69">
        <v>2.3148</v>
      </c>
      <c r="AU771" s="69">
        <v>2.3148</v>
      </c>
      <c r="AV771" s="69">
        <v>8.1305999999999994</v>
      </c>
      <c r="AW771" s="69">
        <v>0.42530000000000001</v>
      </c>
      <c r="BB771" s="69"/>
    </row>
    <row r="772" spans="1:54" customFormat="1" ht="40" customHeight="1">
      <c r="A772" s="313">
        <v>771</v>
      </c>
      <c r="B772" s="136" t="s">
        <v>2098</v>
      </c>
      <c r="C772" s="136" t="s">
        <v>45</v>
      </c>
      <c r="D772" s="31">
        <f t="shared" si="56"/>
        <v>4</v>
      </c>
      <c r="E772" s="137" t="s">
        <v>46</v>
      </c>
      <c r="F772" s="31">
        <f t="shared" si="57"/>
        <v>6</v>
      </c>
      <c r="G772" s="137" t="s">
        <v>2111</v>
      </c>
      <c r="H772" s="138">
        <v>86</v>
      </c>
      <c r="I772" s="158">
        <f t="shared" si="58"/>
        <v>0.366405670553622</v>
      </c>
      <c r="J772" s="95">
        <v>0.113241848608072</v>
      </c>
      <c r="K772" s="137">
        <v>0.61956949249917204</v>
      </c>
      <c r="L772" s="137">
        <v>0.68181818181818199</v>
      </c>
      <c r="M772" s="137">
        <v>0.526196458520657</v>
      </c>
      <c r="N772" s="136">
        <v>0</v>
      </c>
      <c r="O772" s="32">
        <v>43979</v>
      </c>
      <c r="P772" s="98">
        <f t="shared" si="59"/>
        <v>1</v>
      </c>
      <c r="Q772">
        <v>0</v>
      </c>
      <c r="R772">
        <v>0</v>
      </c>
      <c r="S772">
        <v>0</v>
      </c>
      <c r="T772" s="112" t="s">
        <v>73</v>
      </c>
      <c r="U772" s="137" t="s">
        <v>2112</v>
      </c>
      <c r="V772" s="137" t="s">
        <v>2113</v>
      </c>
      <c r="W772" s="69">
        <v>152</v>
      </c>
      <c r="X772" s="136">
        <v>1</v>
      </c>
      <c r="Y772" s="136">
        <v>11</v>
      </c>
      <c r="Z772" s="314"/>
      <c r="AA772" s="319">
        <v>0.55000000000000004</v>
      </c>
      <c r="AB772" s="315" t="s">
        <v>5176</v>
      </c>
      <c r="AC772" s="319">
        <v>1</v>
      </c>
      <c r="AD772" s="320">
        <v>1.12359550561797E-2</v>
      </c>
      <c r="AE772" s="319">
        <v>5</v>
      </c>
      <c r="AF772" s="320">
        <v>5.6179775280898799E-2</v>
      </c>
      <c r="AG772" s="319">
        <v>2</v>
      </c>
      <c r="AH772" s="320">
        <v>2.2471910112359501E-2</v>
      </c>
      <c r="AI772" s="319">
        <v>0</v>
      </c>
      <c r="AJ772" s="320">
        <v>0</v>
      </c>
      <c r="AK772" s="320">
        <v>3.3707865168539318E-2</v>
      </c>
      <c r="AL772" s="319">
        <v>5</v>
      </c>
      <c r="AM772" s="319">
        <v>6.2</v>
      </c>
      <c r="AN772" s="319">
        <v>2</v>
      </c>
      <c r="AO772" s="319">
        <v>0.44</v>
      </c>
      <c r="AP772">
        <v>11</v>
      </c>
      <c r="AR772" s="136">
        <v>11</v>
      </c>
      <c r="AT772" s="69">
        <v>2.3148</v>
      </c>
      <c r="AU772" s="69">
        <v>5</v>
      </c>
      <c r="AV772" s="69">
        <v>2.3148</v>
      </c>
      <c r="AW772" s="69">
        <v>0.32100000000000001</v>
      </c>
      <c r="BB772" s="69"/>
    </row>
    <row r="773" spans="1:54" customFormat="1" ht="40" customHeight="1">
      <c r="A773" s="313">
        <v>772</v>
      </c>
      <c r="B773" s="136" t="s">
        <v>2098</v>
      </c>
      <c r="C773" s="136" t="s">
        <v>45</v>
      </c>
      <c r="D773" s="31">
        <f t="shared" si="56"/>
        <v>4</v>
      </c>
      <c r="E773" s="137" t="s">
        <v>1223</v>
      </c>
      <c r="F773" s="31">
        <f t="shared" si="57"/>
        <v>8</v>
      </c>
      <c r="G773" s="137" t="s">
        <v>2114</v>
      </c>
      <c r="H773" s="138">
        <v>193</v>
      </c>
      <c r="I773" s="158">
        <f t="shared" si="58"/>
        <v>0.78037692756160448</v>
      </c>
      <c r="J773" s="95">
        <v>0.99336864265367997</v>
      </c>
      <c r="K773" s="137">
        <v>0.567385212469529</v>
      </c>
      <c r="L773" s="137">
        <v>0.51226009152380303</v>
      </c>
      <c r="M773" s="137">
        <v>0.65007289388811795</v>
      </c>
      <c r="N773" s="136">
        <v>1</v>
      </c>
      <c r="O773" s="32">
        <v>43952</v>
      </c>
      <c r="P773" s="98">
        <f t="shared" si="59"/>
        <v>2</v>
      </c>
      <c r="Q773">
        <v>0</v>
      </c>
      <c r="R773">
        <v>0</v>
      </c>
      <c r="S773">
        <v>0</v>
      </c>
      <c r="T773" s="112" t="s">
        <v>64</v>
      </c>
      <c r="U773" s="137" t="s">
        <v>2115</v>
      </c>
      <c r="V773" s="137" t="s">
        <v>2116</v>
      </c>
      <c r="W773" s="69">
        <v>158</v>
      </c>
      <c r="X773" s="136">
        <v>1</v>
      </c>
      <c r="Y773" s="136">
        <v>6</v>
      </c>
      <c r="Z773" s="314"/>
      <c r="AA773" s="319">
        <v>4.0764579344467001E-3</v>
      </c>
      <c r="AB773" s="315" t="s">
        <v>5176</v>
      </c>
      <c r="AC773" s="319">
        <v>1</v>
      </c>
      <c r="AD773" s="320">
        <v>1.21951219512195E-2</v>
      </c>
      <c r="AE773" s="319">
        <v>3</v>
      </c>
      <c r="AF773" s="320">
        <v>3.65853658536585E-2</v>
      </c>
      <c r="AG773" s="319">
        <v>2</v>
      </c>
      <c r="AH773" s="320">
        <v>2.4390243902439001E-2</v>
      </c>
      <c r="AI773" s="319">
        <v>0</v>
      </c>
      <c r="AJ773" s="320">
        <v>0</v>
      </c>
      <c r="AK773" s="320">
        <v>1.2195121951219509E-2</v>
      </c>
      <c r="AL773" s="319">
        <v>5</v>
      </c>
      <c r="AM773" s="319">
        <v>5</v>
      </c>
      <c r="AN773" s="319">
        <v>2</v>
      </c>
      <c r="AO773" s="319">
        <v>0.4</v>
      </c>
      <c r="AP773">
        <v>6</v>
      </c>
      <c r="AR773" s="136">
        <v>6</v>
      </c>
      <c r="AT773" s="69">
        <v>2.3148</v>
      </c>
      <c r="AU773" s="69">
        <v>2.3148</v>
      </c>
      <c r="AV773" s="69">
        <v>2.3148</v>
      </c>
      <c r="AW773" s="69">
        <v>0.23150000000000001</v>
      </c>
      <c r="BB773" s="69"/>
    </row>
    <row r="774" spans="1:54" customFormat="1" ht="40" customHeight="1">
      <c r="A774" s="313">
        <v>773</v>
      </c>
      <c r="B774" s="136" t="s">
        <v>2098</v>
      </c>
      <c r="C774" s="136" t="s">
        <v>45</v>
      </c>
      <c r="D774" s="31">
        <f t="shared" si="56"/>
        <v>4</v>
      </c>
      <c r="E774" s="137" t="s">
        <v>1223</v>
      </c>
      <c r="F774" s="31">
        <f t="shared" si="57"/>
        <v>8</v>
      </c>
      <c r="G774" s="137" t="s">
        <v>2117</v>
      </c>
      <c r="H774" s="138">
        <v>136</v>
      </c>
      <c r="I774" s="158">
        <f t="shared" si="58"/>
        <v>0.31327218988105943</v>
      </c>
      <c r="J774" s="95">
        <v>5.2841201381159695E-7</v>
      </c>
      <c r="K774" s="137">
        <v>0.62654385135010504</v>
      </c>
      <c r="L774" s="137">
        <v>0.51226009152380303</v>
      </c>
      <c r="M774" s="137">
        <v>0.79796949108955795</v>
      </c>
      <c r="N774" s="136">
        <v>1</v>
      </c>
      <c r="O774" s="32">
        <v>43835</v>
      </c>
      <c r="P774" s="98">
        <f t="shared" si="59"/>
        <v>1</v>
      </c>
      <c r="Q774">
        <v>0</v>
      </c>
      <c r="R774">
        <v>3.3</v>
      </c>
      <c r="S774">
        <v>0</v>
      </c>
      <c r="T774" s="112" t="s">
        <v>73</v>
      </c>
      <c r="U774" s="137" t="s">
        <v>2118</v>
      </c>
      <c r="V774" s="137" t="s">
        <v>2119</v>
      </c>
      <c r="W774" s="69">
        <v>87</v>
      </c>
      <c r="X774" s="136">
        <v>1</v>
      </c>
      <c r="Y774" s="136">
        <v>2</v>
      </c>
      <c r="Z774" s="314"/>
      <c r="AA774" s="319">
        <v>3.6721811145015702E-3</v>
      </c>
      <c r="AB774" s="315" t="s">
        <v>5176</v>
      </c>
      <c r="AC774" s="319">
        <v>1</v>
      </c>
      <c r="AD774" s="320">
        <v>1.8867924528301799E-2</v>
      </c>
      <c r="AE774" s="319">
        <v>5</v>
      </c>
      <c r="AF774" s="320">
        <v>9.4339622641509399E-2</v>
      </c>
      <c r="AG774" s="319">
        <v>0</v>
      </c>
      <c r="AH774" s="320">
        <v>0</v>
      </c>
      <c r="AI774" s="319">
        <v>0</v>
      </c>
      <c r="AJ774" s="320">
        <v>0</v>
      </c>
      <c r="AK774" s="320">
        <v>5.6603773584905662E-2</v>
      </c>
      <c r="AL774" s="319">
        <v>5</v>
      </c>
      <c r="AM774" s="319">
        <v>5</v>
      </c>
      <c r="AN774" s="319">
        <v>7.3333333333333304</v>
      </c>
      <c r="AO774" s="319">
        <v>0.57777777777777695</v>
      </c>
      <c r="AP774">
        <v>2</v>
      </c>
      <c r="AR774" s="136">
        <v>2</v>
      </c>
      <c r="AT774" s="69">
        <v>2.3148</v>
      </c>
      <c r="AU774" s="69">
        <v>2.3148</v>
      </c>
      <c r="AV774" s="69">
        <v>9.8416999999999994</v>
      </c>
      <c r="AW774" s="69">
        <v>0.4824</v>
      </c>
      <c r="BB774" s="69"/>
    </row>
    <row r="775" spans="1:54" customFormat="1" ht="40" customHeight="1">
      <c r="A775" s="313">
        <v>774</v>
      </c>
      <c r="B775" s="136" t="s">
        <v>2098</v>
      </c>
      <c r="C775" s="136" t="s">
        <v>45</v>
      </c>
      <c r="D775" s="31">
        <f t="shared" si="56"/>
        <v>4</v>
      </c>
      <c r="E775" s="137" t="s">
        <v>46</v>
      </c>
      <c r="F775" s="31">
        <f t="shared" si="57"/>
        <v>6</v>
      </c>
      <c r="G775" s="137" t="s">
        <v>2120</v>
      </c>
      <c r="H775" s="138">
        <v>76</v>
      </c>
      <c r="I775" s="158">
        <f t="shared" si="58"/>
        <v>0.35737899314315136</v>
      </c>
      <c r="J775" s="95">
        <v>1.6982878769944401E-8</v>
      </c>
      <c r="K775" s="137">
        <v>0.71475796930342395</v>
      </c>
      <c r="L775" s="137">
        <v>0.61983471074380203</v>
      </c>
      <c r="M775" s="137">
        <v>0.85714285714285698</v>
      </c>
      <c r="N775" s="136">
        <v>1</v>
      </c>
      <c r="O775" s="32">
        <v>43703</v>
      </c>
      <c r="P775" s="98">
        <f t="shared" si="59"/>
        <v>2</v>
      </c>
      <c r="Q775">
        <v>0</v>
      </c>
      <c r="R775">
        <v>0</v>
      </c>
      <c r="S775">
        <v>1.87</v>
      </c>
      <c r="T775" s="112" t="s">
        <v>64</v>
      </c>
      <c r="U775" s="137" t="s">
        <v>2121</v>
      </c>
      <c r="V775" s="137" t="s">
        <v>2122</v>
      </c>
      <c r="W775" s="69">
        <v>116</v>
      </c>
      <c r="X775" s="136">
        <v>1</v>
      </c>
      <c r="Y775" s="136">
        <v>1</v>
      </c>
      <c r="Z775" s="314"/>
      <c r="AA775" s="319">
        <v>0.5</v>
      </c>
      <c r="AB775" s="315" t="s">
        <v>5168</v>
      </c>
      <c r="AC775" s="319">
        <v>1</v>
      </c>
      <c r="AD775" s="320">
        <v>1.5625E-2</v>
      </c>
      <c r="AE775" s="319">
        <v>2</v>
      </c>
      <c r="AF775" s="320">
        <v>3.125E-2</v>
      </c>
      <c r="AG775" s="319">
        <v>3</v>
      </c>
      <c r="AH775" s="320">
        <v>4.6875E-2</v>
      </c>
      <c r="AI775" s="319">
        <v>0</v>
      </c>
      <c r="AJ775" s="320">
        <v>0</v>
      </c>
      <c r="AK775" s="320">
        <v>3.125E-2</v>
      </c>
      <c r="AL775" s="319">
        <v>5</v>
      </c>
      <c r="AM775" s="319">
        <v>5</v>
      </c>
      <c r="AN775" s="319">
        <v>2</v>
      </c>
      <c r="AO775" s="319">
        <v>0.4</v>
      </c>
      <c r="AP775">
        <v>1</v>
      </c>
      <c r="AR775" s="136">
        <v>1</v>
      </c>
      <c r="AT775" s="69">
        <v>2.3148</v>
      </c>
      <c r="AU775" s="69">
        <v>2.3148</v>
      </c>
      <c r="AV775" s="69">
        <v>2.3148</v>
      </c>
      <c r="AW775" s="69">
        <v>0.23150000000000001</v>
      </c>
      <c r="BB775" s="69"/>
    </row>
    <row r="776" spans="1:54" customFormat="1" ht="40" customHeight="1">
      <c r="A776" s="313">
        <v>775</v>
      </c>
      <c r="B776" s="136" t="s">
        <v>2098</v>
      </c>
      <c r="C776" s="136" t="s">
        <v>45</v>
      </c>
      <c r="D776" s="31">
        <f t="shared" si="56"/>
        <v>4</v>
      </c>
      <c r="E776" s="137" t="s">
        <v>1223</v>
      </c>
      <c r="F776" s="31">
        <f t="shared" si="57"/>
        <v>8</v>
      </c>
      <c r="G776" s="137" t="s">
        <v>2123</v>
      </c>
      <c r="H776" s="138">
        <v>89</v>
      </c>
      <c r="I776" s="158">
        <f t="shared" si="58"/>
        <v>0.63868085880786696</v>
      </c>
      <c r="J776" s="95">
        <v>0.69692145410019302</v>
      </c>
      <c r="K776" s="137">
        <v>0.58044026351554101</v>
      </c>
      <c r="L776" s="137">
        <v>0.465690992294366</v>
      </c>
      <c r="M776" s="137">
        <v>0.75256417034730305</v>
      </c>
      <c r="N776" s="136">
        <v>1</v>
      </c>
      <c r="O776" s="32">
        <v>43682</v>
      </c>
      <c r="P776" s="98">
        <f t="shared" si="59"/>
        <v>1</v>
      </c>
      <c r="Q776">
        <v>0</v>
      </c>
      <c r="R776">
        <v>3.3</v>
      </c>
      <c r="S776">
        <v>1.87</v>
      </c>
      <c r="T776" s="112" t="s">
        <v>73</v>
      </c>
      <c r="U776" s="137" t="s">
        <v>2124</v>
      </c>
      <c r="V776" s="137" t="s">
        <v>2125</v>
      </c>
      <c r="W776" s="69">
        <v>126</v>
      </c>
      <c r="X776" s="136">
        <v>4</v>
      </c>
      <c r="Y776" s="136">
        <v>3</v>
      </c>
      <c r="Z776" s="314"/>
      <c r="AA776" s="319">
        <v>1.36331369716649E-3</v>
      </c>
      <c r="AB776" s="315" t="s">
        <v>5176</v>
      </c>
      <c r="AC776" s="319">
        <v>1</v>
      </c>
      <c r="AD776" s="320">
        <v>1.3157894736842099E-2</v>
      </c>
      <c r="AE776" s="319">
        <v>3</v>
      </c>
      <c r="AF776" s="320">
        <v>3.94736842105263E-2</v>
      </c>
      <c r="AG776" s="319">
        <v>0</v>
      </c>
      <c r="AH776" s="320">
        <v>0</v>
      </c>
      <c r="AI776" s="319">
        <v>1</v>
      </c>
      <c r="AJ776" s="320">
        <v>1.3157894736842099E-2</v>
      </c>
      <c r="AK776" s="320">
        <v>1.3157894736842099E-2</v>
      </c>
      <c r="AL776" s="319">
        <v>5</v>
      </c>
      <c r="AM776" s="319">
        <v>5</v>
      </c>
      <c r="AN776" s="319">
        <v>2</v>
      </c>
      <c r="AO776" s="319">
        <v>0.4</v>
      </c>
      <c r="AP776">
        <v>3</v>
      </c>
      <c r="AR776" s="136">
        <v>3</v>
      </c>
      <c r="AT776" s="69">
        <v>2.3148</v>
      </c>
      <c r="AU776" s="69">
        <v>2.3148</v>
      </c>
      <c r="AV776" s="69">
        <v>2.3148</v>
      </c>
      <c r="AW776" s="69">
        <v>0.23150000000000001</v>
      </c>
      <c r="BB776" s="69"/>
    </row>
    <row r="777" spans="1:54" customFormat="1" ht="40" customHeight="1">
      <c r="A777" s="313">
        <v>776</v>
      </c>
      <c r="B777" s="136" t="s">
        <v>2098</v>
      </c>
      <c r="C777" s="136" t="s">
        <v>45</v>
      </c>
      <c r="D777" s="31">
        <f t="shared" si="56"/>
        <v>4</v>
      </c>
      <c r="E777" s="137" t="s">
        <v>1223</v>
      </c>
      <c r="F777" s="31">
        <f t="shared" si="57"/>
        <v>8</v>
      </c>
      <c r="G777" s="137" t="s">
        <v>2126</v>
      </c>
      <c r="H777" s="138">
        <v>78</v>
      </c>
      <c r="I777" s="158">
        <f t="shared" si="58"/>
        <v>0.31121862081167001</v>
      </c>
      <c r="J777" s="95">
        <v>1.6550338957699301E-4</v>
      </c>
      <c r="K777" s="137">
        <v>0.62227173823376303</v>
      </c>
      <c r="L777" s="137">
        <v>0.465690992294366</v>
      </c>
      <c r="M777" s="137">
        <v>0.85714285714285698</v>
      </c>
      <c r="N777" s="136">
        <v>1</v>
      </c>
      <c r="O777" s="32">
        <v>43682</v>
      </c>
      <c r="P777" s="98">
        <f t="shared" si="59"/>
        <v>2</v>
      </c>
      <c r="Q777">
        <v>0</v>
      </c>
      <c r="R777">
        <v>1.65</v>
      </c>
      <c r="S777">
        <v>1.87</v>
      </c>
      <c r="T777" s="112" t="s">
        <v>64</v>
      </c>
      <c r="U777" s="137" t="s">
        <v>2127</v>
      </c>
      <c r="V777" s="137" t="s">
        <v>2128</v>
      </c>
      <c r="W777" s="69">
        <v>77</v>
      </c>
      <c r="X777" s="136">
        <v>1</v>
      </c>
      <c r="Y777" s="136">
        <v>1</v>
      </c>
      <c r="Z777" s="314"/>
      <c r="AA777" s="319">
        <v>1.36331369716649E-3</v>
      </c>
      <c r="AB777" s="315" t="s">
        <v>5176</v>
      </c>
      <c r="AC777" s="319">
        <v>1</v>
      </c>
      <c r="AD777" s="320">
        <v>2.27272727272727E-2</v>
      </c>
      <c r="AE777" s="319">
        <v>3</v>
      </c>
      <c r="AF777" s="320">
        <v>6.8181818181818094E-2</v>
      </c>
      <c r="AG777" s="319">
        <v>0</v>
      </c>
      <c r="AH777" s="320">
        <v>0</v>
      </c>
      <c r="AI777" s="319">
        <v>0</v>
      </c>
      <c r="AJ777" s="320">
        <v>0</v>
      </c>
      <c r="AK777" s="320">
        <v>2.2727272727272731E-2</v>
      </c>
      <c r="AL777" s="319">
        <v>5</v>
      </c>
      <c r="AM777" s="319">
        <v>5</v>
      </c>
      <c r="AN777" s="319">
        <v>2</v>
      </c>
      <c r="AO777" s="319">
        <v>0.4</v>
      </c>
      <c r="AP777">
        <v>1</v>
      </c>
      <c r="AR777" s="136">
        <v>1</v>
      </c>
      <c r="AT777" s="69">
        <v>2.3148</v>
      </c>
      <c r="AU777" s="69">
        <v>2.3148</v>
      </c>
      <c r="AV777" s="69">
        <v>2.3148</v>
      </c>
      <c r="AW777" s="69">
        <v>0.23150000000000001</v>
      </c>
      <c r="BB777" s="69"/>
    </row>
    <row r="778" spans="1:54" customFormat="1" ht="40" customHeight="1">
      <c r="A778" s="313">
        <v>777</v>
      </c>
      <c r="B778" s="136" t="s">
        <v>2098</v>
      </c>
      <c r="C778" s="136" t="s">
        <v>45</v>
      </c>
      <c r="D778" s="31">
        <f t="shared" si="56"/>
        <v>4</v>
      </c>
      <c r="E778" s="137" t="s">
        <v>46</v>
      </c>
      <c r="F778" s="31">
        <f t="shared" si="57"/>
        <v>6</v>
      </c>
      <c r="G778" s="137" t="s">
        <v>2129</v>
      </c>
      <c r="H778" s="138">
        <v>410</v>
      </c>
      <c r="I778" s="158">
        <f t="shared" si="58"/>
        <v>0.29657836033264456</v>
      </c>
      <c r="J778" s="95">
        <v>8.6380036722122396E-5</v>
      </c>
      <c r="K778" s="137">
        <v>0.59307034062856701</v>
      </c>
      <c r="L778" s="137">
        <v>0.51226009152380303</v>
      </c>
      <c r="M778" s="137">
        <v>0.71428571428571397</v>
      </c>
      <c r="N778" s="136">
        <v>1</v>
      </c>
      <c r="O778" s="32">
        <v>43391</v>
      </c>
      <c r="P778" s="98">
        <f t="shared" si="59"/>
        <v>0</v>
      </c>
      <c r="Q778">
        <v>7.65</v>
      </c>
      <c r="R778">
        <v>3.3</v>
      </c>
      <c r="S778">
        <v>0</v>
      </c>
      <c r="T778" s="112" t="s">
        <v>48</v>
      </c>
      <c r="U778" s="137" t="s">
        <v>2130</v>
      </c>
      <c r="V778" s="137" t="s">
        <v>2131</v>
      </c>
      <c r="W778" s="69">
        <v>113</v>
      </c>
      <c r="X778" s="136">
        <v>2</v>
      </c>
      <c r="Y778" s="136">
        <v>4</v>
      </c>
      <c r="Z778" s="314"/>
      <c r="AA778" s="319">
        <v>0.41296018031555198</v>
      </c>
      <c r="AB778" s="315" t="s">
        <v>5167</v>
      </c>
      <c r="AC778" s="319">
        <v>2</v>
      </c>
      <c r="AD778" s="320">
        <v>3.2258064516128997E-2</v>
      </c>
      <c r="AE778" s="319">
        <v>1</v>
      </c>
      <c r="AF778" s="320">
        <v>1.6129032258064498E-2</v>
      </c>
      <c r="AG778" s="319">
        <v>1</v>
      </c>
      <c r="AH778" s="320">
        <v>1.6129032258064498E-2</v>
      </c>
      <c r="AI778" s="319">
        <v>4</v>
      </c>
      <c r="AJ778" s="320">
        <v>6.4516129032257993E-2</v>
      </c>
      <c r="AK778" s="320">
        <v>1.6129032258064519E-2</v>
      </c>
      <c r="AL778" s="319">
        <v>8.5</v>
      </c>
      <c r="AM778" s="319">
        <v>5</v>
      </c>
      <c r="AN778" s="319">
        <v>7.3333333333333304</v>
      </c>
      <c r="AO778" s="319">
        <v>0.69444444444444398</v>
      </c>
      <c r="AP778">
        <v>4</v>
      </c>
      <c r="AR778" s="136"/>
      <c r="AS778">
        <v>4</v>
      </c>
      <c r="AT778" s="69">
        <v>9.0888000000000009</v>
      </c>
      <c r="AU778" s="69">
        <v>2.3148</v>
      </c>
      <c r="AV778" s="69">
        <v>9.8416999999999994</v>
      </c>
      <c r="AW778" s="69">
        <v>0.70820000000000005</v>
      </c>
      <c r="BB778" s="69"/>
    </row>
    <row r="779" spans="1:54" customFormat="1" ht="40" customHeight="1">
      <c r="A779" s="313">
        <v>778</v>
      </c>
      <c r="B779" s="136" t="s">
        <v>2098</v>
      </c>
      <c r="C779" s="136" t="s">
        <v>45</v>
      </c>
      <c r="D779" s="31">
        <f t="shared" si="56"/>
        <v>4</v>
      </c>
      <c r="E779" s="137" t="s">
        <v>46</v>
      </c>
      <c r="F779" s="31">
        <f t="shared" si="57"/>
        <v>6</v>
      </c>
      <c r="G779" s="137" t="s">
        <v>2132</v>
      </c>
      <c r="H779" s="138">
        <v>199</v>
      </c>
      <c r="I779" s="158">
        <f t="shared" si="58"/>
        <v>0.35273929170416002</v>
      </c>
      <c r="J779" s="95">
        <v>5.7065463465732996E-14</v>
      </c>
      <c r="K779" s="137">
        <v>0.70547858340826297</v>
      </c>
      <c r="L779" s="137">
        <v>0.82499999999999996</v>
      </c>
      <c r="M779" s="137">
        <v>0.526196458520657</v>
      </c>
      <c r="N779" s="136">
        <v>1</v>
      </c>
      <c r="O779" s="32">
        <v>43261</v>
      </c>
      <c r="P779" s="98">
        <f t="shared" si="59"/>
        <v>0</v>
      </c>
      <c r="Q779">
        <v>2.5499999999999998</v>
      </c>
      <c r="R779">
        <v>0</v>
      </c>
      <c r="S779">
        <v>0</v>
      </c>
      <c r="T779" s="112" t="s">
        <v>48</v>
      </c>
      <c r="U779" s="137" t="s">
        <v>2133</v>
      </c>
      <c r="V779" s="137" t="s">
        <v>2134</v>
      </c>
      <c r="W779" s="69">
        <v>58</v>
      </c>
      <c r="X779" s="136">
        <v>1</v>
      </c>
      <c r="Y779" s="136">
        <v>11</v>
      </c>
      <c r="Z779" s="314"/>
      <c r="AA779" s="319">
        <v>0.55000000000000004</v>
      </c>
      <c r="AB779" s="331" t="s">
        <v>5172</v>
      </c>
      <c r="AC779" s="319">
        <v>0</v>
      </c>
      <c r="AD779" s="320">
        <v>0</v>
      </c>
      <c r="AE779" s="319">
        <v>0</v>
      </c>
      <c r="AF779" s="320">
        <v>0</v>
      </c>
      <c r="AG779" s="319">
        <v>0</v>
      </c>
      <c r="AH779" s="320">
        <v>0</v>
      </c>
      <c r="AI779" s="319">
        <v>0</v>
      </c>
      <c r="AJ779" s="320">
        <v>0</v>
      </c>
      <c r="AK779" s="320">
        <v>0</v>
      </c>
      <c r="AL779" s="319">
        <v>5</v>
      </c>
      <c r="AM779" s="319">
        <v>5</v>
      </c>
      <c r="AN779" s="319">
        <v>2</v>
      </c>
      <c r="AO779" s="319">
        <v>0.4</v>
      </c>
      <c r="AP779">
        <v>11</v>
      </c>
      <c r="AR779" s="136">
        <v>11</v>
      </c>
      <c r="AT779" s="69">
        <v>2.3148</v>
      </c>
      <c r="AU779" s="69">
        <v>2.3148</v>
      </c>
      <c r="AV779" s="69">
        <v>2.3148</v>
      </c>
      <c r="AW779" s="69">
        <v>0.23150000000000001</v>
      </c>
      <c r="BB779" s="69"/>
    </row>
    <row r="780" spans="1:54" customFormat="1" ht="40" customHeight="1">
      <c r="A780" s="313">
        <v>779</v>
      </c>
      <c r="B780" s="136" t="s">
        <v>2098</v>
      </c>
      <c r="C780" s="136" t="s">
        <v>45</v>
      </c>
      <c r="D780" s="31">
        <f t="shared" si="56"/>
        <v>4</v>
      </c>
      <c r="E780" s="137" t="s">
        <v>80</v>
      </c>
      <c r="F780" s="31">
        <f t="shared" si="57"/>
        <v>4</v>
      </c>
      <c r="G780" s="137" t="s">
        <v>2135</v>
      </c>
      <c r="H780" s="138">
        <v>96</v>
      </c>
      <c r="I780" s="158">
        <f t="shared" si="58"/>
        <v>0.40718182074403614</v>
      </c>
      <c r="J780" s="95">
        <v>1.75845052249324E-4</v>
      </c>
      <c r="K780" s="137">
        <v>0.81418779643582295</v>
      </c>
      <c r="L780" s="137">
        <v>0.82499999999999996</v>
      </c>
      <c r="M780" s="137">
        <v>0.79796949108955795</v>
      </c>
      <c r="N780" s="136">
        <v>1</v>
      </c>
      <c r="O780" s="32">
        <v>43236</v>
      </c>
      <c r="P780" s="98">
        <f t="shared" si="59"/>
        <v>1</v>
      </c>
      <c r="Q780">
        <v>0</v>
      </c>
      <c r="R780">
        <v>3.3</v>
      </c>
      <c r="S780">
        <v>1.87</v>
      </c>
      <c r="T780" s="112" t="s">
        <v>73</v>
      </c>
      <c r="U780" s="137" t="s">
        <v>2136</v>
      </c>
      <c r="V780" s="137" t="s">
        <v>2137</v>
      </c>
      <c r="W780" s="69">
        <v>112</v>
      </c>
      <c r="X780" s="136">
        <v>1</v>
      </c>
      <c r="Y780" s="136">
        <v>2</v>
      </c>
      <c r="Z780" s="314"/>
      <c r="AA780" s="319">
        <v>0.54</v>
      </c>
      <c r="AB780" s="315" t="s">
        <v>5168</v>
      </c>
      <c r="AC780" s="319">
        <v>2</v>
      </c>
      <c r="AD780" s="320">
        <v>3.2786885245901599E-2</v>
      </c>
      <c r="AE780" s="319">
        <v>2</v>
      </c>
      <c r="AF780" s="320">
        <v>3.2786885245901599E-2</v>
      </c>
      <c r="AG780" s="319">
        <v>4</v>
      </c>
      <c r="AH780" s="320">
        <v>6.5573770491803199E-2</v>
      </c>
      <c r="AI780" s="319">
        <v>0</v>
      </c>
      <c r="AJ780" s="320">
        <v>0</v>
      </c>
      <c r="AK780" s="320">
        <v>3.2786885245901641E-2</v>
      </c>
      <c r="AL780" s="319">
        <v>5</v>
      </c>
      <c r="AM780" s="319">
        <v>6.2</v>
      </c>
      <c r="AN780" s="319">
        <v>4.6666666666666599</v>
      </c>
      <c r="AO780" s="319">
        <v>0.52888888888888796</v>
      </c>
      <c r="AP780">
        <v>2</v>
      </c>
      <c r="AR780" s="136"/>
      <c r="AS780">
        <v>2</v>
      </c>
      <c r="AT780" s="69">
        <v>2.3148</v>
      </c>
      <c r="AU780" s="69">
        <v>5</v>
      </c>
      <c r="AV780" s="69">
        <v>8.1305999999999994</v>
      </c>
      <c r="AW780" s="69">
        <v>0.51480000000000004</v>
      </c>
      <c r="BB780" s="69"/>
    </row>
    <row r="781" spans="1:54" customFormat="1" ht="40" customHeight="1">
      <c r="A781" s="313">
        <v>780</v>
      </c>
      <c r="B781" s="136" t="s">
        <v>2098</v>
      </c>
      <c r="C781" s="136" t="s">
        <v>45</v>
      </c>
      <c r="D781" s="31">
        <f t="shared" si="56"/>
        <v>4</v>
      </c>
      <c r="E781" s="137" t="s">
        <v>46</v>
      </c>
      <c r="F781" s="31">
        <f t="shared" si="57"/>
        <v>6</v>
      </c>
      <c r="G781" s="137" t="s">
        <v>2138</v>
      </c>
      <c r="H781" s="138">
        <v>48</v>
      </c>
      <c r="I781" s="158">
        <f t="shared" si="58"/>
        <v>0.31809553547816088</v>
      </c>
      <c r="J781" s="95">
        <v>6.4486261774909805E-8</v>
      </c>
      <c r="K781" s="137">
        <v>0.63619100647005999</v>
      </c>
      <c r="L781" s="137">
        <v>0.75</v>
      </c>
      <c r="M781" s="137">
        <v>0.46547751617515098</v>
      </c>
      <c r="N781" s="136">
        <v>1</v>
      </c>
      <c r="O781" s="32">
        <v>43122</v>
      </c>
      <c r="P781" s="98">
        <f t="shared" si="59"/>
        <v>1</v>
      </c>
      <c r="Q781">
        <v>0</v>
      </c>
      <c r="R781">
        <v>0</v>
      </c>
      <c r="S781">
        <v>0</v>
      </c>
      <c r="T781" s="112" t="s">
        <v>73</v>
      </c>
      <c r="U781" s="137" t="s">
        <v>2139</v>
      </c>
      <c r="V781" s="137" t="s">
        <v>2140</v>
      </c>
      <c r="W781" s="69">
        <v>95</v>
      </c>
      <c r="X781" s="136">
        <v>1</v>
      </c>
      <c r="Y781" s="136">
        <v>14</v>
      </c>
      <c r="Z781" s="314"/>
      <c r="AA781" s="319">
        <v>0.5</v>
      </c>
      <c r="AB781" s="315" t="s">
        <v>5167</v>
      </c>
      <c r="AC781" s="319">
        <v>0</v>
      </c>
      <c r="AD781" s="320">
        <v>0</v>
      </c>
      <c r="AE781" s="319">
        <v>1</v>
      </c>
      <c r="AF781" s="320">
        <v>1.8867924528301799E-2</v>
      </c>
      <c r="AG781" s="319">
        <v>1</v>
      </c>
      <c r="AH781" s="320">
        <v>1.8867924528301799E-2</v>
      </c>
      <c r="AI781" s="319">
        <v>3</v>
      </c>
      <c r="AJ781" s="320">
        <v>5.6603773584905599E-2</v>
      </c>
      <c r="AK781" s="320">
        <v>0</v>
      </c>
      <c r="AL781" s="319">
        <v>5</v>
      </c>
      <c r="AM781" s="319">
        <v>5</v>
      </c>
      <c r="AN781" s="319">
        <v>2</v>
      </c>
      <c r="AO781" s="319">
        <v>0.4</v>
      </c>
      <c r="AP781">
        <v>14</v>
      </c>
      <c r="AR781" s="136"/>
      <c r="AS781">
        <v>14</v>
      </c>
      <c r="AT781" s="69">
        <v>2.3148</v>
      </c>
      <c r="AU781" s="69">
        <v>2.3148</v>
      </c>
      <c r="AV781" s="69">
        <v>2.3148</v>
      </c>
      <c r="AW781" s="69">
        <v>0.23150000000000001</v>
      </c>
      <c r="BB781" s="69"/>
    </row>
    <row r="782" spans="1:54" customFormat="1" ht="40" customHeight="1">
      <c r="A782" s="313">
        <v>781</v>
      </c>
      <c r="B782" s="136" t="s">
        <v>2098</v>
      </c>
      <c r="C782" s="136" t="s">
        <v>59</v>
      </c>
      <c r="D782" s="31">
        <f t="shared" si="56"/>
        <v>5</v>
      </c>
      <c r="E782" s="137" t="s">
        <v>46</v>
      </c>
      <c r="F782" s="31">
        <f t="shared" si="57"/>
        <v>6</v>
      </c>
      <c r="G782" s="137" t="s">
        <v>1499</v>
      </c>
      <c r="H782" s="138">
        <v>150</v>
      </c>
      <c r="I782" s="158">
        <f t="shared" si="58"/>
        <v>0.76203960692512551</v>
      </c>
      <c r="J782" s="95">
        <v>0.82927401904505604</v>
      </c>
      <c r="K782" s="137">
        <v>0.69480519480519498</v>
      </c>
      <c r="L782" s="137">
        <v>0.68181818181818199</v>
      </c>
      <c r="M782" s="137">
        <v>0.71428571428571397</v>
      </c>
      <c r="N782" s="136">
        <v>1</v>
      </c>
      <c r="O782" s="32">
        <v>43104</v>
      </c>
      <c r="P782" s="98">
        <f t="shared" si="59"/>
        <v>1</v>
      </c>
      <c r="Q782">
        <v>0</v>
      </c>
      <c r="R782">
        <v>1.65</v>
      </c>
      <c r="S782">
        <v>0</v>
      </c>
      <c r="T782" s="112" t="s">
        <v>73</v>
      </c>
      <c r="U782" s="137" t="s">
        <v>1500</v>
      </c>
      <c r="V782" s="137" t="s">
        <v>1501</v>
      </c>
      <c r="W782" s="69">
        <v>58</v>
      </c>
      <c r="X782" s="136">
        <v>1</v>
      </c>
      <c r="Y782" s="136">
        <v>4</v>
      </c>
      <c r="Z782" s="314"/>
      <c r="AA782" s="319">
        <v>0.55000000000000004</v>
      </c>
      <c r="AB782" s="315" t="s">
        <v>5178</v>
      </c>
      <c r="AC782" s="319">
        <v>2</v>
      </c>
      <c r="AD782" s="320">
        <v>6.0606060606060601E-2</v>
      </c>
      <c r="AE782" s="319">
        <v>2</v>
      </c>
      <c r="AF782" s="320">
        <v>6.0606060606060601E-2</v>
      </c>
      <c r="AG782" s="319">
        <v>0</v>
      </c>
      <c r="AH782" s="320">
        <v>0</v>
      </c>
      <c r="AI782" s="319">
        <v>0</v>
      </c>
      <c r="AJ782" s="320">
        <v>0</v>
      </c>
      <c r="AK782" s="320">
        <v>0</v>
      </c>
      <c r="AL782" s="319">
        <v>5</v>
      </c>
      <c r="AM782" s="319">
        <v>5</v>
      </c>
      <c r="AN782" s="319">
        <v>3.5</v>
      </c>
      <c r="AO782" s="319">
        <v>0.45</v>
      </c>
      <c r="AP782">
        <v>4</v>
      </c>
      <c r="AR782" s="136">
        <v>4</v>
      </c>
      <c r="AT782" s="69">
        <v>2.3148</v>
      </c>
      <c r="AU782" s="69">
        <v>2.3148</v>
      </c>
      <c r="AV782" s="69">
        <v>5.7443999999999997</v>
      </c>
      <c r="AW782" s="69">
        <v>0.3458</v>
      </c>
      <c r="BB782" s="69"/>
    </row>
    <row r="783" spans="1:54" customFormat="1" ht="40" customHeight="1">
      <c r="A783" s="313">
        <v>782</v>
      </c>
      <c r="B783" s="136" t="s">
        <v>2098</v>
      </c>
      <c r="C783" s="136" t="s">
        <v>45</v>
      </c>
      <c r="D783" s="31">
        <f t="shared" si="56"/>
        <v>4</v>
      </c>
      <c r="E783" s="137" t="s">
        <v>46</v>
      </c>
      <c r="F783" s="31">
        <f t="shared" si="57"/>
        <v>6</v>
      </c>
      <c r="G783" s="137" t="s">
        <v>2141</v>
      </c>
      <c r="H783" s="138">
        <v>188</v>
      </c>
      <c r="I783" s="158">
        <f t="shared" si="58"/>
        <v>0.2976465945482033</v>
      </c>
      <c r="J783" s="95">
        <v>1.12735354366178E-5</v>
      </c>
      <c r="K783" s="137">
        <v>0.59528191556096999</v>
      </c>
      <c r="L783" s="137">
        <v>0.68181818181818199</v>
      </c>
      <c r="M783" s="137">
        <v>0.46547751617515098</v>
      </c>
      <c r="N783" s="136">
        <v>0</v>
      </c>
      <c r="O783" s="32">
        <v>42993</v>
      </c>
      <c r="P783" s="98">
        <f t="shared" si="59"/>
        <v>2</v>
      </c>
      <c r="Q783">
        <v>0</v>
      </c>
      <c r="R783">
        <v>0</v>
      </c>
      <c r="S783">
        <v>1.87</v>
      </c>
      <c r="T783" s="112" t="s">
        <v>64</v>
      </c>
      <c r="U783" s="137" t="s">
        <v>2142</v>
      </c>
      <c r="V783" s="137" t="s">
        <v>2143</v>
      </c>
      <c r="W783" s="69">
        <v>79</v>
      </c>
      <c r="X783" s="136">
        <v>4</v>
      </c>
      <c r="Y783" s="136">
        <v>14</v>
      </c>
      <c r="Z783" s="314"/>
      <c r="AA783" s="319">
        <v>0.46363636363636301</v>
      </c>
      <c r="AB783" s="315" t="s">
        <v>5178</v>
      </c>
      <c r="AC783" s="319">
        <v>2</v>
      </c>
      <c r="AD783" s="320">
        <v>4.4444444444444398E-2</v>
      </c>
      <c r="AE783" s="319">
        <v>2</v>
      </c>
      <c r="AF783" s="320">
        <v>4.4444444444444398E-2</v>
      </c>
      <c r="AG783" s="319">
        <v>1</v>
      </c>
      <c r="AH783" s="320">
        <v>2.2222222222222199E-2</v>
      </c>
      <c r="AI783" s="319">
        <v>0</v>
      </c>
      <c r="AJ783" s="320">
        <v>0</v>
      </c>
      <c r="AK783" s="320">
        <v>2.222222222222222E-2</v>
      </c>
      <c r="AL783" s="319">
        <v>5</v>
      </c>
      <c r="AM783" s="319">
        <v>6.2</v>
      </c>
      <c r="AN783" s="319">
        <v>5</v>
      </c>
      <c r="AO783" s="319">
        <v>0.53999999999999904</v>
      </c>
      <c r="AP783">
        <v>14</v>
      </c>
      <c r="AR783" s="136">
        <v>14</v>
      </c>
      <c r="AT783" s="69">
        <v>2.3148</v>
      </c>
      <c r="AU783" s="69">
        <v>5</v>
      </c>
      <c r="AV783" s="69">
        <v>8.5815000000000001</v>
      </c>
      <c r="AW783" s="69">
        <v>0.52990000000000004</v>
      </c>
      <c r="BB783" s="69"/>
    </row>
    <row r="784" spans="1:54" customFormat="1" ht="40" customHeight="1">
      <c r="A784" s="313">
        <v>783</v>
      </c>
      <c r="B784" s="136" t="s">
        <v>2098</v>
      </c>
      <c r="C784" s="136" t="s">
        <v>52</v>
      </c>
      <c r="D784" s="31">
        <f t="shared" si="56"/>
        <v>3</v>
      </c>
      <c r="E784" s="137" t="s">
        <v>46</v>
      </c>
      <c r="F784" s="31">
        <f t="shared" si="57"/>
        <v>6</v>
      </c>
      <c r="G784" s="137" t="s">
        <v>2144</v>
      </c>
      <c r="H784" s="138">
        <v>141</v>
      </c>
      <c r="I784" s="158">
        <f t="shared" si="58"/>
        <v>0.86108106609247548</v>
      </c>
      <c r="J784" s="95">
        <v>0.99993744518493899</v>
      </c>
      <c r="K784" s="137">
        <v>0.72222468700001197</v>
      </c>
      <c r="L784" s="137">
        <v>0.75</v>
      </c>
      <c r="M784" s="137">
        <v>0.68056171750003003</v>
      </c>
      <c r="N784" s="136">
        <v>1</v>
      </c>
      <c r="O784" s="32">
        <v>42991</v>
      </c>
      <c r="P784" s="98">
        <f t="shared" si="59"/>
        <v>1</v>
      </c>
      <c r="Q784">
        <v>0</v>
      </c>
      <c r="R784">
        <v>3.3</v>
      </c>
      <c r="S784">
        <v>1.87</v>
      </c>
      <c r="T784" s="112" t="s">
        <v>73</v>
      </c>
      <c r="U784" s="137" t="s">
        <v>2145</v>
      </c>
      <c r="V784" s="137" t="s">
        <v>2146</v>
      </c>
      <c r="W784" s="69">
        <v>148</v>
      </c>
      <c r="X784" s="136">
        <v>2</v>
      </c>
      <c r="Y784" s="136">
        <v>5</v>
      </c>
      <c r="Z784" s="314"/>
      <c r="AA784" s="319">
        <v>0.59450000000000003</v>
      </c>
      <c r="AB784" s="315" t="s">
        <v>5179</v>
      </c>
      <c r="AC784" s="319">
        <v>1</v>
      </c>
      <c r="AD784" s="320">
        <v>1.2987012987012899E-2</v>
      </c>
      <c r="AE784" s="319">
        <v>1</v>
      </c>
      <c r="AF784" s="320">
        <v>1.2987012987012899E-2</v>
      </c>
      <c r="AG784" s="319">
        <v>1</v>
      </c>
      <c r="AH784" s="320">
        <v>1.2987012987012899E-2</v>
      </c>
      <c r="AI784" s="319">
        <v>0</v>
      </c>
      <c r="AJ784" s="320">
        <v>0</v>
      </c>
      <c r="AK784" s="320">
        <v>0</v>
      </c>
      <c r="AL784" s="319">
        <v>5</v>
      </c>
      <c r="AM784" s="319">
        <v>6.2</v>
      </c>
      <c r="AN784" s="319">
        <v>4.6666666666666599</v>
      </c>
      <c r="AO784" s="319">
        <v>0.52888888888888796</v>
      </c>
      <c r="AP784">
        <v>5</v>
      </c>
      <c r="AR784" s="136">
        <v>5</v>
      </c>
      <c r="AT784" s="69">
        <v>2.3148</v>
      </c>
      <c r="AU784" s="69">
        <v>5</v>
      </c>
      <c r="AV784" s="69">
        <v>8.1305999999999994</v>
      </c>
      <c r="AW784" s="69">
        <v>0.51480000000000004</v>
      </c>
      <c r="BB784" s="69"/>
    </row>
    <row r="785" spans="1:54" customFormat="1" ht="40" customHeight="1">
      <c r="A785" s="313">
        <v>784</v>
      </c>
      <c r="B785" s="136" t="s">
        <v>2147</v>
      </c>
      <c r="C785" s="136" t="s">
        <v>45</v>
      </c>
      <c r="D785" s="31">
        <f t="shared" si="56"/>
        <v>4</v>
      </c>
      <c r="E785" s="137" t="s">
        <v>80</v>
      </c>
      <c r="F785" s="31">
        <f t="shared" si="57"/>
        <v>4</v>
      </c>
      <c r="G785" s="137" t="s">
        <v>2148</v>
      </c>
      <c r="H785" s="138">
        <f>LEN(U785)</f>
        <v>53</v>
      </c>
      <c r="I785" s="158">
        <f t="shared" si="58"/>
        <v>0.36194696493050799</v>
      </c>
      <c r="J785" s="95">
        <v>1.6692428610040101E-3</v>
      </c>
      <c r="K785" s="137">
        <v>0.72222468700001197</v>
      </c>
      <c r="L785" s="137">
        <v>0.75</v>
      </c>
      <c r="M785" s="137">
        <v>0.68056171750003003</v>
      </c>
      <c r="N785" s="136">
        <v>1</v>
      </c>
      <c r="O785" s="32">
        <v>44153</v>
      </c>
      <c r="P785" s="98">
        <f t="shared" si="59"/>
        <v>0</v>
      </c>
      <c r="Q785">
        <v>2.5499999999999998</v>
      </c>
      <c r="R785">
        <v>3.3</v>
      </c>
      <c r="S785">
        <v>0</v>
      </c>
      <c r="T785" s="112" t="s">
        <v>48</v>
      </c>
      <c r="U785" s="137" t="s">
        <v>2149</v>
      </c>
      <c r="V785" s="137" t="s">
        <v>2150</v>
      </c>
      <c r="W785" s="69">
        <f>LEN(V785)</f>
        <v>22</v>
      </c>
      <c r="X785" s="136">
        <v>0</v>
      </c>
      <c r="Y785" s="136">
        <v>5</v>
      </c>
      <c r="Z785" s="314"/>
      <c r="AA785" s="319">
        <v>0.54500000000000004</v>
      </c>
      <c r="AB785" s="315" t="s">
        <v>5177</v>
      </c>
      <c r="AC785" s="319">
        <v>0</v>
      </c>
      <c r="AD785" s="320">
        <v>0</v>
      </c>
      <c r="AE785" s="319">
        <v>1</v>
      </c>
      <c r="AF785" s="320">
        <v>7.69230769230769E-2</v>
      </c>
      <c r="AG785" s="319">
        <v>1</v>
      </c>
      <c r="AH785" s="320">
        <v>7.69230769230769E-2</v>
      </c>
      <c r="AI785" s="319">
        <v>0</v>
      </c>
      <c r="AJ785" s="320">
        <v>0</v>
      </c>
      <c r="AK785" s="320">
        <v>0</v>
      </c>
      <c r="AL785" s="319">
        <v>8.5</v>
      </c>
      <c r="AM785" s="319">
        <v>5</v>
      </c>
      <c r="AN785" s="319">
        <v>4.6666666666666599</v>
      </c>
      <c r="AO785" s="319">
        <v>0.60555555555555496</v>
      </c>
      <c r="AR785" s="136"/>
      <c r="AS785">
        <v>5</v>
      </c>
      <c r="AT785" s="69">
        <v>9.0888000000000009</v>
      </c>
      <c r="AU785" s="69">
        <v>2.3148</v>
      </c>
      <c r="AV785" s="69">
        <v>8.1305999999999994</v>
      </c>
      <c r="AW785" s="69">
        <v>0.65110000000000001</v>
      </c>
      <c r="BB785" s="69"/>
    </row>
    <row r="786" spans="1:54" customFormat="1" ht="40" customHeight="1">
      <c r="A786" s="313">
        <v>785</v>
      </c>
      <c r="B786" s="136" t="s">
        <v>2147</v>
      </c>
      <c r="C786" s="136" t="s">
        <v>45</v>
      </c>
      <c r="D786" s="31">
        <f t="shared" si="56"/>
        <v>4</v>
      </c>
      <c r="E786" s="137" t="s">
        <v>221</v>
      </c>
      <c r="F786" s="31">
        <f t="shared" si="57"/>
        <v>2</v>
      </c>
      <c r="G786" s="137" t="s">
        <v>2151</v>
      </c>
      <c r="H786" s="138">
        <v>48</v>
      </c>
      <c r="I786" s="158">
        <f t="shared" si="58"/>
        <v>0.63039543290689404</v>
      </c>
      <c r="J786" s="95">
        <v>0.491603069377965</v>
      </c>
      <c r="K786" s="137">
        <v>0.76918779643582302</v>
      </c>
      <c r="L786" s="137">
        <v>0.75</v>
      </c>
      <c r="M786" s="137">
        <v>0.79796949108955795</v>
      </c>
      <c r="N786" s="136">
        <v>1</v>
      </c>
      <c r="O786" s="32">
        <v>43957</v>
      </c>
      <c r="P786" s="98">
        <f t="shared" si="59"/>
        <v>0</v>
      </c>
      <c r="Q786">
        <v>2.5499999999999998</v>
      </c>
      <c r="R786">
        <v>0</v>
      </c>
      <c r="S786">
        <v>0</v>
      </c>
      <c r="T786" s="112" t="s">
        <v>48</v>
      </c>
      <c r="U786" s="137" t="s">
        <v>2152</v>
      </c>
      <c r="V786" s="137" t="s">
        <v>2153</v>
      </c>
      <c r="W786" s="69">
        <v>60</v>
      </c>
      <c r="X786" s="136">
        <v>1</v>
      </c>
      <c r="Y786" s="136">
        <v>2</v>
      </c>
      <c r="Z786" s="314"/>
      <c r="AA786" s="319">
        <v>0.45909090909090899</v>
      </c>
      <c r="AB786" s="315" t="s">
        <v>5168</v>
      </c>
      <c r="AC786" s="319">
        <v>0</v>
      </c>
      <c r="AD786" s="320">
        <v>0</v>
      </c>
      <c r="AE786" s="319">
        <v>1</v>
      </c>
      <c r="AF786" s="320">
        <v>2.77777777777777E-2</v>
      </c>
      <c r="AG786" s="319">
        <v>3</v>
      </c>
      <c r="AH786" s="320">
        <v>8.3333333333333301E-2</v>
      </c>
      <c r="AI786" s="319">
        <v>2</v>
      </c>
      <c r="AJ786" s="320">
        <v>5.5555555555555497E-2</v>
      </c>
      <c r="AK786" s="320">
        <v>2.777777777777778E-2</v>
      </c>
      <c r="AL786" s="319">
        <v>6.75</v>
      </c>
      <c r="AM786" s="319">
        <v>5</v>
      </c>
      <c r="AN786" s="319">
        <v>7.3333333333333304</v>
      </c>
      <c r="AO786" s="319">
        <v>0.63611111111111096</v>
      </c>
      <c r="AP786">
        <v>2</v>
      </c>
      <c r="AQ786">
        <v>2</v>
      </c>
      <c r="AR786" s="136"/>
      <c r="AT786" s="69">
        <v>6.3414000000000001</v>
      </c>
      <c r="AU786" s="69">
        <v>2.3148</v>
      </c>
      <c r="AV786" s="69">
        <v>9.8416999999999994</v>
      </c>
      <c r="AW786" s="69">
        <v>0.61660000000000004</v>
      </c>
      <c r="BB786" s="69"/>
    </row>
    <row r="787" spans="1:54" customFormat="1" ht="40" customHeight="1">
      <c r="A787" s="313">
        <v>786</v>
      </c>
      <c r="B787" s="136" t="s">
        <v>2147</v>
      </c>
      <c r="C787" s="136" t="s">
        <v>45</v>
      </c>
      <c r="D787" s="31">
        <f t="shared" si="56"/>
        <v>4</v>
      </c>
      <c r="E787" s="137" t="s">
        <v>221</v>
      </c>
      <c r="F787" s="31">
        <f t="shared" si="57"/>
        <v>2</v>
      </c>
      <c r="G787" s="137" t="s">
        <v>2154</v>
      </c>
      <c r="H787" s="138">
        <v>48</v>
      </c>
      <c r="I787" s="158">
        <f t="shared" si="58"/>
        <v>0.74152859601807897</v>
      </c>
      <c r="J787" s="95">
        <v>0.77302803448091095</v>
      </c>
      <c r="K787" s="137">
        <v>0.71002915755524698</v>
      </c>
      <c r="L787" s="137">
        <v>0.75</v>
      </c>
      <c r="M787" s="137">
        <v>0.65007289388811795</v>
      </c>
      <c r="N787" s="136">
        <v>1</v>
      </c>
      <c r="O787" s="32">
        <v>43953</v>
      </c>
      <c r="P787" s="98">
        <f t="shared" si="59"/>
        <v>0</v>
      </c>
      <c r="Q787">
        <v>5.0999999999999996</v>
      </c>
      <c r="R787">
        <v>0</v>
      </c>
      <c r="S787">
        <v>0</v>
      </c>
      <c r="T787" s="112" t="s">
        <v>48</v>
      </c>
      <c r="U787" s="137" t="s">
        <v>2155</v>
      </c>
      <c r="V787" s="137" t="s">
        <v>2153</v>
      </c>
      <c r="W787" s="69">
        <v>60</v>
      </c>
      <c r="X787" s="136">
        <v>1</v>
      </c>
      <c r="Y787" s="136">
        <v>6</v>
      </c>
      <c r="Z787" s="314"/>
      <c r="AA787" s="319">
        <v>0.55000000000000004</v>
      </c>
      <c r="AB787" s="315" t="s">
        <v>5168</v>
      </c>
      <c r="AC787" s="319">
        <v>0</v>
      </c>
      <c r="AD787" s="320">
        <v>0</v>
      </c>
      <c r="AE787" s="319">
        <v>1</v>
      </c>
      <c r="AF787" s="320">
        <v>2.77777777777777E-2</v>
      </c>
      <c r="AG787" s="319">
        <v>3</v>
      </c>
      <c r="AH787" s="320">
        <v>8.3333333333333301E-2</v>
      </c>
      <c r="AI787" s="319">
        <v>2</v>
      </c>
      <c r="AJ787" s="320">
        <v>5.5555555555555497E-2</v>
      </c>
      <c r="AK787" s="320">
        <v>2.777777777777778E-2</v>
      </c>
      <c r="AL787" s="319">
        <v>6.75</v>
      </c>
      <c r="AM787" s="319">
        <v>6.2</v>
      </c>
      <c r="AN787" s="319">
        <v>4.6666666666666599</v>
      </c>
      <c r="AO787" s="319">
        <v>0.58722222222222198</v>
      </c>
      <c r="AP787">
        <v>6</v>
      </c>
      <c r="AR787" s="136">
        <v>6</v>
      </c>
      <c r="AT787" s="69">
        <v>6.3414000000000001</v>
      </c>
      <c r="AU787" s="69">
        <v>5</v>
      </c>
      <c r="AV787" s="69">
        <v>8.1305999999999994</v>
      </c>
      <c r="AW787" s="69">
        <v>0.64910000000000001</v>
      </c>
      <c r="BB787" s="69"/>
    </row>
    <row r="788" spans="1:54" customFormat="1" ht="40" customHeight="1">
      <c r="A788" s="313">
        <v>787</v>
      </c>
      <c r="B788" s="136" t="s">
        <v>2147</v>
      </c>
      <c r="C788" s="136" t="s">
        <v>45</v>
      </c>
      <c r="D788" s="31">
        <f t="shared" si="56"/>
        <v>4</v>
      </c>
      <c r="E788" s="137" t="s">
        <v>80</v>
      </c>
      <c r="F788" s="31">
        <f t="shared" si="57"/>
        <v>4</v>
      </c>
      <c r="G788" s="137" t="s">
        <v>305</v>
      </c>
      <c r="H788" s="138">
        <v>38</v>
      </c>
      <c r="I788" s="158">
        <f t="shared" si="58"/>
        <v>0.40044382662565425</v>
      </c>
      <c r="J788" s="95">
        <v>2.01733675370225E-2</v>
      </c>
      <c r="K788" s="137">
        <v>0.78071428571428603</v>
      </c>
      <c r="L788" s="137">
        <v>0.82499999999999996</v>
      </c>
      <c r="M788" s="137">
        <v>0.71428571428571397</v>
      </c>
      <c r="N788" s="136">
        <v>1</v>
      </c>
      <c r="O788" s="32">
        <v>43839</v>
      </c>
      <c r="P788" s="98">
        <f t="shared" si="59"/>
        <v>0</v>
      </c>
      <c r="Q788">
        <v>5.0999999999999996</v>
      </c>
      <c r="R788">
        <v>0</v>
      </c>
      <c r="S788">
        <v>0</v>
      </c>
      <c r="T788" s="112" t="s">
        <v>48</v>
      </c>
      <c r="U788" s="137" t="s">
        <v>2156</v>
      </c>
      <c r="V788" s="137" t="s">
        <v>2157</v>
      </c>
      <c r="W788" s="69">
        <v>57</v>
      </c>
      <c r="X788" s="136">
        <v>1</v>
      </c>
      <c r="Y788" s="136">
        <v>4</v>
      </c>
      <c r="Z788" s="314"/>
      <c r="AA788" s="319">
        <v>0.66549999999999998</v>
      </c>
      <c r="AB788" s="315" t="s">
        <v>5168</v>
      </c>
      <c r="AC788" s="319">
        <v>0</v>
      </c>
      <c r="AD788" s="320">
        <v>0</v>
      </c>
      <c r="AE788" s="319">
        <v>1</v>
      </c>
      <c r="AF788" s="320">
        <v>3.4482758620689599E-2</v>
      </c>
      <c r="AG788" s="319">
        <v>2</v>
      </c>
      <c r="AH788" s="320">
        <v>6.8965517241379296E-2</v>
      </c>
      <c r="AI788" s="319">
        <v>0</v>
      </c>
      <c r="AJ788" s="320">
        <v>0</v>
      </c>
      <c r="AK788" s="320">
        <v>3.4482758620689648E-2</v>
      </c>
      <c r="AL788" s="319">
        <v>6.75</v>
      </c>
      <c r="AM788" s="319">
        <v>6.2</v>
      </c>
      <c r="AN788" s="319">
        <v>4.6666666666666599</v>
      </c>
      <c r="AO788" s="319">
        <v>0.58722222222222198</v>
      </c>
      <c r="AP788" s="319">
        <v>4</v>
      </c>
      <c r="AR788" s="136">
        <v>4</v>
      </c>
      <c r="AT788" s="69">
        <v>6.3414000000000001</v>
      </c>
      <c r="AU788" s="69">
        <v>5</v>
      </c>
      <c r="AV788" s="69">
        <v>8.1305999999999994</v>
      </c>
      <c r="AW788" s="69">
        <v>0.64910000000000001</v>
      </c>
      <c r="BB788" s="69"/>
    </row>
    <row r="789" spans="1:54" customFormat="1" ht="40" customHeight="1">
      <c r="A789" s="313">
        <v>788</v>
      </c>
      <c r="B789" s="136" t="s">
        <v>2147</v>
      </c>
      <c r="C789" s="136" t="s">
        <v>45</v>
      </c>
      <c r="D789" s="31">
        <f t="shared" si="56"/>
        <v>4</v>
      </c>
      <c r="E789" s="137" t="s">
        <v>80</v>
      </c>
      <c r="F789" s="31">
        <f t="shared" si="57"/>
        <v>4</v>
      </c>
      <c r="G789" s="137" t="s">
        <v>2158</v>
      </c>
      <c r="H789" s="138">
        <v>49</v>
      </c>
      <c r="I789" s="158">
        <f t="shared" si="58"/>
        <v>0.40774357005282219</v>
      </c>
      <c r="J789" s="95">
        <v>1.29934366982143E-3</v>
      </c>
      <c r="K789" s="137">
        <v>0.81418779643582295</v>
      </c>
      <c r="L789" s="137">
        <v>0.82499999999999996</v>
      </c>
      <c r="M789" s="137">
        <v>0.79796949108955795</v>
      </c>
      <c r="N789" s="136">
        <v>1</v>
      </c>
      <c r="O789" s="32">
        <v>43732</v>
      </c>
      <c r="P789" s="98">
        <f t="shared" si="59"/>
        <v>0</v>
      </c>
      <c r="Q789">
        <v>2.5499999999999998</v>
      </c>
      <c r="R789">
        <v>0</v>
      </c>
      <c r="S789">
        <v>0</v>
      </c>
      <c r="T789" s="112" t="s">
        <v>48</v>
      </c>
      <c r="U789" s="137" t="s">
        <v>2159</v>
      </c>
      <c r="V789" s="137" t="s">
        <v>2160</v>
      </c>
      <c r="W789" s="69">
        <v>25</v>
      </c>
      <c r="X789" s="136">
        <v>1</v>
      </c>
      <c r="Y789" s="136">
        <v>2</v>
      </c>
      <c r="Z789" s="314"/>
      <c r="AA789" s="319">
        <v>0.54500000000000004</v>
      </c>
      <c r="AB789" s="315" t="s">
        <v>5177</v>
      </c>
      <c r="AC789" s="319">
        <v>0</v>
      </c>
      <c r="AD789" s="320">
        <v>0</v>
      </c>
      <c r="AE789" s="319">
        <v>1</v>
      </c>
      <c r="AF789" s="320">
        <v>6.6666666666666596E-2</v>
      </c>
      <c r="AG789" s="319">
        <v>1</v>
      </c>
      <c r="AH789" s="320">
        <v>6.6666666666666596E-2</v>
      </c>
      <c r="AI789" s="319">
        <v>0</v>
      </c>
      <c r="AJ789" s="320">
        <v>0</v>
      </c>
      <c r="AK789" s="320">
        <v>0</v>
      </c>
      <c r="AL789" s="319">
        <v>6.75</v>
      </c>
      <c r="AM789" s="319">
        <v>5</v>
      </c>
      <c r="AN789" s="319">
        <v>7.3333333333333304</v>
      </c>
      <c r="AO789" s="319">
        <v>0.63611111111111096</v>
      </c>
      <c r="AP789" s="319">
        <v>2</v>
      </c>
      <c r="AR789" s="136"/>
      <c r="AT789" s="69">
        <v>6.3414000000000001</v>
      </c>
      <c r="AU789" s="69">
        <v>2.3148</v>
      </c>
      <c r="AV789" s="69">
        <v>9.8416999999999994</v>
      </c>
      <c r="AW789" s="69">
        <v>0.61660000000000004</v>
      </c>
      <c r="BB789" s="69"/>
    </row>
    <row r="790" spans="1:54" customFormat="1" ht="40" customHeight="1">
      <c r="A790" s="313">
        <v>789</v>
      </c>
      <c r="B790" s="136" t="s">
        <v>2147</v>
      </c>
      <c r="C790" s="136" t="s">
        <v>45</v>
      </c>
      <c r="D790" s="31">
        <f t="shared" si="56"/>
        <v>4</v>
      </c>
      <c r="E790" s="137" t="s">
        <v>46</v>
      </c>
      <c r="F790" s="31">
        <f t="shared" si="57"/>
        <v>6</v>
      </c>
      <c r="G790" s="137" t="s">
        <v>2161</v>
      </c>
      <c r="H790" s="138">
        <v>113</v>
      </c>
      <c r="I790" s="158">
        <f t="shared" si="58"/>
        <v>0.25246165055993836</v>
      </c>
      <c r="J790" s="95">
        <v>1.0462323777916699E-3</v>
      </c>
      <c r="K790" s="137">
        <v>0.50387706874208504</v>
      </c>
      <c r="L790" s="137">
        <v>0.61983471074380203</v>
      </c>
      <c r="M790" s="137">
        <v>0.32994060573951001</v>
      </c>
      <c r="N790" s="136">
        <v>1</v>
      </c>
      <c r="O790" s="32">
        <v>43431</v>
      </c>
      <c r="P790" s="98">
        <f t="shared" si="59"/>
        <v>1</v>
      </c>
      <c r="Q790">
        <v>0</v>
      </c>
      <c r="R790">
        <v>0</v>
      </c>
      <c r="S790">
        <v>0</v>
      </c>
      <c r="T790" s="112" t="s">
        <v>73</v>
      </c>
      <c r="U790" s="137" t="s">
        <v>2162</v>
      </c>
      <c r="V790" s="137" t="s">
        <v>2163</v>
      </c>
      <c r="W790" s="69">
        <v>19</v>
      </c>
      <c r="X790" s="136">
        <v>3</v>
      </c>
      <c r="Y790" s="136">
        <v>22</v>
      </c>
      <c r="Z790" s="314"/>
      <c r="AA790" s="319">
        <v>0.5</v>
      </c>
      <c r="AB790" s="315" t="s">
        <v>5179</v>
      </c>
      <c r="AC790" s="319">
        <v>1</v>
      </c>
      <c r="AD790" s="320">
        <v>0.1</v>
      </c>
      <c r="AE790" s="319">
        <v>1</v>
      </c>
      <c r="AF790" s="320">
        <v>0.1</v>
      </c>
      <c r="AG790" s="319">
        <v>1</v>
      </c>
      <c r="AH790" s="320">
        <v>0.1</v>
      </c>
      <c r="AI790" s="319">
        <v>0</v>
      </c>
      <c r="AJ790" s="320">
        <v>0</v>
      </c>
      <c r="AK790" s="320">
        <v>0</v>
      </c>
      <c r="AL790" s="319">
        <v>5</v>
      </c>
      <c r="AM790" s="319">
        <v>6.2</v>
      </c>
      <c r="AN790" s="319">
        <v>2</v>
      </c>
      <c r="AO790" s="319">
        <v>0.44</v>
      </c>
      <c r="AP790" s="319">
        <v>22</v>
      </c>
      <c r="AR790" s="136"/>
      <c r="AT790" s="69">
        <v>2.3148</v>
      </c>
      <c r="AU790" s="69">
        <v>5</v>
      </c>
      <c r="AV790" s="69">
        <v>2.3148</v>
      </c>
      <c r="AW790" s="69">
        <v>0.32100000000000001</v>
      </c>
      <c r="BB790" s="69"/>
    </row>
    <row r="791" spans="1:54" customFormat="1" ht="40" customHeight="1">
      <c r="A791" s="313">
        <v>790</v>
      </c>
      <c r="B791" s="136" t="s">
        <v>2147</v>
      </c>
      <c r="C791" s="136" t="s">
        <v>45</v>
      </c>
      <c r="D791" s="31">
        <f t="shared" si="56"/>
        <v>4</v>
      </c>
      <c r="E791" s="137" t="s">
        <v>46</v>
      </c>
      <c r="F791" s="31">
        <f t="shared" si="57"/>
        <v>6</v>
      </c>
      <c r="G791" s="137" t="s">
        <v>2164</v>
      </c>
      <c r="H791" s="138">
        <v>122</v>
      </c>
      <c r="I791" s="158">
        <f t="shared" si="58"/>
        <v>0.8050754998311036</v>
      </c>
      <c r="J791" s="95">
        <v>0.99983465225648505</v>
      </c>
      <c r="K791" s="137">
        <v>0.61031634740572205</v>
      </c>
      <c r="L791" s="137">
        <v>0.56348610067618299</v>
      </c>
      <c r="M791" s="137">
        <v>0.68056171750003003</v>
      </c>
      <c r="N791" s="136">
        <v>1</v>
      </c>
      <c r="O791" s="32">
        <v>43314</v>
      </c>
      <c r="P791" s="98">
        <f t="shared" si="59"/>
        <v>0</v>
      </c>
      <c r="Q791">
        <v>5.0999999999999996</v>
      </c>
      <c r="R791">
        <v>0</v>
      </c>
      <c r="S791">
        <v>0</v>
      </c>
      <c r="T791" s="112" t="s">
        <v>48</v>
      </c>
      <c r="U791" s="137" t="s">
        <v>2165</v>
      </c>
      <c r="V791" s="137" t="s">
        <v>2166</v>
      </c>
      <c r="W791" s="69">
        <v>98</v>
      </c>
      <c r="X791" s="136">
        <v>1</v>
      </c>
      <c r="Y791" s="136">
        <v>5</v>
      </c>
      <c r="Z791" s="314"/>
      <c r="AA791" s="319">
        <v>0.45454545454545398</v>
      </c>
      <c r="AB791" s="315" t="s">
        <v>5165</v>
      </c>
      <c r="AC791" s="319">
        <v>3</v>
      </c>
      <c r="AD791" s="320">
        <v>5.8823529411764698E-2</v>
      </c>
      <c r="AE791" s="319">
        <v>0</v>
      </c>
      <c r="AF791" s="320">
        <v>0</v>
      </c>
      <c r="AG791" s="319">
        <v>1</v>
      </c>
      <c r="AH791" s="320">
        <v>1.9607843137254902E-2</v>
      </c>
      <c r="AI791" s="319">
        <v>0</v>
      </c>
      <c r="AJ791" s="320">
        <v>0</v>
      </c>
      <c r="AK791" s="320">
        <v>0</v>
      </c>
      <c r="AL791" s="319">
        <v>5</v>
      </c>
      <c r="AM791" s="319">
        <v>5</v>
      </c>
      <c r="AN791" s="319">
        <v>3.5</v>
      </c>
      <c r="AO791" s="319">
        <v>0.45</v>
      </c>
      <c r="AP791">
        <v>5</v>
      </c>
      <c r="AR791" s="136">
        <v>5</v>
      </c>
      <c r="AT791" s="69">
        <v>2.3148</v>
      </c>
      <c r="AU791" s="69">
        <v>2.3148</v>
      </c>
      <c r="AV791" s="69">
        <v>5.7443999999999997</v>
      </c>
      <c r="AW791" s="69">
        <v>0.3458</v>
      </c>
      <c r="BB791" s="69"/>
    </row>
    <row r="792" spans="1:54" customFormat="1" ht="40" customHeight="1">
      <c r="A792" s="313">
        <v>791</v>
      </c>
      <c r="B792" s="136" t="s">
        <v>2147</v>
      </c>
      <c r="C792" s="136" t="s">
        <v>45</v>
      </c>
      <c r="D792" s="31">
        <f t="shared" si="56"/>
        <v>4</v>
      </c>
      <c r="E792" s="137" t="s">
        <v>46</v>
      </c>
      <c r="F792" s="31">
        <f t="shared" si="57"/>
        <v>6</v>
      </c>
      <c r="G792" s="137" t="s">
        <v>2167</v>
      </c>
      <c r="H792" s="138">
        <v>180</v>
      </c>
      <c r="I792" s="158">
        <f t="shared" si="58"/>
        <v>0.32237753383980189</v>
      </c>
      <c r="J792" s="95">
        <v>6.2955423331079196E-4</v>
      </c>
      <c r="K792" s="137">
        <v>0.64412551344629299</v>
      </c>
      <c r="L792" s="137">
        <v>0.61983471074380203</v>
      </c>
      <c r="M792" s="137">
        <v>0.68056171750003003</v>
      </c>
      <c r="N792" s="136">
        <v>1</v>
      </c>
      <c r="O792" s="32">
        <v>43246</v>
      </c>
      <c r="P792" s="98">
        <f t="shared" si="59"/>
        <v>0</v>
      </c>
      <c r="Q792">
        <v>2.5499999999999998</v>
      </c>
      <c r="R792">
        <v>0</v>
      </c>
      <c r="S792">
        <v>0</v>
      </c>
      <c r="T792" s="112" t="s">
        <v>48</v>
      </c>
      <c r="U792" s="137" t="s">
        <v>2168</v>
      </c>
      <c r="V792" s="137" t="s">
        <v>2169</v>
      </c>
      <c r="W792" s="69">
        <v>74</v>
      </c>
      <c r="X792" s="136">
        <v>2</v>
      </c>
      <c r="Y792" s="136">
        <v>5</v>
      </c>
      <c r="Z792" s="314"/>
      <c r="AA792" s="319">
        <v>0.5</v>
      </c>
      <c r="AB792" s="315" t="s">
        <v>5168</v>
      </c>
      <c r="AC792" s="319">
        <v>2</v>
      </c>
      <c r="AD792" s="320">
        <v>5.2631578947368397E-2</v>
      </c>
      <c r="AE792" s="319">
        <v>2</v>
      </c>
      <c r="AF792" s="320">
        <v>5.2631578947368397E-2</v>
      </c>
      <c r="AG792" s="319">
        <v>3</v>
      </c>
      <c r="AH792" s="320">
        <v>7.8947368421052599E-2</v>
      </c>
      <c r="AI792" s="319">
        <v>0</v>
      </c>
      <c r="AJ792" s="320">
        <v>0</v>
      </c>
      <c r="AK792" s="320">
        <v>0</v>
      </c>
      <c r="AL792" s="319">
        <v>6.75</v>
      </c>
      <c r="AM792" s="319">
        <v>5</v>
      </c>
      <c r="AN792" s="319">
        <v>3.5</v>
      </c>
      <c r="AO792" s="319">
        <v>0.50833333333333297</v>
      </c>
      <c r="AP792">
        <v>5</v>
      </c>
      <c r="AR792" s="136">
        <v>5</v>
      </c>
      <c r="AT792" s="69">
        <v>6.3414000000000001</v>
      </c>
      <c r="AU792" s="69">
        <v>2.3148</v>
      </c>
      <c r="AV792" s="69">
        <v>5.7443999999999997</v>
      </c>
      <c r="AW792" s="69">
        <v>0.48</v>
      </c>
      <c r="BB792" s="69"/>
    </row>
    <row r="793" spans="1:54" customFormat="1" ht="40" customHeight="1">
      <c r="A793" s="313">
        <v>792</v>
      </c>
      <c r="B793" s="136" t="s">
        <v>2147</v>
      </c>
      <c r="C793" s="136" t="s">
        <v>45</v>
      </c>
      <c r="D793" s="31">
        <f t="shared" si="56"/>
        <v>4</v>
      </c>
      <c r="E793" s="137" t="s">
        <v>80</v>
      </c>
      <c r="F793" s="31">
        <f t="shared" si="57"/>
        <v>4</v>
      </c>
      <c r="G793" s="137" t="s">
        <v>2170</v>
      </c>
      <c r="H793" s="138">
        <v>106</v>
      </c>
      <c r="I793" s="158">
        <f t="shared" si="58"/>
        <v>0.37551291955227739</v>
      </c>
      <c r="J793" s="95">
        <v>1.7096563376117799E-7</v>
      </c>
      <c r="K793" s="137">
        <v>0.75102566813892102</v>
      </c>
      <c r="L793" s="137">
        <v>0.75</v>
      </c>
      <c r="M793" s="137">
        <v>0.75256417034730305</v>
      </c>
      <c r="N793" s="136">
        <v>1</v>
      </c>
      <c r="O793" s="32">
        <v>43220</v>
      </c>
      <c r="P793" s="98">
        <f t="shared" si="59"/>
        <v>0</v>
      </c>
      <c r="Q793">
        <v>5.0999999999999996</v>
      </c>
      <c r="R793">
        <v>0</v>
      </c>
      <c r="S793">
        <v>0</v>
      </c>
      <c r="T793" s="112" t="s">
        <v>48</v>
      </c>
      <c r="U793" s="137" t="s">
        <v>2171</v>
      </c>
      <c r="V793" s="137" t="s">
        <v>2172</v>
      </c>
      <c r="W793" s="69">
        <v>83</v>
      </c>
      <c r="X793" s="136">
        <v>1</v>
      </c>
      <c r="Y793" s="136">
        <v>3</v>
      </c>
      <c r="Z793" s="314"/>
      <c r="AA793" s="319">
        <v>0.59450000000000003</v>
      </c>
      <c r="AB793" s="315" t="s">
        <v>5176</v>
      </c>
      <c r="AC793" s="319">
        <v>1</v>
      </c>
      <c r="AD793" s="320">
        <v>2.1739130434782601E-2</v>
      </c>
      <c r="AE793" s="319">
        <v>2</v>
      </c>
      <c r="AF793" s="320">
        <v>4.3478260869565202E-2</v>
      </c>
      <c r="AG793" s="319">
        <v>0</v>
      </c>
      <c r="AH793" s="320">
        <v>0</v>
      </c>
      <c r="AI793" s="319">
        <v>1</v>
      </c>
      <c r="AJ793" s="320">
        <v>2.1739130434782601E-2</v>
      </c>
      <c r="AK793" s="320">
        <v>2.1739130434782612E-2</v>
      </c>
      <c r="AL793" s="319">
        <v>6.75</v>
      </c>
      <c r="AM793" s="319">
        <v>5</v>
      </c>
      <c r="AN793" s="319">
        <v>7.3333333333333304</v>
      </c>
      <c r="AO793" s="319">
        <v>0.63611111111111096</v>
      </c>
      <c r="AP793">
        <v>3</v>
      </c>
      <c r="AR793" s="136">
        <v>3</v>
      </c>
      <c r="AT793" s="69">
        <v>6.3414000000000001</v>
      </c>
      <c r="AU793" s="69">
        <v>2.3148</v>
      </c>
      <c r="AV793" s="69">
        <v>9.8416999999999994</v>
      </c>
      <c r="AW793" s="69">
        <v>0.61660000000000004</v>
      </c>
      <c r="BB793" s="69"/>
    </row>
    <row r="794" spans="1:54" customFormat="1" ht="40" customHeight="1">
      <c r="A794" s="313">
        <v>793</v>
      </c>
      <c r="B794" s="136" t="s">
        <v>2147</v>
      </c>
      <c r="C794" s="136" t="s">
        <v>45</v>
      </c>
      <c r="D794" s="31">
        <f t="shared" si="56"/>
        <v>4</v>
      </c>
      <c r="E794" s="137" t="s">
        <v>80</v>
      </c>
      <c r="F794" s="31">
        <f t="shared" si="57"/>
        <v>4</v>
      </c>
      <c r="G794" s="137" t="s">
        <v>2173</v>
      </c>
      <c r="H794" s="138">
        <v>32</v>
      </c>
      <c r="I794" s="158">
        <f t="shared" si="58"/>
        <v>0.31809552799725449</v>
      </c>
      <c r="J794" s="95">
        <v>4.9524448986204601E-8</v>
      </c>
      <c r="K794" s="137">
        <v>0.63619100647005999</v>
      </c>
      <c r="L794" s="137">
        <v>0.75</v>
      </c>
      <c r="M794" s="137">
        <v>0.46547751617515098</v>
      </c>
      <c r="N794" s="136">
        <v>1</v>
      </c>
      <c r="O794" s="32">
        <v>42669</v>
      </c>
      <c r="P794" s="98">
        <f t="shared" si="59"/>
        <v>1</v>
      </c>
      <c r="Q794">
        <v>0</v>
      </c>
      <c r="R794">
        <v>0</v>
      </c>
      <c r="S794">
        <v>0</v>
      </c>
      <c r="T794" s="112" t="s">
        <v>73</v>
      </c>
      <c r="U794" s="137" t="s">
        <v>2174</v>
      </c>
      <c r="V794" s="137" t="s">
        <v>2175</v>
      </c>
      <c r="W794" s="69">
        <v>41</v>
      </c>
      <c r="X794" s="136">
        <v>2</v>
      </c>
      <c r="Y794" s="136">
        <v>14</v>
      </c>
      <c r="Z794" s="314"/>
      <c r="AA794" s="319">
        <v>0.60499999999999998</v>
      </c>
      <c r="AB794" s="315" t="s">
        <v>5165</v>
      </c>
      <c r="AC794" s="319">
        <v>2</v>
      </c>
      <c r="AD794" s="320">
        <v>9.0909090909090898E-2</v>
      </c>
      <c r="AE794" s="319">
        <v>1</v>
      </c>
      <c r="AF794" s="320">
        <v>4.54545454545454E-2</v>
      </c>
      <c r="AG794" s="319">
        <v>0</v>
      </c>
      <c r="AH794" s="320">
        <v>0</v>
      </c>
      <c r="AI794" s="319">
        <v>0</v>
      </c>
      <c r="AJ794" s="320">
        <v>0</v>
      </c>
      <c r="AK794" s="320">
        <v>0</v>
      </c>
      <c r="AL794" s="319">
        <v>5</v>
      </c>
      <c r="AM794" s="319">
        <v>6.2</v>
      </c>
      <c r="AN794" s="319">
        <v>2</v>
      </c>
      <c r="AO794" s="319">
        <v>0.44</v>
      </c>
      <c r="AP794">
        <v>14</v>
      </c>
      <c r="AR794" s="136">
        <v>14</v>
      </c>
      <c r="AT794" s="69">
        <v>2.3148</v>
      </c>
      <c r="AU794" s="69">
        <v>5</v>
      </c>
      <c r="AV794" s="69">
        <v>2.3148</v>
      </c>
      <c r="AW794" s="69">
        <v>0.32100000000000001</v>
      </c>
      <c r="BB794" s="69"/>
    </row>
    <row r="795" spans="1:54" customFormat="1" ht="40" customHeight="1">
      <c r="A795" s="313">
        <v>794</v>
      </c>
      <c r="B795" s="136" t="s">
        <v>2147</v>
      </c>
      <c r="C795" s="136" t="s">
        <v>45</v>
      </c>
      <c r="D795" s="31">
        <f t="shared" si="56"/>
        <v>4</v>
      </c>
      <c r="E795" s="137" t="s">
        <v>46</v>
      </c>
      <c r="F795" s="31">
        <f t="shared" si="57"/>
        <v>6</v>
      </c>
      <c r="G795" s="137" t="s">
        <v>2176</v>
      </c>
      <c r="H795" s="138">
        <v>152</v>
      </c>
      <c r="I795" s="158">
        <f t="shared" si="58"/>
        <v>0.4126925543853065</v>
      </c>
      <c r="J795" s="95">
        <v>0.189194102300553</v>
      </c>
      <c r="K795" s="137">
        <v>0.63619100647005999</v>
      </c>
      <c r="L795" s="137">
        <v>0.75</v>
      </c>
      <c r="M795" s="137">
        <v>0.46547751617515098</v>
      </c>
      <c r="N795" s="136">
        <v>0</v>
      </c>
      <c r="O795" s="32">
        <v>42576</v>
      </c>
      <c r="P795" s="98">
        <f t="shared" si="59"/>
        <v>1</v>
      </c>
      <c r="Q795">
        <v>0</v>
      </c>
      <c r="R795">
        <v>1.65</v>
      </c>
      <c r="S795">
        <v>0</v>
      </c>
      <c r="T795" s="112" t="s">
        <v>73</v>
      </c>
      <c r="U795" s="137" t="s">
        <v>2177</v>
      </c>
      <c r="V795" s="137" t="s">
        <v>2178</v>
      </c>
      <c r="W795" s="69">
        <v>79</v>
      </c>
      <c r="X795" s="136">
        <v>2</v>
      </c>
      <c r="Y795" s="136">
        <v>14</v>
      </c>
      <c r="Z795" s="314"/>
      <c r="AA795" s="319">
        <v>0.5</v>
      </c>
      <c r="AB795" s="315" t="s">
        <v>5176</v>
      </c>
      <c r="AC795" s="319">
        <v>0</v>
      </c>
      <c r="AD795" s="320">
        <v>0</v>
      </c>
      <c r="AE795" s="319">
        <v>1</v>
      </c>
      <c r="AF795" s="320">
        <v>2.0833333333333301E-2</v>
      </c>
      <c r="AG795" s="319">
        <v>0</v>
      </c>
      <c r="AH795" s="320">
        <v>0</v>
      </c>
      <c r="AI795" s="319">
        <v>0</v>
      </c>
      <c r="AJ795" s="320">
        <v>0</v>
      </c>
      <c r="AK795" s="320">
        <v>0</v>
      </c>
      <c r="AL795" s="319">
        <v>5</v>
      </c>
      <c r="AM795" s="319">
        <v>6.2</v>
      </c>
      <c r="AN795" s="319">
        <v>4.6666666666666599</v>
      </c>
      <c r="AO795" s="319">
        <v>0.52888888888888796</v>
      </c>
      <c r="AP795">
        <v>14</v>
      </c>
      <c r="AR795" s="136">
        <v>14</v>
      </c>
      <c r="AT795" s="69">
        <v>2.3148</v>
      </c>
      <c r="AU795" s="69">
        <v>5</v>
      </c>
      <c r="AV795" s="69">
        <v>8.1305999999999994</v>
      </c>
      <c r="AW795" s="69">
        <v>0.51480000000000004</v>
      </c>
      <c r="BB795" s="69"/>
    </row>
    <row r="796" spans="1:54" customFormat="1" ht="40" customHeight="1">
      <c r="A796" s="313">
        <v>795</v>
      </c>
      <c r="B796" s="136" t="s">
        <v>2179</v>
      </c>
      <c r="C796" s="136" t="s">
        <v>45</v>
      </c>
      <c r="D796" s="31">
        <f t="shared" si="56"/>
        <v>4</v>
      </c>
      <c r="E796" s="137" t="s">
        <v>46</v>
      </c>
      <c r="F796" s="31">
        <f t="shared" si="57"/>
        <v>6</v>
      </c>
      <c r="G796" s="137" t="s">
        <v>2180</v>
      </c>
      <c r="H796" s="138">
        <v>375</v>
      </c>
      <c r="I796" s="158">
        <f t="shared" si="58"/>
        <v>0.26312040223996214</v>
      </c>
      <c r="J796" s="95">
        <v>2.8489557122313201E-6</v>
      </c>
      <c r="K796" s="137">
        <v>0.52623795552421204</v>
      </c>
      <c r="L796" s="137">
        <v>0.423355447540333</v>
      </c>
      <c r="M796" s="137">
        <v>0.68056171750003003</v>
      </c>
      <c r="N796" s="136">
        <v>1</v>
      </c>
      <c r="O796" s="32">
        <v>43623</v>
      </c>
      <c r="P796" s="98">
        <f t="shared" si="59"/>
        <v>0</v>
      </c>
      <c r="Q796">
        <v>5.0999999999999996</v>
      </c>
      <c r="R796">
        <v>3.3</v>
      </c>
      <c r="S796">
        <v>1.87</v>
      </c>
      <c r="T796" s="112" t="s">
        <v>48</v>
      </c>
      <c r="U796" s="137" t="s">
        <v>2181</v>
      </c>
      <c r="V796" s="137" t="s">
        <v>2182</v>
      </c>
      <c r="W796" s="69">
        <v>105</v>
      </c>
      <c r="X796" s="136">
        <v>0</v>
      </c>
      <c r="Y796" s="136">
        <v>5</v>
      </c>
      <c r="Z796" s="314"/>
      <c r="AA796" s="319">
        <v>1.02427775895304E-3</v>
      </c>
      <c r="AB796" s="315" t="s">
        <v>5165</v>
      </c>
      <c r="AC796" s="319">
        <v>1</v>
      </c>
      <c r="AD796" s="320">
        <v>1.5873015873015799E-2</v>
      </c>
      <c r="AE796" s="319">
        <v>0</v>
      </c>
      <c r="AF796" s="320">
        <v>0</v>
      </c>
      <c r="AG796" s="319">
        <v>0</v>
      </c>
      <c r="AH796" s="320">
        <v>0</v>
      </c>
      <c r="AI796" s="319">
        <v>0</v>
      </c>
      <c r="AJ796" s="320">
        <v>0</v>
      </c>
      <c r="AK796" s="320">
        <v>0</v>
      </c>
      <c r="AL796" s="319">
        <v>5</v>
      </c>
      <c r="AM796" s="319">
        <v>5</v>
      </c>
      <c r="AN796" s="319">
        <v>4.6666666666666599</v>
      </c>
      <c r="AO796" s="319">
        <v>0.48888888888888798</v>
      </c>
      <c r="AR796" s="136">
        <v>5</v>
      </c>
      <c r="AT796" s="69">
        <v>2.3148</v>
      </c>
      <c r="AU796" s="69">
        <v>2.3148</v>
      </c>
      <c r="AV796" s="69">
        <v>8.1305999999999994</v>
      </c>
      <c r="AW796" s="69">
        <v>0.42530000000000001</v>
      </c>
      <c r="BB796" s="69"/>
    </row>
    <row r="797" spans="1:54" customFormat="1" ht="40" customHeight="1">
      <c r="A797" s="313">
        <v>796</v>
      </c>
      <c r="B797" s="136" t="s">
        <v>2179</v>
      </c>
      <c r="C797" s="136" t="s">
        <v>45</v>
      </c>
      <c r="D797" s="31">
        <f t="shared" si="56"/>
        <v>4</v>
      </c>
      <c r="E797" s="137" t="s">
        <v>46</v>
      </c>
      <c r="F797" s="31">
        <f t="shared" si="57"/>
        <v>6</v>
      </c>
      <c r="G797" s="137" t="s">
        <v>2183</v>
      </c>
      <c r="H797" s="138">
        <v>23</v>
      </c>
      <c r="I797" s="158">
        <f t="shared" si="58"/>
        <v>0.87589606895324157</v>
      </c>
      <c r="J797" s="95">
        <v>0.99984408595843099</v>
      </c>
      <c r="K797" s="137">
        <v>0.75194805194805203</v>
      </c>
      <c r="L797" s="137">
        <v>0.68181818181818199</v>
      </c>
      <c r="M797" s="137">
        <v>0.85714285714285698</v>
      </c>
      <c r="N797" s="136">
        <v>1</v>
      </c>
      <c r="O797" s="32">
        <v>43454</v>
      </c>
      <c r="P797" s="98">
        <f t="shared" si="59"/>
        <v>1</v>
      </c>
      <c r="Q797">
        <v>0</v>
      </c>
      <c r="R797">
        <v>0</v>
      </c>
      <c r="S797">
        <v>0</v>
      </c>
      <c r="T797" s="112" t="s">
        <v>73</v>
      </c>
      <c r="U797" s="137" t="s">
        <v>2184</v>
      </c>
      <c r="V797" s="137" t="s">
        <v>2185</v>
      </c>
      <c r="W797" s="69">
        <v>87</v>
      </c>
      <c r="X797" s="136">
        <v>0</v>
      </c>
      <c r="Y797" s="136">
        <v>1</v>
      </c>
      <c r="Z797" s="314"/>
      <c r="AA797" s="319">
        <v>0.45454545454545398</v>
      </c>
      <c r="AB797" s="315" t="s">
        <v>5165</v>
      </c>
      <c r="AC797" s="319">
        <v>4</v>
      </c>
      <c r="AD797" s="320">
        <v>0.08</v>
      </c>
      <c r="AE797" s="319">
        <v>2</v>
      </c>
      <c r="AF797" s="320">
        <v>0.04</v>
      </c>
      <c r="AG797" s="319">
        <v>2</v>
      </c>
      <c r="AH797" s="320">
        <v>0.04</v>
      </c>
      <c r="AI797" s="319">
        <v>0</v>
      </c>
      <c r="AJ797" s="320">
        <v>0</v>
      </c>
      <c r="AK797" s="320">
        <v>0</v>
      </c>
      <c r="AL797" s="319">
        <v>5</v>
      </c>
      <c r="AM797" s="319">
        <v>5</v>
      </c>
      <c r="AN797" s="319">
        <v>2</v>
      </c>
      <c r="AO797" s="319">
        <v>0.4</v>
      </c>
      <c r="AR797" s="136">
        <v>1</v>
      </c>
      <c r="AT797" s="69">
        <v>2.3148</v>
      </c>
      <c r="AU797" s="69">
        <v>2.3148</v>
      </c>
      <c r="AV797" s="69">
        <v>2.3148</v>
      </c>
      <c r="AW797" s="69">
        <v>0.23150000000000001</v>
      </c>
      <c r="BB797" s="69"/>
    </row>
    <row r="798" spans="1:54" customFormat="1" ht="40" customHeight="1">
      <c r="A798" s="313">
        <v>797</v>
      </c>
      <c r="B798" s="136" t="s">
        <v>2179</v>
      </c>
      <c r="C798" s="136" t="s">
        <v>45</v>
      </c>
      <c r="D798" s="31">
        <f t="shared" si="56"/>
        <v>4</v>
      </c>
      <c r="E798" s="137" t="s">
        <v>46</v>
      </c>
      <c r="F798" s="31">
        <f t="shared" si="57"/>
        <v>6</v>
      </c>
      <c r="G798" s="137" t="s">
        <v>2186</v>
      </c>
      <c r="H798" s="138">
        <v>64</v>
      </c>
      <c r="I798" s="158">
        <f t="shared" si="58"/>
        <v>0.37793064171811475</v>
      </c>
      <c r="J798" s="95">
        <v>5.7047072639920503E-2</v>
      </c>
      <c r="K798" s="137">
        <v>0.69881421079630901</v>
      </c>
      <c r="L798" s="137">
        <v>0.75</v>
      </c>
      <c r="M798" s="137">
        <v>0.62203552699077302</v>
      </c>
      <c r="N798" s="136">
        <v>0</v>
      </c>
      <c r="O798" s="32">
        <v>43397</v>
      </c>
      <c r="P798" s="98">
        <f t="shared" si="59"/>
        <v>1</v>
      </c>
      <c r="Q798">
        <v>0</v>
      </c>
      <c r="R798">
        <v>0</v>
      </c>
      <c r="S798">
        <v>0</v>
      </c>
      <c r="T798" s="112" t="s">
        <v>73</v>
      </c>
      <c r="U798" s="137" t="s">
        <v>2187</v>
      </c>
      <c r="V798" s="137" t="s">
        <v>2188</v>
      </c>
      <c r="W798" s="69">
        <v>95</v>
      </c>
      <c r="X798" s="136">
        <v>1</v>
      </c>
      <c r="Y798" s="136">
        <v>7</v>
      </c>
      <c r="Z798" s="314"/>
      <c r="AA798" s="319">
        <v>0.5</v>
      </c>
      <c r="AB798" s="315" t="s">
        <v>5178</v>
      </c>
      <c r="AC798" s="319">
        <v>3</v>
      </c>
      <c r="AD798" s="320">
        <v>5.4545454545454501E-2</v>
      </c>
      <c r="AE798" s="319">
        <v>3</v>
      </c>
      <c r="AF798" s="320">
        <v>5.4545454545454501E-2</v>
      </c>
      <c r="AG798" s="319">
        <v>1</v>
      </c>
      <c r="AH798" s="320">
        <v>1.8181818181818101E-2</v>
      </c>
      <c r="AI798" s="319">
        <v>0</v>
      </c>
      <c r="AJ798" s="320">
        <v>0</v>
      </c>
      <c r="AK798" s="320">
        <v>1.8181818181818181E-2</v>
      </c>
      <c r="AL798" s="319">
        <v>5</v>
      </c>
      <c r="AM798" s="319">
        <v>6.2</v>
      </c>
      <c r="AN798" s="319">
        <v>3.5</v>
      </c>
      <c r="AO798" s="319">
        <v>0.49</v>
      </c>
      <c r="AP798">
        <v>7</v>
      </c>
      <c r="AR798" s="136">
        <v>7</v>
      </c>
      <c r="AT798" s="69">
        <v>2.3148</v>
      </c>
      <c r="AU798" s="69">
        <v>5</v>
      </c>
      <c r="AV798" s="69">
        <v>5.7443999999999997</v>
      </c>
      <c r="AW798" s="69">
        <v>0.43530000000000002</v>
      </c>
      <c r="BB798" s="69"/>
    </row>
    <row r="799" spans="1:54" customFormat="1" ht="40" customHeight="1">
      <c r="A799" s="313">
        <v>798</v>
      </c>
      <c r="B799" s="136" t="s">
        <v>2179</v>
      </c>
      <c r="C799" s="136" t="s">
        <v>45</v>
      </c>
      <c r="D799" s="31">
        <f t="shared" si="56"/>
        <v>4</v>
      </c>
      <c r="E799" s="137" t="s">
        <v>46</v>
      </c>
      <c r="F799" s="31">
        <f t="shared" si="57"/>
        <v>6</v>
      </c>
      <c r="G799" s="137" t="s">
        <v>2189</v>
      </c>
      <c r="H799" s="138">
        <v>37</v>
      </c>
      <c r="I799" s="158">
        <f t="shared" si="58"/>
        <v>0.79333061662290705</v>
      </c>
      <c r="J799" s="95">
        <v>0.99852270152900502</v>
      </c>
      <c r="K799" s="137">
        <v>0.58813853171680897</v>
      </c>
      <c r="L799" s="137">
        <v>0.75</v>
      </c>
      <c r="M799" s="137">
        <v>0.34534632929202302</v>
      </c>
      <c r="N799" s="136">
        <v>0</v>
      </c>
      <c r="O799" s="32">
        <v>43363</v>
      </c>
      <c r="P799" s="98">
        <f t="shared" si="59"/>
        <v>0</v>
      </c>
      <c r="Q799">
        <v>2.5499999999999998</v>
      </c>
      <c r="R799">
        <v>0</v>
      </c>
      <c r="S799">
        <v>0</v>
      </c>
      <c r="T799" s="112" t="s">
        <v>48</v>
      </c>
      <c r="U799" s="137" t="s">
        <v>2190</v>
      </c>
      <c r="V799" s="137" t="s">
        <v>2191</v>
      </c>
      <c r="W799" s="69">
        <v>100</v>
      </c>
      <c r="X799" s="136">
        <v>0</v>
      </c>
      <c r="Y799" s="136">
        <v>21</v>
      </c>
      <c r="Z799" s="314"/>
      <c r="AA799" s="319">
        <v>0.55000000000000004</v>
      </c>
      <c r="AB799" s="315" t="s">
        <v>5176</v>
      </c>
      <c r="AC799" s="319">
        <v>1</v>
      </c>
      <c r="AD799" s="320">
        <v>1.6949152542372801E-2</v>
      </c>
      <c r="AE799" s="319">
        <v>2</v>
      </c>
      <c r="AF799" s="320">
        <v>3.38983050847457E-2</v>
      </c>
      <c r="AG799" s="319">
        <v>1</v>
      </c>
      <c r="AH799" s="320">
        <v>1.6949152542372801E-2</v>
      </c>
      <c r="AI799" s="319">
        <v>0</v>
      </c>
      <c r="AJ799" s="320">
        <v>0</v>
      </c>
      <c r="AK799" s="320">
        <v>0</v>
      </c>
      <c r="AL799" s="319">
        <v>5</v>
      </c>
      <c r="AM799" s="319">
        <v>5</v>
      </c>
      <c r="AN799" s="319">
        <v>4.6666666666666599</v>
      </c>
      <c r="AO799" s="319">
        <v>0.48888888888888798</v>
      </c>
      <c r="AR799" s="136"/>
      <c r="AS799">
        <v>21</v>
      </c>
      <c r="AT799" s="69">
        <v>2.3148</v>
      </c>
      <c r="AU799" s="69">
        <v>2.3148</v>
      </c>
      <c r="AV799" s="69">
        <v>8.1305999999999994</v>
      </c>
      <c r="AW799" s="69">
        <v>0.42530000000000001</v>
      </c>
      <c r="BB799" s="69"/>
    </row>
    <row r="800" spans="1:54" customFormat="1" ht="40" customHeight="1">
      <c r="A800" s="313">
        <v>799</v>
      </c>
      <c r="B800" s="136" t="s">
        <v>2179</v>
      </c>
      <c r="C800" s="136" t="s">
        <v>45</v>
      </c>
      <c r="D800" s="31">
        <f t="shared" si="56"/>
        <v>4</v>
      </c>
      <c r="E800" s="137" t="s">
        <v>80</v>
      </c>
      <c r="F800" s="31">
        <f t="shared" si="57"/>
        <v>4</v>
      </c>
      <c r="G800" s="137" t="s">
        <v>1459</v>
      </c>
      <c r="H800" s="138">
        <v>45</v>
      </c>
      <c r="I800" s="158">
        <f t="shared" si="58"/>
        <v>0.62807309090566554</v>
      </c>
      <c r="J800" s="95">
        <v>0.41828903895418801</v>
      </c>
      <c r="K800" s="137">
        <v>0.83785714285714297</v>
      </c>
      <c r="L800" s="137">
        <v>0.82499999999999996</v>
      </c>
      <c r="M800" s="137">
        <v>0.85714285714285698</v>
      </c>
      <c r="N800" s="136">
        <v>1</v>
      </c>
      <c r="O800" s="32">
        <v>43341</v>
      </c>
      <c r="P800" s="98">
        <f t="shared" si="59"/>
        <v>1</v>
      </c>
      <c r="Q800">
        <v>0</v>
      </c>
      <c r="R800">
        <v>0</v>
      </c>
      <c r="S800">
        <v>0</v>
      </c>
      <c r="T800" s="112" t="s">
        <v>73</v>
      </c>
      <c r="U800" s="137" t="s">
        <v>2192</v>
      </c>
      <c r="V800" s="137" t="s">
        <v>2193</v>
      </c>
      <c r="W800" s="69">
        <v>44</v>
      </c>
      <c r="X800" s="136">
        <v>0</v>
      </c>
      <c r="Y800" s="136">
        <v>1</v>
      </c>
      <c r="Z800" s="314"/>
      <c r="AA800" s="319">
        <v>0.54500000000000004</v>
      </c>
      <c r="AB800" s="315" t="s">
        <v>5168</v>
      </c>
      <c r="AC800" s="319">
        <v>0</v>
      </c>
      <c r="AD800" s="320">
        <v>0</v>
      </c>
      <c r="AE800" s="319">
        <v>0</v>
      </c>
      <c r="AF800" s="320">
        <v>0</v>
      </c>
      <c r="AG800" s="319">
        <v>1</v>
      </c>
      <c r="AH800" s="320">
        <v>0.04</v>
      </c>
      <c r="AI800" s="319">
        <v>0</v>
      </c>
      <c r="AJ800" s="320">
        <v>0</v>
      </c>
      <c r="AK800" s="320">
        <v>0.04</v>
      </c>
      <c r="AL800" s="319">
        <v>5</v>
      </c>
      <c r="AM800" s="319">
        <v>5</v>
      </c>
      <c r="AN800" s="319">
        <v>4.6666666666666599</v>
      </c>
      <c r="AO800" s="319">
        <v>0.48888888888888798</v>
      </c>
      <c r="AR800" s="136">
        <v>2</v>
      </c>
      <c r="AT800" s="69">
        <v>2.3148</v>
      </c>
      <c r="AU800" s="69">
        <v>2.3148</v>
      </c>
      <c r="AV800" s="69">
        <v>8.1305999999999994</v>
      </c>
      <c r="AW800" s="69">
        <v>0.42530000000000001</v>
      </c>
      <c r="BB800" s="69"/>
    </row>
    <row r="801" spans="1:54" customFormat="1" ht="40" customHeight="1">
      <c r="A801" s="313">
        <v>800</v>
      </c>
      <c r="B801" s="136" t="s">
        <v>2179</v>
      </c>
      <c r="C801" s="136" t="s">
        <v>45</v>
      </c>
      <c r="D801" s="31">
        <f t="shared" si="56"/>
        <v>4</v>
      </c>
      <c r="E801" s="137" t="s">
        <v>80</v>
      </c>
      <c r="F801" s="31">
        <f t="shared" si="57"/>
        <v>4</v>
      </c>
      <c r="G801" s="137" t="s">
        <v>2194</v>
      </c>
      <c r="H801" s="138">
        <v>35</v>
      </c>
      <c r="I801" s="158">
        <f t="shared" si="58"/>
        <v>0.33459736033478876</v>
      </c>
      <c r="J801" s="95">
        <v>1.19152638280445E-2</v>
      </c>
      <c r="K801" s="137">
        <v>0.65727945684153299</v>
      </c>
      <c r="L801" s="137">
        <v>0.56348610067618299</v>
      </c>
      <c r="M801" s="137">
        <v>0.79796949108955795</v>
      </c>
      <c r="N801" s="136">
        <v>0</v>
      </c>
      <c r="O801" s="32">
        <v>43338</v>
      </c>
      <c r="P801" s="98">
        <f t="shared" si="59"/>
        <v>0</v>
      </c>
      <c r="Q801">
        <v>0</v>
      </c>
      <c r="R801">
        <v>0</v>
      </c>
      <c r="S801">
        <v>0</v>
      </c>
      <c r="T801" s="112" t="s">
        <v>48</v>
      </c>
      <c r="U801" s="137" t="s">
        <v>2195</v>
      </c>
      <c r="V801" s="137" t="s">
        <v>2196</v>
      </c>
      <c r="W801" s="69">
        <v>39</v>
      </c>
      <c r="X801" s="136">
        <v>0</v>
      </c>
      <c r="Y801" s="136">
        <v>2</v>
      </c>
      <c r="Z801" s="314"/>
      <c r="AA801" s="319">
        <v>0.5</v>
      </c>
      <c r="AB801" s="315" t="s">
        <v>5179</v>
      </c>
      <c r="AC801" s="319">
        <v>1</v>
      </c>
      <c r="AD801" s="320">
        <v>5.2631578947368397E-2</v>
      </c>
      <c r="AE801" s="319">
        <v>1</v>
      </c>
      <c r="AF801" s="320">
        <v>5.2631578947368397E-2</v>
      </c>
      <c r="AG801" s="319">
        <v>1</v>
      </c>
      <c r="AH801" s="320">
        <v>5.2631578947368397E-2</v>
      </c>
      <c r="AI801" s="319">
        <v>0</v>
      </c>
      <c r="AJ801" s="320">
        <v>0</v>
      </c>
      <c r="AK801" s="320">
        <v>0</v>
      </c>
      <c r="AL801" s="319">
        <v>5</v>
      </c>
      <c r="AM801" s="319">
        <v>5</v>
      </c>
      <c r="AN801" s="319">
        <v>2</v>
      </c>
      <c r="AO801" s="319">
        <v>0.4</v>
      </c>
      <c r="AR801" s="136">
        <v>2</v>
      </c>
      <c r="AT801" s="69">
        <v>2.3148</v>
      </c>
      <c r="AU801" s="69">
        <v>2.3148</v>
      </c>
      <c r="AV801" s="69">
        <v>2.3148</v>
      </c>
      <c r="AW801" s="69">
        <v>0.23150000000000001</v>
      </c>
      <c r="BB801" s="69"/>
    </row>
    <row r="802" spans="1:54" customFormat="1" ht="40" customHeight="1">
      <c r="A802" s="313">
        <v>801</v>
      </c>
      <c r="B802" s="136" t="s">
        <v>2179</v>
      </c>
      <c r="C802" s="136" t="s">
        <v>45</v>
      </c>
      <c r="D802" s="31">
        <f t="shared" si="56"/>
        <v>4</v>
      </c>
      <c r="E802" s="137" t="s">
        <v>80</v>
      </c>
      <c r="F802" s="31">
        <f t="shared" si="57"/>
        <v>4</v>
      </c>
      <c r="G802" s="137" t="s">
        <v>305</v>
      </c>
      <c r="H802" s="138">
        <v>114</v>
      </c>
      <c r="I802" s="158">
        <f t="shared" si="58"/>
        <v>0.40990758093538254</v>
      </c>
      <c r="J802" s="95">
        <v>5.6273654349421297E-3</v>
      </c>
      <c r="K802" s="137">
        <v>0.81418779643582295</v>
      </c>
      <c r="L802" s="137">
        <v>0.82499999999999996</v>
      </c>
      <c r="M802" s="137">
        <v>0.79796949108955795</v>
      </c>
      <c r="N802" s="136">
        <v>1</v>
      </c>
      <c r="O802" s="32">
        <v>43334</v>
      </c>
      <c r="P802" s="98">
        <f t="shared" si="59"/>
        <v>0</v>
      </c>
      <c r="Q802">
        <v>5.0999999999999996</v>
      </c>
      <c r="R802">
        <v>0</v>
      </c>
      <c r="S802">
        <v>0</v>
      </c>
      <c r="T802" s="112" t="s">
        <v>48</v>
      </c>
      <c r="U802" s="137" t="s">
        <v>2197</v>
      </c>
      <c r="V802" s="137" t="s">
        <v>2198</v>
      </c>
      <c r="W802" s="69">
        <v>192</v>
      </c>
      <c r="X802" s="136">
        <v>0</v>
      </c>
      <c r="Y802" s="136">
        <v>2</v>
      </c>
      <c r="Z802" s="314"/>
      <c r="AA802" s="319">
        <v>0.55000000000000004</v>
      </c>
      <c r="AB802" s="315" t="s">
        <v>5176</v>
      </c>
      <c r="AC802" s="319">
        <v>3</v>
      </c>
      <c r="AD802" s="320">
        <v>2.94117647058823E-2</v>
      </c>
      <c r="AE802" s="319">
        <v>8</v>
      </c>
      <c r="AF802" s="320">
        <v>7.8431372549019607E-2</v>
      </c>
      <c r="AG802" s="319">
        <v>2</v>
      </c>
      <c r="AH802" s="320">
        <v>1.9607843137254902E-2</v>
      </c>
      <c r="AI802" s="319">
        <v>2</v>
      </c>
      <c r="AJ802" s="320">
        <v>1.9607843137254902E-2</v>
      </c>
      <c r="AK802" s="320">
        <v>2.9411764705882349E-2</v>
      </c>
      <c r="AL802" s="319">
        <v>6.75</v>
      </c>
      <c r="AM802" s="319">
        <v>5</v>
      </c>
      <c r="AN802" s="319">
        <v>2</v>
      </c>
      <c r="AO802" s="319">
        <v>0.45833333333333298</v>
      </c>
      <c r="AR802" s="136">
        <v>2</v>
      </c>
      <c r="AT802" s="69">
        <v>6.3414000000000001</v>
      </c>
      <c r="AU802" s="69">
        <v>2.3148</v>
      </c>
      <c r="AV802" s="69">
        <v>2.3148</v>
      </c>
      <c r="AW802" s="69">
        <v>0.36570000000000003</v>
      </c>
      <c r="BB802" s="69"/>
    </row>
    <row r="803" spans="1:54" customFormat="1" ht="40" customHeight="1">
      <c r="A803" s="313">
        <v>802</v>
      </c>
      <c r="B803" s="136" t="s">
        <v>2179</v>
      </c>
      <c r="C803" s="136" t="s">
        <v>119</v>
      </c>
      <c r="D803" s="31">
        <f t="shared" si="56"/>
        <v>1</v>
      </c>
      <c r="E803" s="137" t="s">
        <v>46</v>
      </c>
      <c r="F803" s="31">
        <f t="shared" si="57"/>
        <v>6</v>
      </c>
      <c r="G803" s="137" t="s">
        <v>2199</v>
      </c>
      <c r="H803" s="138">
        <v>63</v>
      </c>
      <c r="I803" s="158">
        <f t="shared" si="58"/>
        <v>0.39141897357297323</v>
      </c>
      <c r="J803" s="95">
        <v>2.1236614316604298E-3</v>
      </c>
      <c r="K803" s="137">
        <v>0.78071428571428603</v>
      </c>
      <c r="L803" s="137">
        <v>0.82499999999999996</v>
      </c>
      <c r="M803" s="137">
        <v>0.71428571428571397</v>
      </c>
      <c r="N803" s="136">
        <v>1</v>
      </c>
      <c r="O803" s="32">
        <v>43287</v>
      </c>
      <c r="P803" s="98">
        <f t="shared" si="59"/>
        <v>1</v>
      </c>
      <c r="Q803">
        <v>0</v>
      </c>
      <c r="R803">
        <v>1.65</v>
      </c>
      <c r="S803">
        <v>0</v>
      </c>
      <c r="T803" s="112" t="s">
        <v>73</v>
      </c>
      <c r="U803" s="137" t="s">
        <v>2200</v>
      </c>
      <c r="V803" s="137" t="s">
        <v>2201</v>
      </c>
      <c r="W803" s="69">
        <v>154</v>
      </c>
      <c r="X803" s="136">
        <v>0</v>
      </c>
      <c r="Y803" s="136">
        <v>4</v>
      </c>
      <c r="Z803" s="314"/>
      <c r="AA803" s="319">
        <v>0.45454545454545398</v>
      </c>
      <c r="AB803" s="315" t="s">
        <v>5165</v>
      </c>
      <c r="AC803" s="319">
        <v>5</v>
      </c>
      <c r="AD803" s="320">
        <v>5.8823529411764698E-2</v>
      </c>
      <c r="AE803" s="319">
        <v>1</v>
      </c>
      <c r="AF803" s="320">
        <v>1.1764705882352899E-2</v>
      </c>
      <c r="AG803" s="319">
        <v>4</v>
      </c>
      <c r="AH803" s="320">
        <v>4.7058823529411702E-2</v>
      </c>
      <c r="AI803" s="319">
        <v>0</v>
      </c>
      <c r="AJ803" s="320">
        <v>0</v>
      </c>
      <c r="AK803" s="320">
        <v>2.3529411764705879E-2</v>
      </c>
      <c r="AL803" s="319">
        <v>5</v>
      </c>
      <c r="AM803" s="319">
        <v>5</v>
      </c>
      <c r="AN803" s="319">
        <v>2</v>
      </c>
      <c r="AO803" s="319">
        <v>0.4</v>
      </c>
      <c r="AR803" s="136">
        <v>4</v>
      </c>
      <c r="AT803" s="69">
        <v>2.3148</v>
      </c>
      <c r="AU803" s="69">
        <v>2.3148</v>
      </c>
      <c r="AV803" s="69">
        <v>2.3148</v>
      </c>
      <c r="AW803" s="69">
        <v>0.23150000000000001</v>
      </c>
      <c r="BB803" s="69"/>
    </row>
    <row r="804" spans="1:54" customFormat="1" ht="40" customHeight="1">
      <c r="A804" s="313">
        <v>803</v>
      </c>
      <c r="B804" s="136" t="s">
        <v>2179</v>
      </c>
      <c r="C804" s="136" t="s">
        <v>45</v>
      </c>
      <c r="D804" s="31">
        <f t="shared" si="56"/>
        <v>4</v>
      </c>
      <c r="E804" s="137" t="s">
        <v>80</v>
      </c>
      <c r="F804" s="31">
        <f t="shared" si="57"/>
        <v>4</v>
      </c>
      <c r="G804" s="137" t="s">
        <v>2202</v>
      </c>
      <c r="H804" s="138">
        <v>67</v>
      </c>
      <c r="I804" s="158">
        <f t="shared" si="58"/>
        <v>0.62475752532180995</v>
      </c>
      <c r="J804" s="95">
        <v>0.435327254207797</v>
      </c>
      <c r="K804" s="137">
        <v>0.81418779643582295</v>
      </c>
      <c r="L804" s="137">
        <v>0.82499999999999996</v>
      </c>
      <c r="M804" s="137">
        <v>0.79796949108955795</v>
      </c>
      <c r="N804" s="136">
        <v>1</v>
      </c>
      <c r="O804" s="32">
        <v>43234</v>
      </c>
      <c r="P804" s="98">
        <f t="shared" si="59"/>
        <v>0</v>
      </c>
      <c r="Q804">
        <v>2.5499999999999998</v>
      </c>
      <c r="R804">
        <v>0</v>
      </c>
      <c r="S804">
        <v>0</v>
      </c>
      <c r="T804" s="112" t="s">
        <v>48</v>
      </c>
      <c r="U804" s="137" t="s">
        <v>2203</v>
      </c>
      <c r="V804" s="137" t="s">
        <v>2204</v>
      </c>
      <c r="W804" s="69">
        <v>150</v>
      </c>
      <c r="X804" s="136">
        <v>0</v>
      </c>
      <c r="Y804" s="136">
        <v>2</v>
      </c>
      <c r="Z804" s="314"/>
      <c r="AA804" s="319">
        <v>0.5</v>
      </c>
      <c r="AB804" s="315" t="s">
        <v>5178</v>
      </c>
      <c r="AC804" s="319">
        <v>3</v>
      </c>
      <c r="AD804" s="320">
        <v>3.4482758620689599E-2</v>
      </c>
      <c r="AE804" s="319">
        <v>3</v>
      </c>
      <c r="AF804" s="320">
        <v>3.4482758620689599E-2</v>
      </c>
      <c r="AG804" s="319">
        <v>1</v>
      </c>
      <c r="AH804" s="320">
        <v>1.1494252873563199E-2</v>
      </c>
      <c r="AI804" s="319">
        <v>0</v>
      </c>
      <c r="AJ804" s="320">
        <v>0</v>
      </c>
      <c r="AK804" s="320">
        <v>1.149425287356322E-2</v>
      </c>
      <c r="AL804" s="319">
        <v>5</v>
      </c>
      <c r="AM804" s="319">
        <v>5</v>
      </c>
      <c r="AN804" s="319">
        <v>2</v>
      </c>
      <c r="AO804" s="319">
        <v>0.4</v>
      </c>
      <c r="AR804" s="136">
        <v>2</v>
      </c>
      <c r="AT804" s="69">
        <v>2.3148</v>
      </c>
      <c r="AU804" s="69">
        <v>2.3148</v>
      </c>
      <c r="AV804" s="69">
        <v>2.3148</v>
      </c>
      <c r="AW804" s="69">
        <v>0.23150000000000001</v>
      </c>
      <c r="BB804" s="69"/>
    </row>
    <row r="805" spans="1:54" customFormat="1" ht="40" customHeight="1">
      <c r="A805" s="313">
        <v>804</v>
      </c>
      <c r="B805" s="136" t="s">
        <v>2179</v>
      </c>
      <c r="C805" s="136" t="s">
        <v>45</v>
      </c>
      <c r="D805" s="31">
        <f t="shared" si="56"/>
        <v>4</v>
      </c>
      <c r="E805" s="137" t="s">
        <v>80</v>
      </c>
      <c r="F805" s="31">
        <f t="shared" si="57"/>
        <v>4</v>
      </c>
      <c r="G805" s="137" t="s">
        <v>2205</v>
      </c>
      <c r="H805" s="138">
        <v>69</v>
      </c>
      <c r="I805" s="158">
        <f t="shared" si="58"/>
        <v>0.39055054433740832</v>
      </c>
      <c r="J805" s="95">
        <v>3.8680296053061902E-4</v>
      </c>
      <c r="K805" s="137">
        <v>0.78071428571428603</v>
      </c>
      <c r="L805" s="137">
        <v>0.82499999999999996</v>
      </c>
      <c r="M805" s="137">
        <v>0.71428571428571397</v>
      </c>
      <c r="N805" s="136">
        <v>0</v>
      </c>
      <c r="O805" s="32">
        <v>43219</v>
      </c>
      <c r="P805" s="98">
        <f t="shared" si="59"/>
        <v>0</v>
      </c>
      <c r="Q805">
        <v>7.65</v>
      </c>
      <c r="R805">
        <v>0</v>
      </c>
      <c r="S805">
        <v>0</v>
      </c>
      <c r="T805" s="112" t="s">
        <v>48</v>
      </c>
      <c r="U805" s="137" t="s">
        <v>2206</v>
      </c>
      <c r="V805" s="137" t="s">
        <v>2207</v>
      </c>
      <c r="W805" s="69">
        <v>132</v>
      </c>
      <c r="X805" s="136">
        <v>0</v>
      </c>
      <c r="Y805" s="136">
        <v>4</v>
      </c>
      <c r="Z805" s="314"/>
      <c r="AA805" s="319">
        <v>0.60499999999999998</v>
      </c>
      <c r="AB805" s="315" t="s">
        <v>5181</v>
      </c>
      <c r="AC805" s="319">
        <v>1</v>
      </c>
      <c r="AD805" s="320">
        <v>1.3157894736842099E-2</v>
      </c>
      <c r="AE805" s="319">
        <v>1</v>
      </c>
      <c r="AF805" s="320">
        <v>1.3157894736842099E-2</v>
      </c>
      <c r="AG805" s="319">
        <v>1</v>
      </c>
      <c r="AH805" s="320">
        <v>1.3157894736842099E-2</v>
      </c>
      <c r="AI805" s="319">
        <v>1</v>
      </c>
      <c r="AJ805" s="320">
        <v>1.3157894736842099E-2</v>
      </c>
      <c r="AK805" s="320">
        <v>1.3157894736842099E-2</v>
      </c>
      <c r="AL805" s="319">
        <v>5</v>
      </c>
      <c r="AM805" s="319">
        <v>5</v>
      </c>
      <c r="AN805" s="319">
        <v>4.6666666666666599</v>
      </c>
      <c r="AO805" s="319">
        <v>0.48888888888888798</v>
      </c>
      <c r="AR805" s="136">
        <v>4</v>
      </c>
      <c r="AT805" s="69">
        <v>2.3148</v>
      </c>
      <c r="AU805" s="69">
        <v>2.3148</v>
      </c>
      <c r="AV805" s="69">
        <v>8.1305999999999994</v>
      </c>
      <c r="AW805" s="69">
        <v>0.42530000000000001</v>
      </c>
      <c r="BB805" s="69"/>
    </row>
    <row r="806" spans="1:54" customFormat="1" ht="40" customHeight="1">
      <c r="A806" s="313">
        <v>805</v>
      </c>
      <c r="B806" s="136" t="s">
        <v>2179</v>
      </c>
      <c r="C806" s="136" t="s">
        <v>45</v>
      </c>
      <c r="D806" s="31">
        <f t="shared" si="56"/>
        <v>4</v>
      </c>
      <c r="E806" s="137" t="s">
        <v>80</v>
      </c>
      <c r="F806" s="31">
        <f t="shared" si="57"/>
        <v>4</v>
      </c>
      <c r="G806" s="137" t="s">
        <v>305</v>
      </c>
      <c r="H806" s="138">
        <v>87</v>
      </c>
      <c r="I806" s="158">
        <f t="shared" si="58"/>
        <v>0.39042509834807432</v>
      </c>
      <c r="J806" s="95">
        <v>1.35910981862608E-4</v>
      </c>
      <c r="K806" s="137">
        <v>0.78071428571428603</v>
      </c>
      <c r="L806" s="137">
        <v>0.82499999999999996</v>
      </c>
      <c r="M806" s="137">
        <v>0.71428571428571397</v>
      </c>
      <c r="N806" s="136">
        <v>0</v>
      </c>
      <c r="O806" s="32">
        <v>43209</v>
      </c>
      <c r="P806" s="98">
        <f t="shared" si="59"/>
        <v>0</v>
      </c>
      <c r="Q806">
        <v>7.65</v>
      </c>
      <c r="R806">
        <v>0</v>
      </c>
      <c r="S806">
        <v>0</v>
      </c>
      <c r="T806" s="112" t="s">
        <v>48</v>
      </c>
      <c r="U806" s="137" t="s">
        <v>2208</v>
      </c>
      <c r="V806" s="137" t="s">
        <v>2209</v>
      </c>
      <c r="W806" s="69">
        <v>201</v>
      </c>
      <c r="X806" s="136">
        <v>0</v>
      </c>
      <c r="Y806" s="136">
        <v>4</v>
      </c>
      <c r="Z806" s="314"/>
      <c r="AA806" s="319">
        <v>0.59450000000000003</v>
      </c>
      <c r="AB806" s="315" t="s">
        <v>5165</v>
      </c>
      <c r="AC806" s="319">
        <v>2</v>
      </c>
      <c r="AD806" s="320">
        <v>1.7543859649122799E-2</v>
      </c>
      <c r="AE806" s="319">
        <v>1</v>
      </c>
      <c r="AF806" s="320">
        <v>8.7719298245613996E-3</v>
      </c>
      <c r="AG806" s="319">
        <v>1</v>
      </c>
      <c r="AH806" s="320">
        <v>8.7719298245613996E-3</v>
      </c>
      <c r="AI806" s="319">
        <v>1</v>
      </c>
      <c r="AJ806" s="320">
        <v>8.7719298245613996E-3</v>
      </c>
      <c r="AK806" s="320">
        <v>8.771929824561403E-3</v>
      </c>
      <c r="AL806" s="319">
        <v>6.75</v>
      </c>
      <c r="AM806" s="319">
        <v>6.2</v>
      </c>
      <c r="AN806" s="319">
        <v>4.6666666666666599</v>
      </c>
      <c r="AO806" s="319">
        <v>0.58722222222222198</v>
      </c>
      <c r="AR806" s="136">
        <v>4</v>
      </c>
      <c r="AT806" s="69">
        <v>6.3414000000000001</v>
      </c>
      <c r="AU806" s="69">
        <v>5</v>
      </c>
      <c r="AV806" s="69">
        <v>8.1305999999999994</v>
      </c>
      <c r="AW806" s="69">
        <v>0.64910000000000001</v>
      </c>
      <c r="BB806" s="69"/>
    </row>
    <row r="807" spans="1:54" customFormat="1" ht="40" customHeight="1">
      <c r="A807" s="313">
        <v>806</v>
      </c>
      <c r="B807" s="136" t="s">
        <v>2179</v>
      </c>
      <c r="C807" s="136" t="s">
        <v>45</v>
      </c>
      <c r="D807" s="31">
        <f t="shared" si="56"/>
        <v>4</v>
      </c>
      <c r="E807" s="137" t="s">
        <v>46</v>
      </c>
      <c r="F807" s="31">
        <f t="shared" si="57"/>
        <v>6</v>
      </c>
      <c r="G807" s="137" t="s">
        <v>2210</v>
      </c>
      <c r="H807" s="138">
        <v>103</v>
      </c>
      <c r="I807" s="158">
        <f t="shared" si="58"/>
        <v>0.33647080497097459</v>
      </c>
      <c r="J807" s="95">
        <v>1.51153567471418E-5</v>
      </c>
      <c r="K807" s="137">
        <v>0.67292649458520204</v>
      </c>
      <c r="L807" s="137">
        <v>0.61983471074380203</v>
      </c>
      <c r="M807" s="137">
        <v>0.75256417034730305</v>
      </c>
      <c r="N807" s="136">
        <v>1</v>
      </c>
      <c r="O807" s="32">
        <v>43198</v>
      </c>
      <c r="P807" s="98">
        <f t="shared" si="59"/>
        <v>0</v>
      </c>
      <c r="Q807">
        <v>2.5499999999999998</v>
      </c>
      <c r="R807">
        <v>1.65</v>
      </c>
      <c r="S807">
        <v>0</v>
      </c>
      <c r="T807" s="112" t="s">
        <v>48</v>
      </c>
      <c r="U807" s="137" t="s">
        <v>2211</v>
      </c>
      <c r="V807" s="137" t="s">
        <v>2212</v>
      </c>
      <c r="W807" s="69">
        <v>82</v>
      </c>
      <c r="X807" s="136">
        <v>0</v>
      </c>
      <c r="Y807" s="136">
        <v>3</v>
      </c>
      <c r="Z807" s="314"/>
      <c r="AA807" s="319">
        <v>0.59450000000000003</v>
      </c>
      <c r="AB807" s="315" t="s">
        <v>5169</v>
      </c>
      <c r="AC807" s="319">
        <v>1</v>
      </c>
      <c r="AD807" s="320">
        <v>2.1739130434782601E-2</v>
      </c>
      <c r="AE807" s="319">
        <v>0</v>
      </c>
      <c r="AF807" s="320">
        <v>0</v>
      </c>
      <c r="AG807" s="319">
        <v>1</v>
      </c>
      <c r="AH807" s="320">
        <v>2.1739130434782601E-2</v>
      </c>
      <c r="AI807" s="319">
        <v>0</v>
      </c>
      <c r="AJ807" s="320">
        <v>0</v>
      </c>
      <c r="AK807" s="320">
        <v>0</v>
      </c>
      <c r="AL807" s="319">
        <v>5</v>
      </c>
      <c r="AM807" s="319">
        <v>6.2</v>
      </c>
      <c r="AN807" s="319">
        <v>2</v>
      </c>
      <c r="AO807" s="319">
        <v>0.44</v>
      </c>
      <c r="AQ807" s="136">
        <v>3</v>
      </c>
      <c r="AT807" s="69">
        <v>2.3148</v>
      </c>
      <c r="AU807" s="69">
        <v>5</v>
      </c>
      <c r="AV807" s="69">
        <v>2.3148</v>
      </c>
      <c r="AW807" s="69">
        <v>0.32100000000000001</v>
      </c>
      <c r="BB807" s="69"/>
    </row>
    <row r="808" spans="1:54" customFormat="1" ht="40" customHeight="1">
      <c r="A808" s="313">
        <v>807</v>
      </c>
      <c r="B808" s="136" t="s">
        <v>2179</v>
      </c>
      <c r="C808" s="136" t="s">
        <v>45</v>
      </c>
      <c r="D808" s="31">
        <f t="shared" si="56"/>
        <v>4</v>
      </c>
      <c r="E808" s="137" t="s">
        <v>46</v>
      </c>
      <c r="F808" s="31">
        <f t="shared" si="57"/>
        <v>6</v>
      </c>
      <c r="G808" s="137" t="s">
        <v>1483</v>
      </c>
      <c r="H808" s="138">
        <v>160</v>
      </c>
      <c r="I808" s="158">
        <f t="shared" si="58"/>
        <v>0.83421151713680752</v>
      </c>
      <c r="J808" s="95">
        <v>0.89923523783779202</v>
      </c>
      <c r="K808" s="137">
        <v>0.76918779643582302</v>
      </c>
      <c r="L808" s="137">
        <v>0.75</v>
      </c>
      <c r="M808" s="137">
        <v>0.79796949108955795</v>
      </c>
      <c r="N808" s="136">
        <v>1</v>
      </c>
      <c r="O808" s="32">
        <v>43178</v>
      </c>
      <c r="P808" s="98">
        <f t="shared" si="59"/>
        <v>0</v>
      </c>
      <c r="Q808">
        <v>5.0999999999999996</v>
      </c>
      <c r="R808">
        <v>3.3</v>
      </c>
      <c r="S808">
        <v>0</v>
      </c>
      <c r="T808" s="112" t="s">
        <v>48</v>
      </c>
      <c r="U808" s="137" t="s">
        <v>2213</v>
      </c>
      <c r="V808" s="137" t="s">
        <v>2214</v>
      </c>
      <c r="W808" s="69">
        <v>56</v>
      </c>
      <c r="X808" s="136">
        <v>0</v>
      </c>
      <c r="Y808" s="136">
        <v>2</v>
      </c>
      <c r="Z808" s="314"/>
      <c r="AA808" s="319">
        <v>0.55000000000000004</v>
      </c>
      <c r="AB808" s="315" t="s">
        <v>5166</v>
      </c>
      <c r="AC808" s="319">
        <v>1</v>
      </c>
      <c r="AD808" s="320">
        <v>2.94117647058823E-2</v>
      </c>
      <c r="AE808" s="319">
        <v>0</v>
      </c>
      <c r="AF808" s="320">
        <v>0</v>
      </c>
      <c r="AG808" s="319">
        <v>0</v>
      </c>
      <c r="AH808" s="320">
        <v>0</v>
      </c>
      <c r="AI808" s="319">
        <v>1</v>
      </c>
      <c r="AJ808" s="320">
        <v>2.94117647058823E-2</v>
      </c>
      <c r="AK808" s="320">
        <v>0</v>
      </c>
      <c r="AL808" s="319">
        <v>5</v>
      </c>
      <c r="AM808" s="319">
        <v>5</v>
      </c>
      <c r="AN808" s="319">
        <v>4.6666666666666599</v>
      </c>
      <c r="AO808" s="319">
        <v>0.48888888888888798</v>
      </c>
      <c r="AR808" s="136">
        <v>2</v>
      </c>
      <c r="AT808" s="69">
        <v>2.3148</v>
      </c>
      <c r="AU808" s="69">
        <v>2.3148</v>
      </c>
      <c r="AV808" s="69">
        <v>8.1305999999999994</v>
      </c>
      <c r="AW808" s="69">
        <v>0.42530000000000001</v>
      </c>
      <c r="BB808" s="69"/>
    </row>
    <row r="809" spans="1:54" customFormat="1" ht="40" customHeight="1">
      <c r="A809" s="313">
        <v>808</v>
      </c>
      <c r="B809" s="136" t="s">
        <v>2179</v>
      </c>
      <c r="C809" s="136" t="s">
        <v>45</v>
      </c>
      <c r="D809" s="31">
        <f t="shared" si="56"/>
        <v>4</v>
      </c>
      <c r="E809" s="137" t="s">
        <v>46</v>
      </c>
      <c r="F809" s="31">
        <f t="shared" si="57"/>
        <v>6</v>
      </c>
      <c r="G809" s="137" t="s">
        <v>2154</v>
      </c>
      <c r="H809" s="138">
        <v>62</v>
      </c>
      <c r="I809" s="158">
        <f t="shared" si="58"/>
        <v>0.36678357845043913</v>
      </c>
      <c r="J809" s="95">
        <v>5.2884513741462396E-3</v>
      </c>
      <c r="K809" s="137">
        <v>0.72827870552673202</v>
      </c>
      <c r="L809" s="137">
        <v>0.68181818181818199</v>
      </c>
      <c r="M809" s="137">
        <v>0.79796949108955795</v>
      </c>
      <c r="N809" s="136">
        <v>1</v>
      </c>
      <c r="O809" s="32">
        <v>43165</v>
      </c>
      <c r="P809" s="98">
        <f t="shared" si="59"/>
        <v>0</v>
      </c>
      <c r="Q809">
        <v>2.5499999999999998</v>
      </c>
      <c r="R809">
        <v>1.65</v>
      </c>
      <c r="S809">
        <v>0</v>
      </c>
      <c r="T809" s="112" t="s">
        <v>48</v>
      </c>
      <c r="U809" s="137" t="s">
        <v>2215</v>
      </c>
      <c r="V809" s="137" t="s">
        <v>2216</v>
      </c>
      <c r="W809" s="69">
        <v>95</v>
      </c>
      <c r="X809" s="136">
        <v>0</v>
      </c>
      <c r="Y809" s="136">
        <v>2</v>
      </c>
      <c r="Z809" s="314"/>
      <c r="AA809" s="319">
        <v>0.5</v>
      </c>
      <c r="AB809" s="315" t="s">
        <v>5194</v>
      </c>
      <c r="AC809" s="319">
        <v>0</v>
      </c>
      <c r="AD809" s="320">
        <v>0</v>
      </c>
      <c r="AE809" s="319">
        <v>1</v>
      </c>
      <c r="AF809" s="320">
        <v>1.85185185185185E-2</v>
      </c>
      <c r="AG809" s="319">
        <v>0</v>
      </c>
      <c r="AH809" s="320">
        <v>0</v>
      </c>
      <c r="AI809" s="319">
        <v>1</v>
      </c>
      <c r="AJ809" s="320">
        <v>1.85185185185185E-2</v>
      </c>
      <c r="AK809" s="320">
        <v>0</v>
      </c>
      <c r="AL809" s="319">
        <v>6.75</v>
      </c>
      <c r="AM809" s="319">
        <v>5</v>
      </c>
      <c r="AN809" s="319">
        <v>2</v>
      </c>
      <c r="AO809" s="319">
        <v>0.45833333333333298</v>
      </c>
      <c r="AR809" s="136">
        <v>2</v>
      </c>
      <c r="AT809" s="69">
        <v>6.3414000000000001</v>
      </c>
      <c r="AU809" s="69">
        <v>2.3148</v>
      </c>
      <c r="AV809" s="69">
        <v>2.3148</v>
      </c>
      <c r="AW809" s="69">
        <v>0.36570000000000003</v>
      </c>
      <c r="BB809" s="69"/>
    </row>
    <row r="810" spans="1:54" customFormat="1" ht="40" customHeight="1">
      <c r="A810" s="313">
        <v>809</v>
      </c>
      <c r="B810" s="136" t="s">
        <v>2179</v>
      </c>
      <c r="C810" s="136" t="s">
        <v>45</v>
      </c>
      <c r="D810" s="31">
        <f t="shared" si="56"/>
        <v>4</v>
      </c>
      <c r="E810" s="137" t="s">
        <v>76</v>
      </c>
      <c r="F810" s="31">
        <f t="shared" si="57"/>
        <v>7</v>
      </c>
      <c r="G810" s="137" t="s">
        <v>2217</v>
      </c>
      <c r="H810" s="138">
        <v>216</v>
      </c>
      <c r="I810" s="158">
        <f t="shared" si="58"/>
        <v>0.32572308480777457</v>
      </c>
      <c r="J810" s="95">
        <v>2.91744313817861E-2</v>
      </c>
      <c r="K810" s="137">
        <v>0.62227173823376303</v>
      </c>
      <c r="L810" s="137">
        <v>0.465690992294366</v>
      </c>
      <c r="M810" s="137">
        <v>0.85714285714285698</v>
      </c>
      <c r="N810" s="136">
        <v>1</v>
      </c>
      <c r="O810" s="32">
        <v>43089</v>
      </c>
      <c r="P810" s="98">
        <f t="shared" si="59"/>
        <v>0</v>
      </c>
      <c r="Q810">
        <v>5.0999999999999996</v>
      </c>
      <c r="R810">
        <v>0</v>
      </c>
      <c r="S810">
        <v>0</v>
      </c>
      <c r="T810" s="112" t="s">
        <v>48</v>
      </c>
      <c r="U810" s="137" t="s">
        <v>2218</v>
      </c>
      <c r="V810" s="137" t="s">
        <v>2219</v>
      </c>
      <c r="W810" s="69">
        <v>193</v>
      </c>
      <c r="X810" s="136">
        <v>0</v>
      </c>
      <c r="Y810" s="136">
        <v>1</v>
      </c>
      <c r="Z810" s="314"/>
      <c r="AA810" s="319">
        <v>4.00570949095631E-3</v>
      </c>
      <c r="AB810" s="315" t="s">
        <v>5176</v>
      </c>
      <c r="AC810" s="319">
        <v>1</v>
      </c>
      <c r="AD810" s="320">
        <v>9.4339622641509396E-3</v>
      </c>
      <c r="AE810" s="319">
        <v>4</v>
      </c>
      <c r="AF810" s="320">
        <v>3.7735849056603703E-2</v>
      </c>
      <c r="AG810" s="319">
        <v>1</v>
      </c>
      <c r="AH810" s="320">
        <v>9.4339622641509396E-3</v>
      </c>
      <c r="AI810" s="319">
        <v>0</v>
      </c>
      <c r="AJ810" s="320">
        <v>0</v>
      </c>
      <c r="AK810" s="320">
        <v>9.433962264150943E-3</v>
      </c>
      <c r="AL810" s="319">
        <v>6.75</v>
      </c>
      <c r="AM810" s="319">
        <v>6.2</v>
      </c>
      <c r="AN810" s="319">
        <v>2</v>
      </c>
      <c r="AO810" s="319">
        <v>0.49833333333333302</v>
      </c>
      <c r="AR810" s="136">
        <v>1</v>
      </c>
      <c r="AT810" s="69">
        <v>6.3414000000000001</v>
      </c>
      <c r="AU810" s="69">
        <v>5</v>
      </c>
      <c r="AV810" s="69">
        <v>2.3148</v>
      </c>
      <c r="AW810" s="69">
        <v>0.45519999999999999</v>
      </c>
      <c r="BB810" s="69"/>
    </row>
    <row r="811" spans="1:54" customFormat="1" ht="40" customHeight="1">
      <c r="A811" s="313">
        <v>810</v>
      </c>
      <c r="B811" s="136" t="s">
        <v>2179</v>
      </c>
      <c r="C811" s="136" t="s">
        <v>45</v>
      </c>
      <c r="D811" s="31">
        <f t="shared" si="56"/>
        <v>4</v>
      </c>
      <c r="E811" s="137" t="s">
        <v>76</v>
      </c>
      <c r="F811" s="31">
        <f t="shared" si="57"/>
        <v>7</v>
      </c>
      <c r="G811" s="137" t="s">
        <v>2220</v>
      </c>
      <c r="H811" s="138">
        <v>33</v>
      </c>
      <c r="I811" s="158">
        <f t="shared" si="58"/>
        <v>0.32895454245884426</v>
      </c>
      <c r="J811" s="95">
        <v>3.9650304705096698E-6</v>
      </c>
      <c r="K811" s="137">
        <v>0.657905119887218</v>
      </c>
      <c r="L811" s="137">
        <v>0.68181818181818199</v>
      </c>
      <c r="M811" s="137">
        <v>0.62203552699077302</v>
      </c>
      <c r="N811" s="136">
        <v>1</v>
      </c>
      <c r="O811" s="32">
        <v>43084</v>
      </c>
      <c r="P811" s="98">
        <f t="shared" si="59"/>
        <v>0</v>
      </c>
      <c r="Q811">
        <v>2.5499999999999998</v>
      </c>
      <c r="R811">
        <v>0</v>
      </c>
      <c r="S811">
        <v>0</v>
      </c>
      <c r="T811" s="112" t="s">
        <v>48</v>
      </c>
      <c r="U811" s="137" t="s">
        <v>2221</v>
      </c>
      <c r="V811" s="137" t="s">
        <v>2222</v>
      </c>
      <c r="W811" s="69">
        <v>182</v>
      </c>
      <c r="X811" s="136">
        <v>0</v>
      </c>
      <c r="Y811" s="136">
        <v>7</v>
      </c>
      <c r="Z811" s="314"/>
      <c r="AA811" s="319">
        <v>0.54500000000000004</v>
      </c>
      <c r="AB811" s="315" t="s">
        <v>5176</v>
      </c>
      <c r="AC811" s="319">
        <v>1</v>
      </c>
      <c r="AD811" s="320">
        <v>1.01010101010101E-2</v>
      </c>
      <c r="AE811" s="319">
        <v>4</v>
      </c>
      <c r="AF811" s="320">
        <v>4.0404040404040401E-2</v>
      </c>
      <c r="AG811" s="319">
        <v>1</v>
      </c>
      <c r="AH811" s="320">
        <v>1.01010101010101E-2</v>
      </c>
      <c r="AI811" s="319">
        <v>0</v>
      </c>
      <c r="AJ811" s="320">
        <v>0</v>
      </c>
      <c r="AK811" s="320">
        <v>1.01010101010101E-2</v>
      </c>
      <c r="AL811" s="319">
        <v>6.75</v>
      </c>
      <c r="AM811" s="319">
        <v>5</v>
      </c>
      <c r="AN811" s="319">
        <v>4.6666666666666599</v>
      </c>
      <c r="AO811" s="319">
        <v>0.54722222222222205</v>
      </c>
      <c r="AR811" s="136">
        <v>7</v>
      </c>
      <c r="AT811" s="69">
        <v>6.3414000000000001</v>
      </c>
      <c r="AU811" s="69">
        <v>2.3148</v>
      </c>
      <c r="AV811" s="69">
        <v>8.1305999999999994</v>
      </c>
      <c r="AW811" s="69">
        <v>0.55959999999999999</v>
      </c>
      <c r="BB811" s="69"/>
    </row>
    <row r="812" spans="1:54" customFormat="1" ht="40" customHeight="1">
      <c r="A812" s="313">
        <v>811</v>
      </c>
      <c r="B812" s="136" t="s">
        <v>2179</v>
      </c>
      <c r="C812" s="136" t="s">
        <v>45</v>
      </c>
      <c r="D812" s="31">
        <f t="shared" si="56"/>
        <v>4</v>
      </c>
      <c r="E812" s="137" t="s">
        <v>80</v>
      </c>
      <c r="F812" s="31">
        <f t="shared" si="57"/>
        <v>4</v>
      </c>
      <c r="G812" s="137" t="s">
        <v>159</v>
      </c>
      <c r="H812" s="138">
        <v>61</v>
      </c>
      <c r="I812" s="158">
        <f t="shared" si="58"/>
        <v>0.39229036479612495</v>
      </c>
      <c r="J812" s="95">
        <v>3.8664438779638698E-3</v>
      </c>
      <c r="K812" s="137">
        <v>0.78071428571428603</v>
      </c>
      <c r="L812" s="137">
        <v>0.82499999999999996</v>
      </c>
      <c r="M812" s="137">
        <v>0.71428571428571397</v>
      </c>
      <c r="N812" s="136">
        <v>1</v>
      </c>
      <c r="O812" s="32">
        <v>43083</v>
      </c>
      <c r="P812" s="98">
        <f t="shared" si="59"/>
        <v>0</v>
      </c>
      <c r="Q812">
        <v>10.199999999999999</v>
      </c>
      <c r="R812">
        <v>0</v>
      </c>
      <c r="S812">
        <v>0</v>
      </c>
      <c r="T812" s="112" t="s">
        <v>48</v>
      </c>
      <c r="U812" s="137" t="s">
        <v>2223</v>
      </c>
      <c r="V812" s="137" t="s">
        <v>2224</v>
      </c>
      <c r="W812" s="69">
        <v>160</v>
      </c>
      <c r="X812" s="136">
        <v>0</v>
      </c>
      <c r="Y812" s="136">
        <v>4</v>
      </c>
      <c r="Z812" s="314"/>
      <c r="AA812" s="319">
        <v>0.60499999999999998</v>
      </c>
      <c r="AB812" s="315" t="s">
        <v>5176</v>
      </c>
      <c r="AC812" s="319">
        <v>0</v>
      </c>
      <c r="AD812" s="320">
        <v>0</v>
      </c>
      <c r="AE812" s="319">
        <v>4</v>
      </c>
      <c r="AF812" s="320">
        <v>4.5977011494252797E-2</v>
      </c>
      <c r="AG812" s="319">
        <v>1</v>
      </c>
      <c r="AH812" s="320">
        <v>1.1494252873563199E-2</v>
      </c>
      <c r="AI812" s="319">
        <v>0</v>
      </c>
      <c r="AJ812" s="320">
        <v>0</v>
      </c>
      <c r="AK812" s="320">
        <v>1.149425287356322E-2</v>
      </c>
      <c r="AL812" s="319">
        <v>6.75</v>
      </c>
      <c r="AM812" s="319">
        <v>5</v>
      </c>
      <c r="AN812" s="319">
        <v>4.6666666666666599</v>
      </c>
      <c r="AO812" s="319">
        <v>0.54722222222222205</v>
      </c>
      <c r="AR812" s="136">
        <v>4</v>
      </c>
      <c r="AT812" s="69">
        <v>6.3414000000000001</v>
      </c>
      <c r="AU812" s="69">
        <v>2.3148</v>
      </c>
      <c r="AV812" s="69">
        <v>8.1305999999999994</v>
      </c>
      <c r="AW812" s="69">
        <v>0.55959999999999999</v>
      </c>
      <c r="BB812" s="69"/>
    </row>
    <row r="813" spans="1:54" customFormat="1" ht="40" customHeight="1">
      <c r="A813" s="313">
        <v>812</v>
      </c>
      <c r="B813" s="136" t="s">
        <v>2179</v>
      </c>
      <c r="C813" s="136" t="s">
        <v>45</v>
      </c>
      <c r="D813" s="31">
        <f t="shared" si="56"/>
        <v>4</v>
      </c>
      <c r="E813" s="137" t="s">
        <v>76</v>
      </c>
      <c r="F813" s="31">
        <f t="shared" si="57"/>
        <v>7</v>
      </c>
      <c r="G813" s="137" t="s">
        <v>2217</v>
      </c>
      <c r="H813" s="138">
        <v>216</v>
      </c>
      <c r="I813" s="158">
        <f t="shared" si="58"/>
        <v>0.50903245247806195</v>
      </c>
      <c r="J813" s="95">
        <v>0.45293602386521897</v>
      </c>
      <c r="K813" s="137">
        <v>0.56512888109090498</v>
      </c>
      <c r="L813" s="137">
        <v>0.465690992294366</v>
      </c>
      <c r="M813" s="137">
        <v>0.71428571428571397</v>
      </c>
      <c r="N813" s="136">
        <v>1</v>
      </c>
      <c r="O813" s="32">
        <v>43083</v>
      </c>
      <c r="P813" s="98">
        <f t="shared" si="59"/>
        <v>0</v>
      </c>
      <c r="Q813">
        <v>5.0999999999999996</v>
      </c>
      <c r="R813">
        <v>0</v>
      </c>
      <c r="S813">
        <v>0</v>
      </c>
      <c r="T813" s="112" t="s">
        <v>48</v>
      </c>
      <c r="U813" s="137" t="s">
        <v>2218</v>
      </c>
      <c r="V813" s="137" t="s">
        <v>2219</v>
      </c>
      <c r="W813" s="69">
        <v>193</v>
      </c>
      <c r="X813" s="136">
        <v>0</v>
      </c>
      <c r="Y813" s="136">
        <v>4</v>
      </c>
      <c r="Z813" s="314"/>
      <c r="AA813" s="319">
        <v>4.00570949095631E-3</v>
      </c>
      <c r="AB813" s="315" t="s">
        <v>5176</v>
      </c>
      <c r="AC813" s="319">
        <v>1</v>
      </c>
      <c r="AD813" s="320">
        <v>9.4339622641509396E-3</v>
      </c>
      <c r="AE813" s="319">
        <v>4</v>
      </c>
      <c r="AF813" s="320">
        <v>3.7735849056603703E-2</v>
      </c>
      <c r="AG813" s="319">
        <v>1</v>
      </c>
      <c r="AH813" s="320">
        <v>9.4339622641509396E-3</v>
      </c>
      <c r="AI813" s="319">
        <v>0</v>
      </c>
      <c r="AJ813" s="320">
        <v>0</v>
      </c>
      <c r="AK813" s="320">
        <v>9.433962264150943E-3</v>
      </c>
      <c r="AL813" s="319">
        <v>6.75</v>
      </c>
      <c r="AM813" s="319">
        <v>6.2</v>
      </c>
      <c r="AN813" s="319">
        <v>2</v>
      </c>
      <c r="AO813" s="319">
        <v>0.49833333333333302</v>
      </c>
      <c r="AR813" s="136">
        <v>4</v>
      </c>
      <c r="AT813" s="69">
        <v>6.3414000000000001</v>
      </c>
      <c r="AU813" s="69">
        <v>5</v>
      </c>
      <c r="AV813" s="69">
        <v>2.3148</v>
      </c>
      <c r="AW813" s="69">
        <v>0.45519999999999999</v>
      </c>
      <c r="BB813" s="69"/>
    </row>
    <row r="814" spans="1:54" customFormat="1" ht="40" customHeight="1">
      <c r="A814" s="313">
        <v>813</v>
      </c>
      <c r="B814" s="136" t="s">
        <v>2179</v>
      </c>
      <c r="C814" s="136" t="s">
        <v>45</v>
      </c>
      <c r="D814" s="31">
        <f t="shared" si="56"/>
        <v>4</v>
      </c>
      <c r="E814" s="137" t="s">
        <v>76</v>
      </c>
      <c r="F814" s="31">
        <f t="shared" si="57"/>
        <v>7</v>
      </c>
      <c r="G814" s="137" t="s">
        <v>2225</v>
      </c>
      <c r="H814" s="138">
        <v>67</v>
      </c>
      <c r="I814" s="158">
        <f t="shared" si="58"/>
        <v>0.40709588073314673</v>
      </c>
      <c r="J814" s="95">
        <v>3.9650304705096698E-6</v>
      </c>
      <c r="K814" s="137">
        <v>0.81418779643582295</v>
      </c>
      <c r="L814" s="137">
        <v>0.82499999999999996</v>
      </c>
      <c r="M814" s="137">
        <v>0.79796949108955795</v>
      </c>
      <c r="N814" s="136">
        <v>1</v>
      </c>
      <c r="O814" s="32">
        <v>43080</v>
      </c>
      <c r="P814" s="98">
        <f t="shared" si="59"/>
        <v>0</v>
      </c>
      <c r="Q814">
        <v>7.65</v>
      </c>
      <c r="R814">
        <v>0</v>
      </c>
      <c r="S814">
        <v>0</v>
      </c>
      <c r="T814" s="112" t="s">
        <v>48</v>
      </c>
      <c r="U814" s="137" t="s">
        <v>2226</v>
      </c>
      <c r="V814" s="137" t="s">
        <v>2227</v>
      </c>
      <c r="W814" s="69">
        <v>98</v>
      </c>
      <c r="X814" s="136">
        <v>0</v>
      </c>
      <c r="Y814" s="136">
        <v>2</v>
      </c>
      <c r="Z814" s="314"/>
      <c r="AA814" s="319">
        <v>0.59450000000000003</v>
      </c>
      <c r="AB814" s="315" t="s">
        <v>5165</v>
      </c>
      <c r="AC814" s="319">
        <v>2</v>
      </c>
      <c r="AD814" s="320">
        <v>3.8461538461538401E-2</v>
      </c>
      <c r="AE814" s="319">
        <v>1</v>
      </c>
      <c r="AF814" s="320">
        <v>1.9230769230769201E-2</v>
      </c>
      <c r="AG814" s="319">
        <v>0</v>
      </c>
      <c r="AH814" s="320">
        <v>0</v>
      </c>
      <c r="AI814" s="319">
        <v>0</v>
      </c>
      <c r="AJ814" s="320">
        <v>0</v>
      </c>
      <c r="AK814" s="320">
        <v>0</v>
      </c>
      <c r="AL814" s="319">
        <v>6.75</v>
      </c>
      <c r="AM814" s="319">
        <v>5</v>
      </c>
      <c r="AN814" s="319">
        <v>2</v>
      </c>
      <c r="AO814" s="319">
        <v>0.45833333333333298</v>
      </c>
      <c r="AR814" s="136">
        <v>2</v>
      </c>
      <c r="AT814" s="69">
        <v>6.3414000000000001</v>
      </c>
      <c r="AU814" s="69">
        <v>2.3148</v>
      </c>
      <c r="AV814" s="69">
        <v>2.3148</v>
      </c>
      <c r="AW814" s="69">
        <v>0.36570000000000003</v>
      </c>
      <c r="BB814" s="69"/>
    </row>
    <row r="815" spans="1:54" customFormat="1" ht="40" customHeight="1">
      <c r="A815" s="313">
        <v>814</v>
      </c>
      <c r="B815" s="136" t="s">
        <v>2179</v>
      </c>
      <c r="C815" s="136" t="s">
        <v>45</v>
      </c>
      <c r="D815" s="31">
        <f t="shared" si="56"/>
        <v>4</v>
      </c>
      <c r="E815" s="137" t="s">
        <v>80</v>
      </c>
      <c r="F815" s="31">
        <f t="shared" si="57"/>
        <v>4</v>
      </c>
      <c r="G815" s="137" t="s">
        <v>2228</v>
      </c>
      <c r="H815" s="138">
        <v>71</v>
      </c>
      <c r="I815" s="158">
        <f t="shared" si="58"/>
        <v>0.36786276679080265</v>
      </c>
      <c r="J815" s="95">
        <v>1.1247867319319499E-5</v>
      </c>
      <c r="K815" s="137">
        <v>0.73571428571428599</v>
      </c>
      <c r="L815" s="137">
        <v>0.75</v>
      </c>
      <c r="M815" s="137">
        <v>0.71428571428571397</v>
      </c>
      <c r="N815" s="136">
        <v>1</v>
      </c>
      <c r="O815" s="32">
        <v>43077</v>
      </c>
      <c r="P815" s="98">
        <f t="shared" si="59"/>
        <v>0</v>
      </c>
      <c r="Q815">
        <v>7.65</v>
      </c>
      <c r="R815">
        <v>0</v>
      </c>
      <c r="S815">
        <v>0</v>
      </c>
      <c r="T815" s="112" t="s">
        <v>48</v>
      </c>
      <c r="U815" s="137" t="s">
        <v>2229</v>
      </c>
      <c r="V815" s="137" t="s">
        <v>2230</v>
      </c>
      <c r="W815" s="69">
        <v>99</v>
      </c>
      <c r="X815" s="136">
        <v>0</v>
      </c>
      <c r="Y815" s="136">
        <v>4</v>
      </c>
      <c r="Z815" s="314"/>
      <c r="AA815" s="319">
        <v>0.54500000000000004</v>
      </c>
      <c r="AB815" s="315" t="s">
        <v>5165</v>
      </c>
      <c r="AC815" s="319">
        <v>2</v>
      </c>
      <c r="AD815" s="320">
        <v>3.7735849056603703E-2</v>
      </c>
      <c r="AE815" s="319">
        <v>1</v>
      </c>
      <c r="AF815" s="320">
        <v>1.8867924528301799E-2</v>
      </c>
      <c r="AG815" s="319">
        <v>0</v>
      </c>
      <c r="AH815" s="320">
        <v>0</v>
      </c>
      <c r="AI815" s="319">
        <v>0</v>
      </c>
      <c r="AJ815" s="320">
        <v>0</v>
      </c>
      <c r="AK815" s="320">
        <v>0</v>
      </c>
      <c r="AL815" s="319">
        <v>5</v>
      </c>
      <c r="AM815" s="319">
        <v>5</v>
      </c>
      <c r="AN815" s="319">
        <v>4.6666666666666599</v>
      </c>
      <c r="AO815" s="319">
        <v>0.48888888888888798</v>
      </c>
      <c r="AR815" s="136">
        <v>4</v>
      </c>
      <c r="AT815" s="69">
        <v>2.3148</v>
      </c>
      <c r="AU815" s="69">
        <v>2.3148</v>
      </c>
      <c r="AV815" s="69">
        <v>8.1305999999999994</v>
      </c>
      <c r="AW815" s="69">
        <v>0.42530000000000001</v>
      </c>
      <c r="BB815" s="69"/>
    </row>
    <row r="816" spans="1:54" customFormat="1" ht="40" customHeight="1">
      <c r="A816" s="313">
        <v>815</v>
      </c>
      <c r="B816" s="136" t="s">
        <v>2179</v>
      </c>
      <c r="C816" s="136" t="s">
        <v>45</v>
      </c>
      <c r="D816" s="31">
        <f t="shared" si="56"/>
        <v>4</v>
      </c>
      <c r="E816" s="137" t="s">
        <v>80</v>
      </c>
      <c r="F816" s="31">
        <f t="shared" si="57"/>
        <v>4</v>
      </c>
      <c r="G816" s="137" t="s">
        <v>2228</v>
      </c>
      <c r="H816" s="138">
        <v>69</v>
      </c>
      <c r="I816" s="158">
        <f t="shared" si="58"/>
        <v>0.3263411976493622</v>
      </c>
      <c r="J816" s="95">
        <v>1.64913888286644E-2</v>
      </c>
      <c r="K816" s="137">
        <v>0.63619100647005999</v>
      </c>
      <c r="L816" s="137">
        <v>0.75</v>
      </c>
      <c r="M816" s="137">
        <v>0.46547751617515098</v>
      </c>
      <c r="N816" s="136">
        <v>1</v>
      </c>
      <c r="O816" s="32">
        <v>43075</v>
      </c>
      <c r="P816" s="98">
        <f t="shared" si="59"/>
        <v>0</v>
      </c>
      <c r="Q816">
        <v>5.0999999999999996</v>
      </c>
      <c r="R816">
        <v>0</v>
      </c>
      <c r="S816">
        <v>0</v>
      </c>
      <c r="T816" s="112" t="s">
        <v>48</v>
      </c>
      <c r="U816" s="137" t="s">
        <v>2231</v>
      </c>
      <c r="V816" s="137" t="s">
        <v>2227</v>
      </c>
      <c r="W816" s="69">
        <v>98</v>
      </c>
      <c r="X816" s="136">
        <v>0</v>
      </c>
      <c r="Y816" s="136">
        <v>14</v>
      </c>
      <c r="Z816" s="314"/>
      <c r="AA816" s="319">
        <v>0.5</v>
      </c>
      <c r="AB816" s="315" t="s">
        <v>5165</v>
      </c>
      <c r="AC816" s="319">
        <v>2</v>
      </c>
      <c r="AD816" s="320">
        <v>3.8461538461538401E-2</v>
      </c>
      <c r="AE816" s="319">
        <v>1</v>
      </c>
      <c r="AF816" s="320">
        <v>1.9230769230769201E-2</v>
      </c>
      <c r="AG816" s="319">
        <v>0</v>
      </c>
      <c r="AH816" s="320">
        <v>0</v>
      </c>
      <c r="AI816" s="319">
        <v>0</v>
      </c>
      <c r="AJ816" s="320">
        <v>0</v>
      </c>
      <c r="AK816" s="320">
        <v>0</v>
      </c>
      <c r="AL816" s="319">
        <v>5</v>
      </c>
      <c r="AM816" s="319">
        <v>5</v>
      </c>
      <c r="AN816" s="319">
        <v>4.6666666666666599</v>
      </c>
      <c r="AO816" s="319">
        <v>0.48888888888888798</v>
      </c>
      <c r="AR816" s="136">
        <v>14</v>
      </c>
      <c r="AT816" s="69">
        <v>2.3148</v>
      </c>
      <c r="AU816" s="69">
        <v>2.3148</v>
      </c>
      <c r="AV816" s="69">
        <v>8.1305999999999994</v>
      </c>
      <c r="AW816" s="69">
        <v>0.42530000000000001</v>
      </c>
      <c r="BB816" s="69"/>
    </row>
    <row r="817" spans="1:54" customFormat="1" ht="40" customHeight="1">
      <c r="A817" s="313">
        <v>816</v>
      </c>
      <c r="B817" s="136" t="s">
        <v>2179</v>
      </c>
      <c r="C817" s="136" t="s">
        <v>45</v>
      </c>
      <c r="D817" s="31">
        <f t="shared" si="56"/>
        <v>4</v>
      </c>
      <c r="E817" s="137" t="s">
        <v>80</v>
      </c>
      <c r="F817" s="31">
        <f t="shared" si="57"/>
        <v>4</v>
      </c>
      <c r="G817" s="137" t="s">
        <v>200</v>
      </c>
      <c r="H817" s="138">
        <v>43</v>
      </c>
      <c r="I817" s="158">
        <f t="shared" si="58"/>
        <v>0.34450790849228924</v>
      </c>
      <c r="J817" s="95">
        <v>4.7318439663435199E-5</v>
      </c>
      <c r="K817" s="137">
        <v>0.68896849854491504</v>
      </c>
      <c r="L817" s="137">
        <v>0.82499999999999996</v>
      </c>
      <c r="M817" s="137">
        <v>0.48492124636228701</v>
      </c>
      <c r="N817" s="136">
        <v>1</v>
      </c>
      <c r="O817" s="32">
        <v>43074</v>
      </c>
      <c r="P817" s="98">
        <f t="shared" si="59"/>
        <v>0</v>
      </c>
      <c r="Q817">
        <v>5.0999999999999996</v>
      </c>
      <c r="R817">
        <v>0</v>
      </c>
      <c r="S817">
        <v>0</v>
      </c>
      <c r="T817" s="112" t="s">
        <v>48</v>
      </c>
      <c r="U817" s="137" t="s">
        <v>2232</v>
      </c>
      <c r="V817" s="137" t="s">
        <v>2227</v>
      </c>
      <c r="W817" s="69">
        <v>98</v>
      </c>
      <c r="X817" s="136">
        <v>0</v>
      </c>
      <c r="Y817" s="136">
        <v>13</v>
      </c>
      <c r="Z817" s="314"/>
      <c r="AA817" s="319">
        <v>0.54500000000000004</v>
      </c>
      <c r="AB817" s="315" t="s">
        <v>5165</v>
      </c>
      <c r="AC817" s="319">
        <v>2</v>
      </c>
      <c r="AD817" s="320">
        <v>3.8461538461538401E-2</v>
      </c>
      <c r="AE817" s="319">
        <v>1</v>
      </c>
      <c r="AF817" s="320">
        <v>1.9230769230769201E-2</v>
      </c>
      <c r="AG817" s="319">
        <v>0</v>
      </c>
      <c r="AH817" s="320">
        <v>0</v>
      </c>
      <c r="AI817" s="319">
        <v>0</v>
      </c>
      <c r="AJ817" s="320">
        <v>0</v>
      </c>
      <c r="AK817" s="320">
        <v>0</v>
      </c>
      <c r="AL817" s="319">
        <v>6.75</v>
      </c>
      <c r="AM817" s="319">
        <v>5</v>
      </c>
      <c r="AN817" s="319">
        <v>7.3333333333333304</v>
      </c>
      <c r="AO817" s="319">
        <v>0.63611111111111096</v>
      </c>
      <c r="AR817" s="136">
        <v>13</v>
      </c>
      <c r="AT817" s="69">
        <v>6.3414000000000001</v>
      </c>
      <c r="AU817" s="69">
        <v>2.3148</v>
      </c>
      <c r="AV817" s="69">
        <v>9.8416999999999994</v>
      </c>
      <c r="AW817" s="69">
        <v>0.61660000000000004</v>
      </c>
      <c r="BB817" s="69"/>
    </row>
    <row r="818" spans="1:54" customFormat="1" ht="40" customHeight="1">
      <c r="A818" s="313">
        <v>817</v>
      </c>
      <c r="B818" s="136" t="s">
        <v>2179</v>
      </c>
      <c r="C818" s="136" t="s">
        <v>45</v>
      </c>
      <c r="D818" s="31">
        <f t="shared" si="56"/>
        <v>4</v>
      </c>
      <c r="E818" s="137" t="s">
        <v>46</v>
      </c>
      <c r="F818" s="31">
        <f t="shared" si="57"/>
        <v>6</v>
      </c>
      <c r="G818" s="137" t="s">
        <v>2233</v>
      </c>
      <c r="H818" s="138">
        <v>137</v>
      </c>
      <c r="I818" s="158">
        <f t="shared" si="58"/>
        <v>0.32517233093301945</v>
      </c>
      <c r="J818" s="95">
        <v>6.3761633211238903E-3</v>
      </c>
      <c r="K818" s="137">
        <v>0.643968498544915</v>
      </c>
      <c r="L818" s="137">
        <v>0.75</v>
      </c>
      <c r="M818" s="137">
        <v>0.48492124636228701</v>
      </c>
      <c r="N818" s="136">
        <v>1</v>
      </c>
      <c r="O818" s="32">
        <v>43068</v>
      </c>
      <c r="P818" s="98">
        <f t="shared" si="59"/>
        <v>0</v>
      </c>
      <c r="Q818">
        <v>10.199999999999999</v>
      </c>
      <c r="R818">
        <v>0</v>
      </c>
      <c r="S818">
        <v>0</v>
      </c>
      <c r="T818" s="112" t="s">
        <v>48</v>
      </c>
      <c r="U818" s="137" t="s">
        <v>2234</v>
      </c>
      <c r="V818" s="137" t="s">
        <v>2235</v>
      </c>
      <c r="W818" s="69">
        <v>60</v>
      </c>
      <c r="X818" s="136">
        <v>0</v>
      </c>
      <c r="Y818" s="136">
        <v>13</v>
      </c>
      <c r="Z818" s="314"/>
      <c r="AA818" s="319">
        <v>0.59450000000000003</v>
      </c>
      <c r="AB818" s="315" t="s">
        <v>5176</v>
      </c>
      <c r="AC818" s="319">
        <v>1</v>
      </c>
      <c r="AD818" s="320">
        <v>3.125E-2</v>
      </c>
      <c r="AE818" s="319">
        <v>2</v>
      </c>
      <c r="AF818" s="320">
        <v>6.25E-2</v>
      </c>
      <c r="AG818" s="319">
        <v>1</v>
      </c>
      <c r="AH818" s="320">
        <v>3.125E-2</v>
      </c>
      <c r="AI818" s="319">
        <v>0</v>
      </c>
      <c r="AJ818" s="320">
        <v>0</v>
      </c>
      <c r="AK818" s="320">
        <v>0</v>
      </c>
      <c r="AL818" s="319">
        <v>8.5</v>
      </c>
      <c r="AM818" s="319">
        <v>5</v>
      </c>
      <c r="AN818" s="319">
        <v>7.3333333333333304</v>
      </c>
      <c r="AO818" s="319">
        <v>0.69444444444444398</v>
      </c>
      <c r="AQ818" s="136">
        <v>13</v>
      </c>
      <c r="AT818" s="69">
        <v>9.0888000000000009</v>
      </c>
      <c r="AU818" s="69">
        <v>2.3148</v>
      </c>
      <c r="AV818" s="69">
        <v>9.8416999999999994</v>
      </c>
      <c r="AW818" s="69">
        <v>0.70820000000000005</v>
      </c>
      <c r="BB818" s="69"/>
    </row>
    <row r="819" spans="1:54" customFormat="1" ht="40" customHeight="1">
      <c r="A819" s="313">
        <v>818</v>
      </c>
      <c r="B819" s="136" t="s">
        <v>2179</v>
      </c>
      <c r="C819" s="136" t="s">
        <v>59</v>
      </c>
      <c r="D819" s="31">
        <f t="shared" si="56"/>
        <v>5</v>
      </c>
      <c r="E819" s="137" t="s">
        <v>46</v>
      </c>
      <c r="F819" s="31">
        <f t="shared" si="57"/>
        <v>6</v>
      </c>
      <c r="G819" s="137" t="s">
        <v>141</v>
      </c>
      <c r="H819" s="138">
        <v>52</v>
      </c>
      <c r="I819" s="158">
        <f t="shared" si="58"/>
        <v>0.32864057117448292</v>
      </c>
      <c r="J819" s="95">
        <v>1.6855074328470099E-6</v>
      </c>
      <c r="K819" s="137">
        <v>0.65727945684153299</v>
      </c>
      <c r="L819" s="137">
        <v>0.56348610067618299</v>
      </c>
      <c r="M819" s="137">
        <v>0.79796949108955795</v>
      </c>
      <c r="N819" s="136">
        <v>1</v>
      </c>
      <c r="O819" s="32">
        <v>43032</v>
      </c>
      <c r="P819" s="98">
        <f t="shared" si="59"/>
        <v>2</v>
      </c>
      <c r="Q819">
        <v>0</v>
      </c>
      <c r="R819">
        <v>0</v>
      </c>
      <c r="S819">
        <v>1.87</v>
      </c>
      <c r="T819" s="112" t="s">
        <v>64</v>
      </c>
      <c r="U819" s="137" t="s">
        <v>2236</v>
      </c>
      <c r="V819" s="137" t="s">
        <v>2237</v>
      </c>
      <c r="W819" s="69">
        <v>108</v>
      </c>
      <c r="X819" s="136">
        <v>0</v>
      </c>
      <c r="Y819" s="136">
        <v>2</v>
      </c>
      <c r="Z819" s="314"/>
      <c r="AA819" s="319">
        <v>2.4893534183931899E-2</v>
      </c>
      <c r="AB819" s="315" t="s">
        <v>5176</v>
      </c>
      <c r="AC819" s="319">
        <v>2</v>
      </c>
      <c r="AD819" s="320">
        <v>3.38983050847457E-2</v>
      </c>
      <c r="AE819" s="319">
        <v>5</v>
      </c>
      <c r="AF819" s="320">
        <v>8.4745762711864403E-2</v>
      </c>
      <c r="AG819" s="319">
        <v>1</v>
      </c>
      <c r="AH819" s="320">
        <v>1.6949152542372801E-2</v>
      </c>
      <c r="AI819" s="319">
        <v>0</v>
      </c>
      <c r="AJ819" s="320">
        <v>0</v>
      </c>
      <c r="AK819" s="320">
        <v>5.0847457627118647E-2</v>
      </c>
      <c r="AL819" s="319">
        <v>5</v>
      </c>
      <c r="AM819" s="319">
        <v>5</v>
      </c>
      <c r="AN819" s="319">
        <v>3.5</v>
      </c>
      <c r="AO819" s="319">
        <v>0.45</v>
      </c>
      <c r="AR819" s="136">
        <v>2</v>
      </c>
      <c r="AT819" s="69">
        <v>2.3148</v>
      </c>
      <c r="AU819" s="69">
        <v>2.3148</v>
      </c>
      <c r="AV819" s="69">
        <v>5.7443999999999997</v>
      </c>
      <c r="AW819" s="69">
        <v>0.3458</v>
      </c>
      <c r="BB819" s="69"/>
    </row>
    <row r="820" spans="1:54" customFormat="1" ht="40" customHeight="1">
      <c r="A820" s="313">
        <v>819</v>
      </c>
      <c r="B820" s="136" t="s">
        <v>2179</v>
      </c>
      <c r="C820" s="136" t="s">
        <v>45</v>
      </c>
      <c r="D820" s="31">
        <f t="shared" si="56"/>
        <v>4</v>
      </c>
      <c r="E820" s="137" t="s">
        <v>46</v>
      </c>
      <c r="F820" s="31">
        <f t="shared" si="57"/>
        <v>6</v>
      </c>
      <c r="G820" s="137" t="s">
        <v>2238</v>
      </c>
      <c r="H820" s="138">
        <v>33</v>
      </c>
      <c r="I820" s="158">
        <f t="shared" si="58"/>
        <v>0.77885526394559657</v>
      </c>
      <c r="J820" s="95">
        <v>0.78852273145537</v>
      </c>
      <c r="K820" s="137">
        <v>0.76918779643582302</v>
      </c>
      <c r="L820" s="137">
        <v>0.75</v>
      </c>
      <c r="M820" s="137">
        <v>0.79796949108955795</v>
      </c>
      <c r="N820" s="136">
        <v>0</v>
      </c>
      <c r="O820" s="32">
        <v>43031</v>
      </c>
      <c r="P820" s="98">
        <f t="shared" si="59"/>
        <v>1</v>
      </c>
      <c r="Q820">
        <v>0</v>
      </c>
      <c r="R820">
        <v>1.65</v>
      </c>
      <c r="S820">
        <v>0</v>
      </c>
      <c r="T820" s="112" t="s">
        <v>73</v>
      </c>
      <c r="U820" s="137" t="s">
        <v>2239</v>
      </c>
      <c r="V820" s="137" t="s">
        <v>2240</v>
      </c>
      <c r="W820" s="69">
        <v>122</v>
      </c>
      <c r="X820" s="136">
        <v>0</v>
      </c>
      <c r="Y820" s="136">
        <v>2</v>
      </c>
      <c r="Z820" s="314"/>
      <c r="AA820" s="319">
        <v>0.5</v>
      </c>
      <c r="AB820" s="315" t="s">
        <v>5178</v>
      </c>
      <c r="AC820" s="319">
        <v>2</v>
      </c>
      <c r="AD820" s="320">
        <v>2.8571428571428501E-2</v>
      </c>
      <c r="AE820" s="319">
        <v>2</v>
      </c>
      <c r="AF820" s="320">
        <v>2.8571428571428501E-2</v>
      </c>
      <c r="AG820" s="319">
        <v>1</v>
      </c>
      <c r="AH820" s="320">
        <v>1.42857142857142E-2</v>
      </c>
      <c r="AI820" s="319">
        <v>0</v>
      </c>
      <c r="AJ820" s="320">
        <v>0</v>
      </c>
      <c r="AK820" s="320">
        <v>0</v>
      </c>
      <c r="AL820" s="319">
        <v>5</v>
      </c>
      <c r="AM820" s="319">
        <v>5</v>
      </c>
      <c r="AN820" s="319">
        <v>4.6666666666666599</v>
      </c>
      <c r="AO820" s="319">
        <v>0.48888888888888798</v>
      </c>
      <c r="AR820" s="136">
        <v>2</v>
      </c>
      <c r="AT820" s="69">
        <v>2.3148</v>
      </c>
      <c r="AU820" s="69">
        <v>2.3148</v>
      </c>
      <c r="AV820" s="69">
        <v>8.1305999999999994</v>
      </c>
      <c r="AW820" s="69">
        <v>0.42530000000000001</v>
      </c>
      <c r="BB820" s="69"/>
    </row>
    <row r="821" spans="1:54" customFormat="1" ht="40" customHeight="1">
      <c r="A821" s="313">
        <v>820</v>
      </c>
      <c r="B821" s="136" t="s">
        <v>2179</v>
      </c>
      <c r="C821" s="136" t="s">
        <v>45</v>
      </c>
      <c r="D821" s="31">
        <f t="shared" si="56"/>
        <v>4</v>
      </c>
      <c r="E821" s="137" t="s">
        <v>80</v>
      </c>
      <c r="F821" s="31">
        <f t="shared" si="57"/>
        <v>4</v>
      </c>
      <c r="G821" s="137" t="s">
        <v>2241</v>
      </c>
      <c r="H821" s="138">
        <v>52</v>
      </c>
      <c r="I821" s="158">
        <f t="shared" si="58"/>
        <v>0.36499720482421644</v>
      </c>
      <c r="J821" s="95">
        <v>7.7697226484209096E-3</v>
      </c>
      <c r="K821" s="137">
        <v>0.72222468700001197</v>
      </c>
      <c r="L821" s="137">
        <v>0.75</v>
      </c>
      <c r="M821" s="137">
        <v>0.68056171750003003</v>
      </c>
      <c r="N821" s="136">
        <v>1</v>
      </c>
      <c r="O821" s="32">
        <v>42942</v>
      </c>
      <c r="P821" s="98">
        <f t="shared" si="59"/>
        <v>0</v>
      </c>
      <c r="Q821">
        <v>0</v>
      </c>
      <c r="R821">
        <v>0</v>
      </c>
      <c r="S821">
        <v>0</v>
      </c>
      <c r="T821" s="112" t="s">
        <v>48</v>
      </c>
      <c r="U821" s="137" t="s">
        <v>2242</v>
      </c>
      <c r="V821" s="137" t="s">
        <v>2243</v>
      </c>
      <c r="W821" s="69">
        <v>219</v>
      </c>
      <c r="X821" s="136">
        <v>0</v>
      </c>
      <c r="Y821" s="136">
        <v>5</v>
      </c>
      <c r="Z821" s="314"/>
      <c r="AA821" s="319">
        <v>0.55000000000000004</v>
      </c>
      <c r="AB821" s="315" t="s">
        <v>5165</v>
      </c>
      <c r="AC821" s="319">
        <v>3</v>
      </c>
      <c r="AD821" s="320">
        <v>2.5210084033613401E-2</v>
      </c>
      <c r="AE821" s="319">
        <v>1</v>
      </c>
      <c r="AF821" s="320">
        <v>8.4033613445378096E-3</v>
      </c>
      <c r="AG821" s="319">
        <v>2</v>
      </c>
      <c r="AH821" s="320">
        <v>1.6806722689075598E-2</v>
      </c>
      <c r="AI821" s="319">
        <v>0</v>
      </c>
      <c r="AJ821" s="320">
        <v>0</v>
      </c>
      <c r="AK821" s="320">
        <v>0</v>
      </c>
      <c r="AL821" s="319">
        <v>5</v>
      </c>
      <c r="AM821" s="319">
        <v>6.2</v>
      </c>
      <c r="AN821" s="319">
        <v>2</v>
      </c>
      <c r="AO821" s="319">
        <v>0.44</v>
      </c>
      <c r="AR821" s="136">
        <v>5</v>
      </c>
      <c r="AT821" s="69">
        <v>2.3148</v>
      </c>
      <c r="AU821" s="69">
        <v>5</v>
      </c>
      <c r="AV821" s="69">
        <v>2.3148</v>
      </c>
      <c r="AW821" s="69">
        <v>0.32100000000000001</v>
      </c>
      <c r="BB821" s="69"/>
    </row>
    <row r="822" spans="1:54" customFormat="1" ht="40" customHeight="1">
      <c r="A822" s="313">
        <v>821</v>
      </c>
      <c r="B822" s="136" t="s">
        <v>2179</v>
      </c>
      <c r="C822" s="136" t="s">
        <v>119</v>
      </c>
      <c r="D822" s="31">
        <f t="shared" si="56"/>
        <v>1</v>
      </c>
      <c r="E822" s="137" t="s">
        <v>46</v>
      </c>
      <c r="F822" s="31">
        <f t="shared" si="57"/>
        <v>6</v>
      </c>
      <c r="G822" s="137" t="s">
        <v>2244</v>
      </c>
      <c r="H822" s="138">
        <v>117</v>
      </c>
      <c r="I822" s="158">
        <f t="shared" si="58"/>
        <v>0.7986582949365244</v>
      </c>
      <c r="J822" s="95">
        <v>0.92801817045409896</v>
      </c>
      <c r="K822" s="137">
        <v>0.66929841941894996</v>
      </c>
      <c r="L822" s="137">
        <v>0.75</v>
      </c>
      <c r="M822" s="137">
        <v>0.54824604854737402</v>
      </c>
      <c r="N822" s="136">
        <v>0</v>
      </c>
      <c r="O822" s="32">
        <v>42825</v>
      </c>
      <c r="P822" s="98">
        <f t="shared" si="59"/>
        <v>1</v>
      </c>
      <c r="Q822">
        <v>0</v>
      </c>
      <c r="R822">
        <v>0</v>
      </c>
      <c r="S822">
        <v>0</v>
      </c>
      <c r="T822" s="112" t="s">
        <v>73</v>
      </c>
      <c r="U822" s="137" t="s">
        <v>2245</v>
      </c>
      <c r="V822" s="137" t="s">
        <v>2246</v>
      </c>
      <c r="W822" s="69">
        <v>120</v>
      </c>
      <c r="X822" s="136">
        <v>0</v>
      </c>
      <c r="Y822" s="136">
        <v>10</v>
      </c>
      <c r="Z822" s="314"/>
      <c r="AA822" s="319">
        <v>0.45454545454545398</v>
      </c>
      <c r="AB822" s="315" t="s">
        <v>5165</v>
      </c>
      <c r="AC822" s="319">
        <v>2</v>
      </c>
      <c r="AD822" s="320">
        <v>2.8985507246376802E-2</v>
      </c>
      <c r="AE822" s="319">
        <v>0</v>
      </c>
      <c r="AF822" s="320">
        <v>0</v>
      </c>
      <c r="AG822" s="319">
        <v>1</v>
      </c>
      <c r="AH822" s="320">
        <v>1.4492753623188401E-2</v>
      </c>
      <c r="AI822" s="319">
        <v>0</v>
      </c>
      <c r="AJ822" s="320">
        <v>0</v>
      </c>
      <c r="AK822" s="320">
        <v>1.4492753623188409E-2</v>
      </c>
      <c r="AL822" s="319">
        <v>5</v>
      </c>
      <c r="AM822" s="319">
        <v>5</v>
      </c>
      <c r="AN822" s="319">
        <v>2</v>
      </c>
      <c r="AO822" s="319">
        <v>0.4</v>
      </c>
      <c r="AR822" s="136">
        <v>10</v>
      </c>
      <c r="AT822" s="69">
        <v>2.3148</v>
      </c>
      <c r="AU822" s="69">
        <v>2.3148</v>
      </c>
      <c r="AV822" s="69">
        <v>2.3148</v>
      </c>
      <c r="AW822" s="69">
        <v>0.23150000000000001</v>
      </c>
      <c r="BB822" s="69"/>
    </row>
    <row r="823" spans="1:54" customFormat="1" ht="40" customHeight="1">
      <c r="A823" s="313">
        <v>822</v>
      </c>
      <c r="B823" s="136" t="s">
        <v>2179</v>
      </c>
      <c r="C823" s="136" t="s">
        <v>45</v>
      </c>
      <c r="D823" s="31">
        <f t="shared" si="56"/>
        <v>4</v>
      </c>
      <c r="E823" s="137" t="s">
        <v>46</v>
      </c>
      <c r="F823" s="31">
        <f t="shared" si="57"/>
        <v>6</v>
      </c>
      <c r="G823" s="137" t="s">
        <v>2247</v>
      </c>
      <c r="H823" s="138">
        <v>462</v>
      </c>
      <c r="I823" s="158">
        <f t="shared" si="58"/>
        <v>0.782142631448285</v>
      </c>
      <c r="J823" s="95">
        <v>0.99999954861085605</v>
      </c>
      <c r="K823" s="137">
        <v>0.56428571428571395</v>
      </c>
      <c r="L823" s="137">
        <v>0.75</v>
      </c>
      <c r="M823" s="137">
        <v>0.28571428571428598</v>
      </c>
      <c r="N823" s="136">
        <v>1</v>
      </c>
      <c r="O823" s="32">
        <v>42667</v>
      </c>
      <c r="P823" s="98">
        <f t="shared" si="59"/>
        <v>0</v>
      </c>
      <c r="Q823">
        <v>7.65</v>
      </c>
      <c r="R823">
        <v>1.65</v>
      </c>
      <c r="S823">
        <v>0</v>
      </c>
      <c r="T823" s="112" t="s">
        <v>48</v>
      </c>
      <c r="U823" s="137" t="s">
        <v>2248</v>
      </c>
      <c r="V823" s="137" t="s">
        <v>2249</v>
      </c>
      <c r="W823" s="69">
        <v>190</v>
      </c>
      <c r="X823" s="136">
        <v>7</v>
      </c>
      <c r="Y823" s="136">
        <v>25</v>
      </c>
      <c r="Z823" s="314"/>
      <c r="AA823" s="319">
        <v>0.45454545454545398</v>
      </c>
      <c r="AB823" s="315" t="s">
        <v>5165</v>
      </c>
      <c r="AC823" s="319">
        <v>3</v>
      </c>
      <c r="AD823" s="320">
        <v>2.6315789473684199E-2</v>
      </c>
      <c r="AE823" s="319">
        <v>0</v>
      </c>
      <c r="AF823" s="320">
        <v>0</v>
      </c>
      <c r="AG823" s="319">
        <v>0</v>
      </c>
      <c r="AH823" s="320">
        <v>0</v>
      </c>
      <c r="AI823" s="319">
        <v>0</v>
      </c>
      <c r="AJ823" s="320">
        <v>0</v>
      </c>
      <c r="AK823" s="320">
        <v>0</v>
      </c>
      <c r="AL823" s="319">
        <v>5</v>
      </c>
      <c r="AM823" s="319">
        <v>5</v>
      </c>
      <c r="AN823" s="319">
        <v>2</v>
      </c>
      <c r="AO823" s="319">
        <v>0.4</v>
      </c>
      <c r="AP823">
        <v>25</v>
      </c>
      <c r="AQ823" s="136">
        <v>25</v>
      </c>
      <c r="AT823" s="69">
        <v>2.3148</v>
      </c>
      <c r="AU823" s="69">
        <v>2.3148</v>
      </c>
      <c r="AV823" s="69">
        <v>2.3148</v>
      </c>
      <c r="AW823" s="69">
        <v>0.23150000000000001</v>
      </c>
      <c r="BB823" s="69"/>
    </row>
    <row r="824" spans="1:54" customFormat="1" ht="40" customHeight="1">
      <c r="A824" s="313">
        <v>823</v>
      </c>
      <c r="B824" s="136" t="s">
        <v>2179</v>
      </c>
      <c r="C824" s="136" t="s">
        <v>59</v>
      </c>
      <c r="D824" s="31">
        <f t="shared" si="56"/>
        <v>5</v>
      </c>
      <c r="E824" s="137" t="s">
        <v>46</v>
      </c>
      <c r="F824" s="31">
        <f t="shared" si="57"/>
        <v>6</v>
      </c>
      <c r="G824" s="137" t="s">
        <v>2250</v>
      </c>
      <c r="H824" s="138">
        <v>202</v>
      </c>
      <c r="I824" s="158">
        <f t="shared" si="58"/>
        <v>0.79591627003362952</v>
      </c>
      <c r="J824" s="95">
        <v>0.913261111495831</v>
      </c>
      <c r="K824" s="137">
        <v>0.67857142857142805</v>
      </c>
      <c r="L824" s="137">
        <v>0.75</v>
      </c>
      <c r="M824" s="137">
        <v>0.57142857142857095</v>
      </c>
      <c r="N824" s="136">
        <v>1</v>
      </c>
      <c r="O824" s="32">
        <v>42666</v>
      </c>
      <c r="P824" s="98">
        <f t="shared" si="59"/>
        <v>2</v>
      </c>
      <c r="Q824">
        <v>2.5499999999999998</v>
      </c>
      <c r="R824">
        <v>1.65</v>
      </c>
      <c r="S824">
        <v>3.74</v>
      </c>
      <c r="T824" s="112" t="s">
        <v>64</v>
      </c>
      <c r="U824" s="137" t="s">
        <v>2251</v>
      </c>
      <c r="V824" s="137" t="s">
        <v>2252</v>
      </c>
      <c r="W824" s="69">
        <v>199</v>
      </c>
      <c r="X824" s="136">
        <v>2</v>
      </c>
      <c r="Y824" s="136">
        <v>9</v>
      </c>
      <c r="Z824" s="314"/>
      <c r="AA824" s="319">
        <v>0.59450000000000003</v>
      </c>
      <c r="AB824" s="315" t="s">
        <v>5176</v>
      </c>
      <c r="AC824" s="319">
        <v>1</v>
      </c>
      <c r="AD824" s="320">
        <v>8.9285714285714194E-3</v>
      </c>
      <c r="AE824" s="319">
        <v>3</v>
      </c>
      <c r="AF824" s="320">
        <v>2.6785714285714201E-2</v>
      </c>
      <c r="AG824" s="319">
        <v>1</v>
      </c>
      <c r="AH824" s="320">
        <v>8.9285714285714194E-3</v>
      </c>
      <c r="AI824" s="319">
        <v>0</v>
      </c>
      <c r="AJ824" s="320">
        <v>0</v>
      </c>
      <c r="AK824" s="320">
        <v>0</v>
      </c>
      <c r="AL824" s="319">
        <v>5</v>
      </c>
      <c r="AM824" s="319">
        <v>5</v>
      </c>
      <c r="AN824" s="319">
        <v>7.3333333333333304</v>
      </c>
      <c r="AO824" s="319">
        <v>0.57777777777777695</v>
      </c>
      <c r="AP824">
        <v>9</v>
      </c>
      <c r="AQ824" s="136">
        <v>9</v>
      </c>
      <c r="AT824" s="69">
        <v>2.3148</v>
      </c>
      <c r="AU824" s="69">
        <v>2.3148</v>
      </c>
      <c r="AV824" s="69">
        <v>9.8416999999999994</v>
      </c>
      <c r="AW824" s="69">
        <v>0.4824</v>
      </c>
      <c r="BB824" s="69"/>
    </row>
    <row r="825" spans="1:54" customFormat="1" ht="40" customHeight="1">
      <c r="A825" s="313">
        <v>824</v>
      </c>
      <c r="B825" s="136" t="s">
        <v>2179</v>
      </c>
      <c r="C825" s="136" t="s">
        <v>45</v>
      </c>
      <c r="D825" s="31">
        <f t="shared" si="56"/>
        <v>4</v>
      </c>
      <c r="E825" s="137" t="s">
        <v>46</v>
      </c>
      <c r="F825" s="31">
        <f t="shared" si="57"/>
        <v>6</v>
      </c>
      <c r="G825" s="137" t="s">
        <v>2253</v>
      </c>
      <c r="H825" s="138">
        <v>107</v>
      </c>
      <c r="I825" s="158">
        <f t="shared" si="58"/>
        <v>0.35125670813473303</v>
      </c>
      <c r="J825" s="95">
        <v>3.3214996850516099E-2</v>
      </c>
      <c r="K825" s="137">
        <v>0.66929841941894996</v>
      </c>
      <c r="L825" s="137">
        <v>0.75</v>
      </c>
      <c r="M825" s="137">
        <v>0.54824604854737402</v>
      </c>
      <c r="N825" s="136">
        <v>1</v>
      </c>
      <c r="O825" s="32">
        <v>42622</v>
      </c>
      <c r="P825" s="98">
        <f t="shared" si="59"/>
        <v>0</v>
      </c>
      <c r="Q825">
        <v>5.0999999999999996</v>
      </c>
      <c r="R825">
        <v>1.65</v>
      </c>
      <c r="S825">
        <v>0</v>
      </c>
      <c r="T825" s="112" t="s">
        <v>48</v>
      </c>
      <c r="U825" s="137" t="s">
        <v>2254</v>
      </c>
      <c r="V825" s="137" t="s">
        <v>2255</v>
      </c>
      <c r="W825" s="69">
        <v>154</v>
      </c>
      <c r="X825" s="136">
        <v>0</v>
      </c>
      <c r="Y825" s="136">
        <v>10</v>
      </c>
      <c r="Z825" s="314"/>
      <c r="AA825" s="319">
        <v>0.5</v>
      </c>
      <c r="AB825" s="315" t="s">
        <v>5178</v>
      </c>
      <c r="AC825" s="319">
        <v>1</v>
      </c>
      <c r="AD825" s="320">
        <v>1.09890109890109E-2</v>
      </c>
      <c r="AE825" s="319">
        <v>1</v>
      </c>
      <c r="AF825" s="320">
        <v>1.09890109890109E-2</v>
      </c>
      <c r="AG825" s="319">
        <v>0</v>
      </c>
      <c r="AH825" s="320">
        <v>0</v>
      </c>
      <c r="AI825" s="319">
        <v>0</v>
      </c>
      <c r="AJ825" s="320">
        <v>0</v>
      </c>
      <c r="AK825" s="320">
        <v>0</v>
      </c>
      <c r="AL825" s="319">
        <v>5</v>
      </c>
      <c r="AM825" s="319">
        <v>5</v>
      </c>
      <c r="AN825" s="319">
        <v>7.3333333333333304</v>
      </c>
      <c r="AO825" s="319">
        <v>0.57777777777777695</v>
      </c>
      <c r="AR825" s="136">
        <v>10</v>
      </c>
      <c r="AT825" s="69">
        <v>2.3148</v>
      </c>
      <c r="AU825" s="69">
        <v>2.3148</v>
      </c>
      <c r="AV825" s="69">
        <v>9.8416999999999994</v>
      </c>
      <c r="AW825" s="69">
        <v>0.4824</v>
      </c>
      <c r="BB825" s="69"/>
    </row>
    <row r="826" spans="1:54" customFormat="1" ht="40" customHeight="1">
      <c r="A826" s="313">
        <v>825</v>
      </c>
      <c r="B826" s="136" t="s">
        <v>2179</v>
      </c>
      <c r="C826" s="136" t="s">
        <v>45</v>
      </c>
      <c r="D826" s="31">
        <f t="shared" si="56"/>
        <v>4</v>
      </c>
      <c r="E826" s="137" t="s">
        <v>46</v>
      </c>
      <c r="F826" s="31">
        <f t="shared" si="57"/>
        <v>6</v>
      </c>
      <c r="G826" s="137" t="s">
        <v>2256</v>
      </c>
      <c r="H826" s="138">
        <v>191</v>
      </c>
      <c r="I826" s="158">
        <f t="shared" si="58"/>
        <v>0.26752959490159534</v>
      </c>
      <c r="J826" s="95">
        <v>1.5796330151696101E-5</v>
      </c>
      <c r="K826" s="137">
        <v>0.53504339347303898</v>
      </c>
      <c r="L826" s="137">
        <v>0.68181818181818199</v>
      </c>
      <c r="M826" s="137">
        <v>0.31488121095532601</v>
      </c>
      <c r="N826" s="136">
        <v>1</v>
      </c>
      <c r="O826" s="32">
        <v>42568</v>
      </c>
      <c r="P826" s="98">
        <f t="shared" si="59"/>
        <v>0</v>
      </c>
      <c r="Q826">
        <v>2.5499999999999998</v>
      </c>
      <c r="R826">
        <v>0</v>
      </c>
      <c r="S826">
        <v>1.87</v>
      </c>
      <c r="T826" s="112" t="s">
        <v>48</v>
      </c>
      <c r="U826" s="137" t="s">
        <v>2257</v>
      </c>
      <c r="V826" s="137" t="s">
        <v>2255</v>
      </c>
      <c r="W826" s="69">
        <v>154</v>
      </c>
      <c r="X826" s="136">
        <v>4</v>
      </c>
      <c r="Y826" s="136">
        <v>23</v>
      </c>
      <c r="Z826" s="314"/>
      <c r="AA826" s="319">
        <v>0.55000000000000004</v>
      </c>
      <c r="AB826" s="315" t="s">
        <v>5178</v>
      </c>
      <c r="AC826" s="319">
        <v>1</v>
      </c>
      <c r="AD826" s="320">
        <v>1.09890109890109E-2</v>
      </c>
      <c r="AE826" s="319">
        <v>1</v>
      </c>
      <c r="AF826" s="320">
        <v>1.09890109890109E-2</v>
      </c>
      <c r="AG826" s="319">
        <v>0</v>
      </c>
      <c r="AH826" s="320">
        <v>0</v>
      </c>
      <c r="AI826" s="319">
        <v>0</v>
      </c>
      <c r="AJ826" s="320">
        <v>0</v>
      </c>
      <c r="AK826" s="320">
        <v>0</v>
      </c>
      <c r="AL826" s="319">
        <v>5</v>
      </c>
      <c r="AM826" s="319">
        <v>6.2</v>
      </c>
      <c r="AN826" s="319">
        <v>2</v>
      </c>
      <c r="AO826" s="319">
        <v>0.44</v>
      </c>
      <c r="AP826">
        <v>23</v>
      </c>
      <c r="AR826" s="136">
        <v>23</v>
      </c>
      <c r="AT826" s="69">
        <v>2.3148</v>
      </c>
      <c r="AU826" s="69">
        <v>5</v>
      </c>
      <c r="AV826" s="69">
        <v>2.3148</v>
      </c>
      <c r="AW826" s="69">
        <v>0.32100000000000001</v>
      </c>
      <c r="BB826" s="69"/>
    </row>
    <row r="827" spans="1:54" customFormat="1" ht="40" customHeight="1">
      <c r="A827" s="313">
        <v>826</v>
      </c>
      <c r="B827" s="136" t="s">
        <v>2179</v>
      </c>
      <c r="C827" s="136" t="s">
        <v>45</v>
      </c>
      <c r="D827" s="31">
        <f t="shared" si="56"/>
        <v>4</v>
      </c>
      <c r="E827" s="137" t="s">
        <v>80</v>
      </c>
      <c r="F827" s="31">
        <f t="shared" si="57"/>
        <v>4</v>
      </c>
      <c r="G827" s="137" t="s">
        <v>2258</v>
      </c>
      <c r="H827" s="138">
        <v>33</v>
      </c>
      <c r="I827" s="158">
        <f t="shared" si="58"/>
        <v>0.79098791427493897</v>
      </c>
      <c r="J827" s="95">
        <v>0.99999958625407404</v>
      </c>
      <c r="K827" s="137">
        <v>0.58197624229580402</v>
      </c>
      <c r="L827" s="137">
        <v>0.75</v>
      </c>
      <c r="M827" s="137">
        <v>0.32994060573951001</v>
      </c>
      <c r="N827" s="136">
        <v>1</v>
      </c>
      <c r="O827" s="32">
        <v>42533</v>
      </c>
      <c r="P827" s="98">
        <f t="shared" si="59"/>
        <v>1</v>
      </c>
      <c r="Q827">
        <v>0</v>
      </c>
      <c r="R827">
        <v>0</v>
      </c>
      <c r="S827">
        <v>0</v>
      </c>
      <c r="T827" s="112" t="s">
        <v>73</v>
      </c>
      <c r="U827" s="137" t="s">
        <v>2259</v>
      </c>
      <c r="V827" s="137" t="s">
        <v>2260</v>
      </c>
      <c r="W827" s="69">
        <v>81</v>
      </c>
      <c r="X827" s="136">
        <v>3</v>
      </c>
      <c r="Y827" s="136">
        <v>22</v>
      </c>
      <c r="Z827" s="314"/>
      <c r="AA827" s="319">
        <v>0.60499999999999998</v>
      </c>
      <c r="AB827" s="315" t="s">
        <v>5165</v>
      </c>
      <c r="AC827" s="319">
        <v>3</v>
      </c>
      <c r="AD827" s="320">
        <v>7.3170731707316999E-2</v>
      </c>
      <c r="AE827" s="319">
        <v>0</v>
      </c>
      <c r="AF827" s="320">
        <v>0</v>
      </c>
      <c r="AG827" s="319">
        <v>0</v>
      </c>
      <c r="AH827" s="320">
        <v>0</v>
      </c>
      <c r="AI827" s="319">
        <v>0</v>
      </c>
      <c r="AJ827" s="320">
        <v>0</v>
      </c>
      <c r="AK827" s="320">
        <v>0</v>
      </c>
      <c r="AL827" s="319">
        <v>5</v>
      </c>
      <c r="AM827" s="319">
        <v>7.4</v>
      </c>
      <c r="AN827" s="319">
        <v>2</v>
      </c>
      <c r="AO827" s="319">
        <v>0.48</v>
      </c>
      <c r="AP827" s="136">
        <v>22</v>
      </c>
      <c r="AT827" s="69">
        <v>2.3148</v>
      </c>
      <c r="AU827" s="69">
        <v>7.6852</v>
      </c>
      <c r="AV827" s="69">
        <v>2.3148</v>
      </c>
      <c r="AW827" s="69">
        <v>0.41049999999999998</v>
      </c>
      <c r="BB827" s="69"/>
    </row>
    <row r="828" spans="1:54" customFormat="1" ht="40" customHeight="1">
      <c r="A828" s="313">
        <v>827</v>
      </c>
      <c r="B828" s="136" t="s">
        <v>2179</v>
      </c>
      <c r="C828" s="136" t="s">
        <v>45</v>
      </c>
      <c r="D828" s="31">
        <f t="shared" si="56"/>
        <v>4</v>
      </c>
      <c r="E828" s="137" t="s">
        <v>46</v>
      </c>
      <c r="F828" s="31">
        <f t="shared" si="57"/>
        <v>6</v>
      </c>
      <c r="G828" s="137" t="s">
        <v>2261</v>
      </c>
      <c r="H828" s="138">
        <v>95</v>
      </c>
      <c r="I828" s="158">
        <f t="shared" si="58"/>
        <v>0.60120088585650544</v>
      </c>
      <c r="J828" s="95">
        <v>0.73616800547924499</v>
      </c>
      <c r="K828" s="137">
        <v>0.466233766233766</v>
      </c>
      <c r="L828" s="137">
        <v>0.68181818181818199</v>
      </c>
      <c r="M828" s="137">
        <v>0.14285714285714299</v>
      </c>
      <c r="N828" s="136">
        <v>1</v>
      </c>
      <c r="O828" s="32">
        <v>42407</v>
      </c>
      <c r="P828" s="98">
        <f t="shared" si="59"/>
        <v>1</v>
      </c>
      <c r="Q828">
        <v>0</v>
      </c>
      <c r="R828">
        <v>0</v>
      </c>
      <c r="S828">
        <v>0</v>
      </c>
      <c r="T828" s="112" t="s">
        <v>73</v>
      </c>
      <c r="U828" s="137" t="s">
        <v>2262</v>
      </c>
      <c r="V828" s="137" t="s">
        <v>2263</v>
      </c>
      <c r="W828" s="69">
        <v>153</v>
      </c>
      <c r="X828" s="136">
        <v>4</v>
      </c>
      <c r="Y828" s="136">
        <v>36</v>
      </c>
      <c r="Z828" s="314"/>
      <c r="AA828" s="319">
        <v>0.5</v>
      </c>
      <c r="AB828" s="315" t="s">
        <v>5165</v>
      </c>
      <c r="AC828" s="319">
        <v>4</v>
      </c>
      <c r="AD828" s="320">
        <v>4.3956043956043897E-2</v>
      </c>
      <c r="AE828" s="319">
        <v>0</v>
      </c>
      <c r="AF828" s="320">
        <v>0</v>
      </c>
      <c r="AG828" s="319">
        <v>0</v>
      </c>
      <c r="AH828" s="320">
        <v>0</v>
      </c>
      <c r="AI828" s="319">
        <v>0</v>
      </c>
      <c r="AJ828" s="320">
        <v>0</v>
      </c>
      <c r="AK828" s="320">
        <v>1.098901098901099E-2</v>
      </c>
      <c r="AL828" s="319">
        <v>5</v>
      </c>
      <c r="AM828" s="319">
        <v>5</v>
      </c>
      <c r="AN828" s="319">
        <v>2</v>
      </c>
      <c r="AO828" s="319">
        <v>0.4</v>
      </c>
      <c r="AP828">
        <v>36</v>
      </c>
      <c r="AQ828" s="136">
        <v>36</v>
      </c>
      <c r="AT828" s="69">
        <v>2.3148</v>
      </c>
      <c r="AU828" s="69">
        <v>2.3148</v>
      </c>
      <c r="AV828" s="69">
        <v>2.3148</v>
      </c>
      <c r="AW828" s="69">
        <v>0.23150000000000001</v>
      </c>
      <c r="BB828" s="69"/>
    </row>
    <row r="829" spans="1:54" customFormat="1" ht="40" customHeight="1">
      <c r="A829" s="313">
        <v>828</v>
      </c>
      <c r="B829" s="136" t="s">
        <v>2264</v>
      </c>
      <c r="C829" s="136" t="s">
        <v>45</v>
      </c>
      <c r="D829" s="31">
        <f t="shared" si="56"/>
        <v>4</v>
      </c>
      <c r="E829" s="137" t="s">
        <v>46</v>
      </c>
      <c r="F829" s="31">
        <f t="shared" si="57"/>
        <v>6</v>
      </c>
      <c r="G829" s="137" t="s">
        <v>2264</v>
      </c>
      <c r="H829" s="138">
        <v>34</v>
      </c>
      <c r="I829" s="158">
        <f t="shared" si="58"/>
        <v>0.41569707560214425</v>
      </c>
      <c r="J829" s="95">
        <v>3.8537008347145497E-2</v>
      </c>
      <c r="K829" s="137">
        <v>0.79285714285714304</v>
      </c>
      <c r="L829" s="137">
        <v>0.75</v>
      </c>
      <c r="M829" s="137">
        <v>0.85714285714285698</v>
      </c>
      <c r="N829" s="136">
        <v>1</v>
      </c>
      <c r="O829" s="32">
        <v>43712</v>
      </c>
      <c r="P829" s="98">
        <f t="shared" si="59"/>
        <v>1</v>
      </c>
      <c r="Q829">
        <v>0</v>
      </c>
      <c r="R829">
        <v>0</v>
      </c>
      <c r="S829">
        <v>0</v>
      </c>
      <c r="T829" s="112" t="s">
        <v>73</v>
      </c>
      <c r="U829" s="137" t="s">
        <v>2265</v>
      </c>
      <c r="V829" s="137" t="s">
        <v>2266</v>
      </c>
      <c r="W829" s="69">
        <v>105</v>
      </c>
      <c r="X829" s="136">
        <v>1</v>
      </c>
      <c r="Y829" s="136">
        <v>1</v>
      </c>
      <c r="Z829" s="314"/>
      <c r="AA829" s="319">
        <v>0.66549999999999998</v>
      </c>
      <c r="AB829" s="315" t="s">
        <v>5177</v>
      </c>
      <c r="AC829" s="319">
        <v>0</v>
      </c>
      <c r="AD829" s="320">
        <v>0</v>
      </c>
      <c r="AE829" s="319">
        <v>2</v>
      </c>
      <c r="AF829" s="320">
        <v>3.4482758620689599E-2</v>
      </c>
      <c r="AG829" s="319">
        <v>2</v>
      </c>
      <c r="AH829" s="320">
        <v>3.4482758620689599E-2</v>
      </c>
      <c r="AI829" s="319">
        <v>0</v>
      </c>
      <c r="AJ829" s="320">
        <v>0</v>
      </c>
      <c r="AK829" s="320">
        <v>1.7241379310344831E-2</v>
      </c>
      <c r="AL829" s="319">
        <v>5</v>
      </c>
      <c r="AM829" s="319">
        <v>6.2</v>
      </c>
      <c r="AN829" s="319">
        <v>4.6666666666666599</v>
      </c>
      <c r="AO829" s="319">
        <v>0.52888888888888796</v>
      </c>
      <c r="AP829">
        <v>1</v>
      </c>
      <c r="AR829" s="136">
        <v>1</v>
      </c>
      <c r="AT829" s="69">
        <v>2.3148</v>
      </c>
      <c r="AU829" s="69">
        <v>5</v>
      </c>
      <c r="AV829" s="69">
        <v>8.1305999999999994</v>
      </c>
      <c r="AW829" s="69">
        <v>0.51480000000000004</v>
      </c>
      <c r="BB829" s="69"/>
    </row>
    <row r="830" spans="1:54" customFormat="1" ht="40" customHeight="1">
      <c r="A830" s="313">
        <v>829</v>
      </c>
      <c r="B830" s="136" t="s">
        <v>2264</v>
      </c>
      <c r="C830" s="136" t="s">
        <v>45</v>
      </c>
      <c r="D830" s="31">
        <f t="shared" si="56"/>
        <v>4</v>
      </c>
      <c r="E830" s="137" t="s">
        <v>80</v>
      </c>
      <c r="F830" s="31">
        <f t="shared" si="57"/>
        <v>4</v>
      </c>
      <c r="G830" s="137" t="s">
        <v>2267</v>
      </c>
      <c r="H830" s="138">
        <v>94</v>
      </c>
      <c r="I830" s="158">
        <f t="shared" si="58"/>
        <v>0.35867394562943333</v>
      </c>
      <c r="J830" s="95">
        <v>8.8958562749007694E-2</v>
      </c>
      <c r="K830" s="137">
        <v>0.62838932850985896</v>
      </c>
      <c r="L830" s="137">
        <v>0.68181818181818199</v>
      </c>
      <c r="M830" s="137">
        <v>0.54824604854737402</v>
      </c>
      <c r="N830" s="136">
        <v>1</v>
      </c>
      <c r="O830" s="32">
        <v>43287</v>
      </c>
      <c r="P830" s="98">
        <f t="shared" si="59"/>
        <v>2</v>
      </c>
      <c r="Q830">
        <v>0</v>
      </c>
      <c r="R830">
        <v>0</v>
      </c>
      <c r="S830">
        <v>0</v>
      </c>
      <c r="T830" s="112" t="s">
        <v>64</v>
      </c>
      <c r="U830" s="137" t="s">
        <v>2268</v>
      </c>
      <c r="V830" s="137" t="s">
        <v>2269</v>
      </c>
      <c r="W830" s="69">
        <v>70</v>
      </c>
      <c r="X830" s="136">
        <v>3</v>
      </c>
      <c r="Y830" s="136">
        <v>10</v>
      </c>
      <c r="Z830" s="314"/>
      <c r="AA830" s="319">
        <v>0.59450000000000003</v>
      </c>
      <c r="AB830" s="315" t="s">
        <v>5165</v>
      </c>
      <c r="AC830" s="319">
        <v>3</v>
      </c>
      <c r="AD830" s="320">
        <v>8.1081081081081002E-2</v>
      </c>
      <c r="AE830" s="319">
        <v>2</v>
      </c>
      <c r="AF830" s="320">
        <v>5.4054054054054002E-2</v>
      </c>
      <c r="AG830" s="319">
        <v>2</v>
      </c>
      <c r="AH830" s="320">
        <v>5.4054054054054002E-2</v>
      </c>
      <c r="AI830" s="319">
        <v>0</v>
      </c>
      <c r="AJ830" s="320">
        <v>0</v>
      </c>
      <c r="AK830" s="320">
        <v>0</v>
      </c>
      <c r="AL830" s="319">
        <v>5</v>
      </c>
      <c r="AM830" s="319">
        <v>5</v>
      </c>
      <c r="AN830" s="319">
        <v>4.6666666666666599</v>
      </c>
      <c r="AO830" s="319">
        <v>0.48888888888888798</v>
      </c>
      <c r="AP830">
        <v>10</v>
      </c>
      <c r="AQ830" s="136">
        <v>10</v>
      </c>
      <c r="AT830" s="69">
        <v>2.3148</v>
      </c>
      <c r="AU830" s="69">
        <v>2.3148</v>
      </c>
      <c r="AV830" s="69">
        <v>8.1305999999999994</v>
      </c>
      <c r="AW830" s="69">
        <v>0.42530000000000001</v>
      </c>
      <c r="BB830" s="69"/>
    </row>
    <row r="831" spans="1:54" customFormat="1" ht="40" customHeight="1">
      <c r="A831" s="313">
        <v>830</v>
      </c>
      <c r="B831" s="136" t="s">
        <v>2264</v>
      </c>
      <c r="C831" s="136" t="s">
        <v>45</v>
      </c>
      <c r="D831" s="31">
        <f t="shared" si="56"/>
        <v>4</v>
      </c>
      <c r="E831" s="137" t="s">
        <v>46</v>
      </c>
      <c r="F831" s="31">
        <f t="shared" si="57"/>
        <v>6</v>
      </c>
      <c r="G831" s="137" t="s">
        <v>159</v>
      </c>
      <c r="H831" s="138">
        <v>74</v>
      </c>
      <c r="I831" s="158">
        <f t="shared" si="58"/>
        <v>0.49392008769463353</v>
      </c>
      <c r="J831" s="95">
        <v>0.29887167684435201</v>
      </c>
      <c r="K831" s="137">
        <v>0.68896849854491504</v>
      </c>
      <c r="L831" s="137">
        <v>0.82499999999999996</v>
      </c>
      <c r="M831" s="137">
        <v>0.48492124636228701</v>
      </c>
      <c r="N831" s="136">
        <v>1</v>
      </c>
      <c r="O831" s="32">
        <v>43076</v>
      </c>
      <c r="P831" s="98">
        <f t="shared" si="59"/>
        <v>0</v>
      </c>
      <c r="Q831">
        <v>5.0999999999999996</v>
      </c>
      <c r="R831">
        <v>0</v>
      </c>
      <c r="S831">
        <v>0</v>
      </c>
      <c r="T831" s="112" t="s">
        <v>48</v>
      </c>
      <c r="U831" s="137" t="s">
        <v>2270</v>
      </c>
      <c r="V831" s="137" t="s">
        <v>2271</v>
      </c>
      <c r="W831" s="69">
        <v>97</v>
      </c>
      <c r="X831" s="136">
        <v>1</v>
      </c>
      <c r="Y831" s="136">
        <v>13</v>
      </c>
      <c r="Z831" s="314"/>
      <c r="AA831" s="319">
        <v>0.60499999999999998</v>
      </c>
      <c r="AB831" s="315" t="s">
        <v>5168</v>
      </c>
      <c r="AC831" s="319">
        <v>1</v>
      </c>
      <c r="AD831" s="320">
        <v>1.8181818181818101E-2</v>
      </c>
      <c r="AE831" s="319">
        <v>1</v>
      </c>
      <c r="AF831" s="320">
        <v>1.8181818181818101E-2</v>
      </c>
      <c r="AG831" s="319">
        <v>2</v>
      </c>
      <c r="AH831" s="320">
        <v>3.6363636363636299E-2</v>
      </c>
      <c r="AI831" s="319">
        <v>0</v>
      </c>
      <c r="AJ831" s="320">
        <v>0</v>
      </c>
      <c r="AK831" s="320">
        <v>1.8181818181818181E-2</v>
      </c>
      <c r="AL831" s="319">
        <v>6.75</v>
      </c>
      <c r="AM831" s="319">
        <v>6.2</v>
      </c>
      <c r="AN831" s="319">
        <v>2</v>
      </c>
      <c r="AO831" s="319">
        <v>0.49833333333333302</v>
      </c>
      <c r="AP831">
        <v>13</v>
      </c>
      <c r="AQ831" s="136">
        <v>13</v>
      </c>
      <c r="AT831" s="69">
        <v>6.3414000000000001</v>
      </c>
      <c r="AU831" s="69">
        <v>5</v>
      </c>
      <c r="AV831" s="69">
        <v>2.3148</v>
      </c>
      <c r="AW831" s="69">
        <v>0.45519999999999999</v>
      </c>
      <c r="BB831" s="69"/>
    </row>
    <row r="832" spans="1:54" customFormat="1" ht="40" customHeight="1">
      <c r="A832" s="313">
        <v>831</v>
      </c>
      <c r="B832" s="136" t="s">
        <v>2264</v>
      </c>
      <c r="C832" s="136" t="s">
        <v>45</v>
      </c>
      <c r="D832" s="31">
        <f t="shared" si="56"/>
        <v>4</v>
      </c>
      <c r="E832" s="137" t="s">
        <v>46</v>
      </c>
      <c r="F832" s="31">
        <f t="shared" si="57"/>
        <v>6</v>
      </c>
      <c r="G832" s="137" t="s">
        <v>2272</v>
      </c>
      <c r="H832" s="138">
        <v>134</v>
      </c>
      <c r="I832" s="158">
        <f t="shared" si="58"/>
        <v>0.32881600565252472</v>
      </c>
      <c r="J832" s="95">
        <v>1.3663512760134401E-2</v>
      </c>
      <c r="K832" s="137">
        <v>0.643968498544915</v>
      </c>
      <c r="L832" s="137">
        <v>0.75</v>
      </c>
      <c r="M832" s="137">
        <v>0.48492124636228701</v>
      </c>
      <c r="N832" s="136">
        <v>1</v>
      </c>
      <c r="O832" s="32">
        <v>43075</v>
      </c>
      <c r="P832" s="98">
        <f t="shared" si="59"/>
        <v>0</v>
      </c>
      <c r="Q832">
        <v>10.199999999999999</v>
      </c>
      <c r="R832">
        <v>3.3</v>
      </c>
      <c r="S832">
        <v>1.87</v>
      </c>
      <c r="T832" s="112" t="s">
        <v>48</v>
      </c>
      <c r="U832" s="137" t="s">
        <v>2273</v>
      </c>
      <c r="V832" s="137" t="s">
        <v>2271</v>
      </c>
      <c r="W832" s="69">
        <v>97</v>
      </c>
      <c r="X832" s="136">
        <v>1</v>
      </c>
      <c r="Y832" s="136">
        <v>13</v>
      </c>
      <c r="Z832" s="314"/>
      <c r="AA832" s="319">
        <v>0.55000000000000004</v>
      </c>
      <c r="AB832" s="315" t="s">
        <v>5168</v>
      </c>
      <c r="AC832" s="319">
        <v>1</v>
      </c>
      <c r="AD832" s="320">
        <v>1.8181818181818101E-2</v>
      </c>
      <c r="AE832" s="319">
        <v>1</v>
      </c>
      <c r="AF832" s="320">
        <v>1.8181818181818101E-2</v>
      </c>
      <c r="AG832" s="319">
        <v>2</v>
      </c>
      <c r="AH832" s="320">
        <v>3.6363636363636299E-2</v>
      </c>
      <c r="AI832" s="319">
        <v>0</v>
      </c>
      <c r="AJ832" s="320">
        <v>0</v>
      </c>
      <c r="AK832" s="320">
        <v>1.8181818181818181E-2</v>
      </c>
      <c r="AL832" s="319">
        <v>8.5</v>
      </c>
      <c r="AM832" s="319">
        <v>6.2</v>
      </c>
      <c r="AN832" s="319">
        <v>4.6666666666666599</v>
      </c>
      <c r="AO832" s="319">
        <v>0.64555555555555499</v>
      </c>
      <c r="AP832">
        <v>13</v>
      </c>
      <c r="AQ832" s="136">
        <v>13</v>
      </c>
      <c r="AT832" s="69">
        <v>9.0888000000000009</v>
      </c>
      <c r="AU832" s="69">
        <v>5</v>
      </c>
      <c r="AV832" s="69">
        <v>8.1305999999999994</v>
      </c>
      <c r="AW832" s="69">
        <v>0.74060000000000004</v>
      </c>
      <c r="BB832" s="69"/>
    </row>
    <row r="833" spans="1:54" customFormat="1" ht="40" customHeight="1">
      <c r="A833" s="313">
        <v>832</v>
      </c>
      <c r="B833" s="136" t="s">
        <v>2264</v>
      </c>
      <c r="C833" s="136" t="s">
        <v>45</v>
      </c>
      <c r="D833" s="31">
        <f t="shared" si="56"/>
        <v>4</v>
      </c>
      <c r="E833" s="137" t="s">
        <v>80</v>
      </c>
      <c r="F833" s="31">
        <f t="shared" si="57"/>
        <v>4</v>
      </c>
      <c r="G833" s="137" t="s">
        <v>159</v>
      </c>
      <c r="H833" s="138">
        <v>71</v>
      </c>
      <c r="I833" s="158">
        <f t="shared" si="58"/>
        <v>0.34448475482957774</v>
      </c>
      <c r="J833" s="95">
        <v>1.0111142404456401E-6</v>
      </c>
      <c r="K833" s="137">
        <v>0.68896849854491504</v>
      </c>
      <c r="L833" s="137">
        <v>0.82499999999999996</v>
      </c>
      <c r="M833" s="137">
        <v>0.48492124636228701</v>
      </c>
      <c r="N833" s="136">
        <v>1</v>
      </c>
      <c r="O833" s="32">
        <v>43068</v>
      </c>
      <c r="P833" s="98">
        <f t="shared" si="59"/>
        <v>0</v>
      </c>
      <c r="Q833">
        <v>10.199999999999999</v>
      </c>
      <c r="R833">
        <v>0</v>
      </c>
      <c r="S833">
        <v>0</v>
      </c>
      <c r="T833" s="112" t="s">
        <v>48</v>
      </c>
      <c r="U833" s="137" t="s">
        <v>2274</v>
      </c>
      <c r="V833" s="137" t="s">
        <v>2271</v>
      </c>
      <c r="W833" s="69">
        <v>97</v>
      </c>
      <c r="X833" s="136">
        <v>1</v>
      </c>
      <c r="Y833" s="136">
        <v>13</v>
      </c>
      <c r="Z833" s="314"/>
      <c r="AA833" s="319">
        <v>0.59450000000000003</v>
      </c>
      <c r="AB833" s="315" t="s">
        <v>5168</v>
      </c>
      <c r="AC833" s="319">
        <v>1</v>
      </c>
      <c r="AD833" s="320">
        <v>1.8181818181818101E-2</v>
      </c>
      <c r="AE833" s="319">
        <v>1</v>
      </c>
      <c r="AF833" s="320">
        <v>1.8181818181818101E-2</v>
      </c>
      <c r="AG833" s="319">
        <v>2</v>
      </c>
      <c r="AH833" s="320">
        <v>3.6363636363636299E-2</v>
      </c>
      <c r="AI833" s="319">
        <v>0</v>
      </c>
      <c r="AJ833" s="320">
        <v>0</v>
      </c>
      <c r="AK833" s="320">
        <v>1.8181818181818181E-2</v>
      </c>
      <c r="AL833" s="319">
        <v>6.75</v>
      </c>
      <c r="AM833" s="319">
        <v>5</v>
      </c>
      <c r="AN833" s="319">
        <v>7.3333333333333304</v>
      </c>
      <c r="AO833" s="319">
        <v>0.63611111111111096</v>
      </c>
      <c r="AP833">
        <v>13</v>
      </c>
      <c r="AQ833" s="136">
        <v>13</v>
      </c>
      <c r="AT833" s="69">
        <v>6.3414000000000001</v>
      </c>
      <c r="AU833" s="69">
        <v>2.3148</v>
      </c>
      <c r="AV833" s="69">
        <v>9.8416999999999994</v>
      </c>
      <c r="AW833" s="69">
        <v>0.61660000000000004</v>
      </c>
      <c r="BB833" s="69"/>
    </row>
    <row r="834" spans="1:54" customFormat="1" ht="40" customHeight="1">
      <c r="A834" s="313">
        <v>833</v>
      </c>
      <c r="B834" s="136" t="s">
        <v>2264</v>
      </c>
      <c r="C834" s="136" t="s">
        <v>45</v>
      </c>
      <c r="D834" s="31">
        <f t="shared" ref="D834:D897" si="60">IF(C834="投诉",4,IF(C834="建议",1,IF(C834="举报",2,IF(C834="求助",3,5))))</f>
        <v>4</v>
      </c>
      <c r="E834" s="137" t="s">
        <v>46</v>
      </c>
      <c r="F834" s="31">
        <f t="shared" ref="F834:F897" si="61">IF(E834="12345app",1,IF(E834="e福州app",2,IF(E834="qq",3,IF(E834="电话",4,IF(E834="短信",5,IF(E834="网站",6,IF(E834="微博",7,IF(E834="微信",8,9))))))))</f>
        <v>6</v>
      </c>
      <c r="G834" s="137" t="s">
        <v>2275</v>
      </c>
      <c r="H834" s="138">
        <v>96</v>
      </c>
      <c r="I834" s="158">
        <f t="shared" ref="I834:I897" si="62">(J834+K834)/2</f>
        <v>0.64667664162750393</v>
      </c>
      <c r="J834" s="95">
        <v>0.49732761511608697</v>
      </c>
      <c r="K834" s="137">
        <v>0.79602566813892095</v>
      </c>
      <c r="L834" s="137">
        <v>0.82499999999999996</v>
      </c>
      <c r="M834" s="137">
        <v>0.75256417034730305</v>
      </c>
      <c r="N834" s="136">
        <v>0</v>
      </c>
      <c r="O834" s="32">
        <v>43068</v>
      </c>
      <c r="P834" s="98">
        <f t="shared" ref="P834:P897" si="63">IF(T834="利己",0,IF(T834="生态",2,1))</f>
        <v>0</v>
      </c>
      <c r="Q834">
        <v>10.199999999999999</v>
      </c>
      <c r="R834">
        <v>0</v>
      </c>
      <c r="S834">
        <v>0</v>
      </c>
      <c r="T834" s="112" t="s">
        <v>48</v>
      </c>
      <c r="U834" s="137" t="s">
        <v>2276</v>
      </c>
      <c r="V834" s="137" t="s">
        <v>2277</v>
      </c>
      <c r="W834" s="69">
        <v>91</v>
      </c>
      <c r="X834" s="136">
        <v>1</v>
      </c>
      <c r="Y834" s="136">
        <v>3</v>
      </c>
      <c r="Z834" s="314"/>
      <c r="AA834" s="319">
        <v>0.66549999999999998</v>
      </c>
      <c r="AB834" s="315" t="s">
        <v>5168</v>
      </c>
      <c r="AC834" s="319">
        <v>0</v>
      </c>
      <c r="AD834" s="320">
        <v>0</v>
      </c>
      <c r="AE834" s="319">
        <v>1</v>
      </c>
      <c r="AF834" s="320">
        <v>1.9607843137254902E-2</v>
      </c>
      <c r="AG834" s="319">
        <v>2</v>
      </c>
      <c r="AH834" s="320">
        <v>3.9215686274509803E-2</v>
      </c>
      <c r="AI834" s="319">
        <v>0</v>
      </c>
      <c r="AJ834" s="320">
        <v>0</v>
      </c>
      <c r="AK834" s="320">
        <v>1.9607843137254902E-2</v>
      </c>
      <c r="AL834" s="319">
        <v>6.75</v>
      </c>
      <c r="AM834" s="319">
        <v>5</v>
      </c>
      <c r="AN834" s="319">
        <v>4.6666666666666599</v>
      </c>
      <c r="AO834" s="319">
        <v>0.54722222222222205</v>
      </c>
      <c r="AP834">
        <v>3</v>
      </c>
      <c r="AQ834" s="136">
        <v>3</v>
      </c>
      <c r="AT834" s="69">
        <v>6.3414000000000001</v>
      </c>
      <c r="AU834" s="69">
        <v>2.3148</v>
      </c>
      <c r="AV834" s="69">
        <v>8.1305999999999994</v>
      </c>
      <c r="AW834" s="69">
        <v>0.55959999999999999</v>
      </c>
      <c r="BB834" s="69"/>
    </row>
    <row r="835" spans="1:54" customFormat="1" ht="40" customHeight="1">
      <c r="A835" s="313">
        <v>834</v>
      </c>
      <c r="B835" s="136" t="s">
        <v>2264</v>
      </c>
      <c r="C835" s="136" t="s">
        <v>45</v>
      </c>
      <c r="D835" s="31">
        <f t="shared" si="60"/>
        <v>4</v>
      </c>
      <c r="E835" s="137" t="s">
        <v>46</v>
      </c>
      <c r="F835" s="31">
        <f t="shared" si="61"/>
        <v>6</v>
      </c>
      <c r="G835" s="137" t="s">
        <v>2278</v>
      </c>
      <c r="H835" s="138">
        <v>96</v>
      </c>
      <c r="I835" s="158">
        <f t="shared" si="62"/>
        <v>0.44951358259087898</v>
      </c>
      <c r="J835" s="95">
        <v>0.103001497042837</v>
      </c>
      <c r="K835" s="137">
        <v>0.79602566813892095</v>
      </c>
      <c r="L835" s="137">
        <v>0.82499999999999996</v>
      </c>
      <c r="M835" s="137">
        <v>0.75256417034730305</v>
      </c>
      <c r="N835" s="136">
        <v>0</v>
      </c>
      <c r="O835" s="32">
        <v>43068</v>
      </c>
      <c r="P835" s="98">
        <f t="shared" si="63"/>
        <v>0</v>
      </c>
      <c r="Q835">
        <v>10.199999999999999</v>
      </c>
      <c r="R835">
        <v>0</v>
      </c>
      <c r="S835">
        <v>0</v>
      </c>
      <c r="T835" s="112" t="s">
        <v>48</v>
      </c>
      <c r="U835" s="137" t="s">
        <v>2276</v>
      </c>
      <c r="V835" s="137" t="s">
        <v>2277</v>
      </c>
      <c r="W835" s="69">
        <v>91</v>
      </c>
      <c r="X835" s="136">
        <v>1</v>
      </c>
      <c r="Y835" s="136">
        <v>3</v>
      </c>
      <c r="Z835" s="314"/>
      <c r="AA835" s="319">
        <v>0.66549999999999998</v>
      </c>
      <c r="AB835" s="315" t="s">
        <v>5168</v>
      </c>
      <c r="AC835" s="319">
        <v>0</v>
      </c>
      <c r="AD835" s="320">
        <v>0</v>
      </c>
      <c r="AE835" s="319">
        <v>1</v>
      </c>
      <c r="AF835" s="320">
        <v>1.9607843137254902E-2</v>
      </c>
      <c r="AG835" s="319">
        <v>2</v>
      </c>
      <c r="AH835" s="320">
        <v>3.9215686274509803E-2</v>
      </c>
      <c r="AI835" s="319">
        <v>0</v>
      </c>
      <c r="AJ835" s="320">
        <v>0</v>
      </c>
      <c r="AK835" s="320">
        <v>1.9607843137254902E-2</v>
      </c>
      <c r="AL835" s="319">
        <v>6.75</v>
      </c>
      <c r="AM835" s="319">
        <v>5</v>
      </c>
      <c r="AN835" s="319">
        <v>4.6666666666666599</v>
      </c>
      <c r="AO835" s="319">
        <v>0.54722222222222205</v>
      </c>
      <c r="AP835">
        <v>3</v>
      </c>
      <c r="AQ835" s="136">
        <v>3</v>
      </c>
      <c r="AT835" s="69">
        <v>6.3414000000000001</v>
      </c>
      <c r="AU835" s="69">
        <v>2.3148</v>
      </c>
      <c r="AV835" s="69">
        <v>8.1305999999999994</v>
      </c>
      <c r="AW835" s="69">
        <v>0.55959999999999999</v>
      </c>
      <c r="BB835" s="69"/>
    </row>
    <row r="836" spans="1:54" customFormat="1" ht="40" customHeight="1">
      <c r="A836" s="313">
        <v>835</v>
      </c>
      <c r="B836" s="136" t="s">
        <v>2264</v>
      </c>
      <c r="C836" s="136" t="s">
        <v>45</v>
      </c>
      <c r="D836" s="31">
        <f t="shared" si="60"/>
        <v>4</v>
      </c>
      <c r="E836" s="137" t="s">
        <v>46</v>
      </c>
      <c r="F836" s="31">
        <f t="shared" si="61"/>
        <v>6</v>
      </c>
      <c r="G836" s="137" t="s">
        <v>2279</v>
      </c>
      <c r="H836" s="138">
        <v>70</v>
      </c>
      <c r="I836" s="158">
        <f t="shared" si="62"/>
        <v>0.371059412793734</v>
      </c>
      <c r="J836" s="95">
        <v>0.103001497042837</v>
      </c>
      <c r="K836" s="137">
        <v>0.63911732854463099</v>
      </c>
      <c r="L836" s="137">
        <v>0.56348610067618299</v>
      </c>
      <c r="M836" s="137">
        <v>0.75256417034730305</v>
      </c>
      <c r="N836" s="136">
        <v>1</v>
      </c>
      <c r="O836" s="32">
        <v>43045</v>
      </c>
      <c r="P836" s="98">
        <f t="shared" si="63"/>
        <v>2</v>
      </c>
      <c r="Q836">
        <v>0</v>
      </c>
      <c r="R836">
        <v>1.65</v>
      </c>
      <c r="S836">
        <v>1.87</v>
      </c>
      <c r="T836" s="112" t="s">
        <v>64</v>
      </c>
      <c r="U836" s="137" t="s">
        <v>2280</v>
      </c>
      <c r="V836" s="137" t="s">
        <v>2281</v>
      </c>
      <c r="W836" s="69">
        <v>53</v>
      </c>
      <c r="X836" s="136">
        <v>2</v>
      </c>
      <c r="Y836" s="136">
        <v>3</v>
      </c>
      <c r="Z836" s="314"/>
      <c r="AA836" s="319">
        <v>2.7133952260485799E-2</v>
      </c>
      <c r="AB836" s="315" t="s">
        <v>5165</v>
      </c>
      <c r="AC836" s="319">
        <v>1</v>
      </c>
      <c r="AD836" s="320">
        <v>2.94117647058823E-2</v>
      </c>
      <c r="AE836" s="319">
        <v>0</v>
      </c>
      <c r="AF836" s="320">
        <v>0</v>
      </c>
      <c r="AG836" s="319">
        <v>0</v>
      </c>
      <c r="AH836" s="320">
        <v>0</v>
      </c>
      <c r="AI836" s="319">
        <v>0</v>
      </c>
      <c r="AJ836" s="320">
        <v>0</v>
      </c>
      <c r="AK836" s="320">
        <v>0</v>
      </c>
      <c r="AL836" s="319">
        <v>5</v>
      </c>
      <c r="AM836" s="319">
        <v>6.2</v>
      </c>
      <c r="AN836" s="319">
        <v>2</v>
      </c>
      <c r="AO836" s="319">
        <v>0.44</v>
      </c>
      <c r="AP836">
        <v>3</v>
      </c>
      <c r="AS836" s="136">
        <v>3</v>
      </c>
      <c r="AT836" s="69">
        <v>2.3148</v>
      </c>
      <c r="AU836" s="69">
        <v>5</v>
      </c>
      <c r="AV836" s="69">
        <v>2.3148</v>
      </c>
      <c r="AW836" s="69">
        <v>0.32100000000000001</v>
      </c>
      <c r="BB836" s="69"/>
    </row>
    <row r="837" spans="1:54" customFormat="1" ht="40" customHeight="1">
      <c r="A837" s="313">
        <v>836</v>
      </c>
      <c r="B837" s="136" t="s">
        <v>2264</v>
      </c>
      <c r="C837" s="136" t="s">
        <v>45</v>
      </c>
      <c r="D837" s="31">
        <f t="shared" si="60"/>
        <v>4</v>
      </c>
      <c r="E837" s="137" t="s">
        <v>46</v>
      </c>
      <c r="F837" s="31">
        <f t="shared" si="61"/>
        <v>6</v>
      </c>
      <c r="G837" s="137" t="s">
        <v>2282</v>
      </c>
      <c r="H837" s="138">
        <v>91</v>
      </c>
      <c r="I837" s="158">
        <f t="shared" si="62"/>
        <v>0.33336808715959898</v>
      </c>
      <c r="J837" s="95">
        <v>2.7618845774567E-2</v>
      </c>
      <c r="K837" s="137">
        <v>0.63911732854463099</v>
      </c>
      <c r="L837" s="137">
        <v>0.56348610067618299</v>
      </c>
      <c r="M837" s="137">
        <v>0.75256417034730305</v>
      </c>
      <c r="N837" s="136">
        <v>1</v>
      </c>
      <c r="O837" s="32">
        <v>43045</v>
      </c>
      <c r="P837" s="98">
        <f t="shared" si="63"/>
        <v>1</v>
      </c>
      <c r="Q837">
        <v>0</v>
      </c>
      <c r="R837">
        <v>1.65</v>
      </c>
      <c r="S837">
        <v>0</v>
      </c>
      <c r="T837" s="112" t="s">
        <v>73</v>
      </c>
      <c r="U837" s="137" t="s">
        <v>2283</v>
      </c>
      <c r="V837" s="137" t="s">
        <v>2281</v>
      </c>
      <c r="W837" s="69">
        <v>53</v>
      </c>
      <c r="X837" s="136">
        <v>1</v>
      </c>
      <c r="Y837" s="136">
        <v>3</v>
      </c>
      <c r="Z837" s="314"/>
      <c r="AA837" s="319">
        <v>2.4893534183931899E-2</v>
      </c>
      <c r="AB837" s="315" t="s">
        <v>5165</v>
      </c>
      <c r="AC837" s="319">
        <v>1</v>
      </c>
      <c r="AD837" s="320">
        <v>2.94117647058823E-2</v>
      </c>
      <c r="AE837" s="319">
        <v>0</v>
      </c>
      <c r="AF837" s="320">
        <v>0</v>
      </c>
      <c r="AG837" s="319">
        <v>0</v>
      </c>
      <c r="AH837" s="320">
        <v>0</v>
      </c>
      <c r="AI837" s="319">
        <v>0</v>
      </c>
      <c r="AJ837" s="320">
        <v>0</v>
      </c>
      <c r="AK837" s="320">
        <v>0</v>
      </c>
      <c r="AL837" s="319">
        <v>5</v>
      </c>
      <c r="AM837" s="319">
        <v>5</v>
      </c>
      <c r="AN837" s="319">
        <v>4.6666666666666599</v>
      </c>
      <c r="AO837" s="319">
        <v>0.48888888888888798</v>
      </c>
      <c r="AP837">
        <v>3</v>
      </c>
      <c r="AS837" s="136">
        <v>3</v>
      </c>
      <c r="AT837" s="69">
        <v>2.3148</v>
      </c>
      <c r="AU837" s="69">
        <v>2.3148</v>
      </c>
      <c r="AV837" s="69">
        <v>8.1305999999999994</v>
      </c>
      <c r="AW837" s="69">
        <v>0.42530000000000001</v>
      </c>
      <c r="BB837" s="69"/>
    </row>
    <row r="838" spans="1:54" customFormat="1" ht="40" customHeight="1">
      <c r="A838" s="313">
        <v>837</v>
      </c>
      <c r="B838" s="136" t="s">
        <v>2264</v>
      </c>
      <c r="C838" s="136" t="s">
        <v>45</v>
      </c>
      <c r="D838" s="31">
        <f t="shared" si="60"/>
        <v>4</v>
      </c>
      <c r="E838" s="137" t="s">
        <v>46</v>
      </c>
      <c r="F838" s="31">
        <f t="shared" si="61"/>
        <v>6</v>
      </c>
      <c r="G838" s="137" t="s">
        <v>2284</v>
      </c>
      <c r="H838" s="138">
        <v>113</v>
      </c>
      <c r="I838" s="158">
        <f t="shared" si="62"/>
        <v>0.38487190809350591</v>
      </c>
      <c r="J838" s="95">
        <v>5.5601975118879697E-4</v>
      </c>
      <c r="K838" s="137">
        <v>0.76918779643582302</v>
      </c>
      <c r="L838" s="137">
        <v>0.75</v>
      </c>
      <c r="M838" s="137">
        <v>0.79796949108955795</v>
      </c>
      <c r="N838" s="136">
        <v>1</v>
      </c>
      <c r="O838" s="32">
        <v>42905</v>
      </c>
      <c r="P838" s="98">
        <f t="shared" si="63"/>
        <v>0</v>
      </c>
      <c r="Q838">
        <v>2.5499999999999998</v>
      </c>
      <c r="R838">
        <v>1.65</v>
      </c>
      <c r="S838">
        <v>0</v>
      </c>
      <c r="T838" s="112" t="s">
        <v>48</v>
      </c>
      <c r="U838" s="137" t="s">
        <v>2285</v>
      </c>
      <c r="V838" s="137" t="s">
        <v>2286</v>
      </c>
      <c r="W838" s="69">
        <v>106</v>
      </c>
      <c r="X838" s="136">
        <v>1</v>
      </c>
      <c r="Y838" s="136">
        <v>2</v>
      </c>
      <c r="Z838" s="314"/>
      <c r="AA838" s="319">
        <v>0.59450000000000003</v>
      </c>
      <c r="AB838" s="315" t="s">
        <v>5168</v>
      </c>
      <c r="AC838" s="319">
        <v>2</v>
      </c>
      <c r="AD838" s="320">
        <v>3.7037037037037E-2</v>
      </c>
      <c r="AE838" s="319">
        <v>1</v>
      </c>
      <c r="AF838" s="320">
        <v>1.85185185185185E-2</v>
      </c>
      <c r="AG838" s="319">
        <v>3</v>
      </c>
      <c r="AH838" s="320">
        <v>5.5555555555555497E-2</v>
      </c>
      <c r="AI838" s="319">
        <v>2</v>
      </c>
      <c r="AJ838" s="320">
        <v>3.7037037037037E-2</v>
      </c>
      <c r="AK838" s="320">
        <v>0</v>
      </c>
      <c r="AL838" s="319">
        <v>5</v>
      </c>
      <c r="AM838" s="319">
        <v>5</v>
      </c>
      <c r="AN838" s="319">
        <v>4.6666666666666599</v>
      </c>
      <c r="AO838" s="319">
        <v>0.48888888888888798</v>
      </c>
      <c r="AP838">
        <v>2</v>
      </c>
      <c r="AQ838" s="136">
        <v>2</v>
      </c>
      <c r="AT838" s="69">
        <v>2.3148</v>
      </c>
      <c r="AU838" s="69">
        <v>2.3148</v>
      </c>
      <c r="AV838" s="69">
        <v>8.1305999999999994</v>
      </c>
      <c r="AW838" s="69">
        <v>0.42530000000000001</v>
      </c>
      <c r="BB838" s="69"/>
    </row>
    <row r="839" spans="1:54" customFormat="1" ht="40" customHeight="1">
      <c r="A839" s="313">
        <v>838</v>
      </c>
      <c r="B839" s="136" t="s">
        <v>2287</v>
      </c>
      <c r="C839" s="136" t="s">
        <v>45</v>
      </c>
      <c r="D839" s="31">
        <f t="shared" si="60"/>
        <v>4</v>
      </c>
      <c r="E839" s="137" t="s">
        <v>221</v>
      </c>
      <c r="F839" s="31">
        <f t="shared" si="61"/>
        <v>2</v>
      </c>
      <c r="G839" s="137" t="s">
        <v>2288</v>
      </c>
      <c r="H839" s="138">
        <v>173</v>
      </c>
      <c r="I839" s="158">
        <f t="shared" si="62"/>
        <v>0.33023929203880259</v>
      </c>
      <c r="J839" s="95">
        <v>6.6934213727165601E-10</v>
      </c>
      <c r="K839" s="137">
        <v>0.66047858340826304</v>
      </c>
      <c r="L839" s="137">
        <v>0.75</v>
      </c>
      <c r="M839" s="137">
        <v>0.526196458520657</v>
      </c>
      <c r="N839" s="136">
        <v>1</v>
      </c>
      <c r="O839" s="32">
        <v>43839</v>
      </c>
      <c r="P839" s="98">
        <f t="shared" si="63"/>
        <v>2</v>
      </c>
      <c r="Q839">
        <v>0</v>
      </c>
      <c r="R839">
        <v>1.65</v>
      </c>
      <c r="S839">
        <v>1.87</v>
      </c>
      <c r="T839" s="112" t="s">
        <v>64</v>
      </c>
      <c r="U839" s="137" t="s">
        <v>2289</v>
      </c>
      <c r="V839" s="137" t="s">
        <v>2290</v>
      </c>
      <c r="W839" s="69">
        <v>76</v>
      </c>
      <c r="X839" s="136">
        <v>4</v>
      </c>
      <c r="Y839" s="136">
        <v>11</v>
      </c>
      <c r="Z839" s="314"/>
      <c r="AA839" s="319">
        <v>0.45454545454545398</v>
      </c>
      <c r="AB839" s="315" t="s">
        <v>5176</v>
      </c>
      <c r="AC839" s="319">
        <v>0</v>
      </c>
      <c r="AD839" s="320">
        <v>0</v>
      </c>
      <c r="AE839" s="319">
        <v>3</v>
      </c>
      <c r="AF839" s="320">
        <v>6.9767441860465101E-2</v>
      </c>
      <c r="AG839" s="319">
        <v>1</v>
      </c>
      <c r="AH839" s="320">
        <v>2.3255813953488299E-2</v>
      </c>
      <c r="AI839" s="319">
        <v>0</v>
      </c>
      <c r="AJ839" s="320">
        <v>0</v>
      </c>
      <c r="AK839" s="320">
        <v>2.3255813953488368E-2</v>
      </c>
      <c r="AL839" s="319">
        <v>7.2857142857142803</v>
      </c>
      <c r="AM839" s="319">
        <v>5</v>
      </c>
      <c r="AN839" s="319">
        <v>4.6666666666666599</v>
      </c>
      <c r="AO839" s="319">
        <v>0.56507936507936496</v>
      </c>
      <c r="AP839">
        <v>11</v>
      </c>
      <c r="AR839" s="136">
        <v>11</v>
      </c>
      <c r="AT839" s="69">
        <v>7.4837999999999996</v>
      </c>
      <c r="AU839" s="69">
        <v>2.3148</v>
      </c>
      <c r="AV839" s="69">
        <v>8.1305999999999994</v>
      </c>
      <c r="AW839" s="69">
        <v>0.59760000000000002</v>
      </c>
      <c r="BB839" s="69"/>
    </row>
    <row r="840" spans="1:54" customFormat="1" ht="40" customHeight="1">
      <c r="A840" s="313">
        <v>839</v>
      </c>
      <c r="B840" s="136" t="s">
        <v>2287</v>
      </c>
      <c r="C840" s="136" t="s">
        <v>45</v>
      </c>
      <c r="D840" s="31">
        <f t="shared" si="60"/>
        <v>4</v>
      </c>
      <c r="E840" s="137" t="s">
        <v>221</v>
      </c>
      <c r="F840" s="31">
        <f t="shared" si="61"/>
        <v>2</v>
      </c>
      <c r="G840" s="137" t="s">
        <v>2291</v>
      </c>
      <c r="H840" s="138">
        <v>81</v>
      </c>
      <c r="I840" s="158">
        <f t="shared" si="62"/>
        <v>0.36814442365551109</v>
      </c>
      <c r="J840" s="95">
        <v>2.9132544393761801E-3</v>
      </c>
      <c r="K840" s="137">
        <v>0.733375592871646</v>
      </c>
      <c r="L840" s="137">
        <v>0.82499999999999996</v>
      </c>
      <c r="M840" s="137">
        <v>0.59593898217911601</v>
      </c>
      <c r="N840" s="136">
        <v>1</v>
      </c>
      <c r="O840" s="32">
        <v>43835</v>
      </c>
      <c r="P840" s="98">
        <f t="shared" si="63"/>
        <v>2</v>
      </c>
      <c r="Q840">
        <v>0</v>
      </c>
      <c r="R840">
        <v>1.65</v>
      </c>
      <c r="S840">
        <v>1.87</v>
      </c>
      <c r="T840" s="112" t="s">
        <v>64</v>
      </c>
      <c r="U840" s="137" t="s">
        <v>2292</v>
      </c>
      <c r="V840" s="137" t="s">
        <v>2293</v>
      </c>
      <c r="W840" s="69">
        <v>63</v>
      </c>
      <c r="X840" s="136">
        <v>2</v>
      </c>
      <c r="Y840" s="136">
        <v>8</v>
      </c>
      <c r="Z840" s="314"/>
      <c r="AA840" s="319">
        <v>0.45454545454545398</v>
      </c>
      <c r="AB840" s="315" t="s">
        <v>5176</v>
      </c>
      <c r="AC840" s="319">
        <v>0</v>
      </c>
      <c r="AD840" s="320">
        <v>0</v>
      </c>
      <c r="AE840" s="319">
        <v>2</v>
      </c>
      <c r="AF840" s="320">
        <v>5.5555555555555497E-2</v>
      </c>
      <c r="AG840" s="319">
        <v>1</v>
      </c>
      <c r="AH840" s="320">
        <v>2.77777777777777E-2</v>
      </c>
      <c r="AI840" s="319">
        <v>0</v>
      </c>
      <c r="AJ840" s="320">
        <v>0</v>
      </c>
      <c r="AK840" s="320">
        <v>2.777777777777778E-2</v>
      </c>
      <c r="AL840" s="319">
        <v>5</v>
      </c>
      <c r="AM840" s="319">
        <v>5</v>
      </c>
      <c r="AN840" s="319">
        <v>2</v>
      </c>
      <c r="AO840" s="319">
        <v>0.4</v>
      </c>
      <c r="AP840">
        <v>8</v>
      </c>
      <c r="AQ840" s="136">
        <v>8</v>
      </c>
      <c r="AT840" s="69">
        <v>2.3148</v>
      </c>
      <c r="AU840" s="69">
        <v>2.3148</v>
      </c>
      <c r="AV840" s="69">
        <v>2.3148</v>
      </c>
      <c r="AW840" s="69">
        <v>0.23150000000000001</v>
      </c>
      <c r="BB840" s="69"/>
    </row>
    <row r="841" spans="1:54" customFormat="1" ht="40" customHeight="1">
      <c r="A841" s="313">
        <v>840</v>
      </c>
      <c r="B841" s="136" t="s">
        <v>2287</v>
      </c>
      <c r="C841" s="136" t="s">
        <v>59</v>
      </c>
      <c r="D841" s="31">
        <f t="shared" si="60"/>
        <v>5</v>
      </c>
      <c r="E841" s="137" t="s">
        <v>664</v>
      </c>
      <c r="F841" s="31">
        <f t="shared" si="61"/>
        <v>1</v>
      </c>
      <c r="G841" s="137" t="s">
        <v>2294</v>
      </c>
      <c r="H841" s="138">
        <v>26</v>
      </c>
      <c r="I841" s="158">
        <f t="shared" si="62"/>
        <v>0.3860629465131048</v>
      </c>
      <c r="J841" s="95">
        <v>4.3847187499477601E-2</v>
      </c>
      <c r="K841" s="137">
        <v>0.72827870552673202</v>
      </c>
      <c r="L841" s="137">
        <v>0.68181818181818199</v>
      </c>
      <c r="M841" s="137">
        <v>0.79796949108955795</v>
      </c>
      <c r="N841" s="136">
        <v>1</v>
      </c>
      <c r="O841" s="32">
        <v>43796</v>
      </c>
      <c r="P841" s="98">
        <f t="shared" si="63"/>
        <v>1</v>
      </c>
      <c r="Q841">
        <v>0</v>
      </c>
      <c r="R841">
        <v>1.65</v>
      </c>
      <c r="S841">
        <v>0</v>
      </c>
      <c r="T841" s="112" t="s">
        <v>73</v>
      </c>
      <c r="U841" s="137" t="s">
        <v>2295</v>
      </c>
      <c r="V841" s="137" t="s">
        <v>2296</v>
      </c>
      <c r="W841" s="69">
        <v>57</v>
      </c>
      <c r="X841" s="136">
        <v>2</v>
      </c>
      <c r="Y841" s="136">
        <v>2</v>
      </c>
      <c r="Z841" s="314"/>
      <c r="AA841" s="319">
        <v>0.5</v>
      </c>
      <c r="AB841" s="315" t="s">
        <v>5177</v>
      </c>
      <c r="AC841" s="319">
        <v>1</v>
      </c>
      <c r="AD841" s="320">
        <v>3.125E-2</v>
      </c>
      <c r="AE841" s="319">
        <v>2</v>
      </c>
      <c r="AF841" s="320">
        <v>6.25E-2</v>
      </c>
      <c r="AG841" s="319">
        <v>2</v>
      </c>
      <c r="AH841" s="320">
        <v>6.25E-2</v>
      </c>
      <c r="AI841" s="319">
        <v>0</v>
      </c>
      <c r="AJ841" s="320">
        <v>0</v>
      </c>
      <c r="AK841" s="320">
        <v>0</v>
      </c>
      <c r="AL841" s="319">
        <v>5</v>
      </c>
      <c r="AM841" s="319">
        <v>5</v>
      </c>
      <c r="AN841" s="319">
        <v>2</v>
      </c>
      <c r="AO841" s="319">
        <v>0.4</v>
      </c>
      <c r="AP841">
        <v>2</v>
      </c>
      <c r="AQ841" s="136">
        <v>2</v>
      </c>
      <c r="AT841" s="69">
        <v>2.3148</v>
      </c>
      <c r="AU841" s="69">
        <v>2.3148</v>
      </c>
      <c r="AV841" s="69">
        <v>2.3148</v>
      </c>
      <c r="AW841" s="69">
        <v>0.23150000000000001</v>
      </c>
      <c r="BB841" s="69"/>
    </row>
    <row r="842" spans="1:54" customFormat="1" ht="40" customHeight="1">
      <c r="A842" s="313">
        <v>841</v>
      </c>
      <c r="B842" s="136" t="s">
        <v>2287</v>
      </c>
      <c r="C842" s="136" t="s">
        <v>59</v>
      </c>
      <c r="D842" s="31">
        <f t="shared" si="60"/>
        <v>5</v>
      </c>
      <c r="E842" s="137" t="s">
        <v>221</v>
      </c>
      <c r="F842" s="31">
        <f t="shared" si="61"/>
        <v>2</v>
      </c>
      <c r="G842" s="137" t="s">
        <v>2297</v>
      </c>
      <c r="H842" s="138">
        <v>37</v>
      </c>
      <c r="I842" s="158">
        <f t="shared" si="62"/>
        <v>0.90039879552692592</v>
      </c>
      <c r="J842" s="95">
        <v>0.95079759105385198</v>
      </c>
      <c r="K842" s="137">
        <v>0.85</v>
      </c>
      <c r="L842" s="137">
        <v>0.75</v>
      </c>
      <c r="M842" s="137">
        <v>1</v>
      </c>
      <c r="N842" s="136">
        <v>1</v>
      </c>
      <c r="O842" s="32">
        <v>43795</v>
      </c>
      <c r="P842" s="98">
        <f t="shared" si="63"/>
        <v>2</v>
      </c>
      <c r="Q842">
        <v>0</v>
      </c>
      <c r="R842">
        <v>0</v>
      </c>
      <c r="S842">
        <v>1.87</v>
      </c>
      <c r="T842" s="112" t="s">
        <v>64</v>
      </c>
      <c r="U842" s="137" t="s">
        <v>2298</v>
      </c>
      <c r="V842" s="137" t="s">
        <v>2299</v>
      </c>
      <c r="W842" s="69">
        <v>79</v>
      </c>
      <c r="X842" s="136">
        <v>1</v>
      </c>
      <c r="Y842" s="136">
        <v>0</v>
      </c>
      <c r="Z842" s="314"/>
      <c r="AA842" s="319">
        <v>0.55000000000000004</v>
      </c>
      <c r="AB842" s="315" t="s">
        <v>5176</v>
      </c>
      <c r="AC842" s="319">
        <v>0</v>
      </c>
      <c r="AD842" s="320">
        <v>0</v>
      </c>
      <c r="AE842" s="319">
        <v>1</v>
      </c>
      <c r="AF842" s="320">
        <v>2.04081632653061E-2</v>
      </c>
      <c r="AG842" s="319">
        <v>0</v>
      </c>
      <c r="AH842" s="320">
        <v>0</v>
      </c>
      <c r="AI842" s="319">
        <v>0</v>
      </c>
      <c r="AJ842" s="320">
        <v>0</v>
      </c>
      <c r="AK842" s="320">
        <v>0</v>
      </c>
      <c r="AL842" s="319">
        <v>5</v>
      </c>
      <c r="AM842" s="319">
        <v>5</v>
      </c>
      <c r="AN842" s="319">
        <v>3.5</v>
      </c>
      <c r="AO842" s="319">
        <v>0.45</v>
      </c>
      <c r="AP842">
        <v>0</v>
      </c>
      <c r="AR842" s="136">
        <v>0</v>
      </c>
      <c r="AT842" s="69">
        <v>2.3148</v>
      </c>
      <c r="AU842" s="69">
        <v>2.3148</v>
      </c>
      <c r="AV842" s="69">
        <v>5.7443999999999997</v>
      </c>
      <c r="AW842" s="69">
        <v>0.3458</v>
      </c>
      <c r="BB842" s="69"/>
    </row>
    <row r="843" spans="1:54" customFormat="1" ht="40" customHeight="1">
      <c r="A843" s="313">
        <v>842</v>
      </c>
      <c r="B843" s="136" t="s">
        <v>2287</v>
      </c>
      <c r="C843" s="136" t="s">
        <v>59</v>
      </c>
      <c r="D843" s="31">
        <f t="shared" si="60"/>
        <v>5</v>
      </c>
      <c r="E843" s="137" t="s">
        <v>221</v>
      </c>
      <c r="F843" s="31">
        <f t="shared" si="61"/>
        <v>2</v>
      </c>
      <c r="G843" s="137" t="s">
        <v>2300</v>
      </c>
      <c r="H843" s="138">
        <v>49</v>
      </c>
      <c r="I843" s="158">
        <f t="shared" si="62"/>
        <v>0.65454223033481407</v>
      </c>
      <c r="J843" s="95">
        <v>0.66996713212499703</v>
      </c>
      <c r="K843" s="137">
        <v>0.63911732854463099</v>
      </c>
      <c r="L843" s="137">
        <v>0.56348610067618299</v>
      </c>
      <c r="M843" s="137">
        <v>0.75256417034730305</v>
      </c>
      <c r="N843" s="136">
        <v>1</v>
      </c>
      <c r="O843" s="32">
        <v>43792</v>
      </c>
      <c r="P843" s="98">
        <f t="shared" si="63"/>
        <v>2</v>
      </c>
      <c r="Q843">
        <v>0</v>
      </c>
      <c r="R843">
        <v>0</v>
      </c>
      <c r="S843">
        <v>0</v>
      </c>
      <c r="T843" s="112" t="s">
        <v>64</v>
      </c>
      <c r="U843" s="137" t="s">
        <v>2301</v>
      </c>
      <c r="V843" s="137" t="s">
        <v>2302</v>
      </c>
      <c r="W843" s="69">
        <v>77</v>
      </c>
      <c r="X843" s="136">
        <v>1</v>
      </c>
      <c r="Y843" s="136">
        <v>3</v>
      </c>
      <c r="Z843" s="314"/>
      <c r="AA843" s="319">
        <v>0.54500000000000004</v>
      </c>
      <c r="AB843" s="315" t="s">
        <v>5176</v>
      </c>
      <c r="AC843" s="319">
        <v>0</v>
      </c>
      <c r="AD843" s="320">
        <v>0</v>
      </c>
      <c r="AE843" s="319">
        <v>2</v>
      </c>
      <c r="AF843" s="320">
        <v>4.6511627906976702E-2</v>
      </c>
      <c r="AG843" s="319">
        <v>0</v>
      </c>
      <c r="AH843" s="320">
        <v>0</v>
      </c>
      <c r="AI843" s="319">
        <v>0</v>
      </c>
      <c r="AJ843" s="320">
        <v>0</v>
      </c>
      <c r="AK843" s="320">
        <v>0</v>
      </c>
      <c r="AL843" s="319">
        <v>5</v>
      </c>
      <c r="AM843" s="319">
        <v>5</v>
      </c>
      <c r="AN843" s="319">
        <v>3.5</v>
      </c>
      <c r="AO843" s="319">
        <v>0.45</v>
      </c>
      <c r="AP843">
        <v>3</v>
      </c>
      <c r="AR843" s="136">
        <v>3</v>
      </c>
      <c r="AT843" s="69">
        <v>2.3148</v>
      </c>
      <c r="AU843" s="69">
        <v>2.3148</v>
      </c>
      <c r="AV843" s="69">
        <v>5.7443999999999997</v>
      </c>
      <c r="AW843" s="69">
        <v>0.3458</v>
      </c>
      <c r="BB843" s="69"/>
    </row>
    <row r="844" spans="1:54" customFormat="1" ht="40" customHeight="1">
      <c r="A844" s="313">
        <v>843</v>
      </c>
      <c r="B844" s="136" t="s">
        <v>2287</v>
      </c>
      <c r="C844" s="136" t="s">
        <v>59</v>
      </c>
      <c r="D844" s="31">
        <f t="shared" si="60"/>
        <v>5</v>
      </c>
      <c r="E844" s="137" t="s">
        <v>221</v>
      </c>
      <c r="F844" s="31">
        <f t="shared" si="61"/>
        <v>2</v>
      </c>
      <c r="G844" s="137" t="s">
        <v>2303</v>
      </c>
      <c r="H844" s="138">
        <v>49</v>
      </c>
      <c r="I844" s="158">
        <f t="shared" si="62"/>
        <v>0.66362329448326496</v>
      </c>
      <c r="J844" s="95">
        <v>0.66996713212499703</v>
      </c>
      <c r="K844" s="137">
        <v>0.65727945684153299</v>
      </c>
      <c r="L844" s="137">
        <v>0.56348610067618299</v>
      </c>
      <c r="M844" s="137">
        <v>0.79796949108955795</v>
      </c>
      <c r="N844" s="136">
        <v>1</v>
      </c>
      <c r="O844" s="32">
        <v>43792</v>
      </c>
      <c r="P844" s="98">
        <f t="shared" si="63"/>
        <v>1</v>
      </c>
      <c r="Q844">
        <v>0</v>
      </c>
      <c r="R844">
        <v>0</v>
      </c>
      <c r="S844">
        <v>0</v>
      </c>
      <c r="T844" s="112" t="s">
        <v>73</v>
      </c>
      <c r="U844" s="137" t="s">
        <v>2301</v>
      </c>
      <c r="V844" s="137" t="s">
        <v>2304</v>
      </c>
      <c r="W844" s="69">
        <v>126</v>
      </c>
      <c r="X844" s="136">
        <v>1</v>
      </c>
      <c r="Y844" s="136">
        <v>2</v>
      </c>
      <c r="Z844" s="314"/>
      <c r="AA844" s="319">
        <v>0.54500000000000004</v>
      </c>
      <c r="AB844" s="315" t="s">
        <v>5167</v>
      </c>
      <c r="AC844" s="319">
        <v>0</v>
      </c>
      <c r="AD844" s="320">
        <v>0</v>
      </c>
      <c r="AE844" s="319">
        <v>0</v>
      </c>
      <c r="AF844" s="320">
        <v>0</v>
      </c>
      <c r="AG844" s="319">
        <v>0</v>
      </c>
      <c r="AH844" s="320">
        <v>0</v>
      </c>
      <c r="AI844" s="319">
        <v>1</v>
      </c>
      <c r="AJ844" s="320">
        <v>1.3157894736842099E-2</v>
      </c>
      <c r="AK844" s="320">
        <v>0</v>
      </c>
      <c r="AL844" s="319">
        <v>5</v>
      </c>
      <c r="AM844" s="319">
        <v>5</v>
      </c>
      <c r="AN844" s="319">
        <v>3.5</v>
      </c>
      <c r="AO844" s="319">
        <v>0.45</v>
      </c>
      <c r="AP844">
        <v>2</v>
      </c>
      <c r="AR844" s="136">
        <v>2</v>
      </c>
      <c r="AT844" s="69">
        <v>2.3148</v>
      </c>
      <c r="AU844" s="69">
        <v>2.3148</v>
      </c>
      <c r="AV844" s="69">
        <v>5.7443999999999997</v>
      </c>
      <c r="AW844" s="69">
        <v>0.3458</v>
      </c>
      <c r="BB844" s="69"/>
    </row>
    <row r="845" spans="1:54" customFormat="1" ht="40" customHeight="1">
      <c r="A845" s="313">
        <v>844</v>
      </c>
      <c r="B845" s="136" t="s">
        <v>2287</v>
      </c>
      <c r="C845" s="136" t="s">
        <v>59</v>
      </c>
      <c r="D845" s="31">
        <f t="shared" si="60"/>
        <v>5</v>
      </c>
      <c r="E845" s="137" t="s">
        <v>80</v>
      </c>
      <c r="F845" s="31">
        <f t="shared" si="61"/>
        <v>4</v>
      </c>
      <c r="G845" s="137" t="s">
        <v>2305</v>
      </c>
      <c r="H845" s="138">
        <v>24</v>
      </c>
      <c r="I845" s="158">
        <f t="shared" si="62"/>
        <v>0.40872757511861546</v>
      </c>
      <c r="J845" s="95">
        <v>2.45980073800879E-2</v>
      </c>
      <c r="K845" s="137">
        <v>0.79285714285714304</v>
      </c>
      <c r="L845" s="137">
        <v>0.75</v>
      </c>
      <c r="M845" s="137">
        <v>0.85714285714285698</v>
      </c>
      <c r="N845" s="136">
        <v>1</v>
      </c>
      <c r="O845" s="32">
        <v>43747</v>
      </c>
      <c r="P845" s="98">
        <f t="shared" si="63"/>
        <v>1</v>
      </c>
      <c r="Q845">
        <v>0</v>
      </c>
      <c r="R845">
        <v>1.65</v>
      </c>
      <c r="S845">
        <v>0</v>
      </c>
      <c r="T845" s="112" t="s">
        <v>73</v>
      </c>
      <c r="U845" s="137" t="s">
        <v>2306</v>
      </c>
      <c r="V845" s="137" t="s">
        <v>2307</v>
      </c>
      <c r="W845" s="69">
        <v>58</v>
      </c>
      <c r="X845" s="136">
        <v>1</v>
      </c>
      <c r="Y845" s="136">
        <v>1</v>
      </c>
      <c r="Z845" s="314"/>
      <c r="AA845" s="319">
        <v>0.54500000000000004</v>
      </c>
      <c r="AB845" s="315" t="s">
        <v>5178</v>
      </c>
      <c r="AC845" s="319">
        <v>2</v>
      </c>
      <c r="AD845" s="320">
        <v>5.7142857142857099E-2</v>
      </c>
      <c r="AE845" s="319">
        <v>2</v>
      </c>
      <c r="AF845" s="320">
        <v>5.7142857142857099E-2</v>
      </c>
      <c r="AG845" s="319">
        <v>1</v>
      </c>
      <c r="AH845" s="320">
        <v>2.8571428571428501E-2</v>
      </c>
      <c r="AI845" s="319">
        <v>0</v>
      </c>
      <c r="AJ845" s="320">
        <v>0</v>
      </c>
      <c r="AK845" s="320">
        <v>0</v>
      </c>
      <c r="AL845" s="319">
        <v>5</v>
      </c>
      <c r="AM845" s="319">
        <v>5</v>
      </c>
      <c r="AN845" s="319">
        <v>5</v>
      </c>
      <c r="AO845" s="319">
        <v>0.5</v>
      </c>
      <c r="AP845">
        <v>1</v>
      </c>
      <c r="AR845" s="136">
        <v>1</v>
      </c>
      <c r="AT845" s="69">
        <v>2.3148</v>
      </c>
      <c r="AU845" s="69">
        <v>2.3148</v>
      </c>
      <c r="AV845" s="69">
        <v>8.5815000000000001</v>
      </c>
      <c r="AW845" s="69">
        <v>0.44040000000000001</v>
      </c>
      <c r="BB845" s="69"/>
    </row>
    <row r="846" spans="1:54" customFormat="1" ht="40" customHeight="1">
      <c r="A846" s="313">
        <v>845</v>
      </c>
      <c r="B846" s="136" t="s">
        <v>2287</v>
      </c>
      <c r="C846" s="136" t="s">
        <v>59</v>
      </c>
      <c r="D846" s="31">
        <f t="shared" si="60"/>
        <v>5</v>
      </c>
      <c r="E846" s="137" t="s">
        <v>80</v>
      </c>
      <c r="F846" s="31">
        <f t="shared" si="61"/>
        <v>4</v>
      </c>
      <c r="G846" s="137" t="s">
        <v>2308</v>
      </c>
      <c r="H846" s="138">
        <v>20</v>
      </c>
      <c r="I846" s="158">
        <f t="shared" si="62"/>
        <v>0.72317175987583004</v>
      </c>
      <c r="J846" s="95">
        <v>0.65348637689451705</v>
      </c>
      <c r="K846" s="137">
        <v>0.79285714285714304</v>
      </c>
      <c r="L846" s="137">
        <v>0.75</v>
      </c>
      <c r="M846" s="137">
        <v>0.85714285714285698</v>
      </c>
      <c r="N846" s="136">
        <v>1</v>
      </c>
      <c r="O846" s="32">
        <v>43717</v>
      </c>
      <c r="P846" s="98">
        <f t="shared" si="63"/>
        <v>1</v>
      </c>
      <c r="Q846">
        <v>0</v>
      </c>
      <c r="R846">
        <v>1.65</v>
      </c>
      <c r="S846">
        <v>0</v>
      </c>
      <c r="T846" s="112" t="s">
        <v>73</v>
      </c>
      <c r="U846" s="137" t="s">
        <v>2309</v>
      </c>
      <c r="V846" s="137" t="s">
        <v>2310</v>
      </c>
      <c r="W846" s="69">
        <v>97</v>
      </c>
      <c r="X846" s="136">
        <v>1</v>
      </c>
      <c r="Y846" s="136">
        <v>1</v>
      </c>
      <c r="Z846" s="314"/>
      <c r="AA846" s="319">
        <v>0.5</v>
      </c>
      <c r="AB846" s="315" t="s">
        <v>5177</v>
      </c>
      <c r="AC846" s="319">
        <v>0</v>
      </c>
      <c r="AD846" s="320">
        <v>0</v>
      </c>
      <c r="AE846" s="319">
        <v>2</v>
      </c>
      <c r="AF846" s="320">
        <v>3.5087719298245598E-2</v>
      </c>
      <c r="AG846" s="319">
        <v>2</v>
      </c>
      <c r="AH846" s="320">
        <v>3.5087719298245598E-2</v>
      </c>
      <c r="AI846" s="319">
        <v>0</v>
      </c>
      <c r="AJ846" s="320">
        <v>0</v>
      </c>
      <c r="AK846" s="320">
        <v>3.5087719298245612E-2</v>
      </c>
      <c r="AL846" s="319">
        <v>5</v>
      </c>
      <c r="AM846" s="319">
        <v>5</v>
      </c>
      <c r="AN846" s="319">
        <v>5</v>
      </c>
      <c r="AO846" s="319">
        <v>0.5</v>
      </c>
      <c r="AP846">
        <v>1</v>
      </c>
      <c r="AR846" s="136">
        <v>1</v>
      </c>
      <c r="AT846" s="69">
        <v>2.3148</v>
      </c>
      <c r="AU846" s="69">
        <v>2.3148</v>
      </c>
      <c r="AV846" s="69">
        <v>8.5815000000000001</v>
      </c>
      <c r="AW846" s="69">
        <v>0.44040000000000001</v>
      </c>
      <c r="BB846" s="69"/>
    </row>
    <row r="847" spans="1:54" customFormat="1" ht="40" customHeight="1">
      <c r="A847" s="313">
        <v>846</v>
      </c>
      <c r="B847" s="136" t="s">
        <v>2287</v>
      </c>
      <c r="C847" s="136" t="s">
        <v>45</v>
      </c>
      <c r="D847" s="31">
        <f t="shared" si="60"/>
        <v>4</v>
      </c>
      <c r="E847" s="137" t="s">
        <v>46</v>
      </c>
      <c r="F847" s="31">
        <f t="shared" si="61"/>
        <v>6</v>
      </c>
      <c r="G847" s="137" t="s">
        <v>2311</v>
      </c>
      <c r="H847" s="138">
        <v>71</v>
      </c>
      <c r="I847" s="158">
        <f t="shared" si="62"/>
        <v>0.70790731618579295</v>
      </c>
      <c r="J847" s="95">
        <v>0.66078547481633898</v>
      </c>
      <c r="K847" s="137">
        <v>0.75502915755524702</v>
      </c>
      <c r="L847" s="137">
        <v>0.82499999999999996</v>
      </c>
      <c r="M847" s="137">
        <v>0.65007289388811795</v>
      </c>
      <c r="N847" s="136">
        <v>1</v>
      </c>
      <c r="O847" s="32">
        <v>43400</v>
      </c>
      <c r="P847" s="98">
        <f t="shared" si="63"/>
        <v>1</v>
      </c>
      <c r="Q847">
        <v>0</v>
      </c>
      <c r="R847">
        <v>0</v>
      </c>
      <c r="S847">
        <v>0</v>
      </c>
      <c r="T847" s="112" t="s">
        <v>73</v>
      </c>
      <c r="U847" s="137" t="s">
        <v>2312</v>
      </c>
      <c r="V847" s="137" t="s">
        <v>2313</v>
      </c>
      <c r="W847" s="69">
        <v>99</v>
      </c>
      <c r="X847" s="136">
        <v>2</v>
      </c>
      <c r="Y847" s="136">
        <v>6</v>
      </c>
      <c r="Z847" s="314"/>
      <c r="AA847" s="319">
        <v>0.60499999999999998</v>
      </c>
      <c r="AB847" s="315" t="s">
        <v>5165</v>
      </c>
      <c r="AC847" s="319">
        <v>4</v>
      </c>
      <c r="AD847" s="320">
        <v>7.4074074074074001E-2</v>
      </c>
      <c r="AE847" s="319">
        <v>1</v>
      </c>
      <c r="AF847" s="320">
        <v>1.85185185185185E-2</v>
      </c>
      <c r="AG847" s="319">
        <v>3</v>
      </c>
      <c r="AH847" s="320">
        <v>5.5555555555555497E-2</v>
      </c>
      <c r="AI847" s="319">
        <v>0</v>
      </c>
      <c r="AJ847" s="320">
        <v>0</v>
      </c>
      <c r="AK847" s="320">
        <v>3.7037037037037028E-2</v>
      </c>
      <c r="AL847" s="319">
        <v>5</v>
      </c>
      <c r="AM847" s="319">
        <v>5</v>
      </c>
      <c r="AN847" s="319">
        <v>2</v>
      </c>
      <c r="AO847" s="319">
        <v>0.4</v>
      </c>
      <c r="AP847">
        <v>6</v>
      </c>
      <c r="AQ847" s="136">
        <v>6</v>
      </c>
      <c r="AT847" s="69">
        <v>2.3148</v>
      </c>
      <c r="AU847" s="69">
        <v>2.3148</v>
      </c>
      <c r="AV847" s="69">
        <v>2.3148</v>
      </c>
      <c r="AW847" s="69">
        <v>0.23150000000000001</v>
      </c>
      <c r="BB847" s="69"/>
    </row>
    <row r="848" spans="1:54" customFormat="1" ht="40" customHeight="1">
      <c r="A848" s="313">
        <v>847</v>
      </c>
      <c r="B848" s="136" t="s">
        <v>2287</v>
      </c>
      <c r="C848" s="136" t="s">
        <v>45</v>
      </c>
      <c r="D848" s="31">
        <f t="shared" si="60"/>
        <v>4</v>
      </c>
      <c r="E848" s="137" t="s">
        <v>46</v>
      </c>
      <c r="F848" s="31">
        <f t="shared" si="61"/>
        <v>6</v>
      </c>
      <c r="G848" s="137" t="s">
        <v>2314</v>
      </c>
      <c r="H848" s="138">
        <v>330</v>
      </c>
      <c r="I848" s="158">
        <f t="shared" si="62"/>
        <v>0.37737568731589977</v>
      </c>
      <c r="J848" s="95">
        <v>2.6472669105067501E-2</v>
      </c>
      <c r="K848" s="137">
        <v>0.72827870552673202</v>
      </c>
      <c r="L848" s="137">
        <v>0.68181818181818199</v>
      </c>
      <c r="M848" s="137">
        <v>0.79796949108955795</v>
      </c>
      <c r="N848" s="136">
        <v>1</v>
      </c>
      <c r="O848" s="32">
        <v>43262</v>
      </c>
      <c r="P848" s="98">
        <f t="shared" si="63"/>
        <v>1</v>
      </c>
      <c r="Q848">
        <v>0</v>
      </c>
      <c r="R848">
        <v>3.3</v>
      </c>
      <c r="S848">
        <v>0</v>
      </c>
      <c r="T848" s="112" t="s">
        <v>73</v>
      </c>
      <c r="U848" s="137" t="s">
        <v>2315</v>
      </c>
      <c r="V848" s="137" t="s">
        <v>2316</v>
      </c>
      <c r="W848" s="69">
        <v>134</v>
      </c>
      <c r="X848" s="136">
        <v>1</v>
      </c>
      <c r="Y848" s="136">
        <v>2</v>
      </c>
      <c r="Z848" s="314"/>
      <c r="AA848" s="319">
        <v>0.5</v>
      </c>
      <c r="AB848" s="315" t="s">
        <v>5176</v>
      </c>
      <c r="AC848" s="319">
        <v>2</v>
      </c>
      <c r="AD848" s="320">
        <v>2.6315789473684199E-2</v>
      </c>
      <c r="AE848" s="319">
        <v>5</v>
      </c>
      <c r="AF848" s="320">
        <v>6.5789473684210495E-2</v>
      </c>
      <c r="AG848" s="319">
        <v>4</v>
      </c>
      <c r="AH848" s="320">
        <v>5.2631578947368397E-2</v>
      </c>
      <c r="AI848" s="319">
        <v>0</v>
      </c>
      <c r="AJ848" s="320">
        <v>0</v>
      </c>
      <c r="AK848" s="320">
        <v>3.9473684210526307E-2</v>
      </c>
      <c r="AL848" s="319">
        <v>6.75</v>
      </c>
      <c r="AM848" s="319">
        <v>8.3333333333333304</v>
      </c>
      <c r="AN848" s="319">
        <v>4.6666666666666599</v>
      </c>
      <c r="AO848" s="319">
        <v>0.65833333333333299</v>
      </c>
      <c r="AP848">
        <v>2</v>
      </c>
      <c r="AQ848" s="136">
        <v>2</v>
      </c>
      <c r="AT848" s="69">
        <v>6.3414000000000001</v>
      </c>
      <c r="AU848" s="69">
        <v>8.9379000000000008</v>
      </c>
      <c r="AV848" s="69">
        <v>8.1305999999999994</v>
      </c>
      <c r="AW848" s="69">
        <v>0.78029999999999999</v>
      </c>
      <c r="BB848" s="69"/>
    </row>
    <row r="849" spans="1:54" customFormat="1" ht="40" customHeight="1">
      <c r="A849" s="313">
        <v>848</v>
      </c>
      <c r="B849" s="136" t="s">
        <v>2287</v>
      </c>
      <c r="C849" s="136" t="s">
        <v>45</v>
      </c>
      <c r="D849" s="31">
        <f t="shared" si="60"/>
        <v>4</v>
      </c>
      <c r="E849" s="137" t="s">
        <v>46</v>
      </c>
      <c r="F849" s="31">
        <f t="shared" si="61"/>
        <v>6</v>
      </c>
      <c r="G849" s="137" t="s">
        <v>2317</v>
      </c>
      <c r="H849" s="138">
        <v>263</v>
      </c>
      <c r="I849" s="158">
        <f t="shared" si="62"/>
        <v>0.34742202715735387</v>
      </c>
      <c r="J849" s="95">
        <v>3.8859509512767503E-5</v>
      </c>
      <c r="K849" s="137">
        <v>0.69480519480519498</v>
      </c>
      <c r="L849" s="137">
        <v>0.68181818181818199</v>
      </c>
      <c r="M849" s="137">
        <v>0.71428571428571397</v>
      </c>
      <c r="N849" s="136">
        <v>1</v>
      </c>
      <c r="O849" s="32">
        <v>43259</v>
      </c>
      <c r="P849" s="98">
        <f t="shared" si="63"/>
        <v>1</v>
      </c>
      <c r="Q849">
        <v>0</v>
      </c>
      <c r="R849">
        <v>1.65</v>
      </c>
      <c r="S849">
        <v>0</v>
      </c>
      <c r="T849" s="112" t="s">
        <v>73</v>
      </c>
      <c r="U849" s="137" t="s">
        <v>2318</v>
      </c>
      <c r="V849" s="137" t="s">
        <v>2316</v>
      </c>
      <c r="W849" s="69">
        <v>134</v>
      </c>
      <c r="X849" s="136">
        <v>1</v>
      </c>
      <c r="Y849" s="136">
        <v>4</v>
      </c>
      <c r="Z849" s="314"/>
      <c r="AA849" s="319">
        <v>0.5</v>
      </c>
      <c r="AB849" s="315" t="s">
        <v>5176</v>
      </c>
      <c r="AC849" s="319">
        <v>2</v>
      </c>
      <c r="AD849" s="320">
        <v>2.6315789473684199E-2</v>
      </c>
      <c r="AE849" s="319">
        <v>5</v>
      </c>
      <c r="AF849" s="320">
        <v>6.5789473684210495E-2</v>
      </c>
      <c r="AG849" s="319">
        <v>4</v>
      </c>
      <c r="AH849" s="320">
        <v>5.2631578947368397E-2</v>
      </c>
      <c r="AI849" s="319">
        <v>0</v>
      </c>
      <c r="AJ849" s="320">
        <v>0</v>
      </c>
      <c r="AK849" s="320">
        <v>3.9473684210526307E-2</v>
      </c>
      <c r="AL849" s="319">
        <v>5</v>
      </c>
      <c r="AM849" s="319">
        <v>6.2</v>
      </c>
      <c r="AN849" s="319">
        <v>4.6666666666666599</v>
      </c>
      <c r="AO849" s="319">
        <v>0.52888888888888796</v>
      </c>
      <c r="AP849">
        <v>4</v>
      </c>
      <c r="AQ849" s="136">
        <v>4</v>
      </c>
      <c r="AT849" s="69">
        <v>2.3148</v>
      </c>
      <c r="AU849" s="69">
        <v>5</v>
      </c>
      <c r="AV849" s="69">
        <v>8.1305999999999994</v>
      </c>
      <c r="AW849" s="69">
        <v>0.51480000000000004</v>
      </c>
      <c r="BB849" s="69"/>
    </row>
    <row r="850" spans="1:54" customFormat="1" ht="40" customHeight="1">
      <c r="A850" s="313">
        <v>849</v>
      </c>
      <c r="B850" s="136" t="s">
        <v>2287</v>
      </c>
      <c r="C850" s="136" t="s">
        <v>59</v>
      </c>
      <c r="D850" s="31">
        <f t="shared" si="60"/>
        <v>5</v>
      </c>
      <c r="E850" s="137" t="s">
        <v>46</v>
      </c>
      <c r="F850" s="31">
        <f t="shared" si="61"/>
        <v>6</v>
      </c>
      <c r="G850" s="137" t="s">
        <v>2319</v>
      </c>
      <c r="H850" s="138">
        <v>158</v>
      </c>
      <c r="I850" s="158">
        <f t="shared" si="62"/>
        <v>0.35514958662568558</v>
      </c>
      <c r="J850" s="95">
        <v>1.82596021541137E-4</v>
      </c>
      <c r="K850" s="137">
        <v>0.71011657722983001</v>
      </c>
      <c r="L850" s="137">
        <v>0.68181818181818199</v>
      </c>
      <c r="M850" s="137">
        <v>0.75256417034730305</v>
      </c>
      <c r="N850" s="136">
        <v>0</v>
      </c>
      <c r="O850" s="32">
        <v>43255</v>
      </c>
      <c r="P850" s="98">
        <f t="shared" si="63"/>
        <v>1</v>
      </c>
      <c r="Q850">
        <v>0</v>
      </c>
      <c r="R850">
        <v>3.3</v>
      </c>
      <c r="S850">
        <v>1.87</v>
      </c>
      <c r="T850" s="112" t="s">
        <v>73</v>
      </c>
      <c r="U850" s="137" t="s">
        <v>2320</v>
      </c>
      <c r="V850" s="137" t="s">
        <v>2321</v>
      </c>
      <c r="W850" s="69">
        <v>145</v>
      </c>
      <c r="X850" s="136">
        <v>3</v>
      </c>
      <c r="Y850" s="136">
        <v>3</v>
      </c>
      <c r="Z850" s="314"/>
      <c r="AA850" s="319">
        <v>0.46363636363636301</v>
      </c>
      <c r="AB850" s="315" t="s">
        <v>5165</v>
      </c>
      <c r="AC850" s="319">
        <v>3</v>
      </c>
      <c r="AD850" s="320">
        <v>3.7974683544303701E-2</v>
      </c>
      <c r="AE850" s="319">
        <v>1</v>
      </c>
      <c r="AF850" s="320">
        <v>1.26582278481012E-2</v>
      </c>
      <c r="AG850" s="319">
        <v>2</v>
      </c>
      <c r="AH850" s="320">
        <v>2.53164556962025E-2</v>
      </c>
      <c r="AI850" s="319">
        <v>0</v>
      </c>
      <c r="AJ850" s="320">
        <v>0</v>
      </c>
      <c r="AK850" s="320">
        <v>0</v>
      </c>
      <c r="AL850" s="319">
        <v>5</v>
      </c>
      <c r="AM850" s="319">
        <v>5</v>
      </c>
      <c r="AN850" s="319">
        <v>5</v>
      </c>
      <c r="AO850" s="319">
        <v>0.5</v>
      </c>
      <c r="AP850">
        <v>3</v>
      </c>
      <c r="AQ850" s="136">
        <v>3</v>
      </c>
      <c r="AT850" s="69">
        <v>2.3148</v>
      </c>
      <c r="AU850" s="69">
        <v>2.3148</v>
      </c>
      <c r="AV850" s="69">
        <v>8.5815000000000001</v>
      </c>
      <c r="AW850" s="69">
        <v>0.44040000000000001</v>
      </c>
      <c r="BB850" s="69"/>
    </row>
    <row r="851" spans="1:54" customFormat="1" ht="40" customHeight="1">
      <c r="A851" s="313">
        <v>850</v>
      </c>
      <c r="B851" s="136" t="s">
        <v>2287</v>
      </c>
      <c r="C851" s="136" t="s">
        <v>59</v>
      </c>
      <c r="D851" s="31">
        <f t="shared" si="60"/>
        <v>5</v>
      </c>
      <c r="E851" s="137" t="s">
        <v>46</v>
      </c>
      <c r="F851" s="31">
        <f t="shared" si="61"/>
        <v>6</v>
      </c>
      <c r="G851" s="137" t="s">
        <v>2322</v>
      </c>
      <c r="H851" s="138">
        <v>420</v>
      </c>
      <c r="I851" s="158">
        <f t="shared" si="62"/>
        <v>0.39645457252640398</v>
      </c>
      <c r="J851" s="95">
        <v>5.2002195664924097E-5</v>
      </c>
      <c r="K851" s="137">
        <v>0.79285714285714304</v>
      </c>
      <c r="L851" s="137">
        <v>0.75</v>
      </c>
      <c r="M851" s="137">
        <v>0.85714285714285698</v>
      </c>
      <c r="N851" s="136">
        <v>0</v>
      </c>
      <c r="O851" s="32">
        <v>43250</v>
      </c>
      <c r="P851" s="98">
        <f t="shared" si="63"/>
        <v>2</v>
      </c>
      <c r="Q851">
        <v>5.0999999999999996</v>
      </c>
      <c r="R851">
        <v>4.95</v>
      </c>
      <c r="S851">
        <v>5.61</v>
      </c>
      <c r="T851" s="112" t="s">
        <v>64</v>
      </c>
      <c r="U851" s="137" t="s">
        <v>2323</v>
      </c>
      <c r="V851" s="137" t="s">
        <v>2324</v>
      </c>
      <c r="W851" s="69">
        <v>104</v>
      </c>
      <c r="X851" s="136">
        <v>1</v>
      </c>
      <c r="Y851" s="136">
        <v>1</v>
      </c>
      <c r="Z851" s="314"/>
      <c r="AA851" s="319">
        <v>0.54500000000000004</v>
      </c>
      <c r="AB851" s="315" t="s">
        <v>5178</v>
      </c>
      <c r="AC851" s="319">
        <v>1</v>
      </c>
      <c r="AD851" s="320">
        <v>1.6949152542372801E-2</v>
      </c>
      <c r="AE851" s="319">
        <v>1</v>
      </c>
      <c r="AF851" s="320">
        <v>1.6949152542372801E-2</v>
      </c>
      <c r="AG851" s="319">
        <v>0</v>
      </c>
      <c r="AH851" s="320">
        <v>0</v>
      </c>
      <c r="AI851" s="319">
        <v>0</v>
      </c>
      <c r="AJ851" s="320">
        <v>0</v>
      </c>
      <c r="AK851" s="320">
        <v>0</v>
      </c>
      <c r="AL851" s="319">
        <v>6.75</v>
      </c>
      <c r="AM851" s="319">
        <v>6.2</v>
      </c>
      <c r="AN851" s="319">
        <v>2</v>
      </c>
      <c r="AO851" s="319">
        <v>0.49833333333333302</v>
      </c>
      <c r="AP851">
        <v>1</v>
      </c>
      <c r="AQ851" s="136">
        <v>1</v>
      </c>
      <c r="AT851" s="69">
        <v>6.3414000000000001</v>
      </c>
      <c r="AU851" s="69">
        <v>5</v>
      </c>
      <c r="AV851" s="69">
        <v>2.3148</v>
      </c>
      <c r="AW851" s="69">
        <v>0.45519999999999999</v>
      </c>
      <c r="BB851" s="69"/>
    </row>
    <row r="852" spans="1:54" customFormat="1" ht="40" customHeight="1">
      <c r="A852" s="313">
        <v>851</v>
      </c>
      <c r="B852" s="136" t="s">
        <v>2287</v>
      </c>
      <c r="C852" s="136" t="s">
        <v>59</v>
      </c>
      <c r="D852" s="31">
        <f t="shared" si="60"/>
        <v>5</v>
      </c>
      <c r="E852" s="137" t="s">
        <v>46</v>
      </c>
      <c r="F852" s="31">
        <f t="shared" si="61"/>
        <v>6</v>
      </c>
      <c r="G852" s="137" t="s">
        <v>2319</v>
      </c>
      <c r="H852" s="138">
        <v>137</v>
      </c>
      <c r="I852" s="158">
        <f t="shared" si="62"/>
        <v>0.83954893414838505</v>
      </c>
      <c r="J852" s="95">
        <v>0.98800924541466595</v>
      </c>
      <c r="K852" s="137">
        <v>0.69108862288210404</v>
      </c>
      <c r="L852" s="137">
        <v>0.61983471074380203</v>
      </c>
      <c r="M852" s="137">
        <v>0.79796949108955795</v>
      </c>
      <c r="N852" s="136">
        <v>0</v>
      </c>
      <c r="O852" s="32">
        <v>43248</v>
      </c>
      <c r="P852" s="98">
        <f t="shared" si="63"/>
        <v>2</v>
      </c>
      <c r="Q852">
        <v>0</v>
      </c>
      <c r="R852">
        <v>0</v>
      </c>
      <c r="S852">
        <v>1.87</v>
      </c>
      <c r="T852" s="112" t="s">
        <v>64</v>
      </c>
      <c r="U852" s="137" t="s">
        <v>2325</v>
      </c>
      <c r="V852" s="137" t="s">
        <v>2326</v>
      </c>
      <c r="W852" s="69">
        <v>37</v>
      </c>
      <c r="X852" s="136">
        <v>2</v>
      </c>
      <c r="Y852" s="136">
        <v>2</v>
      </c>
      <c r="Z852" s="314"/>
      <c r="AA852" s="319">
        <v>0.55000000000000004</v>
      </c>
      <c r="AB852" s="331" t="s">
        <v>5172</v>
      </c>
      <c r="AC852" s="319">
        <v>0</v>
      </c>
      <c r="AD852" s="320">
        <v>0</v>
      </c>
      <c r="AE852" s="319">
        <v>0</v>
      </c>
      <c r="AF852" s="320">
        <v>0</v>
      </c>
      <c r="AG852" s="319">
        <v>0</v>
      </c>
      <c r="AH852" s="320">
        <v>0</v>
      </c>
      <c r="AI852" s="319">
        <v>0</v>
      </c>
      <c r="AJ852" s="320">
        <v>0</v>
      </c>
      <c r="AK852" s="320">
        <v>0</v>
      </c>
      <c r="AL852" s="319">
        <v>5</v>
      </c>
      <c r="AM852" s="319">
        <v>5</v>
      </c>
      <c r="AN852" s="319">
        <v>3.5</v>
      </c>
      <c r="AO852" s="319">
        <v>0.45</v>
      </c>
      <c r="AP852">
        <v>2</v>
      </c>
      <c r="AQ852" s="136">
        <v>2</v>
      </c>
      <c r="AT852" s="69">
        <v>2.3148</v>
      </c>
      <c r="AU852" s="69">
        <v>2.3148</v>
      </c>
      <c r="AV852" s="69">
        <v>5.7443999999999997</v>
      </c>
      <c r="AW852" s="69">
        <v>0.3458</v>
      </c>
      <c r="BB852" s="69"/>
    </row>
    <row r="853" spans="1:54" customFormat="1" ht="40" customHeight="1">
      <c r="A853" s="313">
        <v>852</v>
      </c>
      <c r="B853" s="136" t="s">
        <v>2287</v>
      </c>
      <c r="C853" s="136" t="s">
        <v>45</v>
      </c>
      <c r="D853" s="31">
        <f t="shared" si="60"/>
        <v>4</v>
      </c>
      <c r="E853" s="137" t="s">
        <v>46</v>
      </c>
      <c r="F853" s="31">
        <f t="shared" si="61"/>
        <v>6</v>
      </c>
      <c r="G853" s="137" t="s">
        <v>2327</v>
      </c>
      <c r="H853" s="138">
        <v>232</v>
      </c>
      <c r="I853" s="158">
        <f t="shared" si="62"/>
        <v>0.3051581737031277</v>
      </c>
      <c r="J853" s="95">
        <v>5.33351141029925E-13</v>
      </c>
      <c r="K853" s="137">
        <v>0.61031634740572205</v>
      </c>
      <c r="L853" s="137">
        <v>0.56348610067618299</v>
      </c>
      <c r="M853" s="137">
        <v>0.68056171750003003</v>
      </c>
      <c r="N853" s="136">
        <v>0</v>
      </c>
      <c r="O853" s="32">
        <v>43238</v>
      </c>
      <c r="P853" s="98">
        <f t="shared" si="63"/>
        <v>0</v>
      </c>
      <c r="Q853">
        <v>2.5499999999999998</v>
      </c>
      <c r="R853">
        <v>1.65</v>
      </c>
      <c r="S853">
        <v>0</v>
      </c>
      <c r="T853" s="112" t="s">
        <v>48</v>
      </c>
      <c r="U853" s="137" t="s">
        <v>2328</v>
      </c>
      <c r="V853" s="137" t="s">
        <v>2329</v>
      </c>
      <c r="W853" s="69">
        <v>85</v>
      </c>
      <c r="X853" s="136">
        <v>1</v>
      </c>
      <c r="Y853" s="136">
        <v>5</v>
      </c>
      <c r="Z853" s="314"/>
      <c r="AA853" s="319">
        <v>2.7382887602325101E-2</v>
      </c>
      <c r="AB853" s="315" t="s">
        <v>5165</v>
      </c>
      <c r="AC853" s="319">
        <v>2</v>
      </c>
      <c r="AD853" s="320">
        <v>4.1666666666666602E-2</v>
      </c>
      <c r="AE853" s="319">
        <v>1</v>
      </c>
      <c r="AF853" s="320">
        <v>2.0833333333333301E-2</v>
      </c>
      <c r="AG853" s="319">
        <v>1</v>
      </c>
      <c r="AH853" s="320">
        <v>2.0833333333333301E-2</v>
      </c>
      <c r="AI853" s="319">
        <v>0</v>
      </c>
      <c r="AJ853" s="320">
        <v>0</v>
      </c>
      <c r="AK853" s="320">
        <v>0</v>
      </c>
      <c r="AL853" s="319">
        <v>5</v>
      </c>
      <c r="AM853" s="319">
        <v>6.2</v>
      </c>
      <c r="AN853" s="319">
        <v>2</v>
      </c>
      <c r="AO853" s="319">
        <v>0.44</v>
      </c>
      <c r="AP853">
        <v>5</v>
      </c>
      <c r="AS853" s="136">
        <v>5</v>
      </c>
      <c r="AT853" s="69">
        <v>2.3148</v>
      </c>
      <c r="AU853" s="69">
        <v>5</v>
      </c>
      <c r="AV853" s="69">
        <v>2.3148</v>
      </c>
      <c r="AW853" s="69">
        <v>0.32100000000000001</v>
      </c>
      <c r="BB853" s="69"/>
    </row>
    <row r="854" spans="1:54" customFormat="1" ht="40" customHeight="1">
      <c r="A854" s="313">
        <v>853</v>
      </c>
      <c r="B854" s="136" t="s">
        <v>2287</v>
      </c>
      <c r="C854" s="136" t="s">
        <v>45</v>
      </c>
      <c r="D854" s="31">
        <f t="shared" si="60"/>
        <v>4</v>
      </c>
      <c r="E854" s="137" t="s">
        <v>46</v>
      </c>
      <c r="F854" s="31">
        <f t="shared" si="61"/>
        <v>6</v>
      </c>
      <c r="G854" s="137" t="s">
        <v>2330</v>
      </c>
      <c r="H854" s="138">
        <v>169</v>
      </c>
      <c r="I854" s="158">
        <f t="shared" si="62"/>
        <v>0.34554431259428031</v>
      </c>
      <c r="J854" s="95">
        <v>2.3064565812802601E-9</v>
      </c>
      <c r="K854" s="137">
        <v>0.69108862288210404</v>
      </c>
      <c r="L854" s="137">
        <v>0.61983471074380203</v>
      </c>
      <c r="M854" s="137">
        <v>0.79796949108955795</v>
      </c>
      <c r="N854" s="136">
        <v>0</v>
      </c>
      <c r="O854" s="32">
        <v>43235</v>
      </c>
      <c r="P854" s="98">
        <f t="shared" si="63"/>
        <v>0</v>
      </c>
      <c r="Q854">
        <v>5.0999999999999996</v>
      </c>
      <c r="R854">
        <v>0</v>
      </c>
      <c r="S854">
        <v>0</v>
      </c>
      <c r="T854" s="112" t="s">
        <v>48</v>
      </c>
      <c r="U854" s="137" t="s">
        <v>2331</v>
      </c>
      <c r="V854" s="137" t="s">
        <v>2332</v>
      </c>
      <c r="W854" s="69">
        <v>234</v>
      </c>
      <c r="X854" s="136">
        <v>2</v>
      </c>
      <c r="Y854" s="136">
        <v>2</v>
      </c>
      <c r="Z854" s="314"/>
      <c r="AA854" s="319">
        <v>0.60499999999999998</v>
      </c>
      <c r="AB854" s="315" t="s">
        <v>5176</v>
      </c>
      <c r="AC854" s="319">
        <v>4</v>
      </c>
      <c r="AD854" s="320">
        <v>2.9197080291970798E-2</v>
      </c>
      <c r="AE854" s="319">
        <v>7</v>
      </c>
      <c r="AF854" s="320">
        <v>5.1094890510948898E-2</v>
      </c>
      <c r="AG854" s="319">
        <v>6</v>
      </c>
      <c r="AH854" s="320">
        <v>4.3795620437956199E-2</v>
      </c>
      <c r="AI854" s="319">
        <v>0</v>
      </c>
      <c r="AJ854" s="320">
        <v>0</v>
      </c>
      <c r="AK854" s="320">
        <v>2.18978102189781E-2</v>
      </c>
      <c r="AL854" s="319">
        <v>6.75</v>
      </c>
      <c r="AM854" s="319">
        <v>6.2</v>
      </c>
      <c r="AN854" s="319">
        <v>6.1666666666666599</v>
      </c>
      <c r="AO854" s="319">
        <v>0.63722222222222202</v>
      </c>
      <c r="AP854">
        <v>2</v>
      </c>
      <c r="AQ854" s="136">
        <v>2</v>
      </c>
      <c r="AR854" s="136"/>
      <c r="AT854" s="69">
        <v>6.3414000000000001</v>
      </c>
      <c r="AU854" s="69">
        <v>5</v>
      </c>
      <c r="AV854" s="69">
        <v>9.5120000000000005</v>
      </c>
      <c r="AW854" s="69">
        <v>0.69510000000000005</v>
      </c>
      <c r="BB854" s="69"/>
    </row>
    <row r="855" spans="1:54" customFormat="1" ht="40" customHeight="1">
      <c r="A855" s="313">
        <v>854</v>
      </c>
      <c r="B855" s="136" t="s">
        <v>2287</v>
      </c>
      <c r="C855" s="136" t="s">
        <v>45</v>
      </c>
      <c r="D855" s="31">
        <f t="shared" si="60"/>
        <v>4</v>
      </c>
      <c r="E855" s="137" t="s">
        <v>46</v>
      </c>
      <c r="F855" s="31">
        <f t="shared" si="61"/>
        <v>6</v>
      </c>
      <c r="G855" s="137" t="s">
        <v>2333</v>
      </c>
      <c r="H855" s="138">
        <v>239</v>
      </c>
      <c r="I855" s="158">
        <f t="shared" si="62"/>
        <v>0.73565966224156498</v>
      </c>
      <c r="J855" s="95">
        <v>0.85060428724054005</v>
      </c>
      <c r="K855" s="137">
        <v>0.62071503724259003</v>
      </c>
      <c r="L855" s="137">
        <v>0.61983471074380203</v>
      </c>
      <c r="M855" s="137">
        <v>0.62203552699077302</v>
      </c>
      <c r="N855" s="136">
        <v>0</v>
      </c>
      <c r="O855" s="32">
        <v>43234</v>
      </c>
      <c r="P855" s="98">
        <f t="shared" si="63"/>
        <v>1</v>
      </c>
      <c r="Q855">
        <v>2.5499999999999998</v>
      </c>
      <c r="R855">
        <v>3.3</v>
      </c>
      <c r="S855">
        <v>0</v>
      </c>
      <c r="T855" s="112" t="s">
        <v>73</v>
      </c>
      <c r="U855" s="137" t="s">
        <v>2334</v>
      </c>
      <c r="V855" s="137" t="s">
        <v>2335</v>
      </c>
      <c r="W855" s="69">
        <v>77</v>
      </c>
      <c r="X855" s="136">
        <v>2</v>
      </c>
      <c r="Y855" s="136">
        <v>7</v>
      </c>
      <c r="Z855" s="314"/>
      <c r="AA855" s="319">
        <v>0.5</v>
      </c>
      <c r="AB855" s="315" t="s">
        <v>5165</v>
      </c>
      <c r="AC855" s="319">
        <v>3</v>
      </c>
      <c r="AD855" s="320">
        <v>7.4999999999999997E-2</v>
      </c>
      <c r="AE855" s="319">
        <v>0</v>
      </c>
      <c r="AF855" s="320">
        <v>0</v>
      </c>
      <c r="AG855" s="319">
        <v>2</v>
      </c>
      <c r="AH855" s="320">
        <v>0.05</v>
      </c>
      <c r="AI855" s="319">
        <v>0</v>
      </c>
      <c r="AJ855" s="320">
        <v>0</v>
      </c>
      <c r="AK855" s="320">
        <v>0</v>
      </c>
      <c r="AL855" s="319">
        <v>5</v>
      </c>
      <c r="AM855" s="319">
        <v>5</v>
      </c>
      <c r="AN855" s="319">
        <v>4.6666666666666599</v>
      </c>
      <c r="AO855" s="319">
        <v>0.48888888888888798</v>
      </c>
      <c r="AP855">
        <v>7</v>
      </c>
      <c r="AR855" s="136">
        <v>7</v>
      </c>
      <c r="AT855" s="69">
        <v>2.3148</v>
      </c>
      <c r="AU855" s="69">
        <v>2.3148</v>
      </c>
      <c r="AV855" s="69">
        <v>8.1305999999999994</v>
      </c>
      <c r="AW855" s="69">
        <v>0.42530000000000001</v>
      </c>
      <c r="BB855" s="69"/>
    </row>
    <row r="856" spans="1:54" customFormat="1" ht="40" customHeight="1">
      <c r="A856" s="313">
        <v>855</v>
      </c>
      <c r="B856" s="136" t="s">
        <v>2287</v>
      </c>
      <c r="C856" s="136" t="s">
        <v>45</v>
      </c>
      <c r="D856" s="31">
        <f t="shared" si="60"/>
        <v>4</v>
      </c>
      <c r="E856" s="137" t="s">
        <v>80</v>
      </c>
      <c r="F856" s="31">
        <f t="shared" si="61"/>
        <v>4</v>
      </c>
      <c r="G856" s="137" t="s">
        <v>159</v>
      </c>
      <c r="H856" s="138">
        <v>53</v>
      </c>
      <c r="I856" s="158">
        <f t="shared" si="62"/>
        <v>0.32319491945410839</v>
      </c>
      <c r="J856" s="95">
        <v>2.4213403633017699E-3</v>
      </c>
      <c r="K856" s="137">
        <v>0.643968498544915</v>
      </c>
      <c r="L856" s="137">
        <v>0.75</v>
      </c>
      <c r="M856" s="137">
        <v>0.48492124636228701</v>
      </c>
      <c r="N856" s="136">
        <v>1</v>
      </c>
      <c r="O856" s="32">
        <v>43074</v>
      </c>
      <c r="P856" s="98">
        <f t="shared" si="63"/>
        <v>0</v>
      </c>
      <c r="Q856">
        <v>5.0999999999999996</v>
      </c>
      <c r="R856">
        <v>0</v>
      </c>
      <c r="S856">
        <v>0</v>
      </c>
      <c r="T856" s="112" t="s">
        <v>48</v>
      </c>
      <c r="U856" s="137" t="s">
        <v>2336</v>
      </c>
      <c r="V856" s="137" t="s">
        <v>2337</v>
      </c>
      <c r="W856" s="69">
        <v>134</v>
      </c>
      <c r="X856" s="136">
        <v>1</v>
      </c>
      <c r="Y856" s="136">
        <v>13</v>
      </c>
      <c r="Z856" s="314"/>
      <c r="AA856" s="319">
        <v>0.66549999999999998</v>
      </c>
      <c r="AB856" s="315" t="s">
        <v>5168</v>
      </c>
      <c r="AC856" s="319">
        <v>1</v>
      </c>
      <c r="AD856" s="320">
        <v>1.38888888888888E-2</v>
      </c>
      <c r="AE856" s="319">
        <v>2</v>
      </c>
      <c r="AF856" s="320">
        <v>2.77777777777777E-2</v>
      </c>
      <c r="AG856" s="319">
        <v>4</v>
      </c>
      <c r="AH856" s="320">
        <v>5.5555555555555497E-2</v>
      </c>
      <c r="AI856" s="319">
        <v>0</v>
      </c>
      <c r="AJ856" s="320">
        <v>0</v>
      </c>
      <c r="AK856" s="320">
        <v>2.777777777777778E-2</v>
      </c>
      <c r="AL856" s="319">
        <v>6.75</v>
      </c>
      <c r="AM856" s="319">
        <v>7.4</v>
      </c>
      <c r="AN856" s="319">
        <v>2</v>
      </c>
      <c r="AO856" s="319">
        <v>0.538333333333333</v>
      </c>
      <c r="AP856">
        <v>13</v>
      </c>
      <c r="AQ856" s="136">
        <v>13</v>
      </c>
      <c r="AT856" s="69">
        <v>6.3414000000000001</v>
      </c>
      <c r="AU856" s="69">
        <v>7.6852</v>
      </c>
      <c r="AV856" s="69">
        <v>2.3148</v>
      </c>
      <c r="AW856" s="69">
        <v>0.54469999999999996</v>
      </c>
      <c r="BB856" s="69"/>
    </row>
    <row r="857" spans="1:54" customFormat="1" ht="40" customHeight="1">
      <c r="A857" s="313">
        <v>856</v>
      </c>
      <c r="B857" s="136" t="s">
        <v>2287</v>
      </c>
      <c r="C857" s="136" t="s">
        <v>45</v>
      </c>
      <c r="D857" s="31">
        <f t="shared" si="60"/>
        <v>4</v>
      </c>
      <c r="E857" s="137" t="s">
        <v>80</v>
      </c>
      <c r="F857" s="31">
        <f t="shared" si="61"/>
        <v>4</v>
      </c>
      <c r="G857" s="137" t="s">
        <v>200</v>
      </c>
      <c r="H857" s="138">
        <v>44</v>
      </c>
      <c r="I857" s="158">
        <f t="shared" si="62"/>
        <v>0.40478610026213879</v>
      </c>
      <c r="J857" s="95">
        <v>1.6715057667134599E-2</v>
      </c>
      <c r="K857" s="137">
        <v>0.79285714285714304</v>
      </c>
      <c r="L857" s="137">
        <v>0.75</v>
      </c>
      <c r="M857" s="137">
        <v>0.85714285714285698</v>
      </c>
      <c r="N857" s="136">
        <v>1</v>
      </c>
      <c r="O857" s="32">
        <v>43017</v>
      </c>
      <c r="P857" s="98">
        <f t="shared" si="63"/>
        <v>0</v>
      </c>
      <c r="Q857">
        <v>5.0999999999999996</v>
      </c>
      <c r="R857">
        <v>0</v>
      </c>
      <c r="S857">
        <v>0</v>
      </c>
      <c r="T857" s="112" t="s">
        <v>48</v>
      </c>
      <c r="U857" s="137" t="s">
        <v>2338</v>
      </c>
      <c r="V857" s="137" t="s">
        <v>2339</v>
      </c>
      <c r="W857" s="69">
        <v>170</v>
      </c>
      <c r="X857" s="136">
        <v>1</v>
      </c>
      <c r="Y857" s="136">
        <v>1</v>
      </c>
      <c r="Z857" s="314"/>
      <c r="AA857" s="319">
        <v>0.54500000000000004</v>
      </c>
      <c r="AB857" s="315" t="s">
        <v>5176</v>
      </c>
      <c r="AC857" s="319">
        <v>3</v>
      </c>
      <c r="AD857" s="320">
        <v>3.2967032967032898E-2</v>
      </c>
      <c r="AE857" s="319">
        <v>4</v>
      </c>
      <c r="AF857" s="320">
        <v>4.3956043956043897E-2</v>
      </c>
      <c r="AG857" s="319">
        <v>2</v>
      </c>
      <c r="AH857" s="320">
        <v>2.19780219780219E-2</v>
      </c>
      <c r="AI857" s="319">
        <v>3</v>
      </c>
      <c r="AJ857" s="320">
        <v>3.2967032967032898E-2</v>
      </c>
      <c r="AK857" s="320">
        <v>0</v>
      </c>
      <c r="AL857" s="319">
        <v>6.75</v>
      </c>
      <c r="AM857" s="319">
        <v>5</v>
      </c>
      <c r="AN857" s="319">
        <v>7.3333333333333304</v>
      </c>
      <c r="AO857" s="319">
        <v>0.63611111111111096</v>
      </c>
      <c r="AP857">
        <v>1</v>
      </c>
      <c r="AQ857" s="136">
        <v>1</v>
      </c>
      <c r="AR857" s="136">
        <v>1</v>
      </c>
      <c r="AT857" s="69">
        <v>6.3414000000000001</v>
      </c>
      <c r="AU857" s="69">
        <v>2.3148</v>
      </c>
      <c r="AV857" s="69">
        <v>9.8416999999999994</v>
      </c>
      <c r="AW857" s="69">
        <v>0.61660000000000004</v>
      </c>
      <c r="BB857" s="69"/>
    </row>
    <row r="858" spans="1:54" customFormat="1" ht="40" customHeight="1">
      <c r="A858" s="313">
        <v>857</v>
      </c>
      <c r="B858" s="136" t="s">
        <v>2287</v>
      </c>
      <c r="C858" s="136" t="s">
        <v>59</v>
      </c>
      <c r="D858" s="31">
        <f t="shared" si="60"/>
        <v>5</v>
      </c>
      <c r="E858" s="137" t="s">
        <v>46</v>
      </c>
      <c r="F858" s="31">
        <f t="shared" si="61"/>
        <v>6</v>
      </c>
      <c r="G858" s="137" t="s">
        <v>2340</v>
      </c>
      <c r="H858" s="138">
        <v>58</v>
      </c>
      <c r="I858" s="158">
        <f t="shared" si="62"/>
        <v>0.86801937223878456</v>
      </c>
      <c r="J858" s="95">
        <v>0.98501307633864799</v>
      </c>
      <c r="K858" s="137">
        <v>0.75102566813892102</v>
      </c>
      <c r="L858" s="137">
        <v>0.75</v>
      </c>
      <c r="M858" s="137">
        <v>0.75256417034730305</v>
      </c>
      <c r="N858" s="136">
        <v>1</v>
      </c>
      <c r="O858" s="32">
        <v>42965</v>
      </c>
      <c r="P858" s="98">
        <f t="shared" si="63"/>
        <v>2</v>
      </c>
      <c r="Q858">
        <v>0</v>
      </c>
      <c r="R858">
        <v>0</v>
      </c>
      <c r="S858">
        <v>1.87</v>
      </c>
      <c r="T858" s="112" t="s">
        <v>64</v>
      </c>
      <c r="U858" s="137" t="s">
        <v>2341</v>
      </c>
      <c r="V858" s="137" t="s">
        <v>2342</v>
      </c>
      <c r="W858" s="69">
        <v>37</v>
      </c>
      <c r="X858" s="136">
        <v>2</v>
      </c>
      <c r="Y858" s="136">
        <v>3</v>
      </c>
      <c r="Z858" s="314"/>
      <c r="AA858" s="319">
        <v>0.5</v>
      </c>
      <c r="AB858" s="315" t="s">
        <v>5178</v>
      </c>
      <c r="AC858" s="319">
        <v>1</v>
      </c>
      <c r="AD858" s="320">
        <v>4.3478260869565202E-2</v>
      </c>
      <c r="AE858" s="319">
        <v>1</v>
      </c>
      <c r="AF858" s="320">
        <v>4.3478260869565202E-2</v>
      </c>
      <c r="AG858" s="319">
        <v>0</v>
      </c>
      <c r="AH858" s="320">
        <v>0</v>
      </c>
      <c r="AI858" s="319">
        <v>0</v>
      </c>
      <c r="AJ858" s="320">
        <v>0</v>
      </c>
      <c r="AK858" s="320">
        <v>0</v>
      </c>
      <c r="AL858" s="319">
        <v>5</v>
      </c>
      <c r="AM858" s="319">
        <v>5</v>
      </c>
      <c r="AN858" s="319">
        <v>3.5</v>
      </c>
      <c r="AO858" s="319">
        <v>0.45</v>
      </c>
      <c r="AP858">
        <v>3</v>
      </c>
      <c r="AR858" s="136">
        <v>3</v>
      </c>
      <c r="AT858" s="69">
        <v>2.3148</v>
      </c>
      <c r="AU858" s="69">
        <v>2.3148</v>
      </c>
      <c r="AV858" s="69">
        <v>5.7443999999999997</v>
      </c>
      <c r="AW858" s="69">
        <v>0.3458</v>
      </c>
      <c r="BB858" s="69"/>
    </row>
    <row r="859" spans="1:54" customFormat="1" ht="40" customHeight="1">
      <c r="A859" s="313">
        <v>858</v>
      </c>
      <c r="B859" s="136" t="s">
        <v>2343</v>
      </c>
      <c r="C859" s="136" t="s">
        <v>45</v>
      </c>
      <c r="D859" s="31">
        <f t="shared" si="60"/>
        <v>4</v>
      </c>
      <c r="E859" s="137" t="s">
        <v>80</v>
      </c>
      <c r="F859" s="31">
        <f t="shared" si="61"/>
        <v>4</v>
      </c>
      <c r="G859" s="137" t="s">
        <v>2344</v>
      </c>
      <c r="H859" s="138">
        <v>56</v>
      </c>
      <c r="I859" s="158">
        <f t="shared" si="62"/>
        <v>0.84794862002965898</v>
      </c>
      <c r="J859" s="95">
        <v>0.89987157192039702</v>
      </c>
      <c r="K859" s="137">
        <v>0.79602566813892095</v>
      </c>
      <c r="L859" s="137">
        <v>0.82499999999999996</v>
      </c>
      <c r="M859" s="137">
        <v>0.75256417034730305</v>
      </c>
      <c r="N859" s="136">
        <v>1</v>
      </c>
      <c r="O859" s="32">
        <v>43660</v>
      </c>
      <c r="P859" s="98">
        <f t="shared" si="63"/>
        <v>0</v>
      </c>
      <c r="Q859">
        <v>7.65</v>
      </c>
      <c r="R859">
        <v>0</v>
      </c>
      <c r="S859">
        <v>0</v>
      </c>
      <c r="T859" s="112" t="s">
        <v>48</v>
      </c>
      <c r="U859" s="137" t="s">
        <v>2345</v>
      </c>
      <c r="V859" s="137" t="s">
        <v>2346</v>
      </c>
      <c r="W859" s="69">
        <v>32</v>
      </c>
      <c r="X859" s="136">
        <v>1</v>
      </c>
      <c r="Y859" s="136">
        <v>3</v>
      </c>
      <c r="Z859" s="314"/>
      <c r="AA859" s="319">
        <v>0.60499999999999998</v>
      </c>
      <c r="AB859" s="315" t="s">
        <v>5176</v>
      </c>
      <c r="AC859" s="319">
        <v>1</v>
      </c>
      <c r="AD859" s="320">
        <v>0.05</v>
      </c>
      <c r="AE859" s="319">
        <v>2</v>
      </c>
      <c r="AF859" s="320">
        <v>0.1</v>
      </c>
      <c r="AG859" s="319">
        <v>1</v>
      </c>
      <c r="AH859" s="320">
        <v>0.05</v>
      </c>
      <c r="AI859" s="319">
        <v>0</v>
      </c>
      <c r="AJ859" s="320">
        <v>0</v>
      </c>
      <c r="AK859" s="320">
        <v>0</v>
      </c>
      <c r="AL859" s="319">
        <v>5</v>
      </c>
      <c r="AM859" s="319">
        <v>6.2</v>
      </c>
      <c r="AN859" s="319">
        <v>2</v>
      </c>
      <c r="AO859" s="319">
        <v>0.44</v>
      </c>
      <c r="AP859">
        <v>3</v>
      </c>
      <c r="AR859" s="136">
        <v>3</v>
      </c>
      <c r="AT859" s="69">
        <v>2.3148</v>
      </c>
      <c r="AU859" s="69">
        <v>5</v>
      </c>
      <c r="AV859" s="69">
        <v>2.3148</v>
      </c>
      <c r="AW859" s="69">
        <v>0.32100000000000001</v>
      </c>
      <c r="BB859" s="69"/>
    </row>
    <row r="860" spans="1:54" customFormat="1" ht="40" customHeight="1">
      <c r="A860" s="313">
        <v>859</v>
      </c>
      <c r="B860" s="136" t="s">
        <v>2343</v>
      </c>
      <c r="C860" s="136" t="s">
        <v>45</v>
      </c>
      <c r="D860" s="31">
        <f t="shared" si="60"/>
        <v>4</v>
      </c>
      <c r="E860" s="137" t="s">
        <v>80</v>
      </c>
      <c r="F860" s="31">
        <f t="shared" si="61"/>
        <v>4</v>
      </c>
      <c r="G860" s="137" t="s">
        <v>2347</v>
      </c>
      <c r="H860" s="138">
        <v>95</v>
      </c>
      <c r="I860" s="158">
        <f t="shared" si="62"/>
        <v>0.40709391052696786</v>
      </c>
      <c r="J860" s="95">
        <v>2.46181127705469E-8</v>
      </c>
      <c r="K860" s="137">
        <v>0.81418779643582295</v>
      </c>
      <c r="L860" s="137">
        <v>0.82499999999999996</v>
      </c>
      <c r="M860" s="137">
        <v>0.79796949108955795</v>
      </c>
      <c r="N860" s="136">
        <v>1</v>
      </c>
      <c r="O860" s="32">
        <v>42667</v>
      </c>
      <c r="P860" s="98">
        <f t="shared" si="63"/>
        <v>0</v>
      </c>
      <c r="Q860">
        <v>2.5499999999999998</v>
      </c>
      <c r="R860">
        <v>0</v>
      </c>
      <c r="S860">
        <v>0</v>
      </c>
      <c r="T860" s="112" t="s">
        <v>48</v>
      </c>
      <c r="U860" s="137" t="s">
        <v>2348</v>
      </c>
      <c r="V860" s="137" t="s">
        <v>2348</v>
      </c>
      <c r="W860" s="69">
        <v>95</v>
      </c>
      <c r="X860" s="136">
        <v>1</v>
      </c>
      <c r="Y860" s="136">
        <v>2</v>
      </c>
      <c r="Z860" s="314"/>
      <c r="AA860" s="319">
        <v>0.54500000000000004</v>
      </c>
      <c r="AB860" s="315" t="s">
        <v>5179</v>
      </c>
      <c r="AC860" s="319">
        <v>1</v>
      </c>
      <c r="AD860" s="320">
        <v>1.9607843137254902E-2</v>
      </c>
      <c r="AE860" s="319">
        <v>1</v>
      </c>
      <c r="AF860" s="320">
        <v>1.9607843137254902E-2</v>
      </c>
      <c r="AG860" s="319">
        <v>1</v>
      </c>
      <c r="AH860" s="320">
        <v>1.9607843137254902E-2</v>
      </c>
      <c r="AI860" s="319">
        <v>0</v>
      </c>
      <c r="AJ860" s="320">
        <v>0</v>
      </c>
      <c r="AK860" s="320">
        <v>0</v>
      </c>
      <c r="AL860" s="319">
        <v>5</v>
      </c>
      <c r="AM860" s="319">
        <v>6.2</v>
      </c>
      <c r="AN860" s="319">
        <v>3.5</v>
      </c>
      <c r="AO860" s="319">
        <v>0.49</v>
      </c>
      <c r="AP860">
        <v>2</v>
      </c>
      <c r="AQ860" s="136">
        <v>2</v>
      </c>
      <c r="AR860" s="136"/>
      <c r="AT860" s="69">
        <v>2.3148</v>
      </c>
      <c r="AU860" s="69">
        <v>5</v>
      </c>
      <c r="AV860" s="69">
        <v>5.7443999999999997</v>
      </c>
      <c r="AW860" s="69">
        <v>0.43530000000000002</v>
      </c>
      <c r="BB860" s="69"/>
    </row>
    <row r="861" spans="1:54" customFormat="1" ht="40" customHeight="1">
      <c r="A861" s="313">
        <v>860</v>
      </c>
      <c r="B861" s="136" t="s">
        <v>2343</v>
      </c>
      <c r="C861" s="136" t="s">
        <v>45</v>
      </c>
      <c r="D861" s="31">
        <f t="shared" si="60"/>
        <v>4</v>
      </c>
      <c r="E861" s="137" t="s">
        <v>80</v>
      </c>
      <c r="F861" s="31">
        <f t="shared" si="61"/>
        <v>4</v>
      </c>
      <c r="G861" s="137" t="s">
        <v>2349</v>
      </c>
      <c r="H861" s="138">
        <v>36</v>
      </c>
      <c r="I861" s="158">
        <f t="shared" si="62"/>
        <v>0.82319056971069249</v>
      </c>
      <c r="J861" s="95">
        <v>0.99381775011391604</v>
      </c>
      <c r="K861" s="137">
        <v>0.65256338930746904</v>
      </c>
      <c r="L861" s="137">
        <v>0.82499999999999996</v>
      </c>
      <c r="M861" s="137">
        <v>0.39390847326867401</v>
      </c>
      <c r="N861" s="136">
        <v>1</v>
      </c>
      <c r="O861" s="32">
        <v>42646</v>
      </c>
      <c r="P861" s="98">
        <f t="shared" si="63"/>
        <v>2</v>
      </c>
      <c r="Q861">
        <v>0</v>
      </c>
      <c r="R861">
        <v>0</v>
      </c>
      <c r="S861">
        <v>1.87</v>
      </c>
      <c r="T861" s="112" t="s">
        <v>64</v>
      </c>
      <c r="U861" s="137" t="s">
        <v>2350</v>
      </c>
      <c r="V861" s="137" t="s">
        <v>2351</v>
      </c>
      <c r="W861" s="69">
        <v>69</v>
      </c>
      <c r="X861" s="136">
        <v>3</v>
      </c>
      <c r="Y861" s="136">
        <v>18</v>
      </c>
      <c r="Z861" s="314"/>
      <c r="AA861" s="319">
        <v>0.55000000000000004</v>
      </c>
      <c r="AB861" s="315" t="s">
        <v>5165</v>
      </c>
      <c r="AC861" s="319">
        <v>3</v>
      </c>
      <c r="AD861" s="320">
        <v>7.8947368421052599E-2</v>
      </c>
      <c r="AE861" s="319">
        <v>2</v>
      </c>
      <c r="AF861" s="320">
        <v>5.2631578947368397E-2</v>
      </c>
      <c r="AG861" s="319">
        <v>0</v>
      </c>
      <c r="AH861" s="320">
        <v>0</v>
      </c>
      <c r="AI861" s="319">
        <v>0</v>
      </c>
      <c r="AJ861" s="320">
        <v>0</v>
      </c>
      <c r="AK861" s="320">
        <v>0</v>
      </c>
      <c r="AL861" s="319">
        <v>5</v>
      </c>
      <c r="AM861" s="319">
        <v>5</v>
      </c>
      <c r="AN861" s="319">
        <v>2</v>
      </c>
      <c r="AO861" s="319">
        <v>0.4</v>
      </c>
      <c r="AP861">
        <v>18</v>
      </c>
      <c r="AR861" s="136">
        <v>18</v>
      </c>
      <c r="AT861" s="69">
        <v>2.3148</v>
      </c>
      <c r="AU861" s="69">
        <v>2.3148</v>
      </c>
      <c r="AV861" s="69">
        <v>2.3148</v>
      </c>
      <c r="AW861" s="69">
        <v>0.23150000000000001</v>
      </c>
      <c r="BB861" s="69"/>
    </row>
    <row r="862" spans="1:54" customFormat="1" ht="40" customHeight="1">
      <c r="A862" s="313">
        <v>861</v>
      </c>
      <c r="B862" s="136" t="s">
        <v>2352</v>
      </c>
      <c r="C862" s="136" t="s">
        <v>45</v>
      </c>
      <c r="D862" s="31">
        <f t="shared" si="60"/>
        <v>4</v>
      </c>
      <c r="E862" s="137" t="s">
        <v>80</v>
      </c>
      <c r="F862" s="31">
        <f t="shared" si="61"/>
        <v>4</v>
      </c>
      <c r="G862" s="137" t="s">
        <v>159</v>
      </c>
      <c r="H862" s="138">
        <v>61</v>
      </c>
      <c r="I862" s="158">
        <f t="shared" si="62"/>
        <v>0.34856345947821138</v>
      </c>
      <c r="J862" s="95">
        <v>7.5582678579766402E-5</v>
      </c>
      <c r="K862" s="137">
        <v>0.69705133627784299</v>
      </c>
      <c r="L862" s="137">
        <v>0.82499999999999996</v>
      </c>
      <c r="M862" s="137">
        <v>0.50512834069460699</v>
      </c>
      <c r="N862" s="136">
        <v>1</v>
      </c>
      <c r="O862" s="32">
        <v>42834</v>
      </c>
      <c r="P862" s="98">
        <f t="shared" si="63"/>
        <v>0</v>
      </c>
      <c r="Q862">
        <v>0</v>
      </c>
      <c r="R862">
        <v>0</v>
      </c>
      <c r="S862">
        <v>0</v>
      </c>
      <c r="T862" s="112" t="s">
        <v>48</v>
      </c>
      <c r="U862" s="137" t="s">
        <v>2353</v>
      </c>
      <c r="V862" s="137" t="s">
        <v>2354</v>
      </c>
      <c r="W862" s="69">
        <v>74</v>
      </c>
      <c r="X862" s="136">
        <v>1</v>
      </c>
      <c r="Y862" s="136">
        <v>12</v>
      </c>
      <c r="Z862" s="314"/>
      <c r="AA862" s="319">
        <v>0.5</v>
      </c>
      <c r="AB862" s="315" t="s">
        <v>5171</v>
      </c>
      <c r="AC862" s="319">
        <v>2</v>
      </c>
      <c r="AD862" s="320">
        <v>4.8780487804878002E-2</v>
      </c>
      <c r="AE862" s="319">
        <v>1</v>
      </c>
      <c r="AF862" s="320">
        <v>2.4390243902439001E-2</v>
      </c>
      <c r="AG862" s="319">
        <v>2</v>
      </c>
      <c r="AH862" s="320">
        <v>4.8780487804878002E-2</v>
      </c>
      <c r="AI862" s="319">
        <v>2</v>
      </c>
      <c r="AJ862" s="320">
        <v>4.8780487804878002E-2</v>
      </c>
      <c r="AK862" s="320">
        <v>0</v>
      </c>
      <c r="AL862" s="319">
        <v>5</v>
      </c>
      <c r="AM862" s="319">
        <v>5</v>
      </c>
      <c r="AN862" s="319">
        <v>4.6666666666666599</v>
      </c>
      <c r="AO862" s="319">
        <v>0.48888888888888798</v>
      </c>
      <c r="AP862">
        <v>12</v>
      </c>
      <c r="AQ862" s="136">
        <v>12</v>
      </c>
      <c r="AT862" s="69">
        <v>2.3148</v>
      </c>
      <c r="AU862" s="69">
        <v>2.3148</v>
      </c>
      <c r="AV862" s="69">
        <v>8.1305999999999994</v>
      </c>
      <c r="AW862" s="69">
        <v>0.42530000000000001</v>
      </c>
      <c r="BB862" s="69"/>
    </row>
    <row r="863" spans="1:54" customFormat="1" ht="40" customHeight="1">
      <c r="A863" s="313">
        <v>862</v>
      </c>
      <c r="B863" s="136" t="s">
        <v>2355</v>
      </c>
      <c r="C863" s="136" t="s">
        <v>59</v>
      </c>
      <c r="D863" s="31">
        <f t="shared" si="60"/>
        <v>5</v>
      </c>
      <c r="E863" s="137" t="s">
        <v>46</v>
      </c>
      <c r="F863" s="31">
        <f t="shared" si="61"/>
        <v>6</v>
      </c>
      <c r="G863" s="137" t="s">
        <v>2356</v>
      </c>
      <c r="H863" s="138">
        <v>70</v>
      </c>
      <c r="I863" s="158">
        <f t="shared" si="62"/>
        <v>0.69901181706705451</v>
      </c>
      <c r="J863" s="95">
        <v>0.63079894713409701</v>
      </c>
      <c r="K863" s="137">
        <v>0.76722468700001201</v>
      </c>
      <c r="L863" s="137">
        <v>0.82499999999999996</v>
      </c>
      <c r="M863" s="137">
        <v>0.68056171750003003</v>
      </c>
      <c r="N863" s="136">
        <v>0</v>
      </c>
      <c r="O863" s="32">
        <v>43698</v>
      </c>
      <c r="P863" s="98">
        <f t="shared" si="63"/>
        <v>1</v>
      </c>
      <c r="Q863">
        <v>0</v>
      </c>
      <c r="R863">
        <v>1.65</v>
      </c>
      <c r="S863">
        <v>0</v>
      </c>
      <c r="T863" s="112" t="s">
        <v>73</v>
      </c>
      <c r="U863" s="137" t="s">
        <v>2357</v>
      </c>
      <c r="V863" s="137" t="s">
        <v>2358</v>
      </c>
      <c r="W863" s="69">
        <v>66</v>
      </c>
      <c r="X863" s="136">
        <v>2</v>
      </c>
      <c r="Y863" s="136">
        <v>5</v>
      </c>
      <c r="Z863" s="314"/>
      <c r="AA863" s="319">
        <v>0.5</v>
      </c>
      <c r="AB863" s="315" t="s">
        <v>5177</v>
      </c>
      <c r="AC863" s="319">
        <v>0</v>
      </c>
      <c r="AD863" s="320">
        <v>0</v>
      </c>
      <c r="AE863" s="319">
        <v>1</v>
      </c>
      <c r="AF863" s="320">
        <v>2.7027027027027001E-2</v>
      </c>
      <c r="AG863" s="319">
        <v>1</v>
      </c>
      <c r="AH863" s="320">
        <v>2.7027027027027001E-2</v>
      </c>
      <c r="AI863" s="319">
        <v>0</v>
      </c>
      <c r="AJ863" s="320">
        <v>0</v>
      </c>
      <c r="AK863" s="320">
        <v>0</v>
      </c>
      <c r="AL863" s="319">
        <v>5</v>
      </c>
      <c r="AM863" s="319">
        <v>5</v>
      </c>
      <c r="AN863" s="319">
        <v>5</v>
      </c>
      <c r="AO863" s="319">
        <v>0.5</v>
      </c>
      <c r="AP863">
        <v>5</v>
      </c>
      <c r="AQ863" s="136">
        <v>5</v>
      </c>
      <c r="AT863" s="69">
        <v>2.3148</v>
      </c>
      <c r="AU863" s="69">
        <v>2.3148</v>
      </c>
      <c r="AV863" s="69">
        <v>8.5815000000000001</v>
      </c>
      <c r="AW863" s="69">
        <v>0.44040000000000001</v>
      </c>
      <c r="BB863" s="69"/>
    </row>
    <row r="864" spans="1:54" customFormat="1" ht="40" customHeight="1">
      <c r="A864" s="313">
        <v>863</v>
      </c>
      <c r="B864" s="136" t="s">
        <v>2355</v>
      </c>
      <c r="C864" s="136" t="s">
        <v>45</v>
      </c>
      <c r="D864" s="31">
        <f t="shared" si="60"/>
        <v>4</v>
      </c>
      <c r="E864" s="137" t="s">
        <v>46</v>
      </c>
      <c r="F864" s="31">
        <f t="shared" si="61"/>
        <v>6</v>
      </c>
      <c r="G864" s="137" t="s">
        <v>2359</v>
      </c>
      <c r="H864" s="138">
        <v>395</v>
      </c>
      <c r="I864" s="158">
        <f t="shared" si="62"/>
        <v>0.27581964118831598</v>
      </c>
      <c r="J864" s="95">
        <v>0</v>
      </c>
      <c r="K864" s="137">
        <v>0.55163928237663196</v>
      </c>
      <c r="L864" s="137">
        <v>0.465690992294366</v>
      </c>
      <c r="M864" s="137">
        <v>0.68056171750003003</v>
      </c>
      <c r="N864" s="136">
        <v>0</v>
      </c>
      <c r="O864" s="32">
        <v>43692</v>
      </c>
      <c r="P864" s="98">
        <f t="shared" si="63"/>
        <v>1</v>
      </c>
      <c r="Q864">
        <v>0</v>
      </c>
      <c r="R864">
        <v>6.6</v>
      </c>
      <c r="S864">
        <v>0</v>
      </c>
      <c r="T864" s="112" t="s">
        <v>73</v>
      </c>
      <c r="U864" s="137" t="s">
        <v>2360</v>
      </c>
      <c r="V864" s="137" t="s">
        <v>2361</v>
      </c>
      <c r="W864" s="69">
        <v>139</v>
      </c>
      <c r="X864" s="136">
        <v>1</v>
      </c>
      <c r="Y864" s="136">
        <v>5</v>
      </c>
      <c r="Z864" s="314"/>
      <c r="AA864" s="319">
        <v>0.54500000000000004</v>
      </c>
      <c r="AB864" s="315" t="s">
        <v>5168</v>
      </c>
      <c r="AC864" s="319">
        <v>1</v>
      </c>
      <c r="AD864" s="320">
        <v>1.20481927710843E-2</v>
      </c>
      <c r="AE864" s="319">
        <v>1</v>
      </c>
      <c r="AF864" s="320">
        <v>1.20481927710843E-2</v>
      </c>
      <c r="AG864" s="319">
        <v>4</v>
      </c>
      <c r="AH864" s="320">
        <v>4.8192771084337303E-2</v>
      </c>
      <c r="AI864" s="319">
        <v>0</v>
      </c>
      <c r="AJ864" s="320">
        <v>0</v>
      </c>
      <c r="AK864" s="320">
        <v>3.6144578313253017E-2</v>
      </c>
      <c r="AL864" s="319">
        <v>8.5</v>
      </c>
      <c r="AM864" s="319">
        <v>6.2</v>
      </c>
      <c r="AN864" s="319">
        <v>6.1666666666666599</v>
      </c>
      <c r="AO864" s="319">
        <v>0.69555555555555504</v>
      </c>
      <c r="AP864">
        <v>5</v>
      </c>
      <c r="AR864" s="136">
        <v>5</v>
      </c>
      <c r="AT864" s="69">
        <v>9.0888000000000009</v>
      </c>
      <c r="AU864" s="69">
        <v>5</v>
      </c>
      <c r="AV864" s="69">
        <v>9.5120000000000005</v>
      </c>
      <c r="AW864" s="69">
        <v>0.78669999999999995</v>
      </c>
      <c r="BB864" s="69"/>
    </row>
    <row r="865" spans="1:54" customFormat="1" ht="40" customHeight="1">
      <c r="A865" s="313">
        <v>864</v>
      </c>
      <c r="B865" s="136" t="s">
        <v>2355</v>
      </c>
      <c r="C865" s="136" t="s">
        <v>119</v>
      </c>
      <c r="D865" s="31">
        <f t="shared" si="60"/>
        <v>1</v>
      </c>
      <c r="E865" s="137" t="s">
        <v>46</v>
      </c>
      <c r="F865" s="31">
        <f t="shared" si="61"/>
        <v>6</v>
      </c>
      <c r="G865" s="137" t="s">
        <v>2362</v>
      </c>
      <c r="H865" s="138">
        <v>333</v>
      </c>
      <c r="I865" s="158">
        <f t="shared" si="62"/>
        <v>0.88277278786316105</v>
      </c>
      <c r="J865" s="95">
        <v>0.99635777929049896</v>
      </c>
      <c r="K865" s="137">
        <v>0.76918779643582302</v>
      </c>
      <c r="L865" s="137">
        <v>0.75</v>
      </c>
      <c r="M865" s="137">
        <v>0.79796949108955795</v>
      </c>
      <c r="N865" s="136">
        <v>0</v>
      </c>
      <c r="O865" s="32">
        <v>43669</v>
      </c>
      <c r="P865" s="98">
        <f t="shared" si="63"/>
        <v>1</v>
      </c>
      <c r="Q865">
        <v>0</v>
      </c>
      <c r="R865">
        <v>3.3</v>
      </c>
      <c r="S865">
        <v>0</v>
      </c>
      <c r="T865" s="112" t="s">
        <v>73</v>
      </c>
      <c r="U865" s="137" t="s">
        <v>2363</v>
      </c>
      <c r="V865" s="137" t="s">
        <v>2364</v>
      </c>
      <c r="W865" s="69">
        <v>26</v>
      </c>
      <c r="X865" s="136">
        <v>1</v>
      </c>
      <c r="Y865" s="136">
        <v>2</v>
      </c>
      <c r="Z865" s="314"/>
      <c r="AA865" s="319">
        <v>0.42190082644628002</v>
      </c>
      <c r="AB865" s="315" t="s">
        <v>5178</v>
      </c>
      <c r="AC865" s="319">
        <v>1</v>
      </c>
      <c r="AD865" s="320">
        <v>7.1428571428571397E-2</v>
      </c>
      <c r="AE865" s="319">
        <v>1</v>
      </c>
      <c r="AF865" s="320">
        <v>7.1428571428571397E-2</v>
      </c>
      <c r="AG865" s="319">
        <v>0</v>
      </c>
      <c r="AH865" s="320">
        <v>0</v>
      </c>
      <c r="AI865" s="319">
        <v>0</v>
      </c>
      <c r="AJ865" s="320">
        <v>0</v>
      </c>
      <c r="AK865" s="320">
        <v>0</v>
      </c>
      <c r="AL865" s="319">
        <v>5</v>
      </c>
      <c r="AM865" s="319">
        <v>5</v>
      </c>
      <c r="AN865" s="319">
        <v>3.5</v>
      </c>
      <c r="AO865" s="319">
        <v>0.45</v>
      </c>
      <c r="AP865">
        <v>2</v>
      </c>
      <c r="AR865" s="136">
        <v>2</v>
      </c>
      <c r="AT865" s="69">
        <v>2.3148</v>
      </c>
      <c r="AU865" s="69">
        <v>2.3148</v>
      </c>
      <c r="AV865" s="69">
        <v>5.7443999999999997</v>
      </c>
      <c r="AW865" s="69">
        <v>0.3458</v>
      </c>
      <c r="BB865" s="69"/>
    </row>
    <row r="866" spans="1:54" customFormat="1" ht="40" customHeight="1">
      <c r="A866" s="313">
        <v>865</v>
      </c>
      <c r="B866" s="136" t="s">
        <v>2355</v>
      </c>
      <c r="C866" s="136" t="s">
        <v>59</v>
      </c>
      <c r="D866" s="31">
        <f t="shared" si="60"/>
        <v>5</v>
      </c>
      <c r="E866" s="137" t="s">
        <v>46</v>
      </c>
      <c r="F866" s="31">
        <f t="shared" si="61"/>
        <v>6</v>
      </c>
      <c r="G866" s="137" t="s">
        <v>2365</v>
      </c>
      <c r="H866" s="138">
        <v>118</v>
      </c>
      <c r="I866" s="158">
        <f t="shared" si="62"/>
        <v>0.3861109585952035</v>
      </c>
      <c r="J866" s="95">
        <v>0.149950178956644</v>
      </c>
      <c r="K866" s="137">
        <v>0.62227173823376303</v>
      </c>
      <c r="L866" s="137">
        <v>0.465690992294366</v>
      </c>
      <c r="M866" s="137">
        <v>0.85714285714285698</v>
      </c>
      <c r="N866" s="136">
        <v>1</v>
      </c>
      <c r="O866" s="32">
        <v>43454</v>
      </c>
      <c r="P866" s="98">
        <f t="shared" si="63"/>
        <v>1</v>
      </c>
      <c r="Q866">
        <v>0</v>
      </c>
      <c r="R866">
        <v>0</v>
      </c>
      <c r="S866">
        <v>0</v>
      </c>
      <c r="T866" s="112" t="s">
        <v>73</v>
      </c>
      <c r="U866" s="137" t="s">
        <v>2366</v>
      </c>
      <c r="V866" s="137" t="s">
        <v>2367</v>
      </c>
      <c r="W866" s="69">
        <v>58</v>
      </c>
      <c r="X866" s="136">
        <v>2</v>
      </c>
      <c r="Y866" s="136">
        <v>1</v>
      </c>
      <c r="Z866" s="314"/>
      <c r="AA866" s="319">
        <v>8.3252904039700804E-3</v>
      </c>
      <c r="AB866" s="315" t="s">
        <v>5165</v>
      </c>
      <c r="AC866" s="319">
        <v>1</v>
      </c>
      <c r="AD866" s="320">
        <v>3.125E-2</v>
      </c>
      <c r="AE866" s="319">
        <v>0</v>
      </c>
      <c r="AF866" s="320">
        <v>0</v>
      </c>
      <c r="AG866" s="319">
        <v>0</v>
      </c>
      <c r="AH866" s="320">
        <v>0</v>
      </c>
      <c r="AI866" s="319">
        <v>0</v>
      </c>
      <c r="AJ866" s="320">
        <v>0</v>
      </c>
      <c r="AK866" s="320">
        <v>0</v>
      </c>
      <c r="AL866" s="319">
        <v>5</v>
      </c>
      <c r="AM866" s="319">
        <v>5</v>
      </c>
      <c r="AN866" s="319">
        <v>2</v>
      </c>
      <c r="AO866" s="319">
        <v>0.4</v>
      </c>
      <c r="AP866">
        <v>1</v>
      </c>
      <c r="AQ866" s="136">
        <v>1</v>
      </c>
      <c r="AR866" s="136"/>
      <c r="AT866" s="69">
        <v>2.3148</v>
      </c>
      <c r="AU866" s="69">
        <v>2.3148</v>
      </c>
      <c r="AV866" s="69">
        <v>2.3148</v>
      </c>
      <c r="AW866" s="69">
        <v>0.23150000000000001</v>
      </c>
      <c r="BB866" s="69"/>
    </row>
    <row r="867" spans="1:54" customFormat="1" ht="40" customHeight="1">
      <c r="A867" s="313">
        <v>866</v>
      </c>
      <c r="B867" s="136" t="s">
        <v>2355</v>
      </c>
      <c r="C867" s="136" t="s">
        <v>45</v>
      </c>
      <c r="D867" s="31">
        <f t="shared" si="60"/>
        <v>4</v>
      </c>
      <c r="E867" s="137" t="s">
        <v>46</v>
      </c>
      <c r="F867" s="31">
        <f t="shared" si="61"/>
        <v>6</v>
      </c>
      <c r="G867" s="137" t="s">
        <v>2368</v>
      </c>
      <c r="H867" s="138">
        <v>266</v>
      </c>
      <c r="I867" s="158">
        <f t="shared" si="62"/>
        <v>0.34059716823335501</v>
      </c>
      <c r="J867" s="95">
        <v>3.32999664998113E-6</v>
      </c>
      <c r="K867" s="137">
        <v>0.68119100647006003</v>
      </c>
      <c r="L867" s="137">
        <v>0.82499999999999996</v>
      </c>
      <c r="M867" s="137">
        <v>0.46547751617515098</v>
      </c>
      <c r="N867" s="136">
        <v>1</v>
      </c>
      <c r="O867" s="32">
        <v>43396</v>
      </c>
      <c r="P867" s="98">
        <f t="shared" si="63"/>
        <v>1</v>
      </c>
      <c r="Q867">
        <v>0</v>
      </c>
      <c r="R867">
        <v>3.3</v>
      </c>
      <c r="S867">
        <v>0</v>
      </c>
      <c r="T867" s="112" t="s">
        <v>73</v>
      </c>
      <c r="U867" s="137" t="s">
        <v>2369</v>
      </c>
      <c r="V867" s="137" t="s">
        <v>2370</v>
      </c>
      <c r="W867" s="69">
        <v>149</v>
      </c>
      <c r="X867" s="136">
        <v>3</v>
      </c>
      <c r="Y867" s="136">
        <v>14</v>
      </c>
      <c r="Z867" s="314"/>
      <c r="AA867" s="319">
        <v>0.5</v>
      </c>
      <c r="AB867" s="315" t="s">
        <v>5165</v>
      </c>
      <c r="AC867" s="319">
        <v>1</v>
      </c>
      <c r="AD867" s="320">
        <v>1.1111111111111099E-2</v>
      </c>
      <c r="AE867" s="319">
        <v>0</v>
      </c>
      <c r="AF867" s="320">
        <v>0</v>
      </c>
      <c r="AG867" s="319">
        <v>0</v>
      </c>
      <c r="AH867" s="320">
        <v>0</v>
      </c>
      <c r="AI867" s="319">
        <v>0</v>
      </c>
      <c r="AJ867" s="320">
        <v>0</v>
      </c>
      <c r="AK867" s="320">
        <v>0</v>
      </c>
      <c r="AL867" s="319">
        <v>5</v>
      </c>
      <c r="AM867" s="319">
        <v>5</v>
      </c>
      <c r="AN867" s="319">
        <v>6.1666666666666599</v>
      </c>
      <c r="AO867" s="319">
        <v>0.53888888888888797</v>
      </c>
      <c r="AP867">
        <v>14</v>
      </c>
      <c r="AQ867" s="136"/>
      <c r="AR867" s="136">
        <v>14</v>
      </c>
      <c r="AT867" s="69">
        <v>2.3148</v>
      </c>
      <c r="AU867" s="69">
        <v>2.3148</v>
      </c>
      <c r="AV867" s="69">
        <v>9.5120000000000005</v>
      </c>
      <c r="AW867" s="69">
        <v>0.47139999999999999</v>
      </c>
      <c r="BB867" s="69"/>
    </row>
    <row r="868" spans="1:54" customFormat="1" ht="40" customHeight="1">
      <c r="A868" s="313">
        <v>867</v>
      </c>
      <c r="B868" s="136" t="s">
        <v>2355</v>
      </c>
      <c r="C868" s="136" t="s">
        <v>45</v>
      </c>
      <c r="D868" s="31">
        <f t="shared" si="60"/>
        <v>4</v>
      </c>
      <c r="E868" s="137" t="s">
        <v>46</v>
      </c>
      <c r="F868" s="31">
        <f t="shared" si="61"/>
        <v>6</v>
      </c>
      <c r="G868" s="137" t="s">
        <v>2371</v>
      </c>
      <c r="H868" s="138">
        <v>392</v>
      </c>
      <c r="I868" s="158">
        <f t="shared" si="62"/>
        <v>0.21065654581373733</v>
      </c>
      <c r="J868" s="95">
        <v>5.3295803470666502E-3</v>
      </c>
      <c r="K868" s="137">
        <v>0.415983511280408</v>
      </c>
      <c r="L868" s="137">
        <v>0.51226009152380303</v>
      </c>
      <c r="M868" s="137">
        <v>0.27156864091531702</v>
      </c>
      <c r="N868" s="136">
        <v>1</v>
      </c>
      <c r="O868" s="32">
        <v>43364</v>
      </c>
      <c r="P868" s="98">
        <f t="shared" si="63"/>
        <v>0</v>
      </c>
      <c r="Q868">
        <v>7.65</v>
      </c>
      <c r="R868">
        <v>0</v>
      </c>
      <c r="S868">
        <v>0</v>
      </c>
      <c r="T868" s="112" t="s">
        <v>48</v>
      </c>
      <c r="U868" s="137" t="s">
        <v>2372</v>
      </c>
      <c r="V868" s="137" t="s">
        <v>2373</v>
      </c>
      <c r="W868" s="69">
        <v>126</v>
      </c>
      <c r="X868" s="136">
        <v>5</v>
      </c>
      <c r="Y868" s="136">
        <v>26</v>
      </c>
      <c r="Z868" s="314"/>
      <c r="AA868" s="319">
        <v>0.5</v>
      </c>
      <c r="AB868" s="315" t="s">
        <v>5168</v>
      </c>
      <c r="AC868" s="319">
        <v>1</v>
      </c>
      <c r="AD868" s="320">
        <v>1.6129032258064498E-2</v>
      </c>
      <c r="AE868" s="319">
        <v>1</v>
      </c>
      <c r="AF868" s="320">
        <v>1.6129032258064498E-2</v>
      </c>
      <c r="AG868" s="319">
        <v>2</v>
      </c>
      <c r="AH868" s="320">
        <v>3.2258064516128997E-2</v>
      </c>
      <c r="AI868" s="319">
        <v>0</v>
      </c>
      <c r="AJ868" s="320">
        <v>0</v>
      </c>
      <c r="AK868" s="320">
        <v>0</v>
      </c>
      <c r="AL868" s="319">
        <v>5</v>
      </c>
      <c r="AM868" s="319">
        <v>5</v>
      </c>
      <c r="AN868" s="319">
        <v>2</v>
      </c>
      <c r="AO868" s="319">
        <v>0.4</v>
      </c>
      <c r="AP868">
        <v>26</v>
      </c>
      <c r="AQ868" s="136">
        <v>26</v>
      </c>
      <c r="AR868" s="136"/>
      <c r="AT868" s="69">
        <v>2.3148</v>
      </c>
      <c r="AU868" s="69">
        <v>2.3148</v>
      </c>
      <c r="AV868" s="69">
        <v>2.3148</v>
      </c>
      <c r="AW868" s="69">
        <v>0.23150000000000001</v>
      </c>
      <c r="BB868" s="69"/>
    </row>
    <row r="869" spans="1:54" customFormat="1" ht="40" customHeight="1">
      <c r="A869" s="313">
        <v>868</v>
      </c>
      <c r="B869" s="136" t="s">
        <v>2355</v>
      </c>
      <c r="C869" s="136" t="s">
        <v>45</v>
      </c>
      <c r="D869" s="31">
        <f t="shared" si="60"/>
        <v>4</v>
      </c>
      <c r="E869" s="137" t="s">
        <v>46</v>
      </c>
      <c r="F869" s="31">
        <f t="shared" si="61"/>
        <v>6</v>
      </c>
      <c r="G869" s="137" t="s">
        <v>2374</v>
      </c>
      <c r="H869" s="138">
        <v>149</v>
      </c>
      <c r="I869" s="158">
        <f t="shared" si="62"/>
        <v>0.2960768470786575</v>
      </c>
      <c r="J869" s="95">
        <v>7.0414416816631006E-2</v>
      </c>
      <c r="K869" s="137">
        <v>0.52173927734068404</v>
      </c>
      <c r="L869" s="137">
        <v>0.75</v>
      </c>
      <c r="M869" s="137">
        <v>0.17934819335171001</v>
      </c>
      <c r="N869" s="136">
        <v>1</v>
      </c>
      <c r="O869" s="32">
        <v>43357</v>
      </c>
      <c r="P869" s="98">
        <f t="shared" si="63"/>
        <v>1</v>
      </c>
      <c r="Q869">
        <v>2.5499999999999998</v>
      </c>
      <c r="R869">
        <v>3.3</v>
      </c>
      <c r="S869">
        <v>1.87</v>
      </c>
      <c r="T869" s="112" t="s">
        <v>73</v>
      </c>
      <c r="U869" s="137" t="s">
        <v>2375</v>
      </c>
      <c r="V869" s="137" t="s">
        <v>2376</v>
      </c>
      <c r="W869" s="69">
        <v>107</v>
      </c>
      <c r="X869" s="136">
        <v>5</v>
      </c>
      <c r="Y869" s="136">
        <v>33</v>
      </c>
      <c r="Z869" s="314"/>
      <c r="AA869" s="319">
        <v>0.59450000000000003</v>
      </c>
      <c r="AB869" s="315" t="s">
        <v>5165</v>
      </c>
      <c r="AC869" s="319">
        <v>1</v>
      </c>
      <c r="AD869" s="320">
        <v>1.4925373134328301E-2</v>
      </c>
      <c r="AE869" s="319">
        <v>0</v>
      </c>
      <c r="AF869" s="320">
        <v>0</v>
      </c>
      <c r="AG869" s="319">
        <v>0</v>
      </c>
      <c r="AH869" s="320">
        <v>0</v>
      </c>
      <c r="AI869" s="319">
        <v>0</v>
      </c>
      <c r="AJ869" s="320">
        <v>0</v>
      </c>
      <c r="AK869" s="320">
        <v>0</v>
      </c>
      <c r="AL869" s="319">
        <v>5</v>
      </c>
      <c r="AM869" s="319">
        <v>8.3333333333333304</v>
      </c>
      <c r="AN869" s="319">
        <v>2</v>
      </c>
      <c r="AO869" s="319">
        <v>0.51111111111111096</v>
      </c>
      <c r="AP869">
        <v>33</v>
      </c>
      <c r="AR869" s="136">
        <v>33</v>
      </c>
      <c r="AT869" s="69">
        <v>2.3148</v>
      </c>
      <c r="AU869" s="69">
        <v>8.9379000000000008</v>
      </c>
      <c r="AV869" s="69">
        <v>2.3148</v>
      </c>
      <c r="AW869" s="69">
        <v>0.45219999999999999</v>
      </c>
      <c r="BB869" s="69"/>
    </row>
    <row r="870" spans="1:54" customFormat="1" ht="40" customHeight="1">
      <c r="A870" s="313">
        <v>869</v>
      </c>
      <c r="B870" s="136" t="s">
        <v>2355</v>
      </c>
      <c r="C870" s="136" t="s">
        <v>59</v>
      </c>
      <c r="D870" s="31">
        <f t="shared" si="60"/>
        <v>5</v>
      </c>
      <c r="E870" s="137" t="s">
        <v>46</v>
      </c>
      <c r="F870" s="31">
        <f t="shared" si="61"/>
        <v>6</v>
      </c>
      <c r="G870" s="137" t="s">
        <v>2377</v>
      </c>
      <c r="H870" s="138">
        <v>83</v>
      </c>
      <c r="I870" s="158">
        <f t="shared" si="62"/>
        <v>0.38459526163411023</v>
      </c>
      <c r="J870" s="95">
        <v>2.72683239743721E-6</v>
      </c>
      <c r="K870" s="137">
        <v>0.76918779643582302</v>
      </c>
      <c r="L870" s="137">
        <v>0.75</v>
      </c>
      <c r="M870" s="137">
        <v>0.79796949108955795</v>
      </c>
      <c r="N870" s="136">
        <v>1</v>
      </c>
      <c r="O870" s="32">
        <v>43354</v>
      </c>
      <c r="P870" s="98">
        <f t="shared" si="63"/>
        <v>1</v>
      </c>
      <c r="Q870">
        <v>0</v>
      </c>
      <c r="R870">
        <v>0</v>
      </c>
      <c r="S870">
        <v>0</v>
      </c>
      <c r="T870" s="112" t="s">
        <v>73</v>
      </c>
      <c r="U870" s="137" t="s">
        <v>2378</v>
      </c>
      <c r="V870" s="137" t="s">
        <v>2379</v>
      </c>
      <c r="W870" s="69">
        <v>75</v>
      </c>
      <c r="X870" s="136">
        <v>1</v>
      </c>
      <c r="Y870" s="136">
        <v>2</v>
      </c>
      <c r="Z870" s="314"/>
      <c r="AA870" s="319">
        <v>0.60499999999999998</v>
      </c>
      <c r="AB870" s="315" t="s">
        <v>5177</v>
      </c>
      <c r="AC870" s="319">
        <v>0</v>
      </c>
      <c r="AD870" s="320">
        <v>0</v>
      </c>
      <c r="AE870" s="319">
        <v>1</v>
      </c>
      <c r="AF870" s="320">
        <v>2.1276595744680799E-2</v>
      </c>
      <c r="AG870" s="319">
        <v>1</v>
      </c>
      <c r="AH870" s="320">
        <v>2.1276595744680799E-2</v>
      </c>
      <c r="AI870" s="319">
        <v>0</v>
      </c>
      <c r="AJ870" s="320">
        <v>0</v>
      </c>
      <c r="AK870" s="320">
        <v>0</v>
      </c>
      <c r="AL870" s="319">
        <v>5</v>
      </c>
      <c r="AM870" s="319">
        <v>6.2</v>
      </c>
      <c r="AN870" s="319">
        <v>3.5</v>
      </c>
      <c r="AO870" s="319">
        <v>0.49</v>
      </c>
      <c r="AP870">
        <v>2</v>
      </c>
      <c r="AR870" s="136">
        <v>2</v>
      </c>
      <c r="AT870" s="69">
        <v>2.3148</v>
      </c>
      <c r="AU870" s="69">
        <v>5</v>
      </c>
      <c r="AV870" s="69">
        <v>5.7443999999999997</v>
      </c>
      <c r="AW870" s="69">
        <v>0.43530000000000002</v>
      </c>
      <c r="BB870" s="69"/>
    </row>
    <row r="871" spans="1:54" customFormat="1" ht="40" customHeight="1">
      <c r="A871" s="313">
        <v>870</v>
      </c>
      <c r="B871" s="136" t="s">
        <v>2355</v>
      </c>
      <c r="C871" s="136" t="s">
        <v>45</v>
      </c>
      <c r="D871" s="31">
        <f t="shared" si="60"/>
        <v>4</v>
      </c>
      <c r="E871" s="137" t="s">
        <v>46</v>
      </c>
      <c r="F871" s="31">
        <f t="shared" si="61"/>
        <v>6</v>
      </c>
      <c r="G871" s="137" t="s">
        <v>2380</v>
      </c>
      <c r="H871" s="138">
        <v>73</v>
      </c>
      <c r="I871" s="158">
        <f t="shared" si="62"/>
        <v>0.38619644319020552</v>
      </c>
      <c r="J871" s="95">
        <v>5.16819938039903E-3</v>
      </c>
      <c r="K871" s="137">
        <v>0.76722468700001201</v>
      </c>
      <c r="L871" s="137">
        <v>0.82499999999999996</v>
      </c>
      <c r="M871" s="137">
        <v>0.68056171750003003</v>
      </c>
      <c r="N871" s="136">
        <v>1</v>
      </c>
      <c r="O871" s="32">
        <v>43350</v>
      </c>
      <c r="P871" s="98">
        <f t="shared" si="63"/>
        <v>1</v>
      </c>
      <c r="Q871">
        <v>0</v>
      </c>
      <c r="R871">
        <v>1.65</v>
      </c>
      <c r="S871">
        <v>0</v>
      </c>
      <c r="T871" s="112" t="s">
        <v>73</v>
      </c>
      <c r="U871" s="137" t="s">
        <v>2381</v>
      </c>
      <c r="V871" s="137" t="s">
        <v>2382</v>
      </c>
      <c r="W871" s="69">
        <v>63</v>
      </c>
      <c r="X871" s="136">
        <v>1</v>
      </c>
      <c r="Y871" s="136">
        <v>5</v>
      </c>
      <c r="Z871" s="314"/>
      <c r="AA871" s="319">
        <v>0.55000000000000004</v>
      </c>
      <c r="AB871" s="331" t="s">
        <v>5172</v>
      </c>
      <c r="AC871" s="319">
        <v>0</v>
      </c>
      <c r="AD871" s="320">
        <v>0</v>
      </c>
      <c r="AE871" s="319">
        <v>0</v>
      </c>
      <c r="AF871" s="320">
        <v>0</v>
      </c>
      <c r="AG871" s="319">
        <v>0</v>
      </c>
      <c r="AH871" s="320">
        <v>0</v>
      </c>
      <c r="AI871" s="319">
        <v>0</v>
      </c>
      <c r="AJ871" s="320">
        <v>0</v>
      </c>
      <c r="AK871" s="320">
        <v>0</v>
      </c>
      <c r="AL871" s="319">
        <v>5</v>
      </c>
      <c r="AM871" s="319">
        <v>5</v>
      </c>
      <c r="AN871" s="319">
        <v>2</v>
      </c>
      <c r="AO871" s="319">
        <v>0.4</v>
      </c>
      <c r="AP871">
        <v>5</v>
      </c>
      <c r="AR871" s="136">
        <v>5</v>
      </c>
      <c r="AT871" s="69">
        <v>2.3148</v>
      </c>
      <c r="AU871" s="69">
        <v>2.3148</v>
      </c>
      <c r="AV871" s="69">
        <v>2.3148</v>
      </c>
      <c r="AW871" s="69">
        <v>0.23150000000000001</v>
      </c>
      <c r="BB871" s="69"/>
    </row>
    <row r="872" spans="1:54" customFormat="1" ht="40" customHeight="1">
      <c r="A872" s="313">
        <v>871</v>
      </c>
      <c r="B872" s="136" t="s">
        <v>2355</v>
      </c>
      <c r="C872" s="136" t="s">
        <v>45</v>
      </c>
      <c r="D872" s="31">
        <f t="shared" si="60"/>
        <v>4</v>
      </c>
      <c r="E872" s="137" t="s">
        <v>46</v>
      </c>
      <c r="F872" s="31">
        <f t="shared" si="61"/>
        <v>6</v>
      </c>
      <c r="G872" s="137" t="s">
        <v>2383</v>
      </c>
      <c r="H872" s="138">
        <v>138</v>
      </c>
      <c r="I872" s="158">
        <f t="shared" si="62"/>
        <v>0.51237806493302795</v>
      </c>
      <c r="J872" s="95">
        <v>0.32995093506086098</v>
      </c>
      <c r="K872" s="137">
        <v>0.69480519480519498</v>
      </c>
      <c r="L872" s="137">
        <v>0.68181818181818199</v>
      </c>
      <c r="M872" s="137">
        <v>0.71428571428571397</v>
      </c>
      <c r="N872" s="136">
        <v>1</v>
      </c>
      <c r="O872" s="32">
        <v>43303</v>
      </c>
      <c r="P872" s="98">
        <f t="shared" si="63"/>
        <v>2</v>
      </c>
      <c r="Q872">
        <v>2.5499999999999998</v>
      </c>
      <c r="R872">
        <v>3.3</v>
      </c>
      <c r="S872">
        <v>3.74</v>
      </c>
      <c r="T872" s="112" t="s">
        <v>64</v>
      </c>
      <c r="U872" s="137" t="s">
        <v>2384</v>
      </c>
      <c r="V872" s="137" t="s">
        <v>2385</v>
      </c>
      <c r="W872" s="69">
        <v>154</v>
      </c>
      <c r="X872" s="136">
        <v>2</v>
      </c>
      <c r="Y872" s="136">
        <v>4</v>
      </c>
      <c r="Z872" s="314"/>
      <c r="AA872" s="319">
        <v>0.55000000000000004</v>
      </c>
      <c r="AB872" s="315" t="s">
        <v>5165</v>
      </c>
      <c r="AC872" s="319">
        <v>5</v>
      </c>
      <c r="AD872" s="320">
        <v>5.8139534883720902E-2</v>
      </c>
      <c r="AE872" s="319">
        <v>1</v>
      </c>
      <c r="AF872" s="320">
        <v>1.1627906976744099E-2</v>
      </c>
      <c r="AG872" s="319">
        <v>4</v>
      </c>
      <c r="AH872" s="320">
        <v>4.6511627906976702E-2</v>
      </c>
      <c r="AI872" s="319">
        <v>0</v>
      </c>
      <c r="AJ872" s="320">
        <v>0</v>
      </c>
      <c r="AK872" s="320">
        <v>2.3255813953488368E-2</v>
      </c>
      <c r="AL872" s="319">
        <v>5</v>
      </c>
      <c r="AM872" s="319">
        <v>6.2</v>
      </c>
      <c r="AN872" s="319">
        <v>2</v>
      </c>
      <c r="AO872" s="319">
        <v>0.44</v>
      </c>
      <c r="AP872">
        <v>4</v>
      </c>
      <c r="AR872" s="136">
        <v>4</v>
      </c>
      <c r="AT872" s="69">
        <v>2.3148</v>
      </c>
      <c r="AU872" s="69">
        <v>5</v>
      </c>
      <c r="AV872" s="69">
        <v>2.3148</v>
      </c>
      <c r="AW872" s="69">
        <v>0.32100000000000001</v>
      </c>
      <c r="BB872" s="69"/>
    </row>
    <row r="873" spans="1:54" customFormat="1" ht="40" customHeight="1">
      <c r="A873" s="313">
        <v>872</v>
      </c>
      <c r="B873" s="136" t="s">
        <v>2355</v>
      </c>
      <c r="C873" s="136" t="s">
        <v>45</v>
      </c>
      <c r="D873" s="31">
        <f t="shared" si="60"/>
        <v>4</v>
      </c>
      <c r="E873" s="137" t="s">
        <v>46</v>
      </c>
      <c r="F873" s="31">
        <f t="shared" si="61"/>
        <v>6</v>
      </c>
      <c r="G873" s="137" t="s">
        <v>2386</v>
      </c>
      <c r="H873" s="138">
        <v>166</v>
      </c>
      <c r="I873" s="158">
        <f t="shared" si="62"/>
        <v>0.3455445147167176</v>
      </c>
      <c r="J873" s="95">
        <v>4.0655133115574697E-7</v>
      </c>
      <c r="K873" s="137">
        <v>0.69108862288210404</v>
      </c>
      <c r="L873" s="137">
        <v>0.61983471074380103</v>
      </c>
      <c r="M873" s="137">
        <v>0.79796949108955795</v>
      </c>
      <c r="N873" s="136">
        <v>1</v>
      </c>
      <c r="O873" s="32">
        <v>43096</v>
      </c>
      <c r="P873" s="98">
        <f t="shared" si="63"/>
        <v>0</v>
      </c>
      <c r="Q873">
        <v>7.65</v>
      </c>
      <c r="R873">
        <v>0</v>
      </c>
      <c r="S873">
        <v>0</v>
      </c>
      <c r="T873" s="112" t="s">
        <v>48</v>
      </c>
      <c r="U873" s="137" t="s">
        <v>2387</v>
      </c>
      <c r="V873" s="137" t="s">
        <v>2388</v>
      </c>
      <c r="W873" s="69">
        <v>52</v>
      </c>
      <c r="X873" s="136">
        <v>1</v>
      </c>
      <c r="Y873" s="136">
        <v>2</v>
      </c>
      <c r="Z873" s="314"/>
      <c r="AA873" s="319">
        <v>1.00736013888038E-2</v>
      </c>
      <c r="AB873" s="315" t="s">
        <v>5167</v>
      </c>
      <c r="AC873" s="319">
        <v>0</v>
      </c>
      <c r="AD873" s="320">
        <v>0</v>
      </c>
      <c r="AE873" s="319">
        <v>0</v>
      </c>
      <c r="AF873" s="320">
        <v>0</v>
      </c>
      <c r="AG873" s="319">
        <v>0</v>
      </c>
      <c r="AH873" s="320">
        <v>0</v>
      </c>
      <c r="AI873" s="319">
        <v>2</v>
      </c>
      <c r="AJ873" s="320">
        <v>6.6666666666666596E-2</v>
      </c>
      <c r="AK873" s="320">
        <v>0</v>
      </c>
      <c r="AL873" s="319">
        <v>6.75</v>
      </c>
      <c r="AM873" s="319">
        <v>6.2</v>
      </c>
      <c r="AN873" s="319">
        <v>4.6666666666666599</v>
      </c>
      <c r="AO873" s="319">
        <v>0.58722222222222198</v>
      </c>
      <c r="AP873">
        <v>2</v>
      </c>
      <c r="AQ873" s="136">
        <v>2</v>
      </c>
      <c r="AT873" s="69">
        <v>6.3414000000000001</v>
      </c>
      <c r="AU873" s="69">
        <v>5</v>
      </c>
      <c r="AV873" s="69">
        <v>8.1305999999999994</v>
      </c>
      <c r="AW873" s="69">
        <v>0.64910000000000001</v>
      </c>
      <c r="BB873" s="69"/>
    </row>
    <row r="874" spans="1:54" customFormat="1" ht="40" customHeight="1">
      <c r="A874" s="313">
        <v>873</v>
      </c>
      <c r="B874" s="136" t="s">
        <v>2355</v>
      </c>
      <c r="C874" s="136" t="s">
        <v>45</v>
      </c>
      <c r="D874" s="31">
        <f t="shared" si="60"/>
        <v>4</v>
      </c>
      <c r="E874" s="137" t="s">
        <v>80</v>
      </c>
      <c r="F874" s="31">
        <f t="shared" si="61"/>
        <v>4</v>
      </c>
      <c r="G874" s="137" t="s">
        <v>159</v>
      </c>
      <c r="H874" s="138">
        <v>57</v>
      </c>
      <c r="I874" s="158">
        <f t="shared" si="62"/>
        <v>0.42831135148520272</v>
      </c>
      <c r="J874" s="95">
        <v>4.2434906534582498E-2</v>
      </c>
      <c r="K874" s="137">
        <v>0.81418779643582295</v>
      </c>
      <c r="L874" s="137">
        <v>0.82499999999999996</v>
      </c>
      <c r="M874" s="137">
        <v>0.79796949108955795</v>
      </c>
      <c r="N874" s="136">
        <v>1</v>
      </c>
      <c r="O874" s="32">
        <v>43094</v>
      </c>
      <c r="P874" s="98">
        <f t="shared" si="63"/>
        <v>0</v>
      </c>
      <c r="Q874">
        <v>10.199999999999999</v>
      </c>
      <c r="R874">
        <v>0</v>
      </c>
      <c r="S874">
        <v>0</v>
      </c>
      <c r="T874" s="112" t="s">
        <v>48</v>
      </c>
      <c r="U874" s="137" t="s">
        <v>2389</v>
      </c>
      <c r="V874" s="137" t="s">
        <v>2388</v>
      </c>
      <c r="W874" s="69">
        <v>52</v>
      </c>
      <c r="X874" s="136">
        <v>1</v>
      </c>
      <c r="Y874" s="136">
        <v>2</v>
      </c>
      <c r="Z874" s="314"/>
      <c r="AA874" s="319">
        <v>0.55000000000000004</v>
      </c>
      <c r="AB874" s="315" t="s">
        <v>5167</v>
      </c>
      <c r="AC874" s="319">
        <v>0</v>
      </c>
      <c r="AD874" s="320">
        <v>0</v>
      </c>
      <c r="AE874" s="319">
        <v>0</v>
      </c>
      <c r="AF874" s="320">
        <v>0</v>
      </c>
      <c r="AG874" s="319">
        <v>0</v>
      </c>
      <c r="AH874" s="320">
        <v>0</v>
      </c>
      <c r="AI874" s="319">
        <v>2</v>
      </c>
      <c r="AJ874" s="320">
        <v>6.6666666666666596E-2</v>
      </c>
      <c r="AK874" s="320">
        <v>0</v>
      </c>
      <c r="AL874" s="319">
        <v>6.75</v>
      </c>
      <c r="AM874" s="319">
        <v>5</v>
      </c>
      <c r="AN874" s="319">
        <v>2</v>
      </c>
      <c r="AO874" s="319">
        <v>0.45833333333333298</v>
      </c>
      <c r="AP874">
        <v>2</v>
      </c>
      <c r="AQ874" s="136">
        <v>2</v>
      </c>
      <c r="AR874" s="136"/>
      <c r="AT874" s="69">
        <v>6.3414000000000001</v>
      </c>
      <c r="AU874" s="69">
        <v>2.3148</v>
      </c>
      <c r="AV874" s="69">
        <v>2.3148</v>
      </c>
      <c r="AW874" s="69">
        <v>0.36570000000000003</v>
      </c>
      <c r="BB874" s="69"/>
    </row>
    <row r="875" spans="1:54" customFormat="1" ht="40" customHeight="1">
      <c r="A875" s="313">
        <v>874</v>
      </c>
      <c r="B875" s="136" t="s">
        <v>2355</v>
      </c>
      <c r="C875" s="136" t="s">
        <v>45</v>
      </c>
      <c r="D875" s="31">
        <f t="shared" si="60"/>
        <v>4</v>
      </c>
      <c r="E875" s="137" t="s">
        <v>46</v>
      </c>
      <c r="F875" s="31">
        <f t="shared" si="61"/>
        <v>6</v>
      </c>
      <c r="G875" s="137" t="s">
        <v>2355</v>
      </c>
      <c r="H875" s="138">
        <v>55</v>
      </c>
      <c r="I875" s="158">
        <f t="shared" si="62"/>
        <v>0.31459180177625184</v>
      </c>
      <c r="J875" s="95">
        <v>1.8041358183751698E-2</v>
      </c>
      <c r="K875" s="137">
        <v>0.61114224536875195</v>
      </c>
      <c r="L875" s="137">
        <v>0.68181818181818199</v>
      </c>
      <c r="M875" s="137">
        <v>0.50512834069460699</v>
      </c>
      <c r="N875" s="136">
        <v>1</v>
      </c>
      <c r="O875" s="32">
        <v>43019</v>
      </c>
      <c r="P875" s="98">
        <f t="shared" si="63"/>
        <v>1</v>
      </c>
      <c r="Q875">
        <v>0</v>
      </c>
      <c r="R875">
        <v>1.65</v>
      </c>
      <c r="S875">
        <v>0</v>
      </c>
      <c r="T875" s="112" t="s">
        <v>73</v>
      </c>
      <c r="U875" s="137" t="s">
        <v>2390</v>
      </c>
      <c r="V875" s="137" t="s">
        <v>2391</v>
      </c>
      <c r="W875" s="69">
        <v>111</v>
      </c>
      <c r="X875" s="136">
        <v>1</v>
      </c>
      <c r="Y875" s="136">
        <v>12</v>
      </c>
      <c r="Z875" s="314"/>
      <c r="AA875" s="319">
        <v>0.5</v>
      </c>
      <c r="AB875" s="315" t="s">
        <v>5165</v>
      </c>
      <c r="AC875" s="319">
        <v>2</v>
      </c>
      <c r="AD875" s="320">
        <v>3.2786885245901599E-2</v>
      </c>
      <c r="AE875" s="319">
        <v>1</v>
      </c>
      <c r="AF875" s="320">
        <v>1.63934426229508E-2</v>
      </c>
      <c r="AG875" s="319">
        <v>1</v>
      </c>
      <c r="AH875" s="320">
        <v>1.63934426229508E-2</v>
      </c>
      <c r="AI875" s="319">
        <v>0</v>
      </c>
      <c r="AJ875" s="320">
        <v>0</v>
      </c>
      <c r="AK875" s="320">
        <v>0</v>
      </c>
      <c r="AL875" s="319">
        <v>5</v>
      </c>
      <c r="AM875" s="319">
        <v>5</v>
      </c>
      <c r="AN875" s="319">
        <v>2</v>
      </c>
      <c r="AO875" s="319">
        <v>0.4</v>
      </c>
      <c r="AP875">
        <v>12</v>
      </c>
      <c r="AR875" s="136">
        <v>12</v>
      </c>
      <c r="AT875" s="69">
        <v>2.3148</v>
      </c>
      <c r="AU875" s="69">
        <v>2.3148</v>
      </c>
      <c r="AV875" s="69">
        <v>2.3148</v>
      </c>
      <c r="AW875" s="69">
        <v>0.23150000000000001</v>
      </c>
      <c r="BB875" s="69"/>
    </row>
    <row r="876" spans="1:54" customFormat="1" ht="40" customHeight="1">
      <c r="A876" s="313">
        <v>875</v>
      </c>
      <c r="B876" s="136" t="s">
        <v>2355</v>
      </c>
      <c r="C876" s="136" t="s">
        <v>45</v>
      </c>
      <c r="D876" s="31">
        <f t="shared" si="60"/>
        <v>4</v>
      </c>
      <c r="E876" s="137" t="s">
        <v>80</v>
      </c>
      <c r="F876" s="31">
        <f t="shared" si="61"/>
        <v>4</v>
      </c>
      <c r="G876" s="137" t="s">
        <v>180</v>
      </c>
      <c r="H876" s="138">
        <v>54</v>
      </c>
      <c r="I876" s="158">
        <f t="shared" si="62"/>
        <v>0.36262273668400763</v>
      </c>
      <c r="J876" s="95">
        <v>3.0207863680032899E-3</v>
      </c>
      <c r="K876" s="137">
        <v>0.72222468700001197</v>
      </c>
      <c r="L876" s="137">
        <v>0.75</v>
      </c>
      <c r="M876" s="137">
        <v>0.68056171750003003</v>
      </c>
      <c r="N876" s="136">
        <v>1</v>
      </c>
      <c r="O876" s="32">
        <v>42993</v>
      </c>
      <c r="P876" s="98">
        <f t="shared" si="63"/>
        <v>0</v>
      </c>
      <c r="Q876">
        <v>7.65</v>
      </c>
      <c r="R876">
        <v>0</v>
      </c>
      <c r="S876">
        <v>0</v>
      </c>
      <c r="T876" s="112" t="s">
        <v>48</v>
      </c>
      <c r="U876" s="137" t="s">
        <v>2392</v>
      </c>
      <c r="V876" s="137" t="s">
        <v>2393</v>
      </c>
      <c r="W876" s="69">
        <v>42</v>
      </c>
      <c r="X876" s="136">
        <v>2</v>
      </c>
      <c r="Y876" s="136">
        <v>5</v>
      </c>
      <c r="Z876" s="314"/>
      <c r="AA876" s="319">
        <v>0.59450000000000003</v>
      </c>
      <c r="AB876" s="315" t="s">
        <v>5169</v>
      </c>
      <c r="AC876" s="319">
        <v>2</v>
      </c>
      <c r="AD876" s="320">
        <v>7.69230769230769E-2</v>
      </c>
      <c r="AE876" s="319">
        <v>1</v>
      </c>
      <c r="AF876" s="320">
        <v>3.8461538461538401E-2</v>
      </c>
      <c r="AG876" s="319">
        <v>2</v>
      </c>
      <c r="AH876" s="320">
        <v>7.69230769230769E-2</v>
      </c>
      <c r="AI876" s="319">
        <v>0</v>
      </c>
      <c r="AJ876" s="320">
        <v>0</v>
      </c>
      <c r="AK876" s="320">
        <v>0</v>
      </c>
      <c r="AL876" s="319">
        <v>5</v>
      </c>
      <c r="AM876" s="319">
        <v>5</v>
      </c>
      <c r="AN876" s="319">
        <v>4.6666666666666599</v>
      </c>
      <c r="AO876" s="319">
        <v>0.48888888888888798</v>
      </c>
      <c r="AP876">
        <v>5</v>
      </c>
      <c r="AR876" s="136">
        <v>5</v>
      </c>
      <c r="AT876" s="69">
        <v>2.3148</v>
      </c>
      <c r="AU876" s="69">
        <v>2.3148</v>
      </c>
      <c r="AV876" s="69">
        <v>8.1305999999999994</v>
      </c>
      <c r="AW876" s="69">
        <v>0.42530000000000001</v>
      </c>
      <c r="BB876" s="69"/>
    </row>
    <row r="877" spans="1:54" customFormat="1" ht="40" customHeight="1">
      <c r="A877" s="313">
        <v>876</v>
      </c>
      <c r="B877" s="136" t="s">
        <v>2355</v>
      </c>
      <c r="C877" s="136" t="s">
        <v>45</v>
      </c>
      <c r="D877" s="31">
        <f t="shared" si="60"/>
        <v>4</v>
      </c>
      <c r="E877" s="137" t="s">
        <v>46</v>
      </c>
      <c r="F877" s="31">
        <f t="shared" si="61"/>
        <v>6</v>
      </c>
      <c r="G877" s="137" t="s">
        <v>2394</v>
      </c>
      <c r="H877" s="138">
        <v>160</v>
      </c>
      <c r="I877" s="158">
        <f t="shared" si="62"/>
        <v>0.75058998970392654</v>
      </c>
      <c r="J877" s="95">
        <v>0.99985542594865595</v>
      </c>
      <c r="K877" s="137">
        <v>0.50132455345919702</v>
      </c>
      <c r="L877" s="137">
        <v>0.51226009152380303</v>
      </c>
      <c r="M877" s="137">
        <v>0.48492124636228701</v>
      </c>
      <c r="N877" s="136">
        <v>1</v>
      </c>
      <c r="O877" s="32">
        <v>42990</v>
      </c>
      <c r="P877" s="98">
        <f t="shared" si="63"/>
        <v>2</v>
      </c>
      <c r="Q877">
        <v>0</v>
      </c>
      <c r="R877">
        <v>0</v>
      </c>
      <c r="S877">
        <v>1.87</v>
      </c>
      <c r="T877" s="112" t="s">
        <v>64</v>
      </c>
      <c r="U877" s="137" t="s">
        <v>2395</v>
      </c>
      <c r="V877" s="137" t="s">
        <v>2396</v>
      </c>
      <c r="W877" s="69">
        <v>146</v>
      </c>
      <c r="X877" s="136">
        <v>3</v>
      </c>
      <c r="Y877" s="136">
        <v>13</v>
      </c>
      <c r="Z877" s="314"/>
      <c r="AA877" s="319">
        <v>2.7133952260485799E-2</v>
      </c>
      <c r="AB877" s="315" t="s">
        <v>5176</v>
      </c>
      <c r="AC877" s="319">
        <v>3</v>
      </c>
      <c r="AD877" s="320">
        <v>3.4482758620689599E-2</v>
      </c>
      <c r="AE877" s="319">
        <v>4</v>
      </c>
      <c r="AF877" s="320">
        <v>4.5977011494252797E-2</v>
      </c>
      <c r="AG877" s="319">
        <v>0</v>
      </c>
      <c r="AH877" s="320">
        <v>0</v>
      </c>
      <c r="AI877" s="319">
        <v>0</v>
      </c>
      <c r="AJ877" s="320">
        <v>0</v>
      </c>
      <c r="AK877" s="320">
        <v>1.149425287356322E-2</v>
      </c>
      <c r="AL877" s="319">
        <v>5</v>
      </c>
      <c r="AM877" s="319">
        <v>5</v>
      </c>
      <c r="AN877" s="319">
        <v>5</v>
      </c>
      <c r="AO877" s="319">
        <v>0.5</v>
      </c>
      <c r="AP877">
        <v>13</v>
      </c>
      <c r="AR877" s="136">
        <v>13</v>
      </c>
      <c r="AT877" s="69">
        <v>2.3148</v>
      </c>
      <c r="AU877" s="69">
        <v>2.3148</v>
      </c>
      <c r="AV877" s="69">
        <v>8.5815000000000001</v>
      </c>
      <c r="AW877" s="69">
        <v>0.44040000000000001</v>
      </c>
      <c r="BB877" s="69"/>
    </row>
    <row r="878" spans="1:54" customFormat="1" ht="40" customHeight="1">
      <c r="A878" s="313">
        <v>877</v>
      </c>
      <c r="B878" s="136" t="s">
        <v>2355</v>
      </c>
      <c r="C878" s="136" t="s">
        <v>59</v>
      </c>
      <c r="D878" s="31">
        <f t="shared" si="60"/>
        <v>5</v>
      </c>
      <c r="E878" s="137" t="s">
        <v>46</v>
      </c>
      <c r="F878" s="31">
        <f t="shared" si="61"/>
        <v>6</v>
      </c>
      <c r="G878" s="137" t="s">
        <v>2397</v>
      </c>
      <c r="H878" s="138">
        <v>15</v>
      </c>
      <c r="I878" s="158">
        <f t="shared" si="62"/>
        <v>0.49787745639839398</v>
      </c>
      <c r="J878" s="95">
        <v>0.18666400370587899</v>
      </c>
      <c r="K878" s="137">
        <v>0.80909090909090897</v>
      </c>
      <c r="L878" s="137">
        <v>0.68181818181818199</v>
      </c>
      <c r="M878" s="137">
        <v>1</v>
      </c>
      <c r="N878" s="136">
        <v>1</v>
      </c>
      <c r="O878" s="32">
        <v>42968</v>
      </c>
      <c r="P878" s="98">
        <f t="shared" si="63"/>
        <v>1</v>
      </c>
      <c r="Q878">
        <v>0</v>
      </c>
      <c r="R878">
        <v>0</v>
      </c>
      <c r="S878">
        <v>0</v>
      </c>
      <c r="T878" s="112" t="s">
        <v>73</v>
      </c>
      <c r="U878" s="137" t="s">
        <v>2398</v>
      </c>
      <c r="V878" s="137" t="s">
        <v>2399</v>
      </c>
      <c r="W878" s="69">
        <v>46</v>
      </c>
      <c r="X878" s="136">
        <v>1</v>
      </c>
      <c r="Y878" s="136">
        <v>0</v>
      </c>
      <c r="Z878" s="314"/>
      <c r="AA878" s="319">
        <v>0.55000000000000004</v>
      </c>
      <c r="AB878" s="315" t="s">
        <v>5165</v>
      </c>
      <c r="AC878" s="319">
        <v>2</v>
      </c>
      <c r="AD878" s="320">
        <v>7.1428571428571397E-2</v>
      </c>
      <c r="AE878" s="319">
        <v>1</v>
      </c>
      <c r="AF878" s="320">
        <v>3.5714285714285698E-2</v>
      </c>
      <c r="AG878" s="319">
        <v>1</v>
      </c>
      <c r="AH878" s="320">
        <v>3.5714285714285698E-2</v>
      </c>
      <c r="AI878" s="319">
        <v>0</v>
      </c>
      <c r="AJ878" s="320">
        <v>0</v>
      </c>
      <c r="AK878" s="320">
        <v>0</v>
      </c>
      <c r="AL878" s="319">
        <v>5</v>
      </c>
      <c r="AM878" s="319">
        <v>5</v>
      </c>
      <c r="AN878" s="319">
        <v>3.5</v>
      </c>
      <c r="AO878" s="319">
        <v>0.45</v>
      </c>
      <c r="AP878">
        <v>0</v>
      </c>
      <c r="AR878" s="136">
        <v>0</v>
      </c>
      <c r="AT878" s="69">
        <v>2.3148</v>
      </c>
      <c r="AU878" s="69">
        <v>2.3148</v>
      </c>
      <c r="AV878" s="69">
        <v>5.7443999999999997</v>
      </c>
      <c r="AW878" s="69">
        <v>0.3458</v>
      </c>
      <c r="BB878" s="69"/>
    </row>
    <row r="879" spans="1:54" customFormat="1" ht="40" customHeight="1">
      <c r="A879" s="313">
        <v>878</v>
      </c>
      <c r="B879" s="136" t="s">
        <v>2355</v>
      </c>
      <c r="C879" s="136" t="s">
        <v>45</v>
      </c>
      <c r="D879" s="31">
        <f t="shared" si="60"/>
        <v>4</v>
      </c>
      <c r="E879" s="137" t="s">
        <v>46</v>
      </c>
      <c r="F879" s="31">
        <f t="shared" si="61"/>
        <v>6</v>
      </c>
      <c r="G879" s="137" t="s">
        <v>2400</v>
      </c>
      <c r="H879" s="138">
        <v>262</v>
      </c>
      <c r="I879" s="158">
        <f t="shared" si="62"/>
        <v>0.19170795995443951</v>
      </c>
      <c r="J879" s="95">
        <v>6.3809851712E-3</v>
      </c>
      <c r="K879" s="137">
        <v>0.37703493473767902</v>
      </c>
      <c r="L879" s="137">
        <v>0.31807321377936298</v>
      </c>
      <c r="M879" s="137">
        <v>0.46547751617515098</v>
      </c>
      <c r="N879" s="136">
        <v>1</v>
      </c>
      <c r="O879" s="32">
        <v>42954</v>
      </c>
      <c r="P879" s="98">
        <f t="shared" si="63"/>
        <v>0</v>
      </c>
      <c r="Q879">
        <v>2.5499999999999998</v>
      </c>
      <c r="R879">
        <v>0</v>
      </c>
      <c r="S879">
        <v>0</v>
      </c>
      <c r="T879" s="112" t="s">
        <v>48</v>
      </c>
      <c r="U879" s="137" t="s">
        <v>2401</v>
      </c>
      <c r="V879" s="137" t="s">
        <v>2402</v>
      </c>
      <c r="W879" s="69">
        <v>76</v>
      </c>
      <c r="X879" s="136">
        <v>3</v>
      </c>
      <c r="Y879" s="136">
        <v>14</v>
      </c>
      <c r="Z879" s="314"/>
      <c r="AA879" s="319">
        <v>1.02427775895304E-3</v>
      </c>
      <c r="AB879" s="331" t="s">
        <v>5172</v>
      </c>
      <c r="AC879" s="319">
        <v>0</v>
      </c>
      <c r="AD879" s="320">
        <v>0</v>
      </c>
      <c r="AE879" s="319">
        <v>0</v>
      </c>
      <c r="AF879" s="320">
        <v>0</v>
      </c>
      <c r="AG879" s="319">
        <v>0</v>
      </c>
      <c r="AH879" s="320">
        <v>0</v>
      </c>
      <c r="AI879" s="319">
        <v>0</v>
      </c>
      <c r="AJ879" s="320">
        <v>0</v>
      </c>
      <c r="AK879" s="320">
        <v>0</v>
      </c>
      <c r="AL879" s="319">
        <v>5</v>
      </c>
      <c r="AM879" s="319">
        <v>5</v>
      </c>
      <c r="AN879" s="319">
        <v>2</v>
      </c>
      <c r="AO879" s="319">
        <v>0.4</v>
      </c>
      <c r="AP879" s="136">
        <v>14</v>
      </c>
      <c r="AR879" s="136"/>
      <c r="AT879" s="69">
        <v>2.3148</v>
      </c>
      <c r="AU879" s="69">
        <v>2.3148</v>
      </c>
      <c r="AV879" s="69">
        <v>2.3148</v>
      </c>
      <c r="AW879" s="69">
        <v>0.23150000000000001</v>
      </c>
      <c r="BB879" s="69"/>
    </row>
    <row r="880" spans="1:54" customFormat="1" ht="40" customHeight="1">
      <c r="A880" s="313">
        <v>879</v>
      </c>
      <c r="B880" s="136" t="s">
        <v>2355</v>
      </c>
      <c r="C880" s="136" t="s">
        <v>59</v>
      </c>
      <c r="D880" s="31">
        <f t="shared" si="60"/>
        <v>5</v>
      </c>
      <c r="E880" s="137" t="s">
        <v>46</v>
      </c>
      <c r="F880" s="31">
        <f t="shared" si="61"/>
        <v>6</v>
      </c>
      <c r="G880" s="137" t="s">
        <v>2403</v>
      </c>
      <c r="H880" s="138">
        <v>71</v>
      </c>
      <c r="I880" s="158">
        <f t="shared" si="62"/>
        <v>0.85555478481560354</v>
      </c>
      <c r="J880" s="95">
        <v>0.99635160032778303</v>
      </c>
      <c r="K880" s="137">
        <v>0.71475796930342395</v>
      </c>
      <c r="L880" s="137">
        <v>0.61983471074380203</v>
      </c>
      <c r="M880" s="137">
        <v>0.85714285714285698</v>
      </c>
      <c r="N880" s="136">
        <v>1</v>
      </c>
      <c r="O880" s="32">
        <v>42943</v>
      </c>
      <c r="P880" s="98">
        <f t="shared" si="63"/>
        <v>1</v>
      </c>
      <c r="Q880">
        <v>0</v>
      </c>
      <c r="R880">
        <v>0</v>
      </c>
      <c r="S880">
        <v>0</v>
      </c>
      <c r="T880" s="112" t="s">
        <v>73</v>
      </c>
      <c r="U880" s="137" t="s">
        <v>2404</v>
      </c>
      <c r="V880" s="137" t="s">
        <v>2405</v>
      </c>
      <c r="W880" s="69">
        <v>22</v>
      </c>
      <c r="X880" s="136">
        <v>1</v>
      </c>
      <c r="Y880" s="136">
        <v>1</v>
      </c>
      <c r="Z880" s="314"/>
      <c r="AA880" s="319">
        <v>0.55000000000000004</v>
      </c>
      <c r="AB880" s="315" t="s">
        <v>5176</v>
      </c>
      <c r="AC880" s="319">
        <v>0</v>
      </c>
      <c r="AD880" s="320">
        <v>0</v>
      </c>
      <c r="AE880" s="319">
        <v>1</v>
      </c>
      <c r="AF880" s="320">
        <v>8.3333333333333301E-2</v>
      </c>
      <c r="AG880" s="319">
        <v>0</v>
      </c>
      <c r="AH880" s="320">
        <v>0</v>
      </c>
      <c r="AI880" s="319">
        <v>0</v>
      </c>
      <c r="AJ880" s="320">
        <v>0</v>
      </c>
      <c r="AK880" s="320">
        <v>0</v>
      </c>
      <c r="AL880" s="319">
        <v>5</v>
      </c>
      <c r="AM880" s="319">
        <v>5</v>
      </c>
      <c r="AN880" s="319">
        <v>3.5</v>
      </c>
      <c r="AO880" s="319">
        <v>0.45</v>
      </c>
      <c r="AP880">
        <v>1</v>
      </c>
      <c r="AR880" s="136">
        <v>1</v>
      </c>
      <c r="AT880" s="69">
        <v>2.3148</v>
      </c>
      <c r="AU880" s="69">
        <v>2.3148</v>
      </c>
      <c r="AV880" s="69">
        <v>5.7443999999999997</v>
      </c>
      <c r="AW880" s="69">
        <v>0.3458</v>
      </c>
      <c r="BB880" s="69"/>
    </row>
    <row r="881" spans="1:54" customFormat="1" ht="40" customHeight="1">
      <c r="A881" s="313">
        <v>880</v>
      </c>
      <c r="B881" s="136" t="s">
        <v>2355</v>
      </c>
      <c r="C881" s="136" t="s">
        <v>59</v>
      </c>
      <c r="D881" s="31">
        <f t="shared" si="60"/>
        <v>5</v>
      </c>
      <c r="E881" s="137" t="s">
        <v>46</v>
      </c>
      <c r="F881" s="31">
        <f t="shared" si="61"/>
        <v>6</v>
      </c>
      <c r="G881" s="137" t="s">
        <v>2406</v>
      </c>
      <c r="H881" s="138">
        <v>111</v>
      </c>
      <c r="I881" s="158">
        <f t="shared" si="62"/>
        <v>0.40514680378468149</v>
      </c>
      <c r="J881" s="95">
        <v>0.23071286565506899</v>
      </c>
      <c r="K881" s="137">
        <v>0.57958074191429398</v>
      </c>
      <c r="L881" s="137">
        <v>0.51226009152380303</v>
      </c>
      <c r="M881" s="137">
        <v>0.68056171750003003</v>
      </c>
      <c r="N881" s="136">
        <v>1</v>
      </c>
      <c r="O881" s="32">
        <v>42915</v>
      </c>
      <c r="P881" s="98">
        <f t="shared" si="63"/>
        <v>0</v>
      </c>
      <c r="Q881">
        <v>2.5499999999999998</v>
      </c>
      <c r="R881">
        <v>0</v>
      </c>
      <c r="S881">
        <v>0</v>
      </c>
      <c r="T881" s="112" t="s">
        <v>48</v>
      </c>
      <c r="U881" s="137" t="s">
        <v>2407</v>
      </c>
      <c r="V881" s="137" t="s">
        <v>2408</v>
      </c>
      <c r="W881" s="69">
        <v>28</v>
      </c>
      <c r="X881" s="136">
        <v>1</v>
      </c>
      <c r="Y881" s="136">
        <v>5</v>
      </c>
      <c r="Z881" s="314"/>
      <c r="AA881" s="319">
        <v>9.1578194443670893E-3</v>
      </c>
      <c r="AB881" s="315" t="s">
        <v>5165</v>
      </c>
      <c r="AC881" s="319">
        <v>1</v>
      </c>
      <c r="AD881" s="320">
        <v>6.25E-2</v>
      </c>
      <c r="AE881" s="319">
        <v>0</v>
      </c>
      <c r="AF881" s="320">
        <v>0</v>
      </c>
      <c r="AG881" s="319">
        <v>0</v>
      </c>
      <c r="AH881" s="320">
        <v>0</v>
      </c>
      <c r="AI881" s="319">
        <v>0</v>
      </c>
      <c r="AJ881" s="320">
        <v>0</v>
      </c>
      <c r="AK881" s="320">
        <v>0</v>
      </c>
      <c r="AL881" s="319">
        <v>5</v>
      </c>
      <c r="AM881" s="319">
        <v>6.2</v>
      </c>
      <c r="AN881" s="319">
        <v>2</v>
      </c>
      <c r="AO881" s="319">
        <v>0.44</v>
      </c>
      <c r="AP881">
        <v>5</v>
      </c>
      <c r="AQ881" s="136">
        <v>5</v>
      </c>
      <c r="AT881" s="69">
        <v>2.3148</v>
      </c>
      <c r="AU881" s="69">
        <v>5</v>
      </c>
      <c r="AV881" s="69">
        <v>2.3148</v>
      </c>
      <c r="AW881" s="69">
        <v>0.32100000000000001</v>
      </c>
      <c r="BB881" s="69"/>
    </row>
    <row r="882" spans="1:54" customFormat="1" ht="40" customHeight="1">
      <c r="A882" s="313">
        <v>881</v>
      </c>
      <c r="B882" s="136" t="s">
        <v>2355</v>
      </c>
      <c r="C882" s="136" t="s">
        <v>59</v>
      </c>
      <c r="D882" s="31">
        <f t="shared" si="60"/>
        <v>5</v>
      </c>
      <c r="E882" s="137" t="s">
        <v>46</v>
      </c>
      <c r="F882" s="31">
        <f t="shared" si="61"/>
        <v>6</v>
      </c>
      <c r="G882" s="137" t="s">
        <v>2409</v>
      </c>
      <c r="H882" s="138">
        <v>57</v>
      </c>
      <c r="I882" s="158">
        <f t="shared" si="62"/>
        <v>0.42109113446526703</v>
      </c>
      <c r="J882" s="95">
        <v>0.15109364604843001</v>
      </c>
      <c r="K882" s="137">
        <v>0.69108862288210404</v>
      </c>
      <c r="L882" s="137">
        <v>0.61983471074380203</v>
      </c>
      <c r="M882" s="137">
        <v>0.79796949108955795</v>
      </c>
      <c r="N882" s="136">
        <v>1</v>
      </c>
      <c r="O882" s="32">
        <v>42905</v>
      </c>
      <c r="P882" s="98">
        <f t="shared" si="63"/>
        <v>1</v>
      </c>
      <c r="Q882">
        <v>0</v>
      </c>
      <c r="R882">
        <v>0</v>
      </c>
      <c r="S882">
        <v>0</v>
      </c>
      <c r="T882" s="112" t="s">
        <v>73</v>
      </c>
      <c r="U882" s="137" t="s">
        <v>2410</v>
      </c>
      <c r="V882" s="137" t="s">
        <v>2411</v>
      </c>
      <c r="W882" s="69">
        <v>121</v>
      </c>
      <c r="X882" s="136">
        <v>1</v>
      </c>
      <c r="Y882" s="136">
        <v>2</v>
      </c>
      <c r="Z882" s="314"/>
      <c r="AA882" s="319">
        <v>0.55000000000000004</v>
      </c>
      <c r="AB882" s="315" t="s">
        <v>5177</v>
      </c>
      <c r="AC882" s="319">
        <v>0</v>
      </c>
      <c r="AD882" s="320">
        <v>0</v>
      </c>
      <c r="AE882" s="319">
        <v>1</v>
      </c>
      <c r="AF882" s="320">
        <v>1.51515151515151E-2</v>
      </c>
      <c r="AG882" s="319">
        <v>1</v>
      </c>
      <c r="AH882" s="320">
        <v>1.51515151515151E-2</v>
      </c>
      <c r="AI882" s="319">
        <v>0</v>
      </c>
      <c r="AJ882" s="320">
        <v>0</v>
      </c>
      <c r="AK882" s="320">
        <v>0</v>
      </c>
      <c r="AL882" s="319">
        <v>5</v>
      </c>
      <c r="AM882" s="319">
        <v>5</v>
      </c>
      <c r="AN882" s="319">
        <v>3.5</v>
      </c>
      <c r="AO882" s="319">
        <v>0.45</v>
      </c>
      <c r="AP882">
        <v>2</v>
      </c>
      <c r="AQ882" s="136">
        <v>2</v>
      </c>
      <c r="AR882" s="136"/>
      <c r="AT882" s="69">
        <v>2.3148</v>
      </c>
      <c r="AU882" s="69">
        <v>2.3148</v>
      </c>
      <c r="AV882" s="69">
        <v>5.7443999999999997</v>
      </c>
      <c r="AW882" s="69">
        <v>0.3458</v>
      </c>
      <c r="BB882" s="69"/>
    </row>
    <row r="883" spans="1:54" customFormat="1" ht="40" customHeight="1">
      <c r="A883" s="313">
        <v>882</v>
      </c>
      <c r="B883" s="136" t="s">
        <v>2355</v>
      </c>
      <c r="C883" s="136" t="s">
        <v>45</v>
      </c>
      <c r="D883" s="31">
        <f t="shared" si="60"/>
        <v>4</v>
      </c>
      <c r="E883" s="137" t="s">
        <v>46</v>
      </c>
      <c r="F883" s="31">
        <f t="shared" si="61"/>
        <v>6</v>
      </c>
      <c r="G883" s="137" t="s">
        <v>2412</v>
      </c>
      <c r="H883" s="138">
        <v>92</v>
      </c>
      <c r="I883" s="158">
        <f t="shared" si="62"/>
        <v>0.75771011521899001</v>
      </c>
      <c r="J883" s="95">
        <v>0.95679277407185304</v>
      </c>
      <c r="K883" s="137">
        <v>0.55862745636612698</v>
      </c>
      <c r="L883" s="137">
        <v>0.75</v>
      </c>
      <c r="M883" s="137">
        <v>0.27156864091531702</v>
      </c>
      <c r="N883" s="136">
        <v>1</v>
      </c>
      <c r="O883" s="32">
        <v>42746</v>
      </c>
      <c r="P883" s="98">
        <f t="shared" si="63"/>
        <v>0</v>
      </c>
      <c r="Q883">
        <v>2.5499999999999998</v>
      </c>
      <c r="R883">
        <v>1.65</v>
      </c>
      <c r="S883">
        <v>1.87</v>
      </c>
      <c r="T883" s="112" t="s">
        <v>48</v>
      </c>
      <c r="U883" s="137" t="s">
        <v>2413</v>
      </c>
      <c r="V883" s="137" t="s">
        <v>2414</v>
      </c>
      <c r="W883" s="69">
        <v>122</v>
      </c>
      <c r="X883" s="136">
        <v>3</v>
      </c>
      <c r="Y883" s="136">
        <v>26</v>
      </c>
      <c r="Z883" s="314"/>
      <c r="AA883" s="319">
        <v>0.5</v>
      </c>
      <c r="AB883" s="315" t="s">
        <v>5166</v>
      </c>
      <c r="AC883" s="319">
        <v>2</v>
      </c>
      <c r="AD883" s="320">
        <v>3.125E-2</v>
      </c>
      <c r="AE883" s="319">
        <v>1</v>
      </c>
      <c r="AF883" s="320">
        <v>1.5625E-2</v>
      </c>
      <c r="AG883" s="319">
        <v>1</v>
      </c>
      <c r="AH883" s="320">
        <v>1.5625E-2</v>
      </c>
      <c r="AI883" s="319">
        <v>2</v>
      </c>
      <c r="AJ883" s="320">
        <v>3.125E-2</v>
      </c>
      <c r="AK883" s="320">
        <v>0</v>
      </c>
      <c r="AL883" s="319">
        <v>5</v>
      </c>
      <c r="AM883" s="319">
        <v>5</v>
      </c>
      <c r="AN883" s="319">
        <v>2</v>
      </c>
      <c r="AO883" s="319">
        <v>0.4</v>
      </c>
      <c r="AP883">
        <v>26</v>
      </c>
      <c r="AS883" s="136">
        <v>26</v>
      </c>
      <c r="AT883" s="69">
        <v>2.3148</v>
      </c>
      <c r="AU883" s="69">
        <v>2.3148</v>
      </c>
      <c r="AV883" s="69">
        <v>2.3148</v>
      </c>
      <c r="AW883" s="69">
        <v>0.23150000000000001</v>
      </c>
      <c r="BB883" s="69"/>
    </row>
    <row r="884" spans="1:54" customFormat="1" ht="40" customHeight="1">
      <c r="A884" s="313">
        <v>883</v>
      </c>
      <c r="B884" s="136" t="s">
        <v>2355</v>
      </c>
      <c r="C884" s="136" t="s">
        <v>45</v>
      </c>
      <c r="D884" s="31">
        <f t="shared" si="60"/>
        <v>4</v>
      </c>
      <c r="E884" s="137" t="s">
        <v>46</v>
      </c>
      <c r="F884" s="31">
        <f t="shared" si="61"/>
        <v>6</v>
      </c>
      <c r="G884" s="137" t="s">
        <v>2415</v>
      </c>
      <c r="H884" s="138">
        <v>111</v>
      </c>
      <c r="I884" s="158">
        <f t="shared" si="62"/>
        <v>0.35594751780021888</v>
      </c>
      <c r="J884" s="95">
        <v>9.7501071350018703E-2</v>
      </c>
      <c r="K884" s="137">
        <v>0.61439396425041903</v>
      </c>
      <c r="L884" s="137">
        <v>0.75</v>
      </c>
      <c r="M884" s="137">
        <v>0.41098491062604903</v>
      </c>
      <c r="N884" s="136">
        <v>1</v>
      </c>
      <c r="O884" s="32">
        <v>42731</v>
      </c>
      <c r="P884" s="98">
        <f t="shared" si="63"/>
        <v>0</v>
      </c>
      <c r="Q884">
        <v>10.199999999999999</v>
      </c>
      <c r="R884">
        <v>0</v>
      </c>
      <c r="S884">
        <v>1.87</v>
      </c>
      <c r="T884" s="112" t="s">
        <v>48</v>
      </c>
      <c r="U884" s="137" t="s">
        <v>2416</v>
      </c>
      <c r="V884" s="137" t="s">
        <v>2417</v>
      </c>
      <c r="W884" s="69">
        <v>154</v>
      </c>
      <c r="X884" s="136">
        <v>3</v>
      </c>
      <c r="Y884" s="136">
        <v>17</v>
      </c>
      <c r="Z884" s="314"/>
      <c r="AA884" s="319">
        <v>0.64895000000000003</v>
      </c>
      <c r="AB884" s="315" t="s">
        <v>5176</v>
      </c>
      <c r="AC884" s="319">
        <v>1</v>
      </c>
      <c r="AD884" s="320">
        <v>1.1494252873563199E-2</v>
      </c>
      <c r="AE884" s="319">
        <v>5</v>
      </c>
      <c r="AF884" s="320">
        <v>5.7471264367816001E-2</v>
      </c>
      <c r="AG884" s="319">
        <v>2</v>
      </c>
      <c r="AH884" s="320">
        <v>2.2988505747126398E-2</v>
      </c>
      <c r="AI884" s="319">
        <v>1</v>
      </c>
      <c r="AJ884" s="320">
        <v>1.1494252873563199E-2</v>
      </c>
      <c r="AK884" s="320">
        <v>2.298850574712644E-2</v>
      </c>
      <c r="AL884" s="319">
        <v>6.75</v>
      </c>
      <c r="AM884" s="319">
        <v>5</v>
      </c>
      <c r="AN884" s="319">
        <v>7.3333333333333304</v>
      </c>
      <c r="AO884" s="319">
        <v>0.63611111111111096</v>
      </c>
      <c r="AP884">
        <v>17</v>
      </c>
      <c r="AQ884" s="136">
        <v>17</v>
      </c>
      <c r="AR884" s="136"/>
      <c r="AT884" s="69">
        <v>6.3414000000000001</v>
      </c>
      <c r="AU884" s="69">
        <v>2.3148</v>
      </c>
      <c r="AV884" s="69">
        <v>9.8416999999999994</v>
      </c>
      <c r="AW884" s="69">
        <v>0.61660000000000004</v>
      </c>
      <c r="BB884" s="69"/>
    </row>
    <row r="885" spans="1:54" customFormat="1" ht="40" customHeight="1">
      <c r="A885" s="313">
        <v>884</v>
      </c>
      <c r="B885" s="136" t="s">
        <v>2418</v>
      </c>
      <c r="C885" s="136" t="s">
        <v>45</v>
      </c>
      <c r="D885" s="31">
        <f t="shared" si="60"/>
        <v>4</v>
      </c>
      <c r="E885" s="137" t="s">
        <v>46</v>
      </c>
      <c r="F885" s="31">
        <f t="shared" si="61"/>
        <v>6</v>
      </c>
      <c r="G885" s="137" t="s">
        <v>2419</v>
      </c>
      <c r="H885" s="138">
        <f>LEN(U885)</f>
        <v>137</v>
      </c>
      <c r="I885" s="158">
        <f t="shared" si="62"/>
        <v>0.3755133016115943</v>
      </c>
      <c r="J885" s="95">
        <v>9.3508426757260597E-7</v>
      </c>
      <c r="K885" s="137">
        <v>0.75102566813892102</v>
      </c>
      <c r="L885" s="137">
        <v>0.75</v>
      </c>
      <c r="M885" s="137">
        <v>0.75256417034730305</v>
      </c>
      <c r="N885" s="136">
        <v>1</v>
      </c>
      <c r="O885" s="32">
        <v>44163</v>
      </c>
      <c r="P885" s="98">
        <f t="shared" si="63"/>
        <v>1</v>
      </c>
      <c r="Q885">
        <v>0</v>
      </c>
      <c r="R885">
        <v>0</v>
      </c>
      <c r="S885">
        <v>0</v>
      </c>
      <c r="T885" s="112" t="s">
        <v>73</v>
      </c>
      <c r="U885" s="137" t="s">
        <v>2420</v>
      </c>
      <c r="V885" s="137" t="s">
        <v>2421</v>
      </c>
      <c r="W885" s="69">
        <f>LEN(V885)</f>
        <v>134</v>
      </c>
      <c r="X885" s="136">
        <v>0</v>
      </c>
      <c r="Y885" s="136">
        <v>3</v>
      </c>
      <c r="Z885" s="314"/>
      <c r="AA885" s="319">
        <v>0.55000000000000004</v>
      </c>
      <c r="AB885" s="315" t="s">
        <v>5176</v>
      </c>
      <c r="AC885" s="319">
        <v>0</v>
      </c>
      <c r="AD885" s="320">
        <v>0</v>
      </c>
      <c r="AE885" s="319">
        <v>4</v>
      </c>
      <c r="AF885" s="320">
        <v>5.1282051282051197E-2</v>
      </c>
      <c r="AG885" s="319">
        <v>0</v>
      </c>
      <c r="AH885" s="320">
        <v>0</v>
      </c>
      <c r="AI885" s="319">
        <v>0</v>
      </c>
      <c r="AJ885" s="320">
        <v>0</v>
      </c>
      <c r="AK885" s="320">
        <v>2.564102564102564E-2</v>
      </c>
      <c r="AL885" s="319">
        <v>5</v>
      </c>
      <c r="AM885" s="319">
        <v>5</v>
      </c>
      <c r="AN885" s="319">
        <v>3.5</v>
      </c>
      <c r="AO885" s="319">
        <v>0.45</v>
      </c>
      <c r="AP885" s="136">
        <v>3</v>
      </c>
      <c r="AT885" s="69">
        <v>2.3148</v>
      </c>
      <c r="AU885" s="69">
        <v>2.3148</v>
      </c>
      <c r="AV885" s="69">
        <v>5.7443999999999997</v>
      </c>
      <c r="AW885" s="69">
        <v>0.3458</v>
      </c>
      <c r="BB885" s="69"/>
    </row>
    <row r="886" spans="1:54" customFormat="1" ht="40" customHeight="1">
      <c r="A886" s="313">
        <v>885</v>
      </c>
      <c r="B886" s="136" t="s">
        <v>2418</v>
      </c>
      <c r="C886" s="136" t="s">
        <v>45</v>
      </c>
      <c r="D886" s="31">
        <f t="shared" si="60"/>
        <v>4</v>
      </c>
      <c r="E886" s="137" t="s">
        <v>46</v>
      </c>
      <c r="F886" s="31">
        <f t="shared" si="61"/>
        <v>6</v>
      </c>
      <c r="G886" s="137" t="s">
        <v>2422</v>
      </c>
      <c r="H886" s="138">
        <f>LEN(U886)</f>
        <v>42</v>
      </c>
      <c r="I886" s="158">
        <f t="shared" si="62"/>
        <v>0.67487192202013402</v>
      </c>
      <c r="J886" s="95">
        <v>0.67117241546883999</v>
      </c>
      <c r="K886" s="137">
        <v>0.67857142857142805</v>
      </c>
      <c r="L886" s="137">
        <v>0.75</v>
      </c>
      <c r="M886" s="137">
        <v>0.57142857142857095</v>
      </c>
      <c r="N886" s="136">
        <v>1</v>
      </c>
      <c r="O886" s="32">
        <v>44149</v>
      </c>
      <c r="P886" s="98">
        <f t="shared" si="63"/>
        <v>1</v>
      </c>
      <c r="Q886">
        <v>0</v>
      </c>
      <c r="R886">
        <v>1.65</v>
      </c>
      <c r="S886">
        <v>0</v>
      </c>
      <c r="T886" s="112" t="s">
        <v>73</v>
      </c>
      <c r="U886" s="137" t="s">
        <v>2423</v>
      </c>
      <c r="V886" s="137" t="s">
        <v>2424</v>
      </c>
      <c r="W886" s="69">
        <f>LEN(V886)</f>
        <v>122</v>
      </c>
      <c r="X886" s="136">
        <v>2</v>
      </c>
      <c r="Y886" s="136">
        <v>9</v>
      </c>
      <c r="Z886" s="314"/>
      <c r="AA886" s="319">
        <v>0.5</v>
      </c>
      <c r="AB886" s="315" t="s">
        <v>5176</v>
      </c>
      <c r="AC886" s="319">
        <v>0</v>
      </c>
      <c r="AD886" s="320">
        <v>0</v>
      </c>
      <c r="AE886" s="319">
        <v>4</v>
      </c>
      <c r="AF886" s="320">
        <v>5.4794520547945202E-2</v>
      </c>
      <c r="AG886" s="319">
        <v>0</v>
      </c>
      <c r="AH886" s="320">
        <v>0</v>
      </c>
      <c r="AI886" s="319">
        <v>0</v>
      </c>
      <c r="AJ886" s="320">
        <v>0</v>
      </c>
      <c r="AK886" s="320">
        <v>2.7397260273972601E-2</v>
      </c>
      <c r="AL886" s="319">
        <v>5</v>
      </c>
      <c r="AM886" s="319">
        <v>5</v>
      </c>
      <c r="AN886" s="319">
        <v>2</v>
      </c>
      <c r="AO886" s="319">
        <v>0.4</v>
      </c>
      <c r="AP886" s="136">
        <v>9</v>
      </c>
      <c r="AT886" s="69">
        <v>2.3148</v>
      </c>
      <c r="AU886" s="69">
        <v>2.3148</v>
      </c>
      <c r="AV886" s="69">
        <v>2.3148</v>
      </c>
      <c r="AW886" s="69">
        <v>0.23150000000000001</v>
      </c>
      <c r="BB886" s="69"/>
    </row>
    <row r="887" spans="1:54" customFormat="1" ht="40" customHeight="1">
      <c r="A887" s="313">
        <v>886</v>
      </c>
      <c r="B887" s="136" t="s">
        <v>2418</v>
      </c>
      <c r="C887" s="136" t="s">
        <v>45</v>
      </c>
      <c r="D887" s="31">
        <f t="shared" si="60"/>
        <v>4</v>
      </c>
      <c r="E887" s="137" t="s">
        <v>46</v>
      </c>
      <c r="F887" s="31">
        <f t="shared" si="61"/>
        <v>6</v>
      </c>
      <c r="G887" s="137" t="s">
        <v>2425</v>
      </c>
      <c r="H887" s="138">
        <v>103</v>
      </c>
      <c r="I887" s="158">
        <f t="shared" si="62"/>
        <v>0.29930124170854999</v>
      </c>
      <c r="J887" s="95">
        <v>9.1604656971000496E-8</v>
      </c>
      <c r="K887" s="137">
        <v>0.59860239181244301</v>
      </c>
      <c r="L887" s="137">
        <v>0.465690992294366</v>
      </c>
      <c r="M887" s="137">
        <v>0.79796949108955795</v>
      </c>
      <c r="N887" s="136">
        <v>1</v>
      </c>
      <c r="O887" s="32">
        <v>43947</v>
      </c>
      <c r="P887" s="98">
        <f t="shared" si="63"/>
        <v>2</v>
      </c>
      <c r="Q887">
        <v>0</v>
      </c>
      <c r="R887">
        <v>0</v>
      </c>
      <c r="S887">
        <v>1.87</v>
      </c>
      <c r="T887" s="112" t="s">
        <v>64</v>
      </c>
      <c r="U887" s="137" t="s">
        <v>2426</v>
      </c>
      <c r="V887" s="137" t="s">
        <v>2427</v>
      </c>
      <c r="W887" s="69">
        <v>159</v>
      </c>
      <c r="X887" s="136">
        <v>1</v>
      </c>
      <c r="Y887" s="136">
        <v>2</v>
      </c>
      <c r="Z887" s="314"/>
      <c r="AA887" s="319">
        <v>1.2393760883331699E-3</v>
      </c>
      <c r="AB887" s="315" t="s">
        <v>5176</v>
      </c>
      <c r="AC887" s="319">
        <v>0</v>
      </c>
      <c r="AD887" s="320">
        <v>0</v>
      </c>
      <c r="AE887" s="319">
        <v>2</v>
      </c>
      <c r="AF887" s="320">
        <v>2.1505376344085999E-2</v>
      </c>
      <c r="AG887" s="319">
        <v>1</v>
      </c>
      <c r="AH887" s="320">
        <v>1.0752688172042999E-2</v>
      </c>
      <c r="AI887" s="319">
        <v>0</v>
      </c>
      <c r="AJ887" s="320">
        <v>0</v>
      </c>
      <c r="AK887" s="320">
        <v>2.1739130434782612E-2</v>
      </c>
      <c r="AL887" s="319">
        <v>5</v>
      </c>
      <c r="AM887" s="319">
        <v>5</v>
      </c>
      <c r="AN887" s="319">
        <v>2</v>
      </c>
      <c r="AO887" s="319">
        <v>0.4</v>
      </c>
      <c r="AP887" s="136">
        <v>2</v>
      </c>
      <c r="AT887" s="69">
        <v>2.3148</v>
      </c>
      <c r="AU887" s="69">
        <v>2.3148</v>
      </c>
      <c r="AV887" s="69">
        <v>2.3148</v>
      </c>
      <c r="AW887" s="69">
        <v>0.23150000000000001</v>
      </c>
      <c r="BB887" s="69"/>
    </row>
    <row r="888" spans="1:54" customFormat="1" ht="40" customHeight="1">
      <c r="A888" s="313">
        <v>887</v>
      </c>
      <c r="B888" s="136" t="s">
        <v>2418</v>
      </c>
      <c r="C888" s="136" t="s">
        <v>59</v>
      </c>
      <c r="D888" s="31">
        <f t="shared" si="60"/>
        <v>5</v>
      </c>
      <c r="E888" s="137" t="s">
        <v>46</v>
      </c>
      <c r="F888" s="31">
        <f t="shared" si="61"/>
        <v>6</v>
      </c>
      <c r="G888" s="137" t="s">
        <v>2428</v>
      </c>
      <c r="H888" s="138">
        <v>52</v>
      </c>
      <c r="I888" s="158">
        <f t="shared" si="62"/>
        <v>0.30450415554241061</v>
      </c>
      <c r="J888" s="95">
        <v>6.2658803161819198E-4</v>
      </c>
      <c r="K888" s="137">
        <v>0.60838172305320304</v>
      </c>
      <c r="L888" s="137">
        <v>0.51226009152380303</v>
      </c>
      <c r="M888" s="137">
        <v>0.75256417034730305</v>
      </c>
      <c r="N888" s="136">
        <v>1</v>
      </c>
      <c r="O888" s="32">
        <v>43933</v>
      </c>
      <c r="P888" s="98">
        <f t="shared" si="63"/>
        <v>1</v>
      </c>
      <c r="Q888">
        <v>0</v>
      </c>
      <c r="R888">
        <v>0</v>
      </c>
      <c r="S888">
        <v>0</v>
      </c>
      <c r="T888" s="112" t="s">
        <v>73</v>
      </c>
      <c r="U888" s="137" t="s">
        <v>2429</v>
      </c>
      <c r="V888" s="137" t="s">
        <v>2430</v>
      </c>
      <c r="W888" s="69">
        <v>96</v>
      </c>
      <c r="X888" s="136">
        <v>2</v>
      </c>
      <c r="Y888" s="136">
        <v>3</v>
      </c>
      <c r="Z888" s="314"/>
      <c r="AA888" s="319">
        <v>0.5</v>
      </c>
      <c r="AB888" s="331" t="s">
        <v>5172</v>
      </c>
      <c r="AC888" s="319">
        <v>0</v>
      </c>
      <c r="AD888" s="320">
        <v>0</v>
      </c>
      <c r="AE888" s="319">
        <v>0</v>
      </c>
      <c r="AF888" s="320">
        <v>0</v>
      </c>
      <c r="AG888" s="319">
        <v>0</v>
      </c>
      <c r="AH888" s="320">
        <v>0</v>
      </c>
      <c r="AI888" s="319">
        <v>0</v>
      </c>
      <c r="AJ888" s="320">
        <v>0</v>
      </c>
      <c r="AK888" s="320">
        <v>0</v>
      </c>
      <c r="AL888" s="319">
        <v>5</v>
      </c>
      <c r="AM888" s="319">
        <v>5</v>
      </c>
      <c r="AN888" s="319">
        <v>2</v>
      </c>
      <c r="AO888" s="319">
        <v>0.4</v>
      </c>
      <c r="AP888" s="136">
        <v>3</v>
      </c>
      <c r="AT888" s="69">
        <v>2.3148</v>
      </c>
      <c r="AU888" s="69">
        <v>2.3148</v>
      </c>
      <c r="AV888" s="69">
        <v>2.3148</v>
      </c>
      <c r="AW888" s="69">
        <v>0.23150000000000001</v>
      </c>
      <c r="BB888" s="69"/>
    </row>
    <row r="889" spans="1:54" customFormat="1" ht="40" customHeight="1">
      <c r="A889" s="313">
        <v>888</v>
      </c>
      <c r="B889" s="136" t="s">
        <v>2418</v>
      </c>
      <c r="C889" s="136" t="s">
        <v>119</v>
      </c>
      <c r="D889" s="31">
        <f t="shared" si="60"/>
        <v>1</v>
      </c>
      <c r="E889" s="137" t="s">
        <v>46</v>
      </c>
      <c r="F889" s="31">
        <f t="shared" si="61"/>
        <v>6</v>
      </c>
      <c r="G889" s="137" t="s">
        <v>2431</v>
      </c>
      <c r="H889" s="138">
        <v>209</v>
      </c>
      <c r="I889" s="158">
        <f t="shared" si="62"/>
        <v>0.37202798289832079</v>
      </c>
      <c r="J889" s="95">
        <v>2.4175500033252201E-4</v>
      </c>
      <c r="K889" s="137">
        <v>0.74381421079630905</v>
      </c>
      <c r="L889" s="137">
        <v>0.82499999999999996</v>
      </c>
      <c r="M889" s="137">
        <v>0.62203552699077302</v>
      </c>
      <c r="N889" s="136">
        <v>1</v>
      </c>
      <c r="O889" s="32">
        <v>43883</v>
      </c>
      <c r="P889" s="98">
        <f t="shared" si="63"/>
        <v>1</v>
      </c>
      <c r="Q889">
        <v>0</v>
      </c>
      <c r="R889">
        <v>0</v>
      </c>
      <c r="S889">
        <v>0</v>
      </c>
      <c r="T889" s="112" t="s">
        <v>73</v>
      </c>
      <c r="U889" s="137" t="s">
        <v>2432</v>
      </c>
      <c r="V889" s="137" t="s">
        <v>2433</v>
      </c>
      <c r="W889" s="69">
        <v>90</v>
      </c>
      <c r="X889" s="136">
        <v>2</v>
      </c>
      <c r="Y889" s="136">
        <v>7</v>
      </c>
      <c r="Z889" s="314"/>
      <c r="AA889" s="319">
        <v>0.54500000000000004</v>
      </c>
      <c r="AB889" s="315" t="s">
        <v>5168</v>
      </c>
      <c r="AC889" s="319">
        <v>0</v>
      </c>
      <c r="AD889" s="320">
        <v>0</v>
      </c>
      <c r="AE889" s="319">
        <v>0</v>
      </c>
      <c r="AF889" s="320">
        <v>0</v>
      </c>
      <c r="AG889" s="319">
        <v>1</v>
      </c>
      <c r="AH889" s="320">
        <v>1.8181818181818101E-2</v>
      </c>
      <c r="AI889" s="319">
        <v>0</v>
      </c>
      <c r="AJ889" s="320">
        <v>0</v>
      </c>
      <c r="AK889" s="320">
        <v>0</v>
      </c>
      <c r="AL889" s="319">
        <v>5</v>
      </c>
      <c r="AM889" s="319">
        <v>6.2</v>
      </c>
      <c r="AN889" s="319">
        <v>3.5</v>
      </c>
      <c r="AO889" s="319">
        <v>0.49</v>
      </c>
      <c r="AP889">
        <v>7</v>
      </c>
      <c r="AS889" s="136">
        <v>7</v>
      </c>
      <c r="AT889" s="69">
        <v>2.3148</v>
      </c>
      <c r="AU889" s="69">
        <v>5</v>
      </c>
      <c r="AV889" s="69">
        <v>5.7443999999999997</v>
      </c>
      <c r="AW889" s="69">
        <v>0.43530000000000002</v>
      </c>
      <c r="BB889" s="69"/>
    </row>
    <row r="890" spans="1:54" customFormat="1" ht="40" customHeight="1">
      <c r="A890" s="313">
        <v>889</v>
      </c>
      <c r="B890" s="136" t="s">
        <v>2418</v>
      </c>
      <c r="C890" s="136" t="s">
        <v>45</v>
      </c>
      <c r="D890" s="31">
        <f t="shared" si="60"/>
        <v>4</v>
      </c>
      <c r="E890" s="137" t="s">
        <v>221</v>
      </c>
      <c r="F890" s="31">
        <f t="shared" si="61"/>
        <v>2</v>
      </c>
      <c r="G890" s="137" t="s">
        <v>2434</v>
      </c>
      <c r="H890" s="138">
        <v>72</v>
      </c>
      <c r="I890" s="158">
        <f t="shared" si="62"/>
        <v>0.38510071204506624</v>
      </c>
      <c r="J890" s="95">
        <v>1.0136276543094599E-3</v>
      </c>
      <c r="K890" s="137">
        <v>0.76918779643582302</v>
      </c>
      <c r="L890" s="137">
        <v>0.75</v>
      </c>
      <c r="M890" s="137">
        <v>0.79796949108955795</v>
      </c>
      <c r="N890" s="136">
        <v>0</v>
      </c>
      <c r="O890" s="32">
        <v>43810</v>
      </c>
      <c r="P890" s="98">
        <f t="shared" si="63"/>
        <v>0</v>
      </c>
      <c r="Q890">
        <v>2.5499999999999998</v>
      </c>
      <c r="R890">
        <v>0</v>
      </c>
      <c r="S890">
        <v>0</v>
      </c>
      <c r="T890" s="112" t="s">
        <v>48</v>
      </c>
      <c r="U890" s="137" t="s">
        <v>2435</v>
      </c>
      <c r="V890" s="137" t="s">
        <v>2436</v>
      </c>
      <c r="W890" s="69">
        <v>64</v>
      </c>
      <c r="X890" s="136">
        <v>1</v>
      </c>
      <c r="Y890" s="136">
        <v>2</v>
      </c>
      <c r="Z890" s="314"/>
      <c r="AA890" s="319">
        <v>0.5</v>
      </c>
      <c r="AB890" s="315" t="s">
        <v>5189</v>
      </c>
      <c r="AC890" s="319">
        <v>0</v>
      </c>
      <c r="AD890" s="320">
        <v>0</v>
      </c>
      <c r="AE890" s="319">
        <v>1</v>
      </c>
      <c r="AF890" s="320">
        <v>2.77777777777777E-2</v>
      </c>
      <c r="AG890" s="319">
        <v>1</v>
      </c>
      <c r="AH890" s="320">
        <v>2.77777777777777E-2</v>
      </c>
      <c r="AI890" s="319">
        <v>1</v>
      </c>
      <c r="AJ890" s="320">
        <v>2.77777777777777E-2</v>
      </c>
      <c r="AK890" s="320">
        <v>0</v>
      </c>
      <c r="AL890" s="319">
        <v>6.75</v>
      </c>
      <c r="AM890" s="319">
        <v>5</v>
      </c>
      <c r="AN890" s="319">
        <v>7.3333333333333304</v>
      </c>
      <c r="AO890" s="319">
        <v>0.63611111111111096</v>
      </c>
      <c r="AP890">
        <v>2</v>
      </c>
      <c r="AQ890" s="136">
        <v>2</v>
      </c>
      <c r="AT890" s="69">
        <v>6.3414000000000001</v>
      </c>
      <c r="AU890" s="69">
        <v>2.3148</v>
      </c>
      <c r="AV890" s="69">
        <v>9.8416999999999994</v>
      </c>
      <c r="AW890" s="69">
        <v>0.61660000000000004</v>
      </c>
      <c r="BB890" s="69"/>
    </row>
    <row r="891" spans="1:54" customFormat="1" ht="40" customHeight="1">
      <c r="A891" s="313">
        <v>890</v>
      </c>
      <c r="B891" s="136" t="s">
        <v>2418</v>
      </c>
      <c r="C891" s="136" t="s">
        <v>59</v>
      </c>
      <c r="D891" s="31">
        <f t="shared" si="60"/>
        <v>5</v>
      </c>
      <c r="E891" s="137" t="s">
        <v>46</v>
      </c>
      <c r="F891" s="31">
        <f t="shared" si="61"/>
        <v>6</v>
      </c>
      <c r="G891" s="137" t="s">
        <v>2437</v>
      </c>
      <c r="H891" s="138">
        <v>34</v>
      </c>
      <c r="I891" s="158">
        <f t="shared" si="62"/>
        <v>0.49996430411163095</v>
      </c>
      <c r="J891" s="95">
        <v>0.19083769913235299</v>
      </c>
      <c r="K891" s="137">
        <v>0.80909090909090897</v>
      </c>
      <c r="L891" s="137">
        <v>0.68181818181818199</v>
      </c>
      <c r="M891" s="137">
        <v>1</v>
      </c>
      <c r="N891" s="136">
        <v>1</v>
      </c>
      <c r="O891" s="32">
        <v>43788</v>
      </c>
      <c r="P891" s="98">
        <f t="shared" si="63"/>
        <v>2</v>
      </c>
      <c r="Q891">
        <v>0</v>
      </c>
      <c r="R891">
        <v>0</v>
      </c>
      <c r="S891">
        <v>1.87</v>
      </c>
      <c r="T891" s="112" t="s">
        <v>64</v>
      </c>
      <c r="U891" s="137" t="s">
        <v>2438</v>
      </c>
      <c r="V891" s="137" t="s">
        <v>2439</v>
      </c>
      <c r="W891" s="69">
        <v>81</v>
      </c>
      <c r="X891" s="136">
        <v>1</v>
      </c>
      <c r="Y891" s="136">
        <v>0</v>
      </c>
      <c r="Z891" s="314"/>
      <c r="AA891" s="319">
        <v>0.5</v>
      </c>
      <c r="AB891" s="315" t="s">
        <v>5176</v>
      </c>
      <c r="AC891" s="319">
        <v>1</v>
      </c>
      <c r="AD891" s="320">
        <v>2.1276595744680799E-2</v>
      </c>
      <c r="AE891" s="319">
        <v>2</v>
      </c>
      <c r="AF891" s="320">
        <v>4.2553191489361701E-2</v>
      </c>
      <c r="AG891" s="319">
        <v>0</v>
      </c>
      <c r="AH891" s="320">
        <v>0</v>
      </c>
      <c r="AI891" s="319">
        <v>0</v>
      </c>
      <c r="AJ891" s="320">
        <v>0</v>
      </c>
      <c r="AK891" s="320">
        <v>2.1276595744680851E-2</v>
      </c>
      <c r="AL891" s="319">
        <v>5</v>
      </c>
      <c r="AM891" s="319">
        <v>5</v>
      </c>
      <c r="AN891" s="319">
        <v>2</v>
      </c>
      <c r="AO891" s="319">
        <v>0.4</v>
      </c>
      <c r="AP891">
        <v>0</v>
      </c>
      <c r="AR891" s="136">
        <v>0</v>
      </c>
      <c r="AT891" s="69">
        <v>2.3148</v>
      </c>
      <c r="AU891" s="69">
        <v>2.3148</v>
      </c>
      <c r="AV891" s="69">
        <v>2.3148</v>
      </c>
      <c r="AW891" s="69">
        <v>0.23150000000000001</v>
      </c>
      <c r="BB891" s="69"/>
    </row>
    <row r="892" spans="1:54" customFormat="1" ht="40" customHeight="1">
      <c r="A892" s="313">
        <v>891</v>
      </c>
      <c r="B892" s="136" t="s">
        <v>2418</v>
      </c>
      <c r="C892" s="136" t="s">
        <v>45</v>
      </c>
      <c r="D892" s="31">
        <f t="shared" si="60"/>
        <v>4</v>
      </c>
      <c r="E892" s="137" t="s">
        <v>80</v>
      </c>
      <c r="F892" s="31">
        <f t="shared" si="61"/>
        <v>4</v>
      </c>
      <c r="G892" s="137" t="s">
        <v>2440</v>
      </c>
      <c r="H892" s="138">
        <v>32</v>
      </c>
      <c r="I892" s="158">
        <f t="shared" si="62"/>
        <v>0.41744284817170163</v>
      </c>
      <c r="J892" s="95">
        <v>2.0697899907580301E-2</v>
      </c>
      <c r="K892" s="137">
        <v>0.81418779643582295</v>
      </c>
      <c r="L892" s="137">
        <v>0.82499999999999996</v>
      </c>
      <c r="M892" s="137">
        <v>0.79796949108955795</v>
      </c>
      <c r="N892" s="136">
        <v>0</v>
      </c>
      <c r="O892" s="32">
        <v>43760</v>
      </c>
      <c r="P892" s="98">
        <f t="shared" si="63"/>
        <v>1</v>
      </c>
      <c r="Q892">
        <v>0</v>
      </c>
      <c r="R892">
        <v>0</v>
      </c>
      <c r="S892">
        <v>0</v>
      </c>
      <c r="T892" s="112" t="s">
        <v>73</v>
      </c>
      <c r="U892" s="137" t="s">
        <v>2441</v>
      </c>
      <c r="V892" s="137" t="s">
        <v>2442</v>
      </c>
      <c r="W892" s="69">
        <v>46</v>
      </c>
      <c r="X892" s="136">
        <v>1</v>
      </c>
      <c r="Y892" s="136">
        <v>2</v>
      </c>
      <c r="Z892" s="314"/>
      <c r="AA892" s="319">
        <v>0.59450000000000003</v>
      </c>
      <c r="AB892" s="315" t="s">
        <v>5168</v>
      </c>
      <c r="AC892" s="319">
        <v>1</v>
      </c>
      <c r="AD892" s="320">
        <v>3.7037037037037E-2</v>
      </c>
      <c r="AE892" s="319">
        <v>1</v>
      </c>
      <c r="AF892" s="320">
        <v>3.7037037037037E-2</v>
      </c>
      <c r="AG892" s="319">
        <v>2</v>
      </c>
      <c r="AH892" s="320">
        <v>7.4074074074074001E-2</v>
      </c>
      <c r="AI892" s="319">
        <v>0</v>
      </c>
      <c r="AJ892" s="320">
        <v>0</v>
      </c>
      <c r="AK892" s="320">
        <v>7.407407407407407E-2</v>
      </c>
      <c r="AL892" s="319">
        <v>5</v>
      </c>
      <c r="AM892" s="319">
        <v>5</v>
      </c>
      <c r="AN892" s="319">
        <v>4.6666666666666599</v>
      </c>
      <c r="AO892" s="319">
        <v>0.48888888888888798</v>
      </c>
      <c r="AP892">
        <v>2</v>
      </c>
      <c r="AR892" s="136">
        <v>2</v>
      </c>
      <c r="AT892" s="69">
        <v>2.3148</v>
      </c>
      <c r="AU892" s="69">
        <v>2.3148</v>
      </c>
      <c r="AV892" s="69">
        <v>8.1305999999999994</v>
      </c>
      <c r="AW892" s="69">
        <v>0.42530000000000001</v>
      </c>
      <c r="BB892" s="69"/>
    </row>
    <row r="893" spans="1:54" customFormat="1" ht="40" customHeight="1">
      <c r="A893" s="313">
        <v>892</v>
      </c>
      <c r="B893" s="136" t="s">
        <v>2418</v>
      </c>
      <c r="C893" s="136" t="s">
        <v>59</v>
      </c>
      <c r="D893" s="31">
        <f t="shared" si="60"/>
        <v>5</v>
      </c>
      <c r="E893" s="137" t="s">
        <v>46</v>
      </c>
      <c r="F893" s="31">
        <f t="shared" si="61"/>
        <v>6</v>
      </c>
      <c r="G893" s="137" t="s">
        <v>2443</v>
      </c>
      <c r="H893" s="138">
        <v>28</v>
      </c>
      <c r="I893" s="158">
        <f t="shared" si="62"/>
        <v>0.43103355626766549</v>
      </c>
      <c r="J893" s="95">
        <v>0.15195053530550101</v>
      </c>
      <c r="K893" s="137">
        <v>0.71011657722983001</v>
      </c>
      <c r="L893" s="137">
        <v>0.68181818181818199</v>
      </c>
      <c r="M893" s="137">
        <v>0.75256417034730305</v>
      </c>
      <c r="N893" s="136">
        <v>1</v>
      </c>
      <c r="O893" s="32">
        <v>43751</v>
      </c>
      <c r="P893" s="98">
        <f t="shared" si="63"/>
        <v>1</v>
      </c>
      <c r="Q893">
        <v>0</v>
      </c>
      <c r="R893">
        <v>0</v>
      </c>
      <c r="S893">
        <v>0</v>
      </c>
      <c r="T893" s="112" t="s">
        <v>73</v>
      </c>
      <c r="U893" s="137" t="s">
        <v>2444</v>
      </c>
      <c r="V893" s="137" t="s">
        <v>2445</v>
      </c>
      <c r="W893" s="69">
        <v>66</v>
      </c>
      <c r="X893" s="136">
        <v>4</v>
      </c>
      <c r="Y893" s="136">
        <v>3</v>
      </c>
      <c r="Z893" s="314"/>
      <c r="AA893" s="319">
        <v>0.45454545454545398</v>
      </c>
      <c r="AB893" s="315" t="s">
        <v>5176</v>
      </c>
      <c r="AC893" s="319">
        <v>1</v>
      </c>
      <c r="AD893" s="320">
        <v>2.6315789473684199E-2</v>
      </c>
      <c r="AE893" s="319">
        <v>2</v>
      </c>
      <c r="AF893" s="320">
        <v>5.2631578947368397E-2</v>
      </c>
      <c r="AG893" s="319">
        <v>0</v>
      </c>
      <c r="AH893" s="320">
        <v>0</v>
      </c>
      <c r="AI893" s="319">
        <v>0</v>
      </c>
      <c r="AJ893" s="320">
        <v>0</v>
      </c>
      <c r="AK893" s="320">
        <v>0</v>
      </c>
      <c r="AL893" s="319">
        <v>5</v>
      </c>
      <c r="AM893" s="319">
        <v>5</v>
      </c>
      <c r="AN893" s="319">
        <v>3.5</v>
      </c>
      <c r="AO893" s="319">
        <v>0.45</v>
      </c>
      <c r="AP893">
        <v>3</v>
      </c>
      <c r="AR893" s="136">
        <v>3</v>
      </c>
      <c r="AT893" s="69">
        <v>2.3148</v>
      </c>
      <c r="AU893" s="69">
        <v>2.3148</v>
      </c>
      <c r="AV893" s="69">
        <v>5.7443999999999997</v>
      </c>
      <c r="AW893" s="69">
        <v>0.3458</v>
      </c>
      <c r="BB893" s="69"/>
    </row>
    <row r="894" spans="1:54" customFormat="1" ht="40" customHeight="1">
      <c r="A894" s="313">
        <v>893</v>
      </c>
      <c r="B894" s="136" t="s">
        <v>2418</v>
      </c>
      <c r="C894" s="136" t="s">
        <v>45</v>
      </c>
      <c r="D894" s="31">
        <f t="shared" si="60"/>
        <v>4</v>
      </c>
      <c r="E894" s="137" t="s">
        <v>80</v>
      </c>
      <c r="F894" s="31">
        <f t="shared" si="61"/>
        <v>4</v>
      </c>
      <c r="G894" s="137" t="s">
        <v>2446</v>
      </c>
      <c r="H894" s="138">
        <v>76</v>
      </c>
      <c r="I894" s="158">
        <f t="shared" si="62"/>
        <v>0.39314410400950167</v>
      </c>
      <c r="J894" s="95">
        <v>5.5739223047173202E-3</v>
      </c>
      <c r="K894" s="137">
        <v>0.78071428571428603</v>
      </c>
      <c r="L894" s="137">
        <v>0.82499999999999996</v>
      </c>
      <c r="M894" s="137">
        <v>0.71428571428571397</v>
      </c>
      <c r="N894" s="136">
        <v>1</v>
      </c>
      <c r="O894" s="32">
        <v>43744</v>
      </c>
      <c r="P894" s="98">
        <f t="shared" si="63"/>
        <v>0</v>
      </c>
      <c r="Q894">
        <v>2.5499999999999998</v>
      </c>
      <c r="R894">
        <v>0</v>
      </c>
      <c r="S894">
        <v>0</v>
      </c>
      <c r="T894" s="112" t="s">
        <v>48</v>
      </c>
      <c r="U894" s="137" t="s">
        <v>2447</v>
      </c>
      <c r="V894" s="137" t="s">
        <v>2448</v>
      </c>
      <c r="W894" s="69">
        <v>53</v>
      </c>
      <c r="X894" s="136">
        <v>1</v>
      </c>
      <c r="Y894" s="136">
        <v>4</v>
      </c>
      <c r="Z894" s="314"/>
      <c r="AA894" s="319">
        <v>0.59450000000000003</v>
      </c>
      <c r="AB894" s="315" t="s">
        <v>5176</v>
      </c>
      <c r="AC894" s="319">
        <v>0</v>
      </c>
      <c r="AD894" s="320">
        <v>0</v>
      </c>
      <c r="AE894" s="319">
        <v>2</v>
      </c>
      <c r="AF894" s="320">
        <v>6.0606060606060601E-2</v>
      </c>
      <c r="AG894" s="319">
        <v>1</v>
      </c>
      <c r="AH894" s="320">
        <v>3.03030303030303E-2</v>
      </c>
      <c r="AI894" s="319">
        <v>0</v>
      </c>
      <c r="AJ894" s="320">
        <v>0</v>
      </c>
      <c r="AK894" s="320">
        <v>0</v>
      </c>
      <c r="AL894" s="319">
        <v>5</v>
      </c>
      <c r="AM894" s="319">
        <v>5</v>
      </c>
      <c r="AN894" s="319">
        <v>7.3333333333333304</v>
      </c>
      <c r="AO894" s="319">
        <v>0.57777777777777695</v>
      </c>
      <c r="AP894">
        <v>4</v>
      </c>
      <c r="AR894" s="136">
        <v>4</v>
      </c>
      <c r="AT894" s="69">
        <v>2.3148</v>
      </c>
      <c r="AU894" s="69">
        <v>2.3148</v>
      </c>
      <c r="AV894" s="69">
        <v>9.8416999999999994</v>
      </c>
      <c r="AW894" s="69">
        <v>0.4824</v>
      </c>
      <c r="BB894" s="69"/>
    </row>
    <row r="895" spans="1:54" customFormat="1" ht="40" customHeight="1">
      <c r="A895" s="313">
        <v>894</v>
      </c>
      <c r="B895" s="136" t="s">
        <v>2418</v>
      </c>
      <c r="C895" s="136" t="s">
        <v>59</v>
      </c>
      <c r="D895" s="31">
        <f t="shared" si="60"/>
        <v>5</v>
      </c>
      <c r="E895" s="137" t="s">
        <v>46</v>
      </c>
      <c r="F895" s="31">
        <f t="shared" si="61"/>
        <v>6</v>
      </c>
      <c r="G895" s="137" t="s">
        <v>2449</v>
      </c>
      <c r="H895" s="138">
        <v>57</v>
      </c>
      <c r="I895" s="158">
        <f t="shared" si="62"/>
        <v>0.36768552989114517</v>
      </c>
      <c r="J895" s="95">
        <v>6.6250993136134403E-2</v>
      </c>
      <c r="K895" s="137">
        <v>0.66912006664615598</v>
      </c>
      <c r="L895" s="137">
        <v>0.68181818181818199</v>
      </c>
      <c r="M895" s="137">
        <v>0.65007289388811795</v>
      </c>
      <c r="N895" s="136">
        <v>1</v>
      </c>
      <c r="O895" s="32">
        <v>43726</v>
      </c>
      <c r="P895" s="98">
        <f t="shared" si="63"/>
        <v>1</v>
      </c>
      <c r="Q895">
        <v>0</v>
      </c>
      <c r="R895">
        <v>0</v>
      </c>
      <c r="S895">
        <v>0</v>
      </c>
      <c r="T895" s="112" t="s">
        <v>73</v>
      </c>
      <c r="U895" s="137" t="s">
        <v>2450</v>
      </c>
      <c r="V895" s="137" t="s">
        <v>2451</v>
      </c>
      <c r="W895" s="69">
        <v>37</v>
      </c>
      <c r="X895" s="136">
        <v>3</v>
      </c>
      <c r="Y895" s="136">
        <v>6</v>
      </c>
      <c r="Z895" s="314"/>
      <c r="AA895" s="319">
        <v>0.55000000000000004</v>
      </c>
      <c r="AB895" s="315" t="s">
        <v>5176</v>
      </c>
      <c r="AC895" s="319">
        <v>0</v>
      </c>
      <c r="AD895" s="320">
        <v>0</v>
      </c>
      <c r="AE895" s="319">
        <v>2</v>
      </c>
      <c r="AF895" s="320">
        <v>8.6956521739130405E-2</v>
      </c>
      <c r="AG895" s="319">
        <v>1</v>
      </c>
      <c r="AH895" s="320">
        <v>4.3478260869565202E-2</v>
      </c>
      <c r="AI895" s="319">
        <v>0</v>
      </c>
      <c r="AJ895" s="320">
        <v>0</v>
      </c>
      <c r="AK895" s="320">
        <v>0</v>
      </c>
      <c r="AL895" s="319">
        <v>5</v>
      </c>
      <c r="AM895" s="319">
        <v>5</v>
      </c>
      <c r="AN895" s="319">
        <v>3.5</v>
      </c>
      <c r="AO895" s="319">
        <v>0.45</v>
      </c>
      <c r="AP895">
        <v>6</v>
      </c>
      <c r="AR895" s="136">
        <v>6</v>
      </c>
      <c r="AT895" s="69">
        <v>2.3148</v>
      </c>
      <c r="AU895" s="69">
        <v>2.3148</v>
      </c>
      <c r="AV895" s="69">
        <v>5.7443999999999997</v>
      </c>
      <c r="AW895" s="69">
        <v>0.3458</v>
      </c>
      <c r="BB895" s="69"/>
    </row>
    <row r="896" spans="1:54" customFormat="1" ht="40" customHeight="1">
      <c r="A896" s="313">
        <v>895</v>
      </c>
      <c r="B896" s="136" t="s">
        <v>2418</v>
      </c>
      <c r="C896" s="136" t="s">
        <v>59</v>
      </c>
      <c r="D896" s="31">
        <f t="shared" si="60"/>
        <v>5</v>
      </c>
      <c r="E896" s="137" t="s">
        <v>46</v>
      </c>
      <c r="F896" s="31">
        <f t="shared" si="61"/>
        <v>6</v>
      </c>
      <c r="G896" s="137" t="s">
        <v>2452</v>
      </c>
      <c r="H896" s="138">
        <v>50</v>
      </c>
      <c r="I896" s="158">
        <f t="shared" si="62"/>
        <v>0.36569337430977</v>
      </c>
      <c r="J896" s="95">
        <v>0.15743458589541601</v>
      </c>
      <c r="K896" s="137">
        <v>0.57395216272412397</v>
      </c>
      <c r="L896" s="137">
        <v>0.61983471074380203</v>
      </c>
      <c r="M896" s="137">
        <v>0.50512834069460699</v>
      </c>
      <c r="N896" s="136">
        <v>1</v>
      </c>
      <c r="O896" s="32">
        <v>43720</v>
      </c>
      <c r="P896" s="98">
        <f t="shared" si="63"/>
        <v>1</v>
      </c>
      <c r="Q896">
        <v>0</v>
      </c>
      <c r="R896">
        <v>0</v>
      </c>
      <c r="S896">
        <v>0</v>
      </c>
      <c r="T896" s="112" t="s">
        <v>73</v>
      </c>
      <c r="U896" s="137" t="s">
        <v>2453</v>
      </c>
      <c r="V896" s="137" t="s">
        <v>2454</v>
      </c>
      <c r="W896" s="69">
        <v>125</v>
      </c>
      <c r="X896" s="136">
        <v>2</v>
      </c>
      <c r="Y896" s="136">
        <v>12</v>
      </c>
      <c r="Z896" s="314"/>
      <c r="AA896" s="319">
        <v>0.45454545454545398</v>
      </c>
      <c r="AB896" s="315" t="s">
        <v>5176</v>
      </c>
      <c r="AC896" s="319">
        <v>0</v>
      </c>
      <c r="AD896" s="320">
        <v>0</v>
      </c>
      <c r="AE896" s="319">
        <v>2</v>
      </c>
      <c r="AF896" s="320">
        <v>2.77777777777777E-2</v>
      </c>
      <c r="AG896" s="319">
        <v>0</v>
      </c>
      <c r="AH896" s="320">
        <v>0</v>
      </c>
      <c r="AI896" s="319">
        <v>0</v>
      </c>
      <c r="AJ896" s="320">
        <v>0</v>
      </c>
      <c r="AK896" s="320">
        <v>1.388888888888889E-2</v>
      </c>
      <c r="AL896" s="319">
        <v>5</v>
      </c>
      <c r="AM896" s="319">
        <v>5</v>
      </c>
      <c r="AN896" s="319">
        <v>3.5</v>
      </c>
      <c r="AO896" s="319">
        <v>0.45</v>
      </c>
      <c r="AP896">
        <v>12</v>
      </c>
      <c r="AR896" s="136">
        <v>12</v>
      </c>
      <c r="AT896" s="69">
        <v>2.3148</v>
      </c>
      <c r="AU896" s="69">
        <v>2.3148</v>
      </c>
      <c r="AV896" s="69">
        <v>5.7443999999999997</v>
      </c>
      <c r="AW896" s="69">
        <v>0.3458</v>
      </c>
      <c r="BB896" s="69"/>
    </row>
    <row r="897" spans="1:54" customFormat="1" ht="40" customHeight="1">
      <c r="A897" s="313">
        <v>896</v>
      </c>
      <c r="B897" s="136" t="s">
        <v>2418</v>
      </c>
      <c r="C897" s="136" t="s">
        <v>45</v>
      </c>
      <c r="D897" s="31">
        <f t="shared" si="60"/>
        <v>4</v>
      </c>
      <c r="E897" s="137" t="s">
        <v>46</v>
      </c>
      <c r="F897" s="31">
        <f t="shared" si="61"/>
        <v>6</v>
      </c>
      <c r="G897" s="137" t="s">
        <v>2455</v>
      </c>
      <c r="H897" s="138">
        <v>20</v>
      </c>
      <c r="I897" s="158">
        <f t="shared" si="62"/>
        <v>0.71840720138955649</v>
      </c>
      <c r="J897" s="95">
        <v>0.74843880990746703</v>
      </c>
      <c r="K897" s="137">
        <v>0.68837559287164596</v>
      </c>
      <c r="L897" s="137">
        <v>0.75</v>
      </c>
      <c r="M897" s="137">
        <v>0.59593898217911601</v>
      </c>
      <c r="N897" s="136">
        <v>1</v>
      </c>
      <c r="O897" s="32">
        <v>43711</v>
      </c>
      <c r="P897" s="98">
        <f t="shared" si="63"/>
        <v>1</v>
      </c>
      <c r="Q897">
        <v>0</v>
      </c>
      <c r="R897">
        <v>0</v>
      </c>
      <c r="S897">
        <v>0</v>
      </c>
      <c r="T897" s="112" t="s">
        <v>73</v>
      </c>
      <c r="U897" s="137" t="s">
        <v>2456</v>
      </c>
      <c r="V897" s="137" t="s">
        <v>2457</v>
      </c>
      <c r="W897" s="69">
        <v>61</v>
      </c>
      <c r="X897" s="136">
        <v>3</v>
      </c>
      <c r="Y897" s="136">
        <v>8</v>
      </c>
      <c r="Z897" s="314"/>
      <c r="AA897" s="319">
        <v>0.5</v>
      </c>
      <c r="AB897" s="315" t="s">
        <v>5176</v>
      </c>
      <c r="AC897" s="319">
        <v>1</v>
      </c>
      <c r="AD897" s="320">
        <v>3.4482758620689599E-2</v>
      </c>
      <c r="AE897" s="319">
        <v>2</v>
      </c>
      <c r="AF897" s="320">
        <v>6.8965517241379296E-2</v>
      </c>
      <c r="AG897" s="319">
        <v>1</v>
      </c>
      <c r="AH897" s="320">
        <v>3.4482758620689599E-2</v>
      </c>
      <c r="AI897" s="319">
        <v>0</v>
      </c>
      <c r="AJ897" s="320">
        <v>0</v>
      </c>
      <c r="AK897" s="320">
        <v>0</v>
      </c>
      <c r="AL897" s="319">
        <v>5</v>
      </c>
      <c r="AM897" s="319">
        <v>5</v>
      </c>
      <c r="AN897" s="319">
        <v>2</v>
      </c>
      <c r="AO897" s="319">
        <v>0.4</v>
      </c>
      <c r="AP897">
        <v>8</v>
      </c>
      <c r="AR897" s="136">
        <v>8</v>
      </c>
      <c r="AT897" s="69">
        <v>2.3148</v>
      </c>
      <c r="AU897" s="69">
        <v>2.3148</v>
      </c>
      <c r="AV897" s="69">
        <v>2.3148</v>
      </c>
      <c r="AW897" s="69">
        <v>0.23150000000000001</v>
      </c>
      <c r="BB897" s="69"/>
    </row>
    <row r="898" spans="1:54" customFormat="1" ht="40" customHeight="1">
      <c r="A898" s="313">
        <v>897</v>
      </c>
      <c r="B898" s="136" t="s">
        <v>2418</v>
      </c>
      <c r="C898" s="136" t="s">
        <v>59</v>
      </c>
      <c r="D898" s="31">
        <f t="shared" ref="D898:D961" si="64">IF(C898="投诉",4,IF(C898="建议",1,IF(C898="举报",2,IF(C898="求助",3,5))))</f>
        <v>5</v>
      </c>
      <c r="E898" s="137" t="s">
        <v>80</v>
      </c>
      <c r="F898" s="31">
        <f t="shared" ref="F898:F961" si="65">IF(E898="12345app",1,IF(E898="e福州app",2,IF(E898="qq",3,IF(E898="电话",4,IF(E898="短信",5,IF(E898="网站",6,IF(E898="微博",7,IF(E898="微信",8,9))))))))</f>
        <v>4</v>
      </c>
      <c r="G898" s="137" t="s">
        <v>2458</v>
      </c>
      <c r="H898" s="138">
        <v>27</v>
      </c>
      <c r="I898" s="158">
        <f t="shared" ref="I898:I961" si="66">(J898+K898)/2</f>
        <v>0.34859660735584208</v>
      </c>
      <c r="J898" s="95">
        <v>2.3880199064891801E-3</v>
      </c>
      <c r="K898" s="137">
        <v>0.69480519480519498</v>
      </c>
      <c r="L898" s="137">
        <v>0.68181818181818199</v>
      </c>
      <c r="M898" s="137">
        <v>0.71428571428571397</v>
      </c>
      <c r="N898" s="136">
        <v>1</v>
      </c>
      <c r="O898" s="32">
        <v>43706</v>
      </c>
      <c r="P898" s="98">
        <f t="shared" ref="P898:P961" si="67">IF(T898="利己",0,IF(T898="生态",2,1))</f>
        <v>1</v>
      </c>
      <c r="Q898">
        <v>0</v>
      </c>
      <c r="R898">
        <v>0</v>
      </c>
      <c r="S898">
        <v>0</v>
      </c>
      <c r="T898" s="112" t="s">
        <v>73</v>
      </c>
      <c r="U898" s="137" t="s">
        <v>2459</v>
      </c>
      <c r="V898" s="137" t="s">
        <v>2460</v>
      </c>
      <c r="W898" s="69">
        <v>204</v>
      </c>
      <c r="X898" s="136">
        <v>2</v>
      </c>
      <c r="Y898" s="136">
        <v>4</v>
      </c>
      <c r="Z898" s="314"/>
      <c r="AA898" s="319">
        <v>0.5</v>
      </c>
      <c r="AB898" s="315" t="s">
        <v>5178</v>
      </c>
      <c r="AC898" s="319">
        <v>2</v>
      </c>
      <c r="AD898" s="320">
        <v>1.72413793103448E-2</v>
      </c>
      <c r="AE898" s="319">
        <v>2</v>
      </c>
      <c r="AF898" s="320">
        <v>1.72413793103448E-2</v>
      </c>
      <c r="AG898" s="319">
        <v>0</v>
      </c>
      <c r="AH898" s="320">
        <v>0</v>
      </c>
      <c r="AI898" s="319">
        <v>0</v>
      </c>
      <c r="AJ898" s="320">
        <v>0</v>
      </c>
      <c r="AK898" s="320">
        <v>8.6206896551724137E-3</v>
      </c>
      <c r="AL898" s="319">
        <v>5</v>
      </c>
      <c r="AM898" s="319">
        <v>5</v>
      </c>
      <c r="AN898" s="319">
        <v>2</v>
      </c>
      <c r="AO898" s="319">
        <v>0.4</v>
      </c>
      <c r="AP898">
        <v>4</v>
      </c>
      <c r="AR898" s="136">
        <v>4</v>
      </c>
      <c r="AT898" s="69">
        <v>2.3148</v>
      </c>
      <c r="AU898" s="69">
        <v>2.3148</v>
      </c>
      <c r="AV898" s="69">
        <v>2.3148</v>
      </c>
      <c r="AW898" s="69">
        <v>0.23150000000000001</v>
      </c>
      <c r="BB898" s="69"/>
    </row>
    <row r="899" spans="1:54" customFormat="1" ht="40" customHeight="1">
      <c r="A899" s="313">
        <v>898</v>
      </c>
      <c r="B899" s="136" t="s">
        <v>2418</v>
      </c>
      <c r="C899" s="136" t="s">
        <v>59</v>
      </c>
      <c r="D899" s="31">
        <f t="shared" si="64"/>
        <v>5</v>
      </c>
      <c r="E899" s="137" t="s">
        <v>46</v>
      </c>
      <c r="F899" s="31">
        <f t="shared" si="65"/>
        <v>6</v>
      </c>
      <c r="G899" s="137" t="s">
        <v>2461</v>
      </c>
      <c r="H899" s="138">
        <v>71</v>
      </c>
      <c r="I899" s="158">
        <f t="shared" si="66"/>
        <v>0.51149443469885747</v>
      </c>
      <c r="J899" s="95">
        <v>0.35006237481251301</v>
      </c>
      <c r="K899" s="137">
        <v>0.67292649458520204</v>
      </c>
      <c r="L899" s="137">
        <v>0.61983471074380103</v>
      </c>
      <c r="M899" s="137">
        <v>0.75256417034730305</v>
      </c>
      <c r="N899" s="136">
        <v>1</v>
      </c>
      <c r="O899" s="32">
        <v>43569</v>
      </c>
      <c r="P899" s="98">
        <f t="shared" si="67"/>
        <v>2</v>
      </c>
      <c r="Q899">
        <v>0</v>
      </c>
      <c r="R899">
        <v>0</v>
      </c>
      <c r="S899">
        <v>1.87</v>
      </c>
      <c r="T899" s="112" t="s">
        <v>64</v>
      </c>
      <c r="U899" s="137" t="s">
        <v>2462</v>
      </c>
      <c r="V899" s="137" t="s">
        <v>2463</v>
      </c>
      <c r="W899" s="69">
        <v>85</v>
      </c>
      <c r="X899" s="136">
        <v>2</v>
      </c>
      <c r="Y899" s="136">
        <v>3</v>
      </c>
      <c r="Z899" s="314"/>
      <c r="AA899" s="319">
        <v>2.7382887602325101E-2</v>
      </c>
      <c r="AB899" s="315" t="s">
        <v>5176</v>
      </c>
      <c r="AC899" s="319">
        <v>0</v>
      </c>
      <c r="AD899" s="320">
        <v>0</v>
      </c>
      <c r="AE899" s="319">
        <v>2</v>
      </c>
      <c r="AF899" s="320">
        <v>3.9215686274509803E-2</v>
      </c>
      <c r="AG899" s="319">
        <v>1</v>
      </c>
      <c r="AH899" s="320">
        <v>1.9607843137254902E-2</v>
      </c>
      <c r="AI899" s="319">
        <v>0</v>
      </c>
      <c r="AJ899" s="320">
        <v>0</v>
      </c>
      <c r="AK899" s="320">
        <v>1.9607843137254902E-2</v>
      </c>
      <c r="AL899" s="319">
        <v>5</v>
      </c>
      <c r="AM899" s="319">
        <v>6.2</v>
      </c>
      <c r="AN899" s="319">
        <v>2</v>
      </c>
      <c r="AO899" s="319">
        <v>0.44</v>
      </c>
      <c r="AP899">
        <v>3</v>
      </c>
      <c r="AR899" s="136">
        <v>3</v>
      </c>
      <c r="AT899" s="69">
        <v>2.3148</v>
      </c>
      <c r="AU899" s="69">
        <v>5</v>
      </c>
      <c r="AV899" s="69">
        <v>2.3148</v>
      </c>
      <c r="AW899" s="69">
        <v>0.32100000000000001</v>
      </c>
      <c r="BB899" s="69"/>
    </row>
    <row r="900" spans="1:54" customFormat="1" ht="40" customHeight="1">
      <c r="A900" s="313">
        <v>899</v>
      </c>
      <c r="B900" s="136" t="s">
        <v>2418</v>
      </c>
      <c r="C900" s="136" t="s">
        <v>59</v>
      </c>
      <c r="D900" s="31">
        <f t="shared" si="64"/>
        <v>5</v>
      </c>
      <c r="E900" s="137" t="s">
        <v>46</v>
      </c>
      <c r="F900" s="31">
        <f t="shared" si="65"/>
        <v>6</v>
      </c>
      <c r="G900" s="137" t="s">
        <v>2464</v>
      </c>
      <c r="H900" s="138">
        <v>12</v>
      </c>
      <c r="I900" s="158">
        <f t="shared" si="66"/>
        <v>0.52299382673163997</v>
      </c>
      <c r="J900" s="95">
        <v>0.36467205737235903</v>
      </c>
      <c r="K900" s="137">
        <v>0.68131559609092096</v>
      </c>
      <c r="L900" s="137">
        <v>0.68181818181818199</v>
      </c>
      <c r="M900" s="137">
        <v>0.68056171750003003</v>
      </c>
      <c r="N900" s="136">
        <v>1</v>
      </c>
      <c r="O900" s="32">
        <v>43558</v>
      </c>
      <c r="P900" s="98">
        <f t="shared" si="67"/>
        <v>1</v>
      </c>
      <c r="Q900">
        <v>0</v>
      </c>
      <c r="R900">
        <v>0</v>
      </c>
      <c r="S900">
        <v>0</v>
      </c>
      <c r="T900" s="112" t="s">
        <v>73</v>
      </c>
      <c r="U900" s="137" t="s">
        <v>2465</v>
      </c>
      <c r="V900" s="137" t="s">
        <v>2466</v>
      </c>
      <c r="W900" s="69">
        <v>86</v>
      </c>
      <c r="X900" s="136">
        <v>2</v>
      </c>
      <c r="Y900" s="136">
        <v>5</v>
      </c>
      <c r="Z900" s="314"/>
      <c r="AA900" s="319">
        <v>0.5</v>
      </c>
      <c r="AB900" s="315" t="s">
        <v>5176</v>
      </c>
      <c r="AC900" s="319">
        <v>0</v>
      </c>
      <c r="AD900" s="320">
        <v>0</v>
      </c>
      <c r="AE900" s="319">
        <v>2</v>
      </c>
      <c r="AF900" s="320">
        <v>3.9215686274509803E-2</v>
      </c>
      <c r="AG900" s="319">
        <v>1</v>
      </c>
      <c r="AH900" s="320">
        <v>1.9607843137254902E-2</v>
      </c>
      <c r="AI900" s="319">
        <v>0</v>
      </c>
      <c r="AJ900" s="320">
        <v>0</v>
      </c>
      <c r="AK900" s="320">
        <v>1.9607843137254902E-2</v>
      </c>
      <c r="AL900" s="319">
        <v>5</v>
      </c>
      <c r="AM900" s="319">
        <v>5</v>
      </c>
      <c r="AN900" s="319">
        <v>2</v>
      </c>
      <c r="AO900" s="319">
        <v>0.4</v>
      </c>
      <c r="AP900">
        <v>5</v>
      </c>
      <c r="AQ900" s="136">
        <v>5</v>
      </c>
      <c r="AT900" s="69">
        <v>2.3148</v>
      </c>
      <c r="AU900" s="69">
        <v>2.3148</v>
      </c>
      <c r="AV900" s="69">
        <v>2.3148</v>
      </c>
      <c r="AW900" s="69">
        <v>0.23150000000000001</v>
      </c>
      <c r="BB900" s="69"/>
    </row>
    <row r="901" spans="1:54" customFormat="1" ht="40" customHeight="1">
      <c r="A901" s="313">
        <v>900</v>
      </c>
      <c r="B901" s="136" t="s">
        <v>2418</v>
      </c>
      <c r="C901" s="136" t="s">
        <v>45</v>
      </c>
      <c r="D901" s="31">
        <f t="shared" si="64"/>
        <v>4</v>
      </c>
      <c r="E901" s="137" t="s">
        <v>46</v>
      </c>
      <c r="F901" s="31">
        <f t="shared" si="65"/>
        <v>6</v>
      </c>
      <c r="G901" s="137" t="s">
        <v>2467</v>
      </c>
      <c r="H901" s="138">
        <v>452</v>
      </c>
      <c r="I901" s="158">
        <f t="shared" si="66"/>
        <v>0.31809550323503</v>
      </c>
      <c r="J901" s="95">
        <v>0</v>
      </c>
      <c r="K901" s="137">
        <v>0.63619100647005999</v>
      </c>
      <c r="L901" s="137">
        <v>0.75</v>
      </c>
      <c r="M901" s="137">
        <v>0.46547751617515098</v>
      </c>
      <c r="N901" s="136">
        <v>1</v>
      </c>
      <c r="O901" s="32">
        <v>43315</v>
      </c>
      <c r="P901" s="98">
        <f t="shared" si="67"/>
        <v>2</v>
      </c>
      <c r="Q901">
        <v>5.0999999999999996</v>
      </c>
      <c r="R901">
        <v>0</v>
      </c>
      <c r="S901">
        <v>5.61</v>
      </c>
      <c r="T901" s="112" t="s">
        <v>64</v>
      </c>
      <c r="U901" s="137" t="s">
        <v>2468</v>
      </c>
      <c r="V901" s="137" t="s">
        <v>2469</v>
      </c>
      <c r="W901" s="69">
        <v>64</v>
      </c>
      <c r="X901" s="136">
        <v>2</v>
      </c>
      <c r="Y901" s="136">
        <v>14</v>
      </c>
      <c r="Z901" s="314"/>
      <c r="AA901" s="319">
        <v>0.42190082644628002</v>
      </c>
      <c r="AB901" s="315" t="s">
        <v>5165</v>
      </c>
      <c r="AC901" s="319">
        <v>3</v>
      </c>
      <c r="AD901" s="320">
        <v>8.1081081081081002E-2</v>
      </c>
      <c r="AE901" s="319">
        <v>0</v>
      </c>
      <c r="AF901" s="320">
        <v>0</v>
      </c>
      <c r="AG901" s="319">
        <v>2</v>
      </c>
      <c r="AH901" s="320">
        <v>5.4054054054054002E-2</v>
      </c>
      <c r="AI901" s="319">
        <v>0</v>
      </c>
      <c r="AJ901" s="320">
        <v>0</v>
      </c>
      <c r="AK901" s="320">
        <v>0</v>
      </c>
      <c r="AL901" s="319">
        <v>5</v>
      </c>
      <c r="AM901" s="319">
        <v>6.2</v>
      </c>
      <c r="AN901" s="319">
        <v>4.6666666666666599</v>
      </c>
      <c r="AO901" s="319">
        <v>0.52888888888888796</v>
      </c>
      <c r="AP901">
        <v>14</v>
      </c>
      <c r="AQ901" s="136">
        <v>14</v>
      </c>
      <c r="AT901" s="69">
        <v>2.3148</v>
      </c>
      <c r="AU901" s="69">
        <v>5</v>
      </c>
      <c r="AV901" s="69">
        <v>8.1305999999999994</v>
      </c>
      <c r="AW901" s="69">
        <v>0.51480000000000004</v>
      </c>
      <c r="BB901" s="69"/>
    </row>
    <row r="902" spans="1:54" customFormat="1" ht="40" customHeight="1">
      <c r="A902" s="313">
        <v>901</v>
      </c>
      <c r="B902" s="136" t="s">
        <v>2418</v>
      </c>
      <c r="C902" s="136" t="s">
        <v>45</v>
      </c>
      <c r="D902" s="31">
        <f t="shared" si="64"/>
        <v>4</v>
      </c>
      <c r="E902" s="137" t="s">
        <v>80</v>
      </c>
      <c r="F902" s="31">
        <f t="shared" si="65"/>
        <v>4</v>
      </c>
      <c r="G902" s="137" t="s">
        <v>2470</v>
      </c>
      <c r="H902" s="138">
        <v>141</v>
      </c>
      <c r="I902" s="158">
        <f t="shared" si="66"/>
        <v>0.37191616441732428</v>
      </c>
      <c r="J902" s="95">
        <v>1.8118038339509602E-5</v>
      </c>
      <c r="K902" s="137">
        <v>0.74381421079630905</v>
      </c>
      <c r="L902" s="137">
        <v>0.82499999999999996</v>
      </c>
      <c r="M902" s="137">
        <v>0.62203552699077302</v>
      </c>
      <c r="N902" s="136">
        <v>1</v>
      </c>
      <c r="O902" s="32">
        <v>43270</v>
      </c>
      <c r="P902" s="98">
        <f t="shared" si="67"/>
        <v>2</v>
      </c>
      <c r="Q902">
        <v>0</v>
      </c>
      <c r="R902">
        <v>1.65</v>
      </c>
      <c r="S902">
        <v>1.87</v>
      </c>
      <c r="T902" s="112" t="s">
        <v>64</v>
      </c>
      <c r="U902" s="137" t="s">
        <v>2471</v>
      </c>
      <c r="V902" s="137" t="s">
        <v>2472</v>
      </c>
      <c r="W902" s="69">
        <v>285</v>
      </c>
      <c r="X902" s="136">
        <v>3</v>
      </c>
      <c r="Y902" s="136">
        <v>7</v>
      </c>
      <c r="Z902" s="314"/>
      <c r="AA902" s="319">
        <v>0.77472949999999996</v>
      </c>
      <c r="AB902" s="315" t="s">
        <v>5176</v>
      </c>
      <c r="AC902" s="319">
        <v>1</v>
      </c>
      <c r="AD902" s="320">
        <v>6.13496932515337E-3</v>
      </c>
      <c r="AE902" s="319">
        <v>4</v>
      </c>
      <c r="AF902" s="320">
        <v>2.45398773006134E-2</v>
      </c>
      <c r="AG902" s="319">
        <v>1</v>
      </c>
      <c r="AH902" s="320">
        <v>6.13496932515337E-3</v>
      </c>
      <c r="AI902" s="319">
        <v>0</v>
      </c>
      <c r="AJ902" s="320">
        <v>0</v>
      </c>
      <c r="AK902" s="320">
        <v>6.1349693251533744E-3</v>
      </c>
      <c r="AL902" s="319">
        <v>5</v>
      </c>
      <c r="AM902" s="319">
        <v>6.2</v>
      </c>
      <c r="AN902" s="319">
        <v>7.3333333333333304</v>
      </c>
      <c r="AO902" s="319">
        <v>0.61777777777777698</v>
      </c>
      <c r="AP902">
        <v>7</v>
      </c>
      <c r="AR902" s="136">
        <v>7</v>
      </c>
      <c r="AT902" s="69">
        <v>2.3148</v>
      </c>
      <c r="AU902" s="69">
        <v>5</v>
      </c>
      <c r="AV902" s="69">
        <v>9.8416999999999994</v>
      </c>
      <c r="AW902" s="69">
        <v>0.57189999999999996</v>
      </c>
      <c r="BB902" s="69"/>
    </row>
    <row r="903" spans="1:54" customFormat="1" ht="40" customHeight="1">
      <c r="A903" s="313">
        <v>902</v>
      </c>
      <c r="B903" s="136" t="s">
        <v>2418</v>
      </c>
      <c r="C903" s="136" t="s">
        <v>45</v>
      </c>
      <c r="D903" s="31">
        <f t="shared" si="64"/>
        <v>4</v>
      </c>
      <c r="E903" s="137" t="s">
        <v>46</v>
      </c>
      <c r="F903" s="31">
        <f t="shared" si="65"/>
        <v>6</v>
      </c>
      <c r="G903" s="137" t="s">
        <v>2473</v>
      </c>
      <c r="H903" s="138">
        <v>42</v>
      </c>
      <c r="I903" s="158">
        <f t="shared" si="66"/>
        <v>0.43834709624784096</v>
      </c>
      <c r="J903" s="95">
        <v>0.166665034940435</v>
      </c>
      <c r="K903" s="137">
        <v>0.71002915755524698</v>
      </c>
      <c r="L903" s="137">
        <v>0.75</v>
      </c>
      <c r="M903" s="137">
        <v>0.65007289388811795</v>
      </c>
      <c r="N903" s="136">
        <v>0</v>
      </c>
      <c r="O903" s="32">
        <v>43239</v>
      </c>
      <c r="P903" s="98">
        <f t="shared" si="67"/>
        <v>1</v>
      </c>
      <c r="Q903">
        <v>2.5499999999999998</v>
      </c>
      <c r="R903">
        <v>3.3</v>
      </c>
      <c r="S903">
        <v>0</v>
      </c>
      <c r="T903" s="112" t="s">
        <v>73</v>
      </c>
      <c r="U903" s="137" t="s">
        <v>2474</v>
      </c>
      <c r="V903" s="137" t="s">
        <v>2475</v>
      </c>
      <c r="W903" s="69">
        <v>103</v>
      </c>
      <c r="X903" s="136">
        <v>2</v>
      </c>
      <c r="Y903" s="136">
        <v>6</v>
      </c>
      <c r="Z903" s="314"/>
      <c r="AA903" s="319">
        <v>0.5</v>
      </c>
      <c r="AB903" s="315" t="s">
        <v>5165</v>
      </c>
      <c r="AC903" s="319">
        <v>4</v>
      </c>
      <c r="AD903" s="320">
        <v>7.0175438596491196E-2</v>
      </c>
      <c r="AE903" s="319">
        <v>1</v>
      </c>
      <c r="AF903" s="320">
        <v>1.7543859649122799E-2</v>
      </c>
      <c r="AG903" s="319">
        <v>1</v>
      </c>
      <c r="AH903" s="320">
        <v>1.7543859649122799E-2</v>
      </c>
      <c r="AI903" s="319">
        <v>0</v>
      </c>
      <c r="AJ903" s="320">
        <v>0</v>
      </c>
      <c r="AK903" s="320">
        <v>0</v>
      </c>
      <c r="AL903" s="319">
        <v>6.75</v>
      </c>
      <c r="AM903" s="319">
        <v>5</v>
      </c>
      <c r="AN903" s="319">
        <v>2</v>
      </c>
      <c r="AO903" s="319">
        <v>0.45833333333333298</v>
      </c>
      <c r="AP903">
        <v>6</v>
      </c>
      <c r="AR903" s="136">
        <v>6</v>
      </c>
      <c r="AT903" s="69">
        <v>6.3414000000000001</v>
      </c>
      <c r="AU903" s="69">
        <v>2.3148</v>
      </c>
      <c r="AV903" s="69">
        <v>2.3148</v>
      </c>
      <c r="AW903" s="69">
        <v>0.36570000000000003</v>
      </c>
      <c r="BB903" s="69"/>
    </row>
    <row r="904" spans="1:54" customFormat="1" ht="40" customHeight="1">
      <c r="A904" s="313">
        <v>903</v>
      </c>
      <c r="B904" s="136" t="s">
        <v>2418</v>
      </c>
      <c r="C904" s="136" t="s">
        <v>45</v>
      </c>
      <c r="D904" s="31">
        <f t="shared" si="64"/>
        <v>4</v>
      </c>
      <c r="E904" s="137" t="s">
        <v>46</v>
      </c>
      <c r="F904" s="31">
        <f t="shared" si="65"/>
        <v>6</v>
      </c>
      <c r="G904" s="137" t="s">
        <v>2476</v>
      </c>
      <c r="H904" s="138">
        <v>301</v>
      </c>
      <c r="I904" s="158">
        <f t="shared" si="66"/>
        <v>0.41892859040330543</v>
      </c>
      <c r="J904" s="95">
        <v>3.7949467901476901E-8</v>
      </c>
      <c r="K904" s="137">
        <v>0.83785714285714297</v>
      </c>
      <c r="L904" s="137">
        <v>0.82499999999999996</v>
      </c>
      <c r="M904" s="137">
        <v>0.85714285714285698</v>
      </c>
      <c r="N904" s="136">
        <v>0</v>
      </c>
      <c r="O904" s="32">
        <v>43193</v>
      </c>
      <c r="P904" s="98">
        <f t="shared" si="67"/>
        <v>0</v>
      </c>
      <c r="Q904">
        <v>5.0999999999999996</v>
      </c>
      <c r="R904">
        <v>4.95</v>
      </c>
      <c r="S904">
        <v>0</v>
      </c>
      <c r="T904" s="112" t="s">
        <v>48</v>
      </c>
      <c r="U904" s="137" t="s">
        <v>2477</v>
      </c>
      <c r="V904" s="137" t="s">
        <v>2478</v>
      </c>
      <c r="W904" s="69">
        <v>167</v>
      </c>
      <c r="X904" s="136">
        <v>1</v>
      </c>
      <c r="Y904" s="136">
        <v>1</v>
      </c>
      <c r="Z904" s="314"/>
      <c r="AA904" s="319">
        <v>0.5</v>
      </c>
      <c r="AB904" s="315" t="s">
        <v>5176</v>
      </c>
      <c r="AC904" s="319">
        <v>3</v>
      </c>
      <c r="AD904" s="320">
        <v>3.1578947368420998E-2</v>
      </c>
      <c r="AE904" s="319">
        <v>4</v>
      </c>
      <c r="AF904" s="320">
        <v>4.2105263157894701E-2</v>
      </c>
      <c r="AG904" s="319">
        <v>3</v>
      </c>
      <c r="AH904" s="320">
        <v>3.1578947368420998E-2</v>
      </c>
      <c r="AI904" s="319">
        <v>0</v>
      </c>
      <c r="AJ904" s="320">
        <v>0</v>
      </c>
      <c r="AK904" s="320">
        <v>3.1578947368421047E-2</v>
      </c>
      <c r="AL904" s="319">
        <v>6.75</v>
      </c>
      <c r="AM904" s="319">
        <v>6.2</v>
      </c>
      <c r="AN904" s="319">
        <v>6.1666666666666599</v>
      </c>
      <c r="AO904" s="319">
        <v>0.63722222222222202</v>
      </c>
      <c r="AP904">
        <v>1</v>
      </c>
      <c r="AR904" s="136">
        <v>1</v>
      </c>
      <c r="AT904" s="69">
        <v>6.3414000000000001</v>
      </c>
      <c r="AU904" s="69">
        <v>5</v>
      </c>
      <c r="AV904" s="69">
        <v>9.5120000000000005</v>
      </c>
      <c r="AW904" s="69">
        <v>0.69510000000000005</v>
      </c>
      <c r="BB904" s="69"/>
    </row>
    <row r="905" spans="1:54" customFormat="1" ht="40" customHeight="1">
      <c r="A905" s="313">
        <v>904</v>
      </c>
      <c r="B905" s="136" t="s">
        <v>2418</v>
      </c>
      <c r="C905" s="136" t="s">
        <v>45</v>
      </c>
      <c r="D905" s="31">
        <f t="shared" si="64"/>
        <v>4</v>
      </c>
      <c r="E905" s="137" t="s">
        <v>46</v>
      </c>
      <c r="F905" s="31">
        <f t="shared" si="65"/>
        <v>6</v>
      </c>
      <c r="G905" s="137" t="s">
        <v>2479</v>
      </c>
      <c r="H905" s="138">
        <v>60</v>
      </c>
      <c r="I905" s="158">
        <f t="shared" si="66"/>
        <v>0.44672570796892502</v>
      </c>
      <c r="J905" s="95">
        <v>0.124263619502027</v>
      </c>
      <c r="K905" s="137">
        <v>0.76918779643582302</v>
      </c>
      <c r="L905" s="137">
        <v>0.75</v>
      </c>
      <c r="M905" s="137">
        <v>0.79796949108955795</v>
      </c>
      <c r="N905" s="136">
        <v>1</v>
      </c>
      <c r="O905" s="32">
        <v>43178</v>
      </c>
      <c r="P905" s="98">
        <f t="shared" si="67"/>
        <v>1</v>
      </c>
      <c r="Q905">
        <v>0</v>
      </c>
      <c r="R905">
        <v>0</v>
      </c>
      <c r="S905">
        <v>0</v>
      </c>
      <c r="T905" s="112" t="s">
        <v>73</v>
      </c>
      <c r="U905" s="137" t="s">
        <v>2480</v>
      </c>
      <c r="V905" s="137" t="s">
        <v>2481</v>
      </c>
      <c r="W905" s="69">
        <v>122</v>
      </c>
      <c r="X905" s="136">
        <v>2</v>
      </c>
      <c r="Y905" s="136">
        <v>2</v>
      </c>
      <c r="Z905" s="314"/>
      <c r="AA905" s="319">
        <v>0.45454545454545398</v>
      </c>
      <c r="AB905" s="315" t="s">
        <v>5165</v>
      </c>
      <c r="AC905" s="319">
        <v>5</v>
      </c>
      <c r="AD905" s="320">
        <v>7.2463768115942004E-2</v>
      </c>
      <c r="AE905" s="319">
        <v>2</v>
      </c>
      <c r="AF905" s="320">
        <v>2.8985507246376802E-2</v>
      </c>
      <c r="AG905" s="319">
        <v>1</v>
      </c>
      <c r="AH905" s="320">
        <v>1.4492753623188401E-2</v>
      </c>
      <c r="AI905" s="319">
        <v>0</v>
      </c>
      <c r="AJ905" s="320">
        <v>0</v>
      </c>
      <c r="AK905" s="320">
        <v>0</v>
      </c>
      <c r="AL905" s="319">
        <v>5</v>
      </c>
      <c r="AM905" s="319">
        <v>5</v>
      </c>
      <c r="AN905" s="319">
        <v>2</v>
      </c>
      <c r="AO905" s="319">
        <v>0.4</v>
      </c>
      <c r="AP905">
        <v>2</v>
      </c>
      <c r="AR905" s="136">
        <v>2</v>
      </c>
      <c r="AT905" s="69">
        <v>2.3148</v>
      </c>
      <c r="AU905" s="69">
        <v>2.3148</v>
      </c>
      <c r="AV905" s="69">
        <v>2.3148</v>
      </c>
      <c r="AW905" s="69">
        <v>0.23150000000000001</v>
      </c>
      <c r="BB905" s="69"/>
    </row>
    <row r="906" spans="1:54" customFormat="1" ht="40" customHeight="1">
      <c r="A906" s="313">
        <v>905</v>
      </c>
      <c r="B906" s="136" t="s">
        <v>2418</v>
      </c>
      <c r="C906" s="136" t="s">
        <v>45</v>
      </c>
      <c r="D906" s="31">
        <f t="shared" si="64"/>
        <v>4</v>
      </c>
      <c r="E906" s="137" t="s">
        <v>80</v>
      </c>
      <c r="F906" s="31">
        <f t="shared" si="65"/>
        <v>4</v>
      </c>
      <c r="G906" s="137" t="s">
        <v>1459</v>
      </c>
      <c r="H906" s="138">
        <v>52</v>
      </c>
      <c r="I906" s="158">
        <f t="shared" si="66"/>
        <v>0.39038459752759436</v>
      </c>
      <c r="J906" s="95">
        <v>5.4909340902686802E-5</v>
      </c>
      <c r="K906" s="137">
        <v>0.78071428571428603</v>
      </c>
      <c r="L906" s="137">
        <v>0.82499999999999996</v>
      </c>
      <c r="M906" s="137">
        <v>0.71428571428571397</v>
      </c>
      <c r="N906" s="136">
        <v>1</v>
      </c>
      <c r="O906" s="32">
        <v>43135</v>
      </c>
      <c r="P906" s="98">
        <f t="shared" si="67"/>
        <v>2</v>
      </c>
      <c r="Q906">
        <v>0</v>
      </c>
      <c r="R906">
        <v>0</v>
      </c>
      <c r="S906">
        <v>0</v>
      </c>
      <c r="T906" s="112" t="s">
        <v>64</v>
      </c>
      <c r="U906" s="137" t="s">
        <v>2482</v>
      </c>
      <c r="V906" s="137" t="s">
        <v>2483</v>
      </c>
      <c r="W906" s="69">
        <v>177</v>
      </c>
      <c r="X906" s="136">
        <v>5</v>
      </c>
      <c r="Y906" s="136">
        <v>4</v>
      </c>
      <c r="Z906" s="314"/>
      <c r="AA906" s="319">
        <v>0.54500000000000004</v>
      </c>
      <c r="AB906" s="315" t="s">
        <v>5176</v>
      </c>
      <c r="AC906" s="319">
        <v>0</v>
      </c>
      <c r="AD906" s="320">
        <v>0</v>
      </c>
      <c r="AE906" s="319">
        <v>3</v>
      </c>
      <c r="AF906" s="320">
        <v>2.8846153846153799E-2</v>
      </c>
      <c r="AG906" s="319">
        <v>1</v>
      </c>
      <c r="AH906" s="320">
        <v>9.6153846153846107E-3</v>
      </c>
      <c r="AI906" s="319">
        <v>0</v>
      </c>
      <c r="AJ906" s="320">
        <v>0</v>
      </c>
      <c r="AK906" s="320">
        <v>9.6153846153846159E-3</v>
      </c>
      <c r="AL906" s="319">
        <v>5</v>
      </c>
      <c r="AM906" s="319">
        <v>5</v>
      </c>
      <c r="AN906" s="319">
        <v>4.6666666666666599</v>
      </c>
      <c r="AO906" s="319">
        <v>0.48888888888888798</v>
      </c>
      <c r="AP906">
        <v>4</v>
      </c>
      <c r="AR906" s="136">
        <v>4</v>
      </c>
      <c r="AT906" s="69">
        <v>2.3148</v>
      </c>
      <c r="AU906" s="69">
        <v>2.3148</v>
      </c>
      <c r="AV906" s="69">
        <v>8.1305999999999994</v>
      </c>
      <c r="AW906" s="69">
        <v>0.42530000000000001</v>
      </c>
      <c r="BB906" s="69"/>
    </row>
    <row r="907" spans="1:54" customFormat="1" ht="40" customHeight="1">
      <c r="A907" s="313">
        <v>906</v>
      </c>
      <c r="B907" s="136" t="s">
        <v>2418</v>
      </c>
      <c r="C907" s="136" t="s">
        <v>119</v>
      </c>
      <c r="D907" s="31">
        <f t="shared" si="64"/>
        <v>1</v>
      </c>
      <c r="E907" s="137" t="s">
        <v>46</v>
      </c>
      <c r="F907" s="31">
        <f t="shared" si="65"/>
        <v>6</v>
      </c>
      <c r="G907" s="137" t="s">
        <v>2484</v>
      </c>
      <c r="H907" s="138">
        <v>41</v>
      </c>
      <c r="I907" s="158">
        <f t="shared" si="66"/>
        <v>0.50251080004851201</v>
      </c>
      <c r="J907" s="95">
        <v>0.33590153345086798</v>
      </c>
      <c r="K907" s="137">
        <v>0.66912006664615598</v>
      </c>
      <c r="L907" s="137">
        <v>0.68181818181818199</v>
      </c>
      <c r="M907" s="137">
        <v>0.65007289388811795</v>
      </c>
      <c r="N907" s="136">
        <v>1</v>
      </c>
      <c r="O907" s="32">
        <v>43124</v>
      </c>
      <c r="P907" s="98">
        <f t="shared" si="67"/>
        <v>1</v>
      </c>
      <c r="Q907">
        <v>0</v>
      </c>
      <c r="R907">
        <v>1.65</v>
      </c>
      <c r="S907">
        <v>0</v>
      </c>
      <c r="T907" s="112" t="s">
        <v>73</v>
      </c>
      <c r="U907" s="137" t="s">
        <v>2484</v>
      </c>
      <c r="V907" s="137" t="s">
        <v>2485</v>
      </c>
      <c r="W907" s="69">
        <v>53</v>
      </c>
      <c r="X907" s="136">
        <v>1</v>
      </c>
      <c r="Y907" s="136">
        <v>6</v>
      </c>
      <c r="Z907" s="314"/>
      <c r="AA907" s="319">
        <v>0.5</v>
      </c>
      <c r="AB907" s="315" t="s">
        <v>5165</v>
      </c>
      <c r="AC907" s="319">
        <v>1</v>
      </c>
      <c r="AD907" s="320">
        <v>3.3333333333333298E-2</v>
      </c>
      <c r="AE907" s="319">
        <v>0</v>
      </c>
      <c r="AF907" s="320">
        <v>0</v>
      </c>
      <c r="AG907" s="319">
        <v>0</v>
      </c>
      <c r="AH907" s="320">
        <v>0</v>
      </c>
      <c r="AI907" s="319">
        <v>0</v>
      </c>
      <c r="AJ907" s="320">
        <v>0</v>
      </c>
      <c r="AK907" s="320">
        <v>0</v>
      </c>
      <c r="AL907" s="319">
        <v>5</v>
      </c>
      <c r="AM907" s="319">
        <v>5</v>
      </c>
      <c r="AN907" s="319">
        <v>3.5</v>
      </c>
      <c r="AO907" s="319">
        <v>0.45</v>
      </c>
      <c r="AP907">
        <v>6</v>
      </c>
      <c r="AR907" s="136"/>
      <c r="AS907" s="136">
        <v>6</v>
      </c>
      <c r="AT907" s="69">
        <v>2.3148</v>
      </c>
      <c r="AU907" s="69">
        <v>2.3148</v>
      </c>
      <c r="AV907" s="69">
        <v>5.7443999999999997</v>
      </c>
      <c r="AW907" s="69">
        <v>0.3458</v>
      </c>
      <c r="BB907" s="69"/>
    </row>
    <row r="908" spans="1:54" customFormat="1" ht="40" customHeight="1">
      <c r="A908" s="313">
        <v>907</v>
      </c>
      <c r="B908" s="136" t="s">
        <v>2418</v>
      </c>
      <c r="C908" s="136" t="s">
        <v>45</v>
      </c>
      <c r="D908" s="31">
        <f t="shared" si="64"/>
        <v>4</v>
      </c>
      <c r="E908" s="137" t="s">
        <v>80</v>
      </c>
      <c r="F908" s="31">
        <f t="shared" si="65"/>
        <v>4</v>
      </c>
      <c r="G908" s="137" t="s">
        <v>2486</v>
      </c>
      <c r="H908" s="138">
        <v>59</v>
      </c>
      <c r="I908" s="158">
        <f t="shared" si="66"/>
        <v>0.56180908974712396</v>
      </c>
      <c r="J908" s="95">
        <v>0.47156684321640502</v>
      </c>
      <c r="K908" s="137">
        <v>0.65205133627784295</v>
      </c>
      <c r="L908" s="137">
        <v>0.75</v>
      </c>
      <c r="M908" s="137">
        <v>0.50512834069460699</v>
      </c>
      <c r="N908" s="136">
        <v>1</v>
      </c>
      <c r="O908" s="32">
        <v>43120</v>
      </c>
      <c r="P908" s="98">
        <f t="shared" si="67"/>
        <v>2</v>
      </c>
      <c r="Q908">
        <v>0</v>
      </c>
      <c r="R908">
        <v>0</v>
      </c>
      <c r="S908">
        <v>0</v>
      </c>
      <c r="T908" s="112" t="s">
        <v>64</v>
      </c>
      <c r="U908" s="137" t="s">
        <v>2487</v>
      </c>
      <c r="V908" s="137" t="s">
        <v>2488</v>
      </c>
      <c r="W908" s="69">
        <v>45</v>
      </c>
      <c r="X908" s="136">
        <v>1</v>
      </c>
      <c r="Y908" s="136">
        <v>12</v>
      </c>
      <c r="Z908" s="314"/>
      <c r="AA908" s="319">
        <v>0.54500000000000004</v>
      </c>
      <c r="AB908" s="315" t="s">
        <v>5177</v>
      </c>
      <c r="AC908" s="319">
        <v>0</v>
      </c>
      <c r="AD908" s="320">
        <v>0</v>
      </c>
      <c r="AE908" s="319">
        <v>1</v>
      </c>
      <c r="AF908" s="320">
        <v>0.04</v>
      </c>
      <c r="AG908" s="319">
        <v>1</v>
      </c>
      <c r="AH908" s="320">
        <v>0.04</v>
      </c>
      <c r="AI908" s="319">
        <v>0</v>
      </c>
      <c r="AJ908" s="320">
        <v>0</v>
      </c>
      <c r="AK908" s="320">
        <v>0</v>
      </c>
      <c r="AL908" s="319">
        <v>5</v>
      </c>
      <c r="AM908" s="319">
        <v>6.2</v>
      </c>
      <c r="AN908" s="319">
        <v>4.6666666666666599</v>
      </c>
      <c r="AO908" s="319">
        <v>0.52888888888888796</v>
      </c>
      <c r="AP908">
        <v>12</v>
      </c>
      <c r="AQ908" s="136">
        <v>12</v>
      </c>
      <c r="AT908" s="69">
        <v>2.3148</v>
      </c>
      <c r="AU908" s="69">
        <v>5</v>
      </c>
      <c r="AV908" s="69">
        <v>8.1305999999999994</v>
      </c>
      <c r="AW908" s="69">
        <v>0.51480000000000004</v>
      </c>
      <c r="BB908" s="69"/>
    </row>
    <row r="909" spans="1:54" customFormat="1" ht="40" customHeight="1">
      <c r="A909" s="313">
        <v>908</v>
      </c>
      <c r="B909" s="136" t="s">
        <v>2418</v>
      </c>
      <c r="C909" s="136" t="s">
        <v>45</v>
      </c>
      <c r="D909" s="31">
        <f t="shared" si="64"/>
        <v>4</v>
      </c>
      <c r="E909" s="137" t="s">
        <v>80</v>
      </c>
      <c r="F909" s="31">
        <f t="shared" si="65"/>
        <v>4</v>
      </c>
      <c r="G909" s="137" t="s">
        <v>2489</v>
      </c>
      <c r="H909" s="138">
        <v>48</v>
      </c>
      <c r="I909" s="158">
        <f t="shared" si="66"/>
        <v>0.64025983673223552</v>
      </c>
      <c r="J909" s="95">
        <v>0.44266253060732802</v>
      </c>
      <c r="K909" s="137">
        <v>0.83785714285714297</v>
      </c>
      <c r="L909" s="137">
        <v>0.82499999999999996</v>
      </c>
      <c r="M909" s="137">
        <v>0.85714285714285698</v>
      </c>
      <c r="N909" s="136">
        <v>1</v>
      </c>
      <c r="O909" s="32">
        <v>43067</v>
      </c>
      <c r="P909" s="98">
        <f t="shared" si="67"/>
        <v>2</v>
      </c>
      <c r="Q909">
        <v>0</v>
      </c>
      <c r="R909">
        <v>0</v>
      </c>
      <c r="S909">
        <v>0</v>
      </c>
      <c r="T909" s="112" t="s">
        <v>64</v>
      </c>
      <c r="U909" s="137" t="s">
        <v>2490</v>
      </c>
      <c r="V909" s="137" t="s">
        <v>2491</v>
      </c>
      <c r="W909" s="69">
        <v>180</v>
      </c>
      <c r="X909" s="136">
        <v>1</v>
      </c>
      <c r="Y909" s="136">
        <v>1</v>
      </c>
      <c r="Z909" s="314"/>
      <c r="AA909" s="319">
        <v>0.54500000000000004</v>
      </c>
      <c r="AB909" s="315" t="s">
        <v>5167</v>
      </c>
      <c r="AC909" s="319">
        <v>1</v>
      </c>
      <c r="AD909" s="320">
        <v>1.0204081632653E-2</v>
      </c>
      <c r="AE909" s="319">
        <v>1</v>
      </c>
      <c r="AF909" s="320">
        <v>1.0204081632653E-2</v>
      </c>
      <c r="AG909" s="319">
        <v>1</v>
      </c>
      <c r="AH909" s="320">
        <v>1.0204081632653E-2</v>
      </c>
      <c r="AI909" s="319">
        <v>2</v>
      </c>
      <c r="AJ909" s="320">
        <v>2.04081632653061E-2</v>
      </c>
      <c r="AK909" s="320">
        <v>0</v>
      </c>
      <c r="AL909" s="319">
        <v>5</v>
      </c>
      <c r="AM909" s="319">
        <v>5</v>
      </c>
      <c r="AN909" s="319">
        <v>4.6666666666666599</v>
      </c>
      <c r="AO909" s="319">
        <v>0.48888888888888798</v>
      </c>
      <c r="AP909">
        <v>1</v>
      </c>
      <c r="AR909" s="136">
        <v>1</v>
      </c>
      <c r="AT909" s="69">
        <v>2.3148</v>
      </c>
      <c r="AU909" s="69">
        <v>2.3148</v>
      </c>
      <c r="AV909" s="69">
        <v>8.1305999999999994</v>
      </c>
      <c r="AW909" s="69">
        <v>0.42530000000000001</v>
      </c>
      <c r="BB909" s="69"/>
    </row>
    <row r="910" spans="1:54" customFormat="1" ht="40" customHeight="1">
      <c r="A910" s="313">
        <v>909</v>
      </c>
      <c r="B910" s="136" t="s">
        <v>2418</v>
      </c>
      <c r="C910" s="136" t="s">
        <v>45</v>
      </c>
      <c r="D910" s="31">
        <f t="shared" si="64"/>
        <v>4</v>
      </c>
      <c r="E910" s="137" t="s">
        <v>80</v>
      </c>
      <c r="F910" s="31">
        <f t="shared" si="65"/>
        <v>4</v>
      </c>
      <c r="G910" s="137" t="s">
        <v>2492</v>
      </c>
      <c r="H910" s="138">
        <v>45</v>
      </c>
      <c r="I910" s="158">
        <f t="shared" si="66"/>
        <v>0.37869629287541812</v>
      </c>
      <c r="J910" s="95">
        <v>2.1678300036550201E-2</v>
      </c>
      <c r="K910" s="137">
        <v>0.73571428571428599</v>
      </c>
      <c r="L910" s="137">
        <v>0.75</v>
      </c>
      <c r="M910" s="137">
        <v>0.71428571428571397</v>
      </c>
      <c r="N910" s="136">
        <v>1</v>
      </c>
      <c r="O910" s="32">
        <v>43023</v>
      </c>
      <c r="P910" s="98">
        <f t="shared" si="67"/>
        <v>0</v>
      </c>
      <c r="Q910">
        <v>2.5499999999999998</v>
      </c>
      <c r="R910">
        <v>0</v>
      </c>
      <c r="S910">
        <v>0</v>
      </c>
      <c r="T910" s="112" t="s">
        <v>48</v>
      </c>
      <c r="U910" s="137" t="s">
        <v>2493</v>
      </c>
      <c r="V910" s="137" t="s">
        <v>2494</v>
      </c>
      <c r="W910" s="69">
        <v>66</v>
      </c>
      <c r="X910" s="136">
        <v>3</v>
      </c>
      <c r="Y910" s="136">
        <v>4</v>
      </c>
      <c r="Z910" s="314"/>
      <c r="AA910" s="319">
        <v>0.60499999999999998</v>
      </c>
      <c r="AB910" s="331" t="s">
        <v>5161</v>
      </c>
      <c r="AC910" s="319">
        <v>0</v>
      </c>
      <c r="AD910" s="320">
        <v>0</v>
      </c>
      <c r="AE910" s="319">
        <v>0</v>
      </c>
      <c r="AF910" s="320">
        <v>0</v>
      </c>
      <c r="AG910" s="319">
        <v>0</v>
      </c>
      <c r="AH910" s="320">
        <v>0</v>
      </c>
      <c r="AI910" s="319">
        <v>0</v>
      </c>
      <c r="AJ910" s="320">
        <v>0</v>
      </c>
      <c r="AK910" s="320">
        <v>0</v>
      </c>
      <c r="AL910" s="319">
        <v>5</v>
      </c>
      <c r="AM910" s="319">
        <v>6.2</v>
      </c>
      <c r="AN910" s="319">
        <v>2</v>
      </c>
      <c r="AO910" s="319">
        <v>0.44</v>
      </c>
      <c r="AP910">
        <v>4</v>
      </c>
      <c r="AR910" s="136">
        <v>4</v>
      </c>
      <c r="AT910" s="69">
        <v>2.3148</v>
      </c>
      <c r="AU910" s="69">
        <v>5</v>
      </c>
      <c r="AV910" s="69">
        <v>2.3148</v>
      </c>
      <c r="AW910" s="69">
        <v>0.32100000000000001</v>
      </c>
      <c r="BB910" s="69"/>
    </row>
    <row r="911" spans="1:54" customFormat="1" ht="40" customHeight="1">
      <c r="A911" s="313">
        <v>910</v>
      </c>
      <c r="B911" s="136" t="s">
        <v>2418</v>
      </c>
      <c r="C911" s="136" t="s">
        <v>59</v>
      </c>
      <c r="D911" s="31">
        <f t="shared" si="64"/>
        <v>5</v>
      </c>
      <c r="E911" s="137" t="s">
        <v>46</v>
      </c>
      <c r="F911" s="31">
        <f t="shared" si="65"/>
        <v>6</v>
      </c>
      <c r="G911" s="137" t="s">
        <v>2495</v>
      </c>
      <c r="H911" s="138">
        <v>142</v>
      </c>
      <c r="I911" s="158">
        <f t="shared" si="66"/>
        <v>0.88333374314040602</v>
      </c>
      <c r="J911" s="95">
        <v>0.99747968984498903</v>
      </c>
      <c r="K911" s="137">
        <v>0.76918779643582302</v>
      </c>
      <c r="L911" s="137">
        <v>0.75</v>
      </c>
      <c r="M911" s="137">
        <v>0.79796949108955795</v>
      </c>
      <c r="N911" s="136">
        <v>1</v>
      </c>
      <c r="O911" s="32">
        <v>42989</v>
      </c>
      <c r="P911" s="98">
        <f t="shared" si="67"/>
        <v>1</v>
      </c>
      <c r="Q911">
        <v>0</v>
      </c>
      <c r="R911">
        <v>0</v>
      </c>
      <c r="S911">
        <v>0</v>
      </c>
      <c r="T911" s="112" t="s">
        <v>73</v>
      </c>
      <c r="U911" s="137" t="s">
        <v>2496</v>
      </c>
      <c r="V911" s="137" t="s">
        <v>2497</v>
      </c>
      <c r="W911" s="69">
        <v>122</v>
      </c>
      <c r="X911" s="136">
        <v>1</v>
      </c>
      <c r="Y911" s="136">
        <v>2</v>
      </c>
      <c r="Z911" s="314"/>
      <c r="AA911" s="319">
        <v>0.5</v>
      </c>
      <c r="AB911" s="315" t="s">
        <v>5169</v>
      </c>
      <c r="AC911" s="319">
        <v>2</v>
      </c>
      <c r="AD911" s="320">
        <v>2.94117647058823E-2</v>
      </c>
      <c r="AE911" s="319">
        <v>1</v>
      </c>
      <c r="AF911" s="320">
        <v>1.47058823529411E-2</v>
      </c>
      <c r="AG911" s="319">
        <v>2</v>
      </c>
      <c r="AH911" s="320">
        <v>2.94117647058823E-2</v>
      </c>
      <c r="AI911" s="319">
        <v>0</v>
      </c>
      <c r="AJ911" s="320">
        <v>0</v>
      </c>
      <c r="AK911" s="320">
        <v>0</v>
      </c>
      <c r="AL911" s="319">
        <v>5</v>
      </c>
      <c r="AM911" s="319">
        <v>5</v>
      </c>
      <c r="AN911" s="319">
        <v>4.6666666666666599</v>
      </c>
      <c r="AO911" s="319">
        <v>0.48888888888888798</v>
      </c>
      <c r="AP911">
        <v>2</v>
      </c>
      <c r="AR911" s="136">
        <v>2</v>
      </c>
      <c r="AT911" s="69">
        <v>2.3148</v>
      </c>
      <c r="AU911" s="69">
        <v>2.3148</v>
      </c>
      <c r="AV911" s="69">
        <v>8.1305999999999994</v>
      </c>
      <c r="AW911" s="69">
        <v>0.42530000000000001</v>
      </c>
      <c r="BB911" s="69"/>
    </row>
    <row r="912" spans="1:54" customFormat="1" ht="40" customHeight="1">
      <c r="A912" s="313">
        <v>911</v>
      </c>
      <c r="B912" s="136" t="s">
        <v>2418</v>
      </c>
      <c r="C912" s="136" t="s">
        <v>59</v>
      </c>
      <c r="D912" s="31">
        <f t="shared" si="64"/>
        <v>5</v>
      </c>
      <c r="E912" s="137" t="s">
        <v>46</v>
      </c>
      <c r="F912" s="31">
        <f t="shared" si="65"/>
        <v>6</v>
      </c>
      <c r="G912" s="137" t="s">
        <v>2498</v>
      </c>
      <c r="H912" s="138">
        <v>38</v>
      </c>
      <c r="I912" s="158">
        <f t="shared" si="66"/>
        <v>0.42237060823290623</v>
      </c>
      <c r="J912" s="95">
        <v>7.5553420029989396E-2</v>
      </c>
      <c r="K912" s="137">
        <v>0.76918779643582302</v>
      </c>
      <c r="L912" s="137">
        <v>0.75</v>
      </c>
      <c r="M912" s="137">
        <v>0.79796949108955795</v>
      </c>
      <c r="N912" s="136">
        <v>1</v>
      </c>
      <c r="O912" s="32">
        <v>42984</v>
      </c>
      <c r="P912" s="98">
        <f t="shared" si="67"/>
        <v>1</v>
      </c>
      <c r="Q912">
        <v>0</v>
      </c>
      <c r="R912">
        <v>1.65</v>
      </c>
      <c r="S912">
        <v>0</v>
      </c>
      <c r="T912" s="112" t="s">
        <v>73</v>
      </c>
      <c r="U912" s="137" t="s">
        <v>2499</v>
      </c>
      <c r="V912" s="137" t="s">
        <v>2500</v>
      </c>
      <c r="W912" s="69">
        <v>141</v>
      </c>
      <c r="X912" s="136">
        <v>1</v>
      </c>
      <c r="Y912" s="136">
        <v>2</v>
      </c>
      <c r="Z912" s="314"/>
      <c r="AA912" s="319">
        <v>0.54500000000000004</v>
      </c>
      <c r="AB912" s="315" t="s">
        <v>5165</v>
      </c>
      <c r="AC912" s="319">
        <v>2</v>
      </c>
      <c r="AD912" s="320">
        <v>2.6315789473684199E-2</v>
      </c>
      <c r="AE912" s="319">
        <v>0</v>
      </c>
      <c r="AF912" s="320">
        <v>0</v>
      </c>
      <c r="AG912" s="319">
        <v>1</v>
      </c>
      <c r="AH912" s="320">
        <v>1.3157894736842099E-2</v>
      </c>
      <c r="AI912" s="319">
        <v>0</v>
      </c>
      <c r="AJ912" s="320">
        <v>0</v>
      </c>
      <c r="AK912" s="320">
        <v>0</v>
      </c>
      <c r="AL912" s="319">
        <v>5</v>
      </c>
      <c r="AM912" s="319">
        <v>5</v>
      </c>
      <c r="AN912" s="319">
        <v>3.5</v>
      </c>
      <c r="AO912" s="319">
        <v>0.45</v>
      </c>
      <c r="AP912">
        <v>2</v>
      </c>
      <c r="AR912" s="136">
        <v>2</v>
      </c>
      <c r="AT912" s="69">
        <v>2.3148</v>
      </c>
      <c r="AU912" s="69">
        <v>2.3148</v>
      </c>
      <c r="AV912" s="69">
        <v>5.7443999999999997</v>
      </c>
      <c r="AW912" s="69">
        <v>0.3458</v>
      </c>
      <c r="BB912" s="69"/>
    </row>
    <row r="913" spans="1:54" customFormat="1" ht="40" customHeight="1">
      <c r="A913" s="313">
        <v>912</v>
      </c>
      <c r="B913" s="136" t="s">
        <v>2418</v>
      </c>
      <c r="C913" s="136" t="s">
        <v>45</v>
      </c>
      <c r="D913" s="31">
        <f t="shared" si="64"/>
        <v>4</v>
      </c>
      <c r="E913" s="137" t="s">
        <v>46</v>
      </c>
      <c r="F913" s="31">
        <f t="shared" si="65"/>
        <v>6</v>
      </c>
      <c r="G913" s="137" t="s">
        <v>2501</v>
      </c>
      <c r="H913" s="138">
        <v>126</v>
      </c>
      <c r="I913" s="158">
        <f t="shared" si="66"/>
        <v>0.79257854065407152</v>
      </c>
      <c r="J913" s="95">
        <v>0.91603701466198695</v>
      </c>
      <c r="K913" s="137">
        <v>0.66912006664615598</v>
      </c>
      <c r="L913" s="137">
        <v>0.68181818181818199</v>
      </c>
      <c r="M913" s="137">
        <v>0.65007289388811795</v>
      </c>
      <c r="N913" s="136">
        <v>1</v>
      </c>
      <c r="O913" s="32">
        <v>42984</v>
      </c>
      <c r="P913" s="98">
        <f t="shared" si="67"/>
        <v>1</v>
      </c>
      <c r="Q913">
        <v>2.5499999999999998</v>
      </c>
      <c r="R913">
        <v>3.3</v>
      </c>
      <c r="S913">
        <v>1.87</v>
      </c>
      <c r="T913" s="112" t="s">
        <v>73</v>
      </c>
      <c r="U913" s="137" t="s">
        <v>2502</v>
      </c>
      <c r="V913" s="137" t="s">
        <v>2503</v>
      </c>
      <c r="W913" s="69">
        <v>61</v>
      </c>
      <c r="X913" s="136">
        <v>1</v>
      </c>
      <c r="Y913" s="136">
        <v>6</v>
      </c>
      <c r="Z913" s="314"/>
      <c r="AA913" s="319">
        <v>0.5</v>
      </c>
      <c r="AB913" s="315" t="s">
        <v>5165</v>
      </c>
      <c r="AC913" s="319">
        <v>5</v>
      </c>
      <c r="AD913" s="320">
        <v>0.135135135135135</v>
      </c>
      <c r="AE913" s="319">
        <v>1</v>
      </c>
      <c r="AF913" s="320">
        <v>2.7027027027027001E-2</v>
      </c>
      <c r="AG913" s="319">
        <v>0</v>
      </c>
      <c r="AH913" s="320">
        <v>0</v>
      </c>
      <c r="AI913" s="319">
        <v>0</v>
      </c>
      <c r="AJ913" s="320">
        <v>0</v>
      </c>
      <c r="AK913" s="320">
        <v>0</v>
      </c>
      <c r="AL913" s="319">
        <v>5</v>
      </c>
      <c r="AM913" s="319">
        <v>5</v>
      </c>
      <c r="AN913" s="319">
        <v>3.5</v>
      </c>
      <c r="AO913" s="319">
        <v>0.45</v>
      </c>
      <c r="AP913">
        <v>6</v>
      </c>
      <c r="AR913" s="136">
        <v>6</v>
      </c>
      <c r="AT913" s="69">
        <v>2.3148</v>
      </c>
      <c r="AU913" s="69">
        <v>2.3148</v>
      </c>
      <c r="AV913" s="69">
        <v>5.7443999999999997</v>
      </c>
      <c r="AW913" s="69">
        <v>0.3458</v>
      </c>
      <c r="BB913" s="69"/>
    </row>
    <row r="914" spans="1:54" customFormat="1" ht="40" customHeight="1">
      <c r="A914" s="313">
        <v>913</v>
      </c>
      <c r="B914" s="136" t="s">
        <v>2418</v>
      </c>
      <c r="C914" s="136" t="s">
        <v>45</v>
      </c>
      <c r="D914" s="31">
        <f t="shared" si="64"/>
        <v>4</v>
      </c>
      <c r="E914" s="137" t="s">
        <v>46</v>
      </c>
      <c r="F914" s="31">
        <f t="shared" si="65"/>
        <v>6</v>
      </c>
      <c r="G914" s="137" t="s">
        <v>2504</v>
      </c>
      <c r="H914" s="138">
        <v>138</v>
      </c>
      <c r="I914" s="158">
        <f t="shared" si="66"/>
        <v>0.31597553648511045</v>
      </c>
      <c r="J914" s="95">
        <v>2.10889686929061E-5</v>
      </c>
      <c r="K914" s="137">
        <v>0.631929984001528</v>
      </c>
      <c r="L914" s="137">
        <v>0.61983471074380203</v>
      </c>
      <c r="M914" s="137">
        <v>0.65007289388811795</v>
      </c>
      <c r="N914" s="136">
        <v>1</v>
      </c>
      <c r="O914" s="32">
        <v>42971</v>
      </c>
      <c r="P914" s="98">
        <f t="shared" si="67"/>
        <v>0</v>
      </c>
      <c r="Q914">
        <v>5.0999999999999996</v>
      </c>
      <c r="R914">
        <v>3.3</v>
      </c>
      <c r="S914">
        <v>0</v>
      </c>
      <c r="T914" s="112" t="s">
        <v>48</v>
      </c>
      <c r="U914" s="137" t="s">
        <v>2505</v>
      </c>
      <c r="V914" s="137" t="s">
        <v>2506</v>
      </c>
      <c r="W914" s="69">
        <v>132</v>
      </c>
      <c r="X914" s="136">
        <v>1</v>
      </c>
      <c r="Y914" s="136">
        <v>6</v>
      </c>
      <c r="Z914" s="314"/>
      <c r="AA914" s="319">
        <v>0.5</v>
      </c>
      <c r="AB914" s="315" t="s">
        <v>5168</v>
      </c>
      <c r="AC914" s="319">
        <v>1</v>
      </c>
      <c r="AD914" s="320">
        <v>1.4084507042253501E-2</v>
      </c>
      <c r="AE914" s="319">
        <v>1</v>
      </c>
      <c r="AF914" s="320">
        <v>1.4084507042253501E-2</v>
      </c>
      <c r="AG914" s="319">
        <v>2</v>
      </c>
      <c r="AH914" s="320">
        <v>2.8169014084507001E-2</v>
      </c>
      <c r="AI914" s="319">
        <v>0</v>
      </c>
      <c r="AJ914" s="320">
        <v>0</v>
      </c>
      <c r="AK914" s="320">
        <v>0</v>
      </c>
      <c r="AL914" s="319">
        <v>5</v>
      </c>
      <c r="AM914" s="319">
        <v>8.3333333333333304</v>
      </c>
      <c r="AN914" s="319">
        <v>2</v>
      </c>
      <c r="AO914" s="319">
        <v>0.51111111111111096</v>
      </c>
      <c r="AP914">
        <v>6</v>
      </c>
      <c r="AR914" s="136"/>
      <c r="AS914" s="136">
        <v>6</v>
      </c>
      <c r="AT914" s="69">
        <v>2.3148</v>
      </c>
      <c r="AU914" s="69">
        <v>8.9379000000000008</v>
      </c>
      <c r="AV914" s="69">
        <v>2.3148</v>
      </c>
      <c r="AW914" s="69">
        <v>0.45219999999999999</v>
      </c>
      <c r="BB914" s="69"/>
    </row>
    <row r="915" spans="1:54" customFormat="1" ht="40" customHeight="1">
      <c r="A915" s="313">
        <v>914</v>
      </c>
      <c r="B915" s="136" t="s">
        <v>2418</v>
      </c>
      <c r="C915" s="136" t="s">
        <v>119</v>
      </c>
      <c r="D915" s="31">
        <f t="shared" si="64"/>
        <v>1</v>
      </c>
      <c r="E915" s="137" t="s">
        <v>46</v>
      </c>
      <c r="F915" s="31">
        <f t="shared" si="65"/>
        <v>6</v>
      </c>
      <c r="G915" s="137" t="s">
        <v>2507</v>
      </c>
      <c r="H915" s="138">
        <v>166</v>
      </c>
      <c r="I915" s="158">
        <f t="shared" si="66"/>
        <v>0.36668779652937283</v>
      </c>
      <c r="J915" s="95">
        <v>1.8709966909113999E-10</v>
      </c>
      <c r="K915" s="137">
        <v>0.733375592871646</v>
      </c>
      <c r="L915" s="137">
        <v>0.82499999999999996</v>
      </c>
      <c r="M915" s="137">
        <v>0.59593898217911601</v>
      </c>
      <c r="N915" s="136">
        <v>1</v>
      </c>
      <c r="O915" s="32">
        <v>42969</v>
      </c>
      <c r="P915" s="98">
        <f t="shared" si="67"/>
        <v>0</v>
      </c>
      <c r="Q915">
        <v>7.65</v>
      </c>
      <c r="R915">
        <v>3.3</v>
      </c>
      <c r="S915">
        <v>0</v>
      </c>
      <c r="T915" s="112" t="s">
        <v>48</v>
      </c>
      <c r="U915" s="137" t="s">
        <v>2508</v>
      </c>
      <c r="V915" s="137" t="s">
        <v>2506</v>
      </c>
      <c r="W915" s="69">
        <v>132</v>
      </c>
      <c r="X915" s="136">
        <v>2</v>
      </c>
      <c r="Y915" s="136">
        <v>8</v>
      </c>
      <c r="Z915" s="314"/>
      <c r="AA915" s="319">
        <v>0.5</v>
      </c>
      <c r="AB915" s="315" t="s">
        <v>5168</v>
      </c>
      <c r="AC915" s="319">
        <v>1</v>
      </c>
      <c r="AD915" s="320">
        <v>1.4084507042253501E-2</v>
      </c>
      <c r="AE915" s="319">
        <v>1</v>
      </c>
      <c r="AF915" s="320">
        <v>1.4084507042253501E-2</v>
      </c>
      <c r="AG915" s="319">
        <v>2</v>
      </c>
      <c r="AH915" s="320">
        <v>2.8169014084507001E-2</v>
      </c>
      <c r="AI915" s="319">
        <v>0</v>
      </c>
      <c r="AJ915" s="320">
        <v>0</v>
      </c>
      <c r="AK915" s="320">
        <v>0</v>
      </c>
      <c r="AL915" s="319">
        <v>5</v>
      </c>
      <c r="AM915" s="319">
        <v>5</v>
      </c>
      <c r="AN915" s="319">
        <v>6.1666666666666599</v>
      </c>
      <c r="AO915" s="319">
        <v>0.53888888888888797</v>
      </c>
      <c r="AP915">
        <v>8</v>
      </c>
      <c r="AR915" s="136"/>
      <c r="AS915" s="136">
        <v>8</v>
      </c>
      <c r="AT915" s="69">
        <v>2.3148</v>
      </c>
      <c r="AU915" s="69">
        <v>2.3148</v>
      </c>
      <c r="AV915" s="69">
        <v>9.5120000000000005</v>
      </c>
      <c r="AW915" s="69">
        <v>0.47139999999999999</v>
      </c>
      <c r="BB915" s="69"/>
    </row>
    <row r="916" spans="1:54" customFormat="1" ht="40" customHeight="1">
      <c r="A916" s="313">
        <v>915</v>
      </c>
      <c r="B916" s="136" t="s">
        <v>2418</v>
      </c>
      <c r="C916" s="136" t="s">
        <v>45</v>
      </c>
      <c r="D916" s="31">
        <f t="shared" si="64"/>
        <v>4</v>
      </c>
      <c r="E916" s="137" t="s">
        <v>46</v>
      </c>
      <c r="F916" s="31">
        <f t="shared" si="65"/>
        <v>6</v>
      </c>
      <c r="G916" s="137" t="s">
        <v>2498</v>
      </c>
      <c r="H916" s="138">
        <v>21</v>
      </c>
      <c r="I916" s="158">
        <f t="shared" si="66"/>
        <v>0.58787143636742401</v>
      </c>
      <c r="J916" s="95">
        <v>0.54381288873332001</v>
      </c>
      <c r="K916" s="137">
        <v>0.631929984001528</v>
      </c>
      <c r="L916" s="137">
        <v>0.61983471074380203</v>
      </c>
      <c r="M916" s="137">
        <v>0.65007289388811795</v>
      </c>
      <c r="N916" s="136">
        <v>1</v>
      </c>
      <c r="O916" s="32">
        <v>42932</v>
      </c>
      <c r="P916" s="98">
        <f t="shared" si="67"/>
        <v>1</v>
      </c>
      <c r="Q916">
        <v>0</v>
      </c>
      <c r="R916">
        <v>0</v>
      </c>
      <c r="S916">
        <v>0</v>
      </c>
      <c r="T916" s="112" t="s">
        <v>73</v>
      </c>
      <c r="U916" s="137" t="s">
        <v>2498</v>
      </c>
      <c r="V916" s="137" t="s">
        <v>2509</v>
      </c>
      <c r="W916" s="69">
        <v>122</v>
      </c>
      <c r="X916" s="136">
        <v>1</v>
      </c>
      <c r="Y916" s="136">
        <v>6</v>
      </c>
      <c r="Z916" s="314"/>
      <c r="AA916" s="319">
        <v>0.5</v>
      </c>
      <c r="AB916" s="315" t="s">
        <v>5168</v>
      </c>
      <c r="AC916" s="319">
        <v>1</v>
      </c>
      <c r="AD916" s="320">
        <v>1.4492753623188401E-2</v>
      </c>
      <c r="AE916" s="319">
        <v>1</v>
      </c>
      <c r="AF916" s="320">
        <v>1.4492753623188401E-2</v>
      </c>
      <c r="AG916" s="319">
        <v>2</v>
      </c>
      <c r="AH916" s="320">
        <v>2.8985507246376802E-2</v>
      </c>
      <c r="AI916" s="319">
        <v>0</v>
      </c>
      <c r="AJ916" s="320">
        <v>0</v>
      </c>
      <c r="AK916" s="320">
        <v>0</v>
      </c>
      <c r="AL916" s="319">
        <v>5</v>
      </c>
      <c r="AM916" s="319">
        <v>5</v>
      </c>
      <c r="AN916" s="319">
        <v>2</v>
      </c>
      <c r="AO916" s="319">
        <v>0.4</v>
      </c>
      <c r="AP916">
        <v>6</v>
      </c>
      <c r="AR916" s="136">
        <v>6</v>
      </c>
      <c r="AT916" s="69">
        <v>2.3148</v>
      </c>
      <c r="AU916" s="69">
        <v>2.3148</v>
      </c>
      <c r="AV916" s="69">
        <v>2.3148</v>
      </c>
      <c r="AW916" s="69">
        <v>0.23150000000000001</v>
      </c>
      <c r="BB916" s="69"/>
    </row>
    <row r="917" spans="1:54" customFormat="1" ht="40" customHeight="1">
      <c r="A917" s="313">
        <v>916</v>
      </c>
      <c r="B917" s="136" t="s">
        <v>2510</v>
      </c>
      <c r="C917" s="136" t="s">
        <v>45</v>
      </c>
      <c r="D917" s="31">
        <f t="shared" si="64"/>
        <v>4</v>
      </c>
      <c r="E917" s="137" t="s">
        <v>80</v>
      </c>
      <c r="F917" s="31">
        <f t="shared" si="65"/>
        <v>4</v>
      </c>
      <c r="G917" s="137" t="s">
        <v>159</v>
      </c>
      <c r="H917" s="138">
        <v>52</v>
      </c>
      <c r="I917" s="158">
        <f t="shared" si="66"/>
        <v>0.71270059194513391</v>
      </c>
      <c r="J917" s="95">
        <v>0.61121338745444498</v>
      </c>
      <c r="K917" s="137">
        <v>0.81418779643582295</v>
      </c>
      <c r="L917" s="137">
        <v>0.82499999999999996</v>
      </c>
      <c r="M917" s="137">
        <v>0.79796949108955795</v>
      </c>
      <c r="N917" s="136">
        <v>1</v>
      </c>
      <c r="O917" s="32">
        <v>43735</v>
      </c>
      <c r="P917" s="98">
        <f t="shared" si="67"/>
        <v>0</v>
      </c>
      <c r="Q917">
        <v>5.0999999999999996</v>
      </c>
      <c r="R917">
        <v>0</v>
      </c>
      <c r="S917">
        <v>0</v>
      </c>
      <c r="T917" s="112" t="s">
        <v>48</v>
      </c>
      <c r="U917" s="137" t="s">
        <v>2511</v>
      </c>
      <c r="V917" s="137" t="s">
        <v>2512</v>
      </c>
      <c r="W917" s="69">
        <v>130</v>
      </c>
      <c r="X917" s="136">
        <v>1</v>
      </c>
      <c r="Y917" s="136">
        <v>2</v>
      </c>
      <c r="Z917" s="314"/>
      <c r="AA917" s="319">
        <v>0.54500000000000004</v>
      </c>
      <c r="AB917" s="315" t="s">
        <v>5176</v>
      </c>
      <c r="AC917" s="319">
        <v>1</v>
      </c>
      <c r="AD917" s="320">
        <v>1.3698630136986301E-2</v>
      </c>
      <c r="AE917" s="319">
        <v>2</v>
      </c>
      <c r="AF917" s="320">
        <v>2.7397260273972601E-2</v>
      </c>
      <c r="AG917" s="319">
        <v>1</v>
      </c>
      <c r="AH917" s="320">
        <v>1.3698630136986301E-2</v>
      </c>
      <c r="AI917" s="319">
        <v>1</v>
      </c>
      <c r="AJ917" s="320">
        <v>1.3698630136986301E-2</v>
      </c>
      <c r="AK917" s="320">
        <v>1.3698630136986301E-2</v>
      </c>
      <c r="AL917" s="319">
        <v>6.75</v>
      </c>
      <c r="AM917" s="319">
        <v>5</v>
      </c>
      <c r="AN917" s="319">
        <v>7.3333333333333304</v>
      </c>
      <c r="AO917" s="319">
        <v>0.63611111111111096</v>
      </c>
      <c r="AP917">
        <v>2</v>
      </c>
      <c r="AR917" s="136">
        <v>2</v>
      </c>
      <c r="AT917" s="69">
        <v>6.3414000000000001</v>
      </c>
      <c r="AU917" s="69">
        <v>2.3148</v>
      </c>
      <c r="AV917" s="69">
        <v>9.8416999999999994</v>
      </c>
      <c r="AW917" s="69">
        <v>0.61660000000000004</v>
      </c>
      <c r="BB917" s="69"/>
    </row>
    <row r="918" spans="1:54" customFormat="1" ht="40" customHeight="1">
      <c r="A918" s="313">
        <v>917</v>
      </c>
      <c r="B918" s="136" t="s">
        <v>2510</v>
      </c>
      <c r="C918" s="136" t="s">
        <v>45</v>
      </c>
      <c r="D918" s="31">
        <f t="shared" si="64"/>
        <v>4</v>
      </c>
      <c r="E918" s="137" t="s">
        <v>80</v>
      </c>
      <c r="F918" s="31">
        <f t="shared" si="65"/>
        <v>4</v>
      </c>
      <c r="G918" s="137" t="s">
        <v>159</v>
      </c>
      <c r="H918" s="138">
        <v>50</v>
      </c>
      <c r="I918" s="158">
        <f t="shared" si="66"/>
        <v>0.44052340216847652</v>
      </c>
      <c r="J918" s="95">
        <v>6.6859007901130099E-2</v>
      </c>
      <c r="K918" s="137">
        <v>0.81418779643582295</v>
      </c>
      <c r="L918" s="137">
        <v>0.82499999999999996</v>
      </c>
      <c r="M918" s="137">
        <v>0.79796949108955795</v>
      </c>
      <c r="N918" s="136">
        <v>1</v>
      </c>
      <c r="O918" s="32">
        <v>43733</v>
      </c>
      <c r="P918" s="98">
        <f t="shared" si="67"/>
        <v>0</v>
      </c>
      <c r="Q918">
        <v>5.0999999999999996</v>
      </c>
      <c r="R918">
        <v>0</v>
      </c>
      <c r="S918">
        <v>0</v>
      </c>
      <c r="T918" s="112" t="s">
        <v>48</v>
      </c>
      <c r="U918" s="137" t="s">
        <v>2513</v>
      </c>
      <c r="V918" s="137" t="s">
        <v>2514</v>
      </c>
      <c r="W918" s="69">
        <v>98</v>
      </c>
      <c r="X918" s="136">
        <v>1</v>
      </c>
      <c r="Y918" s="136">
        <v>2</v>
      </c>
      <c r="Z918" s="314"/>
      <c r="AA918" s="319">
        <v>0.59450000000000003</v>
      </c>
      <c r="AB918" s="315" t="s">
        <v>5181</v>
      </c>
      <c r="AC918" s="319">
        <v>1</v>
      </c>
      <c r="AD918" s="320">
        <v>1.8181818181818101E-2</v>
      </c>
      <c r="AE918" s="319">
        <v>1</v>
      </c>
      <c r="AF918" s="320">
        <v>1.8181818181818101E-2</v>
      </c>
      <c r="AG918" s="319">
        <v>1</v>
      </c>
      <c r="AH918" s="320">
        <v>1.8181818181818101E-2</v>
      </c>
      <c r="AI918" s="319">
        <v>1</v>
      </c>
      <c r="AJ918" s="320">
        <v>1.8181818181818101E-2</v>
      </c>
      <c r="AK918" s="320">
        <v>1.8181818181818181E-2</v>
      </c>
      <c r="AL918" s="319">
        <v>6.75</v>
      </c>
      <c r="AM918" s="319">
        <v>6.2</v>
      </c>
      <c r="AN918" s="319">
        <v>7.3333333333333304</v>
      </c>
      <c r="AO918" s="319">
        <v>0.676111111111111</v>
      </c>
      <c r="AP918">
        <v>2</v>
      </c>
      <c r="AR918" s="136">
        <v>2</v>
      </c>
      <c r="AT918" s="69">
        <v>6.3414000000000001</v>
      </c>
      <c r="AU918" s="69">
        <v>5</v>
      </c>
      <c r="AV918" s="69">
        <v>9.8416999999999994</v>
      </c>
      <c r="AW918" s="69">
        <v>0.70609999999999995</v>
      </c>
      <c r="BB918" s="69"/>
    </row>
    <row r="919" spans="1:54" customFormat="1" ht="40" customHeight="1">
      <c r="A919" s="313">
        <v>918</v>
      </c>
      <c r="B919" s="136" t="s">
        <v>2510</v>
      </c>
      <c r="C919" s="136" t="s">
        <v>45</v>
      </c>
      <c r="D919" s="31">
        <f t="shared" si="64"/>
        <v>4</v>
      </c>
      <c r="E919" s="137" t="s">
        <v>80</v>
      </c>
      <c r="F919" s="31">
        <f t="shared" si="65"/>
        <v>4</v>
      </c>
      <c r="G919" s="137" t="s">
        <v>2515</v>
      </c>
      <c r="H919" s="138">
        <v>31</v>
      </c>
      <c r="I919" s="158">
        <f t="shared" si="66"/>
        <v>0.40132432208758378</v>
      </c>
      <c r="J919" s="95">
        <v>6.6229760362466203E-3</v>
      </c>
      <c r="K919" s="137">
        <v>0.79602566813892095</v>
      </c>
      <c r="L919" s="137">
        <v>0.82499999999999996</v>
      </c>
      <c r="M919" s="137">
        <v>0.75256417034730305</v>
      </c>
      <c r="N919" s="136">
        <v>1</v>
      </c>
      <c r="O919" s="32">
        <v>43637</v>
      </c>
      <c r="P919" s="98">
        <f t="shared" si="67"/>
        <v>0</v>
      </c>
      <c r="Q919">
        <v>2.5499999999999998</v>
      </c>
      <c r="R919">
        <v>0</v>
      </c>
      <c r="S919">
        <v>0</v>
      </c>
      <c r="T919" s="112" t="s">
        <v>48</v>
      </c>
      <c r="U919" s="137" t="s">
        <v>2516</v>
      </c>
      <c r="V919" s="137" t="s">
        <v>2517</v>
      </c>
      <c r="W919" s="69">
        <v>62</v>
      </c>
      <c r="X919" s="136">
        <v>1</v>
      </c>
      <c r="Y919" s="136">
        <v>3</v>
      </c>
      <c r="Z919" s="314"/>
      <c r="AA919" s="319">
        <v>0.60499999999999998</v>
      </c>
      <c r="AB919" s="315" t="s">
        <v>5176</v>
      </c>
      <c r="AC919" s="319">
        <v>0</v>
      </c>
      <c r="AD919" s="320">
        <v>0</v>
      </c>
      <c r="AE919" s="319">
        <v>3</v>
      </c>
      <c r="AF919" s="320">
        <v>8.3333333333333301E-2</v>
      </c>
      <c r="AG919" s="319">
        <v>1</v>
      </c>
      <c r="AH919" s="320">
        <v>2.77777777777777E-2</v>
      </c>
      <c r="AI919" s="319">
        <v>0</v>
      </c>
      <c r="AJ919" s="320">
        <v>0</v>
      </c>
      <c r="AK919" s="320">
        <v>0</v>
      </c>
      <c r="AL919" s="319">
        <v>5</v>
      </c>
      <c r="AM919" s="319">
        <v>6.2</v>
      </c>
      <c r="AN919" s="319">
        <v>2</v>
      </c>
      <c r="AO919" s="319">
        <v>0.44</v>
      </c>
      <c r="AP919">
        <v>3</v>
      </c>
      <c r="AR919" s="136">
        <v>3</v>
      </c>
      <c r="AT919" s="69">
        <v>2.3148</v>
      </c>
      <c r="AU919" s="69">
        <v>5</v>
      </c>
      <c r="AV919" s="69">
        <v>2.3148</v>
      </c>
      <c r="AW919" s="69">
        <v>0.32100000000000001</v>
      </c>
      <c r="BB919" s="69"/>
    </row>
    <row r="920" spans="1:54" customFormat="1" ht="40" customHeight="1">
      <c r="A920" s="313">
        <v>919</v>
      </c>
      <c r="B920" s="136" t="s">
        <v>2510</v>
      </c>
      <c r="C920" s="136" t="s">
        <v>45</v>
      </c>
      <c r="D920" s="31">
        <f t="shared" si="64"/>
        <v>4</v>
      </c>
      <c r="E920" s="137" t="s">
        <v>46</v>
      </c>
      <c r="F920" s="31">
        <f t="shared" si="65"/>
        <v>6</v>
      </c>
      <c r="G920" s="137" t="s">
        <v>2518</v>
      </c>
      <c r="H920" s="138">
        <v>165</v>
      </c>
      <c r="I920" s="158">
        <f t="shared" si="66"/>
        <v>0.33646412087264915</v>
      </c>
      <c r="J920" s="95">
        <v>1.7471600962659701E-6</v>
      </c>
      <c r="K920" s="137">
        <v>0.67292649458520204</v>
      </c>
      <c r="L920" s="137">
        <v>0.61983471074380103</v>
      </c>
      <c r="M920" s="137">
        <v>0.75256417034730305</v>
      </c>
      <c r="N920" s="136">
        <v>1</v>
      </c>
      <c r="O920" s="32">
        <v>43546</v>
      </c>
      <c r="P920" s="98">
        <f t="shared" si="67"/>
        <v>0</v>
      </c>
      <c r="Q920">
        <v>5.0999999999999996</v>
      </c>
      <c r="R920">
        <v>1.65</v>
      </c>
      <c r="S920">
        <v>0</v>
      </c>
      <c r="T920" s="112" t="s">
        <v>48</v>
      </c>
      <c r="U920" s="137" t="s">
        <v>2519</v>
      </c>
      <c r="V920" s="137" t="s">
        <v>2520</v>
      </c>
      <c r="W920" s="69">
        <v>79</v>
      </c>
      <c r="X920" s="136">
        <v>1</v>
      </c>
      <c r="Y920" s="136">
        <v>3</v>
      </c>
      <c r="Z920" s="314"/>
      <c r="AA920" s="319">
        <v>0.45909090909090899</v>
      </c>
      <c r="AB920" s="315" t="s">
        <v>5165</v>
      </c>
      <c r="AC920" s="319">
        <v>2</v>
      </c>
      <c r="AD920" s="320">
        <v>0.05</v>
      </c>
      <c r="AE920" s="319">
        <v>1</v>
      </c>
      <c r="AF920" s="320">
        <v>2.5000000000000001E-2</v>
      </c>
      <c r="AG920" s="319">
        <v>1</v>
      </c>
      <c r="AH920" s="320">
        <v>2.5000000000000001E-2</v>
      </c>
      <c r="AI920" s="319">
        <v>0</v>
      </c>
      <c r="AJ920" s="320">
        <v>0</v>
      </c>
      <c r="AK920" s="320">
        <v>0.05</v>
      </c>
      <c r="AL920" s="319">
        <v>6.75</v>
      </c>
      <c r="AM920" s="319">
        <v>5</v>
      </c>
      <c r="AN920" s="319">
        <v>6.1666666666666599</v>
      </c>
      <c r="AO920" s="319">
        <v>0.59722222222222199</v>
      </c>
      <c r="AP920">
        <v>3</v>
      </c>
      <c r="AQ920" s="136">
        <v>3</v>
      </c>
      <c r="AT920" s="69">
        <v>6.3414000000000001</v>
      </c>
      <c r="AU920" s="69">
        <v>2.3148</v>
      </c>
      <c r="AV920" s="69">
        <v>9.5120000000000005</v>
      </c>
      <c r="AW920" s="69">
        <v>0.60560000000000003</v>
      </c>
      <c r="BB920" s="69"/>
    </row>
    <row r="921" spans="1:54" customFormat="1" ht="40" customHeight="1">
      <c r="A921" s="313">
        <v>920</v>
      </c>
      <c r="B921" s="136" t="s">
        <v>2510</v>
      </c>
      <c r="C921" s="136" t="s">
        <v>59</v>
      </c>
      <c r="D921" s="31">
        <f t="shared" si="64"/>
        <v>5</v>
      </c>
      <c r="E921" s="137" t="s">
        <v>46</v>
      </c>
      <c r="F921" s="31">
        <f t="shared" si="65"/>
        <v>6</v>
      </c>
      <c r="G921" s="137" t="s">
        <v>2521</v>
      </c>
      <c r="H921" s="138">
        <v>82</v>
      </c>
      <c r="I921" s="158">
        <f t="shared" si="66"/>
        <v>0.33651116016967692</v>
      </c>
      <c r="J921" s="95">
        <v>9.5825754151790399E-5</v>
      </c>
      <c r="K921" s="137">
        <v>0.67292649458520204</v>
      </c>
      <c r="L921" s="137">
        <v>0.61983471074380203</v>
      </c>
      <c r="M921" s="137">
        <v>0.75256417034730305</v>
      </c>
      <c r="N921" s="136">
        <v>1</v>
      </c>
      <c r="O921" s="32">
        <v>43525</v>
      </c>
      <c r="P921" s="98">
        <f t="shared" si="67"/>
        <v>0</v>
      </c>
      <c r="Q921">
        <v>7.65</v>
      </c>
      <c r="R921">
        <v>0</v>
      </c>
      <c r="S921">
        <v>0</v>
      </c>
      <c r="T921" s="112" t="s">
        <v>48</v>
      </c>
      <c r="U921" s="137" t="s">
        <v>2522</v>
      </c>
      <c r="V921" s="137" t="s">
        <v>2523</v>
      </c>
      <c r="W921" s="69">
        <v>130</v>
      </c>
      <c r="X921" s="136">
        <v>1</v>
      </c>
      <c r="Y921" s="136">
        <v>3</v>
      </c>
      <c r="Z921" s="314"/>
      <c r="AA921" s="319">
        <v>0.60499999999999998</v>
      </c>
      <c r="AB921" s="315" t="s">
        <v>5181</v>
      </c>
      <c r="AC921" s="319">
        <v>1</v>
      </c>
      <c r="AD921" s="320">
        <v>1.3157894736842099E-2</v>
      </c>
      <c r="AE921" s="319">
        <v>1</v>
      </c>
      <c r="AF921" s="320">
        <v>1.3157894736842099E-2</v>
      </c>
      <c r="AG921" s="319">
        <v>1</v>
      </c>
      <c r="AH921" s="320">
        <v>1.3157894736842099E-2</v>
      </c>
      <c r="AI921" s="319">
        <v>1</v>
      </c>
      <c r="AJ921" s="320">
        <v>1.3157894736842099E-2</v>
      </c>
      <c r="AK921" s="320">
        <v>1.3157894736842099E-2</v>
      </c>
      <c r="AL921" s="319">
        <v>6.75</v>
      </c>
      <c r="AM921" s="319">
        <v>5</v>
      </c>
      <c r="AN921" s="319">
        <v>6.1666666666666599</v>
      </c>
      <c r="AO921" s="319">
        <v>0.59722222222222199</v>
      </c>
      <c r="AP921">
        <v>3</v>
      </c>
      <c r="AR921" s="136">
        <v>3</v>
      </c>
      <c r="AT921" s="69">
        <v>6.3414000000000001</v>
      </c>
      <c r="AU921" s="69">
        <v>2.3148</v>
      </c>
      <c r="AV921" s="69">
        <v>9.5120000000000005</v>
      </c>
      <c r="AW921" s="69">
        <v>0.60560000000000003</v>
      </c>
      <c r="BB921" s="69"/>
    </row>
    <row r="922" spans="1:54" customFormat="1" ht="40" customHeight="1">
      <c r="A922" s="313">
        <v>921</v>
      </c>
      <c r="B922" s="136" t="s">
        <v>2510</v>
      </c>
      <c r="C922" s="136" t="s">
        <v>45</v>
      </c>
      <c r="D922" s="31">
        <f t="shared" si="64"/>
        <v>4</v>
      </c>
      <c r="E922" s="137" t="s">
        <v>46</v>
      </c>
      <c r="F922" s="31">
        <f t="shared" si="65"/>
        <v>6</v>
      </c>
      <c r="G922" s="137" t="s">
        <v>2524</v>
      </c>
      <c r="H922" s="138">
        <v>76</v>
      </c>
      <c r="I922" s="158">
        <f t="shared" si="66"/>
        <v>0.40709401207430773</v>
      </c>
      <c r="J922" s="95">
        <v>2.2771279251099201E-7</v>
      </c>
      <c r="K922" s="137">
        <v>0.81418779643582295</v>
      </c>
      <c r="L922" s="137">
        <v>0.82499999999999996</v>
      </c>
      <c r="M922" s="137">
        <v>0.79796949108955795</v>
      </c>
      <c r="N922" s="136">
        <v>1</v>
      </c>
      <c r="O922" s="32">
        <v>43388</v>
      </c>
      <c r="P922" s="98">
        <f t="shared" si="67"/>
        <v>1</v>
      </c>
      <c r="Q922">
        <v>2.5499999999999998</v>
      </c>
      <c r="R922">
        <v>3.3</v>
      </c>
      <c r="S922">
        <v>1.87</v>
      </c>
      <c r="T922" s="112" t="s">
        <v>73</v>
      </c>
      <c r="U922" s="137" t="s">
        <v>2525</v>
      </c>
      <c r="V922" s="137" t="s">
        <v>2526</v>
      </c>
      <c r="W922" s="69">
        <v>198</v>
      </c>
      <c r="X922" s="136">
        <v>1</v>
      </c>
      <c r="Y922" s="136">
        <v>2</v>
      </c>
      <c r="Z922" s="314"/>
      <c r="AA922" s="319">
        <v>0.54</v>
      </c>
      <c r="AB922" s="315" t="s">
        <v>5176</v>
      </c>
      <c r="AC922" s="319">
        <v>3</v>
      </c>
      <c r="AD922" s="320">
        <v>2.77777777777777E-2</v>
      </c>
      <c r="AE922" s="319">
        <v>5</v>
      </c>
      <c r="AF922" s="320">
        <v>4.6296296296296301E-2</v>
      </c>
      <c r="AG922" s="319">
        <v>2</v>
      </c>
      <c r="AH922" s="320">
        <v>1.85185185185185E-2</v>
      </c>
      <c r="AI922" s="319">
        <v>1</v>
      </c>
      <c r="AJ922" s="320">
        <v>9.2592592592592501E-3</v>
      </c>
      <c r="AK922" s="320">
        <v>2.777777777777778E-2</v>
      </c>
      <c r="AL922" s="319">
        <v>5</v>
      </c>
      <c r="AM922" s="319">
        <v>5</v>
      </c>
      <c r="AN922" s="319">
        <v>6.1666666666666599</v>
      </c>
      <c r="AO922" s="319">
        <v>0.53888888888888797</v>
      </c>
      <c r="AP922">
        <v>2</v>
      </c>
      <c r="AR922" s="136">
        <v>2</v>
      </c>
      <c r="AT922" s="69">
        <v>2.3148</v>
      </c>
      <c r="AU922" s="69">
        <v>2.3148</v>
      </c>
      <c r="AV922" s="69">
        <v>9.5120000000000005</v>
      </c>
      <c r="AW922" s="69">
        <v>0.47139999999999999</v>
      </c>
      <c r="BB922" s="69"/>
    </row>
    <row r="923" spans="1:54" customFormat="1" ht="40" customHeight="1">
      <c r="A923" s="313">
        <v>922</v>
      </c>
      <c r="B923" s="136" t="s">
        <v>2510</v>
      </c>
      <c r="C923" s="136" t="s">
        <v>45</v>
      </c>
      <c r="D923" s="31">
        <f t="shared" si="64"/>
        <v>4</v>
      </c>
      <c r="E923" s="137" t="s">
        <v>46</v>
      </c>
      <c r="F923" s="31">
        <f t="shared" si="65"/>
        <v>6</v>
      </c>
      <c r="G923" s="137" t="s">
        <v>2527</v>
      </c>
      <c r="H923" s="138">
        <v>46</v>
      </c>
      <c r="I923" s="158">
        <f t="shared" si="66"/>
        <v>0.38295249490677502</v>
      </c>
      <c r="J923" s="95">
        <v>0.13397500581202201</v>
      </c>
      <c r="K923" s="137">
        <v>0.631929984001528</v>
      </c>
      <c r="L923" s="137">
        <v>0.61983471074380203</v>
      </c>
      <c r="M923" s="137">
        <v>0.65007289388811795</v>
      </c>
      <c r="N923" s="136">
        <v>1</v>
      </c>
      <c r="O923" s="32">
        <v>43307</v>
      </c>
      <c r="P923" s="98">
        <f t="shared" si="67"/>
        <v>1</v>
      </c>
      <c r="Q923">
        <v>0</v>
      </c>
      <c r="R923">
        <v>0</v>
      </c>
      <c r="S923">
        <v>0</v>
      </c>
      <c r="T923" s="112" t="s">
        <v>73</v>
      </c>
      <c r="U923" s="137" t="s">
        <v>2528</v>
      </c>
      <c r="V923" s="137" t="s">
        <v>2529</v>
      </c>
      <c r="W923" s="69">
        <v>90</v>
      </c>
      <c r="X923" s="136">
        <v>2</v>
      </c>
      <c r="Y923" s="136">
        <v>6</v>
      </c>
      <c r="Z923" s="314"/>
      <c r="AA923" s="319">
        <v>0.5</v>
      </c>
      <c r="AB923" s="315" t="s">
        <v>5168</v>
      </c>
      <c r="AC923" s="319">
        <v>2</v>
      </c>
      <c r="AD923" s="320">
        <v>0.04</v>
      </c>
      <c r="AE923" s="319">
        <v>0</v>
      </c>
      <c r="AF923" s="320">
        <v>0</v>
      </c>
      <c r="AG923" s="319">
        <v>3</v>
      </c>
      <c r="AH923" s="320">
        <v>0.06</v>
      </c>
      <c r="AI923" s="319">
        <v>0</v>
      </c>
      <c r="AJ923" s="320">
        <v>0</v>
      </c>
      <c r="AK923" s="320">
        <v>0</v>
      </c>
      <c r="AL923" s="319">
        <v>5</v>
      </c>
      <c r="AM923" s="319">
        <v>5</v>
      </c>
      <c r="AN923" s="319">
        <v>2</v>
      </c>
      <c r="AO923" s="319">
        <v>0.4</v>
      </c>
      <c r="AP923">
        <v>6</v>
      </c>
      <c r="AR923" s="136">
        <v>6</v>
      </c>
      <c r="AT923" s="69">
        <v>2.3148</v>
      </c>
      <c r="AU923" s="69">
        <v>2.3148</v>
      </c>
      <c r="AV923" s="69">
        <v>2.3148</v>
      </c>
      <c r="AW923" s="69">
        <v>0.23150000000000001</v>
      </c>
      <c r="BB923" s="69"/>
    </row>
    <row r="924" spans="1:54" customFormat="1" ht="40" customHeight="1">
      <c r="A924" s="313">
        <v>923</v>
      </c>
      <c r="B924" s="136" t="s">
        <v>2510</v>
      </c>
      <c r="C924" s="136" t="s">
        <v>45</v>
      </c>
      <c r="D924" s="31">
        <f t="shared" si="64"/>
        <v>4</v>
      </c>
      <c r="E924" s="137" t="s">
        <v>80</v>
      </c>
      <c r="F924" s="31">
        <f t="shared" si="65"/>
        <v>4</v>
      </c>
      <c r="G924" s="137" t="s">
        <v>439</v>
      </c>
      <c r="H924" s="138">
        <v>55</v>
      </c>
      <c r="I924" s="158">
        <f t="shared" si="66"/>
        <v>0.47393100515206099</v>
      </c>
      <c r="J924" s="95">
        <v>9.7862010304122005E-2</v>
      </c>
      <c r="K924" s="137">
        <v>0.85</v>
      </c>
      <c r="L924" s="137">
        <v>0.75</v>
      </c>
      <c r="M924" s="137">
        <v>1</v>
      </c>
      <c r="N924" s="136">
        <v>1</v>
      </c>
      <c r="O924" s="32">
        <v>43245</v>
      </c>
      <c r="P924" s="98">
        <f t="shared" si="67"/>
        <v>0</v>
      </c>
      <c r="Q924">
        <v>5.0999999999999996</v>
      </c>
      <c r="R924">
        <v>0</v>
      </c>
      <c r="S924">
        <v>0</v>
      </c>
      <c r="T924" s="112" t="s">
        <v>48</v>
      </c>
      <c r="U924" s="137" t="s">
        <v>2530</v>
      </c>
      <c r="V924" s="137" t="s">
        <v>2531</v>
      </c>
      <c r="W924" s="69">
        <v>296</v>
      </c>
      <c r="X924" s="136">
        <v>1</v>
      </c>
      <c r="Y924" s="136">
        <v>0</v>
      </c>
      <c r="Z924" s="314"/>
      <c r="AA924" s="319">
        <v>0.5</v>
      </c>
      <c r="AB924" s="315" t="s">
        <v>5176</v>
      </c>
      <c r="AC924" s="319">
        <v>3</v>
      </c>
      <c r="AD924" s="320">
        <v>1.84049079754601E-2</v>
      </c>
      <c r="AE924" s="319">
        <v>5</v>
      </c>
      <c r="AF924" s="320">
        <v>3.0674846625766802E-2</v>
      </c>
      <c r="AG924" s="319">
        <v>2</v>
      </c>
      <c r="AH924" s="320">
        <v>1.22699386503067E-2</v>
      </c>
      <c r="AI924" s="319">
        <v>2</v>
      </c>
      <c r="AJ924" s="320">
        <v>1.22699386503067E-2</v>
      </c>
      <c r="AK924" s="320">
        <v>1.226993865030675E-2</v>
      </c>
      <c r="AL924" s="319">
        <v>5</v>
      </c>
      <c r="AM924" s="319">
        <v>5</v>
      </c>
      <c r="AN924" s="319">
        <v>7.3333333333333304</v>
      </c>
      <c r="AO924" s="319">
        <v>0.57777777777777695</v>
      </c>
      <c r="AP924">
        <v>0</v>
      </c>
      <c r="AS924" s="136">
        <v>0</v>
      </c>
      <c r="AT924" s="69">
        <v>2.3148</v>
      </c>
      <c r="AU924" s="69">
        <v>2.3148</v>
      </c>
      <c r="AV924" s="69">
        <v>9.8416999999999994</v>
      </c>
      <c r="AW924" s="69">
        <v>0.4824</v>
      </c>
      <c r="BB924" s="69"/>
    </row>
    <row r="925" spans="1:54" customFormat="1" ht="40" customHeight="1">
      <c r="A925" s="313">
        <v>924</v>
      </c>
      <c r="B925" s="136" t="s">
        <v>2510</v>
      </c>
      <c r="C925" s="136" t="s">
        <v>45</v>
      </c>
      <c r="D925" s="31">
        <f t="shared" si="64"/>
        <v>4</v>
      </c>
      <c r="E925" s="137" t="s">
        <v>80</v>
      </c>
      <c r="F925" s="31">
        <f t="shared" si="65"/>
        <v>4</v>
      </c>
      <c r="G925" s="137" t="s">
        <v>180</v>
      </c>
      <c r="H925" s="138">
        <v>64</v>
      </c>
      <c r="I925" s="158">
        <f t="shared" si="66"/>
        <v>0.39688649000782245</v>
      </c>
      <c r="J925" s="95">
        <v>9.1583715850185299E-4</v>
      </c>
      <c r="K925" s="137">
        <v>0.79285714285714304</v>
      </c>
      <c r="L925" s="137">
        <v>0.75</v>
      </c>
      <c r="M925" s="137">
        <v>0.85714285714285698</v>
      </c>
      <c r="N925" s="136">
        <v>1</v>
      </c>
      <c r="O925" s="32">
        <v>43244</v>
      </c>
      <c r="P925" s="98">
        <f t="shared" si="67"/>
        <v>0</v>
      </c>
      <c r="Q925">
        <v>2.5499999999999998</v>
      </c>
      <c r="R925">
        <v>0</v>
      </c>
      <c r="S925">
        <v>0</v>
      </c>
      <c r="T925" s="112" t="s">
        <v>48</v>
      </c>
      <c r="U925" s="137" t="s">
        <v>2532</v>
      </c>
      <c r="V925" s="137" t="s">
        <v>2531</v>
      </c>
      <c r="W925" s="69">
        <v>296</v>
      </c>
      <c r="X925" s="136">
        <v>1</v>
      </c>
      <c r="Y925" s="136">
        <v>1</v>
      </c>
      <c r="Z925" s="314"/>
      <c r="AA925" s="319">
        <v>0.54</v>
      </c>
      <c r="AB925" s="315" t="s">
        <v>5176</v>
      </c>
      <c r="AC925" s="319">
        <v>3</v>
      </c>
      <c r="AD925" s="320">
        <v>1.84049079754601E-2</v>
      </c>
      <c r="AE925" s="319">
        <v>5</v>
      </c>
      <c r="AF925" s="320">
        <v>3.0674846625766802E-2</v>
      </c>
      <c r="AG925" s="319">
        <v>2</v>
      </c>
      <c r="AH925" s="320">
        <v>1.22699386503067E-2</v>
      </c>
      <c r="AI925" s="319">
        <v>2</v>
      </c>
      <c r="AJ925" s="320">
        <v>1.22699386503067E-2</v>
      </c>
      <c r="AK925" s="320">
        <v>1.226993865030675E-2</v>
      </c>
      <c r="AL925" s="319">
        <v>6.75</v>
      </c>
      <c r="AM925" s="319">
        <v>5</v>
      </c>
      <c r="AN925" s="319">
        <v>7.3333333333333304</v>
      </c>
      <c r="AO925" s="319">
        <v>0.63611111111111096</v>
      </c>
      <c r="AP925">
        <v>1</v>
      </c>
      <c r="AS925" s="136">
        <v>1</v>
      </c>
      <c r="AT925" s="69">
        <v>6.3414000000000001</v>
      </c>
      <c r="AU925" s="69">
        <v>2.3148</v>
      </c>
      <c r="AV925" s="69">
        <v>9.8416999999999994</v>
      </c>
      <c r="AW925" s="69">
        <v>0.61660000000000004</v>
      </c>
      <c r="BB925" s="69"/>
    </row>
    <row r="926" spans="1:54" customFormat="1" ht="40" customHeight="1">
      <c r="A926" s="313">
        <v>925</v>
      </c>
      <c r="B926" s="136" t="s">
        <v>2510</v>
      </c>
      <c r="C926" s="136" t="s">
        <v>45</v>
      </c>
      <c r="D926" s="31">
        <f t="shared" si="64"/>
        <v>4</v>
      </c>
      <c r="E926" s="137" t="s">
        <v>80</v>
      </c>
      <c r="F926" s="31">
        <f t="shared" si="65"/>
        <v>4</v>
      </c>
      <c r="G926" s="137" t="s">
        <v>559</v>
      </c>
      <c r="H926" s="138">
        <v>73</v>
      </c>
      <c r="I926" s="158">
        <f t="shared" si="66"/>
        <v>0.42510081539235844</v>
      </c>
      <c r="J926" s="95">
        <v>2.01630784716911E-4</v>
      </c>
      <c r="K926" s="137">
        <v>0.85</v>
      </c>
      <c r="L926" s="137">
        <v>0.75</v>
      </c>
      <c r="M926" s="137">
        <v>1</v>
      </c>
      <c r="N926" s="136">
        <v>1</v>
      </c>
      <c r="O926" s="32">
        <v>43242</v>
      </c>
      <c r="P926" s="98">
        <f t="shared" si="67"/>
        <v>0</v>
      </c>
      <c r="Q926">
        <v>0</v>
      </c>
      <c r="R926">
        <v>0</v>
      </c>
      <c r="S926">
        <v>0</v>
      </c>
      <c r="T926" s="112" t="s">
        <v>48</v>
      </c>
      <c r="U926" s="137" t="s">
        <v>2533</v>
      </c>
      <c r="V926" s="137" t="s">
        <v>2534</v>
      </c>
      <c r="W926" s="69">
        <v>220</v>
      </c>
      <c r="X926" s="136">
        <v>1</v>
      </c>
      <c r="Y926" s="136">
        <v>0</v>
      </c>
      <c r="Z926" s="314"/>
      <c r="AA926" s="319">
        <v>0.5</v>
      </c>
      <c r="AB926" s="315" t="s">
        <v>5176</v>
      </c>
      <c r="AC926" s="319">
        <v>2</v>
      </c>
      <c r="AD926" s="320">
        <v>1.6806722689075598E-2</v>
      </c>
      <c r="AE926" s="319">
        <v>8</v>
      </c>
      <c r="AF926" s="320">
        <v>6.7226890756302504E-2</v>
      </c>
      <c r="AG926" s="319">
        <v>2</v>
      </c>
      <c r="AH926" s="320">
        <v>1.6806722689075598E-2</v>
      </c>
      <c r="AI926" s="319">
        <v>2</v>
      </c>
      <c r="AJ926" s="320">
        <v>1.6806722689075598E-2</v>
      </c>
      <c r="AK926" s="320">
        <v>2.5210084033613449E-2</v>
      </c>
      <c r="AL926" s="319">
        <v>5</v>
      </c>
      <c r="AM926" s="319">
        <v>5</v>
      </c>
      <c r="AN926" s="319">
        <v>4.6666666666666599</v>
      </c>
      <c r="AO926" s="319">
        <v>0.48888888888888798</v>
      </c>
      <c r="AP926">
        <v>0</v>
      </c>
      <c r="AS926" s="136">
        <v>0</v>
      </c>
      <c r="AT926" s="69">
        <v>2.3148</v>
      </c>
      <c r="AU926" s="69">
        <v>2.3148</v>
      </c>
      <c r="AV926" s="69">
        <v>8.1305999999999994</v>
      </c>
      <c r="AW926" s="69">
        <v>0.42530000000000001</v>
      </c>
      <c r="BB926" s="69"/>
    </row>
    <row r="927" spans="1:54" customFormat="1" ht="40" customHeight="1">
      <c r="A927" s="313">
        <v>926</v>
      </c>
      <c r="B927" s="136" t="s">
        <v>2510</v>
      </c>
      <c r="C927" s="136" t="s">
        <v>45</v>
      </c>
      <c r="D927" s="31">
        <f t="shared" si="64"/>
        <v>4</v>
      </c>
      <c r="E927" s="137" t="s">
        <v>46</v>
      </c>
      <c r="F927" s="31">
        <f t="shared" si="65"/>
        <v>6</v>
      </c>
      <c r="G927" s="137" t="s">
        <v>2535</v>
      </c>
      <c r="H927" s="138">
        <v>67</v>
      </c>
      <c r="I927" s="158">
        <f t="shared" si="66"/>
        <v>0.377678686582058</v>
      </c>
      <c r="J927" s="95">
        <v>4.3317050251949797E-3</v>
      </c>
      <c r="K927" s="137">
        <v>0.75102566813892102</v>
      </c>
      <c r="L927" s="137">
        <v>0.75</v>
      </c>
      <c r="M927" s="137">
        <v>0.75256417034730305</v>
      </c>
      <c r="N927" s="136">
        <v>1</v>
      </c>
      <c r="O927" s="32">
        <v>43238</v>
      </c>
      <c r="P927" s="98">
        <f t="shared" si="67"/>
        <v>0</v>
      </c>
      <c r="Q927">
        <v>5.0999999999999996</v>
      </c>
      <c r="R927">
        <v>0</v>
      </c>
      <c r="S927">
        <v>0</v>
      </c>
      <c r="T927" s="112" t="s">
        <v>48</v>
      </c>
      <c r="U927" s="137" t="s">
        <v>2536</v>
      </c>
      <c r="V927" s="137" t="s">
        <v>2537</v>
      </c>
      <c r="W927" s="69">
        <v>214</v>
      </c>
      <c r="X927" s="136">
        <v>1</v>
      </c>
      <c r="Y927" s="136">
        <v>3</v>
      </c>
      <c r="Z927" s="314"/>
      <c r="AA927" s="319">
        <v>0.59450000000000003</v>
      </c>
      <c r="AB927" s="315" t="s">
        <v>5176</v>
      </c>
      <c r="AC927" s="319">
        <v>1</v>
      </c>
      <c r="AD927" s="320">
        <v>8.8495575221238902E-3</v>
      </c>
      <c r="AE927" s="319">
        <v>4</v>
      </c>
      <c r="AF927" s="320">
        <v>3.5398230088495498E-2</v>
      </c>
      <c r="AG927" s="319">
        <v>1</v>
      </c>
      <c r="AH927" s="320">
        <v>8.8495575221238902E-3</v>
      </c>
      <c r="AI927" s="319">
        <v>1</v>
      </c>
      <c r="AJ927" s="320">
        <v>8.8495575221238902E-3</v>
      </c>
      <c r="AK927" s="320">
        <v>2.6548672566371681E-2</v>
      </c>
      <c r="AL927" s="319">
        <v>5</v>
      </c>
      <c r="AM927" s="319">
        <v>5</v>
      </c>
      <c r="AN927" s="319">
        <v>6.1666666666666599</v>
      </c>
      <c r="AO927" s="319">
        <v>0.53888888888888797</v>
      </c>
      <c r="AP927">
        <v>3</v>
      </c>
      <c r="AS927" s="136">
        <v>3</v>
      </c>
      <c r="AT927" s="69">
        <v>2.3148</v>
      </c>
      <c r="AU927" s="69">
        <v>2.3148</v>
      </c>
      <c r="AV927" s="69">
        <v>9.5120000000000005</v>
      </c>
      <c r="AW927" s="69">
        <v>0.47139999999999999</v>
      </c>
      <c r="BB927" s="69"/>
    </row>
    <row r="928" spans="1:54" customFormat="1" ht="40" customHeight="1">
      <c r="A928" s="313">
        <v>927</v>
      </c>
      <c r="B928" s="136" t="s">
        <v>2510</v>
      </c>
      <c r="C928" s="136" t="s">
        <v>45</v>
      </c>
      <c r="D928" s="31">
        <f t="shared" si="64"/>
        <v>4</v>
      </c>
      <c r="E928" s="137" t="s">
        <v>80</v>
      </c>
      <c r="F928" s="31">
        <f t="shared" si="65"/>
        <v>4</v>
      </c>
      <c r="G928" s="137" t="s">
        <v>2538</v>
      </c>
      <c r="H928" s="138">
        <v>96</v>
      </c>
      <c r="I928" s="158">
        <f t="shared" si="66"/>
        <v>0.492866685938666</v>
      </c>
      <c r="J928" s="95">
        <v>0.21383254543105101</v>
      </c>
      <c r="K928" s="137">
        <v>0.771900826446281</v>
      </c>
      <c r="L928" s="137">
        <v>0.61983471074380203</v>
      </c>
      <c r="M928" s="137">
        <v>1</v>
      </c>
      <c r="N928" s="136">
        <v>1</v>
      </c>
      <c r="O928" s="32">
        <v>43230</v>
      </c>
      <c r="P928" s="98">
        <f t="shared" si="67"/>
        <v>0</v>
      </c>
      <c r="Q928">
        <v>5.0999999999999996</v>
      </c>
      <c r="R928">
        <v>0</v>
      </c>
      <c r="S928">
        <v>0</v>
      </c>
      <c r="T928" s="112" t="s">
        <v>48</v>
      </c>
      <c r="U928" s="137" t="s">
        <v>2539</v>
      </c>
      <c r="V928" s="137" t="s">
        <v>2540</v>
      </c>
      <c r="W928" s="69">
        <v>288</v>
      </c>
      <c r="X928" s="136">
        <v>1</v>
      </c>
      <c r="Y928" s="136">
        <v>0</v>
      </c>
      <c r="Z928" s="314"/>
      <c r="AA928" s="319">
        <v>0.63239999999999996</v>
      </c>
      <c r="AB928" s="315" t="s">
        <v>5176</v>
      </c>
      <c r="AC928" s="319">
        <v>2</v>
      </c>
      <c r="AD928" s="320">
        <v>1.22699386503067E-2</v>
      </c>
      <c r="AE928" s="319">
        <v>8</v>
      </c>
      <c r="AF928" s="320">
        <v>4.9079754601226898E-2</v>
      </c>
      <c r="AG928" s="319">
        <v>2</v>
      </c>
      <c r="AH928" s="320">
        <v>1.22699386503067E-2</v>
      </c>
      <c r="AI928" s="319">
        <v>2</v>
      </c>
      <c r="AJ928" s="320">
        <v>1.22699386503067E-2</v>
      </c>
      <c r="AK928" s="320">
        <v>1.8518518518518521E-2</v>
      </c>
      <c r="AL928" s="319">
        <v>6.75</v>
      </c>
      <c r="AM928" s="319">
        <v>7.4</v>
      </c>
      <c r="AN928" s="319">
        <v>4.6666666666666599</v>
      </c>
      <c r="AO928" s="319">
        <v>0.62722222222222201</v>
      </c>
      <c r="AP928">
        <v>0</v>
      </c>
      <c r="AS928" s="136">
        <v>0</v>
      </c>
      <c r="AT928" s="69">
        <v>6.3414000000000001</v>
      </c>
      <c r="AU928" s="69">
        <v>7.6852</v>
      </c>
      <c r="AV928" s="69">
        <v>8.1305999999999994</v>
      </c>
      <c r="AW928" s="69">
        <v>0.73860000000000003</v>
      </c>
      <c r="BB928" s="69"/>
    </row>
    <row r="929" spans="1:54" customFormat="1" ht="40" customHeight="1">
      <c r="A929" s="313">
        <v>928</v>
      </c>
      <c r="B929" s="136" t="s">
        <v>2510</v>
      </c>
      <c r="C929" s="136" t="s">
        <v>45</v>
      </c>
      <c r="D929" s="31">
        <f t="shared" si="64"/>
        <v>4</v>
      </c>
      <c r="E929" s="137" t="s">
        <v>80</v>
      </c>
      <c r="F929" s="31">
        <f t="shared" si="65"/>
        <v>4</v>
      </c>
      <c r="G929" s="137" t="s">
        <v>2541</v>
      </c>
      <c r="H929" s="138">
        <v>105</v>
      </c>
      <c r="I929" s="158">
        <f t="shared" si="66"/>
        <v>0.39942844414759354</v>
      </c>
      <c r="J929" s="95">
        <v>5.9997454380440497E-3</v>
      </c>
      <c r="K929" s="137">
        <v>0.79285714285714304</v>
      </c>
      <c r="L929" s="137">
        <v>0.75</v>
      </c>
      <c r="M929" s="137">
        <v>0.85714285714285698</v>
      </c>
      <c r="N929" s="136">
        <v>1</v>
      </c>
      <c r="O929" s="32">
        <v>43229</v>
      </c>
      <c r="P929" s="98">
        <f t="shared" si="67"/>
        <v>0</v>
      </c>
      <c r="Q929">
        <v>2.5499999999999998</v>
      </c>
      <c r="R929">
        <v>0</v>
      </c>
      <c r="S929">
        <v>0</v>
      </c>
      <c r="T929" s="112" t="s">
        <v>48</v>
      </c>
      <c r="U929" s="137" t="s">
        <v>2542</v>
      </c>
      <c r="V929" s="137" t="s">
        <v>2540</v>
      </c>
      <c r="W929" s="69">
        <v>288</v>
      </c>
      <c r="X929" s="136">
        <v>1</v>
      </c>
      <c r="Y929" s="136">
        <v>1</v>
      </c>
      <c r="Z929" s="314"/>
      <c r="AA929" s="319">
        <v>0.54500000000000004</v>
      </c>
      <c r="AB929" s="315" t="s">
        <v>5176</v>
      </c>
      <c r="AC929" s="319">
        <v>2</v>
      </c>
      <c r="AD929" s="320">
        <v>1.22699386503067E-2</v>
      </c>
      <c r="AE929" s="319">
        <v>8</v>
      </c>
      <c r="AF929" s="320">
        <v>4.9079754601226898E-2</v>
      </c>
      <c r="AG929" s="319">
        <v>2</v>
      </c>
      <c r="AH929" s="320">
        <v>1.22699386503067E-2</v>
      </c>
      <c r="AI929" s="319">
        <v>2</v>
      </c>
      <c r="AJ929" s="320">
        <v>1.22699386503067E-2</v>
      </c>
      <c r="AK929" s="320">
        <v>1.8518518518518521E-2</v>
      </c>
      <c r="AL929" s="319">
        <v>6.75</v>
      </c>
      <c r="AM929" s="319">
        <v>5</v>
      </c>
      <c r="AN929" s="319">
        <v>4.6666666666666599</v>
      </c>
      <c r="AO929" s="319">
        <v>0.54722222222222205</v>
      </c>
      <c r="AP929">
        <v>1</v>
      </c>
      <c r="AS929" s="136">
        <v>1</v>
      </c>
      <c r="AT929" s="69">
        <v>6.3414000000000001</v>
      </c>
      <c r="AU929" s="69">
        <v>2.3148</v>
      </c>
      <c r="AV929" s="69">
        <v>8.1305999999999994</v>
      </c>
      <c r="AW929" s="69">
        <v>0.55959999999999999</v>
      </c>
      <c r="BB929" s="69"/>
    </row>
    <row r="930" spans="1:54" customFormat="1" ht="40" customHeight="1">
      <c r="A930" s="313">
        <v>929</v>
      </c>
      <c r="B930" s="136" t="s">
        <v>2510</v>
      </c>
      <c r="C930" s="136" t="s">
        <v>45</v>
      </c>
      <c r="D930" s="31">
        <f t="shared" si="64"/>
        <v>4</v>
      </c>
      <c r="E930" s="137" t="s">
        <v>80</v>
      </c>
      <c r="F930" s="31">
        <f t="shared" si="65"/>
        <v>4</v>
      </c>
      <c r="G930" s="137" t="s">
        <v>439</v>
      </c>
      <c r="H930" s="138">
        <v>35</v>
      </c>
      <c r="I930" s="158">
        <f t="shared" si="66"/>
        <v>0.39684273044801965</v>
      </c>
      <c r="J930" s="95">
        <v>8.2831803889626997E-4</v>
      </c>
      <c r="K930" s="137">
        <v>0.79285714285714304</v>
      </c>
      <c r="L930" s="137">
        <v>0.75</v>
      </c>
      <c r="M930" s="137">
        <v>0.85714285714285698</v>
      </c>
      <c r="N930" s="136">
        <v>1</v>
      </c>
      <c r="O930" s="32">
        <v>43229</v>
      </c>
      <c r="P930" s="98">
        <f t="shared" si="67"/>
        <v>0</v>
      </c>
      <c r="Q930">
        <v>5.0999999999999996</v>
      </c>
      <c r="R930">
        <v>0</v>
      </c>
      <c r="S930">
        <v>0</v>
      </c>
      <c r="T930" s="112" t="s">
        <v>48</v>
      </c>
      <c r="U930" s="137" t="s">
        <v>2543</v>
      </c>
      <c r="V930" s="137" t="s">
        <v>2540</v>
      </c>
      <c r="W930" s="69">
        <v>288</v>
      </c>
      <c r="X930" s="136">
        <v>1</v>
      </c>
      <c r="Y930" s="136">
        <v>1</v>
      </c>
      <c r="Z930" s="314"/>
      <c r="AA930" s="319">
        <v>0.5</v>
      </c>
      <c r="AB930" s="315" t="s">
        <v>5176</v>
      </c>
      <c r="AC930" s="319">
        <v>2</v>
      </c>
      <c r="AD930" s="320">
        <v>1.22699386503067E-2</v>
      </c>
      <c r="AE930" s="319">
        <v>8</v>
      </c>
      <c r="AF930" s="320">
        <v>4.9079754601226898E-2</v>
      </c>
      <c r="AG930" s="319">
        <v>2</v>
      </c>
      <c r="AH930" s="320">
        <v>1.22699386503067E-2</v>
      </c>
      <c r="AI930" s="319">
        <v>2</v>
      </c>
      <c r="AJ930" s="320">
        <v>1.22699386503067E-2</v>
      </c>
      <c r="AK930" s="320">
        <v>1.8518518518518521E-2</v>
      </c>
      <c r="AL930" s="319">
        <v>5</v>
      </c>
      <c r="AM930" s="319">
        <v>5</v>
      </c>
      <c r="AN930" s="319">
        <v>4.6666666666666599</v>
      </c>
      <c r="AO930" s="319">
        <v>0.48888888888888798</v>
      </c>
      <c r="AP930">
        <v>1</v>
      </c>
      <c r="AS930" s="136">
        <v>1</v>
      </c>
      <c r="AT930" s="69">
        <v>2.3148</v>
      </c>
      <c r="AU930" s="69">
        <v>2.3148</v>
      </c>
      <c r="AV930" s="69">
        <v>8.1305999999999994</v>
      </c>
      <c r="AW930" s="69">
        <v>0.42530000000000001</v>
      </c>
      <c r="BB930" s="69"/>
    </row>
    <row r="931" spans="1:54" customFormat="1" ht="40" customHeight="1">
      <c r="A931" s="313">
        <v>930</v>
      </c>
      <c r="B931" s="136" t="s">
        <v>2510</v>
      </c>
      <c r="C931" s="136" t="s">
        <v>45</v>
      </c>
      <c r="D931" s="31">
        <f t="shared" si="64"/>
        <v>4</v>
      </c>
      <c r="E931" s="137" t="s">
        <v>80</v>
      </c>
      <c r="F931" s="31">
        <f t="shared" si="65"/>
        <v>4</v>
      </c>
      <c r="G931" s="137" t="s">
        <v>200</v>
      </c>
      <c r="H931" s="138">
        <v>47</v>
      </c>
      <c r="I931" s="158">
        <f t="shared" si="66"/>
        <v>0.41585157097701958</v>
      </c>
      <c r="J931" s="95">
        <v>3.8845999096896101E-2</v>
      </c>
      <c r="K931" s="137">
        <v>0.79285714285714304</v>
      </c>
      <c r="L931" s="137">
        <v>0.75</v>
      </c>
      <c r="M931" s="137">
        <v>0.85714285714285698</v>
      </c>
      <c r="N931" s="136">
        <v>1</v>
      </c>
      <c r="O931" s="32">
        <v>43229</v>
      </c>
      <c r="P931" s="98">
        <f t="shared" si="67"/>
        <v>0</v>
      </c>
      <c r="Q931">
        <v>5.0999999999999996</v>
      </c>
      <c r="R931">
        <v>0</v>
      </c>
      <c r="S931">
        <v>0</v>
      </c>
      <c r="T931" s="112" t="s">
        <v>48</v>
      </c>
      <c r="U931" s="137" t="s">
        <v>2544</v>
      </c>
      <c r="V931" s="137" t="s">
        <v>2545</v>
      </c>
      <c r="W931" s="69">
        <v>288</v>
      </c>
      <c r="X931" s="136">
        <v>1</v>
      </c>
      <c r="Y931" s="136">
        <v>1</v>
      </c>
      <c r="Z931" s="314"/>
      <c r="AA931" s="319">
        <v>0.54500000000000004</v>
      </c>
      <c r="AB931" s="315" t="s">
        <v>5176</v>
      </c>
      <c r="AC931" s="319">
        <v>2</v>
      </c>
      <c r="AD931" s="320">
        <v>1.22699386503067E-2</v>
      </c>
      <c r="AE931" s="319">
        <v>8</v>
      </c>
      <c r="AF931" s="320">
        <v>4.9079754601226898E-2</v>
      </c>
      <c r="AG931" s="319">
        <v>2</v>
      </c>
      <c r="AH931" s="320">
        <v>1.22699386503067E-2</v>
      </c>
      <c r="AI931" s="319">
        <v>2</v>
      </c>
      <c r="AJ931" s="320">
        <v>1.22699386503067E-2</v>
      </c>
      <c r="AK931" s="320">
        <v>1.8518518518518521E-2</v>
      </c>
      <c r="AL931" s="319">
        <v>6.75</v>
      </c>
      <c r="AM931" s="319">
        <v>5</v>
      </c>
      <c r="AN931" s="319">
        <v>7.3333333333333304</v>
      </c>
      <c r="AO931" s="319">
        <v>0.63611111111111096</v>
      </c>
      <c r="AP931">
        <v>1</v>
      </c>
      <c r="AS931" s="136">
        <v>1</v>
      </c>
      <c r="AT931" s="69">
        <v>6.3414000000000001</v>
      </c>
      <c r="AU931" s="69">
        <v>2.3148</v>
      </c>
      <c r="AV931" s="69">
        <v>9.8416999999999994</v>
      </c>
      <c r="AW931" s="69">
        <v>0.61660000000000004</v>
      </c>
      <c r="BB931" s="69"/>
    </row>
    <row r="932" spans="1:54" customFormat="1" ht="40" customHeight="1">
      <c r="A932" s="313">
        <v>931</v>
      </c>
      <c r="B932" s="136" t="s">
        <v>2510</v>
      </c>
      <c r="C932" s="136" t="s">
        <v>45</v>
      </c>
      <c r="D932" s="31">
        <f t="shared" si="64"/>
        <v>4</v>
      </c>
      <c r="E932" s="137" t="s">
        <v>80</v>
      </c>
      <c r="F932" s="31">
        <f t="shared" si="65"/>
        <v>4</v>
      </c>
      <c r="G932" s="137" t="s">
        <v>439</v>
      </c>
      <c r="H932" s="138">
        <v>51</v>
      </c>
      <c r="I932" s="158">
        <f t="shared" si="66"/>
        <v>0.37607219829385669</v>
      </c>
      <c r="J932" s="95">
        <v>1.96344639661339E-4</v>
      </c>
      <c r="K932" s="137">
        <v>0.75194805194805203</v>
      </c>
      <c r="L932" s="137">
        <v>0.68181818181818199</v>
      </c>
      <c r="M932" s="137">
        <v>0.85714285714285698</v>
      </c>
      <c r="N932" s="136">
        <v>1</v>
      </c>
      <c r="O932" s="32">
        <v>43229</v>
      </c>
      <c r="P932" s="98">
        <f t="shared" si="67"/>
        <v>0</v>
      </c>
      <c r="Q932">
        <v>2.5499999999999998</v>
      </c>
      <c r="R932">
        <v>0</v>
      </c>
      <c r="S932">
        <v>0</v>
      </c>
      <c r="T932" s="112" t="s">
        <v>48</v>
      </c>
      <c r="U932" s="137" t="s">
        <v>2546</v>
      </c>
      <c r="V932" s="137" t="s">
        <v>2547</v>
      </c>
      <c r="W932" s="69">
        <v>288</v>
      </c>
      <c r="X932" s="136">
        <v>1</v>
      </c>
      <c r="Y932" s="136">
        <v>1</v>
      </c>
      <c r="Z932" s="314"/>
      <c r="AA932" s="319">
        <v>0.54500000000000004</v>
      </c>
      <c r="AB932" s="315" t="s">
        <v>5176</v>
      </c>
      <c r="AC932" s="319">
        <v>2</v>
      </c>
      <c r="AD932" s="320">
        <v>1.22699386503067E-2</v>
      </c>
      <c r="AE932" s="319">
        <v>8</v>
      </c>
      <c r="AF932" s="320">
        <v>4.9079754601226898E-2</v>
      </c>
      <c r="AG932" s="319">
        <v>2</v>
      </c>
      <c r="AH932" s="320">
        <v>1.22699386503067E-2</v>
      </c>
      <c r="AI932" s="319">
        <v>2</v>
      </c>
      <c r="AJ932" s="320">
        <v>1.22699386503067E-2</v>
      </c>
      <c r="AK932" s="320">
        <v>1.8518518518518521E-2</v>
      </c>
      <c r="AL932" s="319">
        <v>5</v>
      </c>
      <c r="AM932" s="319">
        <v>5</v>
      </c>
      <c r="AN932" s="319">
        <v>4.6666666666666599</v>
      </c>
      <c r="AO932" s="319">
        <v>0.48888888888888798</v>
      </c>
      <c r="AP932">
        <v>1</v>
      </c>
      <c r="AS932" s="136">
        <v>1</v>
      </c>
      <c r="AT932" s="69">
        <v>2.3148</v>
      </c>
      <c r="AU932" s="69">
        <v>2.3148</v>
      </c>
      <c r="AV932" s="69">
        <v>8.1305999999999994</v>
      </c>
      <c r="AW932" s="69">
        <v>0.42530000000000001</v>
      </c>
      <c r="BB932" s="69"/>
    </row>
    <row r="933" spans="1:54" customFormat="1" ht="40" customHeight="1">
      <c r="A933" s="313">
        <v>932</v>
      </c>
      <c r="B933" s="136" t="s">
        <v>2510</v>
      </c>
      <c r="C933" s="136" t="s">
        <v>45</v>
      </c>
      <c r="D933" s="31">
        <f t="shared" si="64"/>
        <v>4</v>
      </c>
      <c r="E933" s="137" t="s">
        <v>80</v>
      </c>
      <c r="F933" s="31">
        <f t="shared" si="65"/>
        <v>4</v>
      </c>
      <c r="G933" s="137" t="s">
        <v>2541</v>
      </c>
      <c r="H933" s="138">
        <v>80</v>
      </c>
      <c r="I933" s="158">
        <f t="shared" si="66"/>
        <v>0.44750358578859567</v>
      </c>
      <c r="J933" s="95">
        <v>7.1715771913227704E-6</v>
      </c>
      <c r="K933" s="137">
        <v>0.89500000000000002</v>
      </c>
      <c r="L933" s="137">
        <v>0.82499999999999996</v>
      </c>
      <c r="M933" s="137">
        <v>1</v>
      </c>
      <c r="N933" s="136">
        <v>1</v>
      </c>
      <c r="O933" s="32">
        <v>43222</v>
      </c>
      <c r="P933" s="98">
        <f t="shared" si="67"/>
        <v>0</v>
      </c>
      <c r="Q933">
        <v>0</v>
      </c>
      <c r="R933">
        <v>0</v>
      </c>
      <c r="S933">
        <v>0</v>
      </c>
      <c r="T933" s="112" t="s">
        <v>48</v>
      </c>
      <c r="U933" s="137" t="s">
        <v>2548</v>
      </c>
      <c r="V933" s="137" t="s">
        <v>2549</v>
      </c>
      <c r="W933" s="69">
        <v>255</v>
      </c>
      <c r="X933" s="136">
        <v>1</v>
      </c>
      <c r="Y933" s="136">
        <v>0</v>
      </c>
      <c r="Z933" s="314"/>
      <c r="AA933" s="319">
        <v>0.54500000000000004</v>
      </c>
      <c r="AB933" s="315" t="s">
        <v>5176</v>
      </c>
      <c r="AC933" s="319">
        <v>2</v>
      </c>
      <c r="AD933" s="320">
        <v>1.42857142857142E-2</v>
      </c>
      <c r="AE933" s="319">
        <v>8</v>
      </c>
      <c r="AF933" s="320">
        <v>5.7142857142857099E-2</v>
      </c>
      <c r="AG933" s="319">
        <v>2</v>
      </c>
      <c r="AH933" s="320">
        <v>1.42857142857142E-2</v>
      </c>
      <c r="AI933" s="319">
        <v>2</v>
      </c>
      <c r="AJ933" s="320">
        <v>1.42857142857142E-2</v>
      </c>
      <c r="AK933" s="320">
        <v>2.8571428571428571E-2</v>
      </c>
      <c r="AL933" s="319">
        <v>5</v>
      </c>
      <c r="AM933" s="319">
        <v>5</v>
      </c>
      <c r="AN933" s="319">
        <v>4.6666666666666599</v>
      </c>
      <c r="AO933" s="319">
        <v>0.48888888888888798</v>
      </c>
      <c r="AP933">
        <v>0</v>
      </c>
      <c r="AS933" s="136">
        <v>0</v>
      </c>
      <c r="AT933" s="69">
        <v>2.3148</v>
      </c>
      <c r="AU933" s="69">
        <v>2.3148</v>
      </c>
      <c r="AV933" s="69">
        <v>8.1305999999999994</v>
      </c>
      <c r="AW933" s="69">
        <v>0.42530000000000001</v>
      </c>
      <c r="BB933" s="69"/>
    </row>
    <row r="934" spans="1:54" customFormat="1" ht="40" customHeight="1">
      <c r="A934" s="313">
        <v>933</v>
      </c>
      <c r="B934" s="136" t="s">
        <v>2510</v>
      </c>
      <c r="C934" s="136" t="s">
        <v>45</v>
      </c>
      <c r="D934" s="31">
        <f t="shared" si="64"/>
        <v>4</v>
      </c>
      <c r="E934" s="137" t="s">
        <v>80</v>
      </c>
      <c r="F934" s="31">
        <f t="shared" si="65"/>
        <v>4</v>
      </c>
      <c r="G934" s="137" t="s">
        <v>2550</v>
      </c>
      <c r="H934" s="138">
        <v>205</v>
      </c>
      <c r="I934" s="158">
        <f t="shared" si="66"/>
        <v>0.38595041339846248</v>
      </c>
      <c r="J934" s="95">
        <v>3.5064395831341198E-10</v>
      </c>
      <c r="K934" s="137">
        <v>0.771900826446281</v>
      </c>
      <c r="L934" s="137">
        <v>0.61983471074380103</v>
      </c>
      <c r="M934" s="137">
        <v>1</v>
      </c>
      <c r="N934" s="136">
        <v>1</v>
      </c>
      <c r="O934" s="32">
        <v>43222</v>
      </c>
      <c r="P934" s="98">
        <f t="shared" si="67"/>
        <v>0</v>
      </c>
      <c r="Q934">
        <v>0</v>
      </c>
      <c r="R934">
        <v>0</v>
      </c>
      <c r="S934">
        <v>0</v>
      </c>
      <c r="T934" s="112" t="s">
        <v>48</v>
      </c>
      <c r="U934" s="137" t="s">
        <v>2551</v>
      </c>
      <c r="V934" s="137" t="s">
        <v>2549</v>
      </c>
      <c r="W934" s="69">
        <v>255</v>
      </c>
      <c r="X934" s="136">
        <v>1</v>
      </c>
      <c r="Y934" s="136">
        <v>0</v>
      </c>
      <c r="Z934" s="314"/>
      <c r="AA934" s="319">
        <v>0.5</v>
      </c>
      <c r="AB934" s="315" t="s">
        <v>5176</v>
      </c>
      <c r="AC934" s="319">
        <v>2</v>
      </c>
      <c r="AD934" s="320">
        <v>1.42857142857142E-2</v>
      </c>
      <c r="AE934" s="319">
        <v>8</v>
      </c>
      <c r="AF934" s="320">
        <v>5.7142857142857099E-2</v>
      </c>
      <c r="AG934" s="319">
        <v>2</v>
      </c>
      <c r="AH934" s="320">
        <v>1.42857142857142E-2</v>
      </c>
      <c r="AI934" s="319">
        <v>2</v>
      </c>
      <c r="AJ934" s="320">
        <v>1.42857142857142E-2</v>
      </c>
      <c r="AK934" s="320">
        <v>2.8571428571428571E-2</v>
      </c>
      <c r="AL934" s="319">
        <v>5</v>
      </c>
      <c r="AM934" s="319">
        <v>5</v>
      </c>
      <c r="AN934" s="319">
        <v>4.6666666666666599</v>
      </c>
      <c r="AO934" s="319">
        <v>0.48888888888888798</v>
      </c>
      <c r="AP934">
        <v>0</v>
      </c>
      <c r="AS934" s="136">
        <v>0</v>
      </c>
      <c r="AT934" s="69">
        <v>2.3148</v>
      </c>
      <c r="AU934" s="69">
        <v>2.3148</v>
      </c>
      <c r="AV934" s="69">
        <v>8.1305999999999994</v>
      </c>
      <c r="AW934" s="69">
        <v>0.42530000000000001</v>
      </c>
      <c r="BB934" s="69"/>
    </row>
    <row r="935" spans="1:54" customFormat="1" ht="40" customHeight="1">
      <c r="A935" s="313">
        <v>934</v>
      </c>
      <c r="B935" s="136" t="s">
        <v>2510</v>
      </c>
      <c r="C935" s="136" t="s">
        <v>45</v>
      </c>
      <c r="D935" s="31">
        <f t="shared" si="64"/>
        <v>4</v>
      </c>
      <c r="E935" s="137" t="s">
        <v>80</v>
      </c>
      <c r="F935" s="31">
        <f t="shared" si="65"/>
        <v>4</v>
      </c>
      <c r="G935" s="137" t="s">
        <v>159</v>
      </c>
      <c r="H935" s="138">
        <v>46</v>
      </c>
      <c r="I935" s="158">
        <f t="shared" si="66"/>
        <v>0.46237415865314174</v>
      </c>
      <c r="J935" s="95">
        <v>2.9748317306283498E-2</v>
      </c>
      <c r="K935" s="137">
        <v>0.89500000000000002</v>
      </c>
      <c r="L935" s="137">
        <v>0.82499999999999996</v>
      </c>
      <c r="M935" s="137">
        <v>1</v>
      </c>
      <c r="N935" s="136">
        <v>1</v>
      </c>
      <c r="O935" s="32">
        <v>43222</v>
      </c>
      <c r="P935" s="98">
        <f t="shared" si="67"/>
        <v>0</v>
      </c>
      <c r="Q935">
        <v>5.0999999999999996</v>
      </c>
      <c r="R935">
        <v>0</v>
      </c>
      <c r="S935">
        <v>0</v>
      </c>
      <c r="T935" s="112" t="s">
        <v>48</v>
      </c>
      <c r="U935" s="137" t="s">
        <v>2552</v>
      </c>
      <c r="V935" s="137" t="s">
        <v>2553</v>
      </c>
      <c r="W935" s="69">
        <v>210</v>
      </c>
      <c r="X935" s="136">
        <v>1</v>
      </c>
      <c r="Y935" s="136">
        <v>0</v>
      </c>
      <c r="Z935" s="314"/>
      <c r="AA935" s="319">
        <v>0.54500000000000004</v>
      </c>
      <c r="AB935" s="315" t="s">
        <v>5176</v>
      </c>
      <c r="AC935" s="319">
        <v>2</v>
      </c>
      <c r="AD935" s="320">
        <v>1.7543859649122799E-2</v>
      </c>
      <c r="AE935" s="319">
        <v>8</v>
      </c>
      <c r="AF935" s="320">
        <v>7.0175438596491196E-2</v>
      </c>
      <c r="AG935" s="319">
        <v>2</v>
      </c>
      <c r="AH935" s="320">
        <v>1.7543859649122799E-2</v>
      </c>
      <c r="AI935" s="319">
        <v>2</v>
      </c>
      <c r="AJ935" s="320">
        <v>1.7543859649122799E-2</v>
      </c>
      <c r="AK935" s="320">
        <v>2.6315789473684209E-2</v>
      </c>
      <c r="AL935" s="319">
        <v>6.75</v>
      </c>
      <c r="AM935" s="319">
        <v>5</v>
      </c>
      <c r="AN935" s="319">
        <v>4.6666666666666599</v>
      </c>
      <c r="AO935" s="319">
        <v>0.54722222222222205</v>
      </c>
      <c r="AP935">
        <v>0</v>
      </c>
      <c r="AS935" s="136">
        <v>0</v>
      </c>
      <c r="AT935" s="69">
        <v>6.3414000000000001</v>
      </c>
      <c r="AU935" s="69">
        <v>2.3148</v>
      </c>
      <c r="AV935" s="69">
        <v>8.1305999999999994</v>
      </c>
      <c r="AW935" s="69">
        <v>0.55959999999999999</v>
      </c>
      <c r="BB935" s="69"/>
    </row>
    <row r="936" spans="1:54" customFormat="1" ht="40" customHeight="1">
      <c r="A936" s="313">
        <v>935</v>
      </c>
      <c r="B936" s="136" t="s">
        <v>2510</v>
      </c>
      <c r="C936" s="136" t="s">
        <v>45</v>
      </c>
      <c r="D936" s="31">
        <f t="shared" si="64"/>
        <v>4</v>
      </c>
      <c r="E936" s="137" t="s">
        <v>80</v>
      </c>
      <c r="F936" s="31">
        <f t="shared" si="65"/>
        <v>4</v>
      </c>
      <c r="G936" s="137" t="s">
        <v>180</v>
      </c>
      <c r="H936" s="138">
        <v>41</v>
      </c>
      <c r="I936" s="158">
        <f t="shared" si="66"/>
        <v>0.65169122960889658</v>
      </c>
      <c r="J936" s="95">
        <v>0.51052531636065002</v>
      </c>
      <c r="K936" s="137">
        <v>0.79285714285714304</v>
      </c>
      <c r="L936" s="137">
        <v>0.75</v>
      </c>
      <c r="M936" s="137">
        <v>0.85714285714285698</v>
      </c>
      <c r="N936" s="136">
        <v>1</v>
      </c>
      <c r="O936" s="32">
        <v>43217</v>
      </c>
      <c r="P936" s="98">
        <f t="shared" si="67"/>
        <v>0</v>
      </c>
      <c r="Q936">
        <v>2.5499999999999998</v>
      </c>
      <c r="R936">
        <v>0</v>
      </c>
      <c r="S936">
        <v>0</v>
      </c>
      <c r="T936" s="112" t="s">
        <v>48</v>
      </c>
      <c r="U936" s="137" t="s">
        <v>2554</v>
      </c>
      <c r="V936" s="137" t="s">
        <v>2555</v>
      </c>
      <c r="W936" s="69">
        <v>241</v>
      </c>
      <c r="X936" s="136">
        <v>1</v>
      </c>
      <c r="Y936" s="136">
        <v>1</v>
      </c>
      <c r="Z936" s="314"/>
      <c r="AA936" s="319">
        <v>0.60499999999999998</v>
      </c>
      <c r="AB936" s="315" t="s">
        <v>5176</v>
      </c>
      <c r="AC936" s="319">
        <v>3</v>
      </c>
      <c r="AD936" s="320">
        <v>2.3076923076922998E-2</v>
      </c>
      <c r="AE936" s="319">
        <v>9</v>
      </c>
      <c r="AF936" s="320">
        <v>6.9230769230769207E-2</v>
      </c>
      <c r="AG936" s="319">
        <v>2</v>
      </c>
      <c r="AH936" s="320">
        <v>1.53846153846153E-2</v>
      </c>
      <c r="AI936" s="319">
        <v>2</v>
      </c>
      <c r="AJ936" s="320">
        <v>1.53846153846153E-2</v>
      </c>
      <c r="AK936" s="320">
        <v>2.3076923076923082E-2</v>
      </c>
      <c r="AL936" s="319">
        <v>5</v>
      </c>
      <c r="AM936" s="319">
        <v>6.2</v>
      </c>
      <c r="AN936" s="319">
        <v>4.6666666666666599</v>
      </c>
      <c r="AO936" s="319">
        <v>0.52888888888888796</v>
      </c>
      <c r="AP936">
        <v>1</v>
      </c>
      <c r="AS936" s="136">
        <v>1</v>
      </c>
      <c r="AT936" s="69">
        <v>2.3148</v>
      </c>
      <c r="AU936" s="69">
        <v>5</v>
      </c>
      <c r="AV936" s="69">
        <v>8.1305999999999994</v>
      </c>
      <c r="AW936" s="69">
        <v>0.51480000000000004</v>
      </c>
      <c r="BB936" s="69"/>
    </row>
    <row r="937" spans="1:54" customFormat="1" ht="40" customHeight="1">
      <c r="A937" s="313">
        <v>936</v>
      </c>
      <c r="B937" s="136" t="s">
        <v>2510</v>
      </c>
      <c r="C937" s="136" t="s">
        <v>45</v>
      </c>
      <c r="D937" s="31">
        <f t="shared" si="64"/>
        <v>4</v>
      </c>
      <c r="E937" s="137" t="s">
        <v>80</v>
      </c>
      <c r="F937" s="31">
        <f t="shared" si="65"/>
        <v>4</v>
      </c>
      <c r="G937" s="137" t="s">
        <v>2556</v>
      </c>
      <c r="H937" s="138">
        <v>54</v>
      </c>
      <c r="I937" s="158">
        <f t="shared" si="66"/>
        <v>0.41148946416132903</v>
      </c>
      <c r="J937" s="95">
        <v>8.7911318868351095E-3</v>
      </c>
      <c r="K937" s="137">
        <v>0.81418779643582295</v>
      </c>
      <c r="L937" s="137">
        <v>0.82499999999999996</v>
      </c>
      <c r="M937" s="137">
        <v>0.79796949108955795</v>
      </c>
      <c r="N937" s="136">
        <v>1</v>
      </c>
      <c r="O937" s="32">
        <v>43197</v>
      </c>
      <c r="P937" s="98">
        <f t="shared" si="67"/>
        <v>1</v>
      </c>
      <c r="Q937">
        <v>0</v>
      </c>
      <c r="R937">
        <v>0</v>
      </c>
      <c r="S937">
        <v>0</v>
      </c>
      <c r="T937" s="112" t="s">
        <v>73</v>
      </c>
      <c r="U937" s="137" t="s">
        <v>2557</v>
      </c>
      <c r="V937" s="137" t="s">
        <v>2558</v>
      </c>
      <c r="W937" s="69">
        <v>128</v>
      </c>
      <c r="X937" s="136">
        <v>1</v>
      </c>
      <c r="Y937" s="136">
        <v>2</v>
      </c>
      <c r="Z937" s="314"/>
      <c r="AA937" s="319">
        <v>0.54500000000000004</v>
      </c>
      <c r="AB937" s="315" t="s">
        <v>5181</v>
      </c>
      <c r="AC937" s="319">
        <v>1</v>
      </c>
      <c r="AD937" s="320">
        <v>1.38888888888888E-2</v>
      </c>
      <c r="AE937" s="319">
        <v>1</v>
      </c>
      <c r="AF937" s="320">
        <v>1.38888888888888E-2</v>
      </c>
      <c r="AG937" s="319">
        <v>1</v>
      </c>
      <c r="AH937" s="320">
        <v>1.38888888888888E-2</v>
      </c>
      <c r="AI937" s="319">
        <v>1</v>
      </c>
      <c r="AJ937" s="320">
        <v>1.38888888888888E-2</v>
      </c>
      <c r="AK937" s="320">
        <v>1.388888888888889E-2</v>
      </c>
      <c r="AL937" s="319">
        <v>5</v>
      </c>
      <c r="AM937" s="319">
        <v>5</v>
      </c>
      <c r="AN937" s="319">
        <v>4.6666666666666599</v>
      </c>
      <c r="AO937" s="319">
        <v>0.48888888888888798</v>
      </c>
      <c r="AP937">
        <v>2</v>
      </c>
      <c r="AR937" s="136">
        <v>2</v>
      </c>
      <c r="AT937" s="69">
        <v>2.3148</v>
      </c>
      <c r="AU937" s="69">
        <v>2.3148</v>
      </c>
      <c r="AV937" s="69">
        <v>8.1305999999999994</v>
      </c>
      <c r="AW937" s="69">
        <v>0.42530000000000001</v>
      </c>
      <c r="BB937" s="69"/>
    </row>
    <row r="938" spans="1:54" customFormat="1" ht="40" customHeight="1">
      <c r="A938" s="313">
        <v>937</v>
      </c>
      <c r="B938" s="136" t="s">
        <v>2510</v>
      </c>
      <c r="C938" s="136" t="s">
        <v>45</v>
      </c>
      <c r="D938" s="31">
        <f t="shared" si="64"/>
        <v>4</v>
      </c>
      <c r="E938" s="137" t="s">
        <v>80</v>
      </c>
      <c r="F938" s="31">
        <f t="shared" si="65"/>
        <v>4</v>
      </c>
      <c r="G938" s="137" t="s">
        <v>2559</v>
      </c>
      <c r="H938" s="138">
        <v>46</v>
      </c>
      <c r="I938" s="158">
        <f t="shared" si="66"/>
        <v>0.72067900601160906</v>
      </c>
      <c r="J938" s="95">
        <v>0.62717021558739505</v>
      </c>
      <c r="K938" s="137">
        <v>0.81418779643582295</v>
      </c>
      <c r="L938" s="137">
        <v>0.82499999999999996</v>
      </c>
      <c r="M938" s="137">
        <v>0.79796949108955795</v>
      </c>
      <c r="N938" s="136">
        <v>1</v>
      </c>
      <c r="O938" s="32">
        <v>43191</v>
      </c>
      <c r="P938" s="98">
        <f t="shared" si="67"/>
        <v>0</v>
      </c>
      <c r="Q938">
        <v>2.5499999999999998</v>
      </c>
      <c r="R938">
        <v>0</v>
      </c>
      <c r="S938">
        <v>0</v>
      </c>
      <c r="T938" s="112" t="s">
        <v>48</v>
      </c>
      <c r="U938" s="137" t="s">
        <v>2560</v>
      </c>
      <c r="V938" s="137" t="s">
        <v>2561</v>
      </c>
      <c r="W938" s="69">
        <v>53</v>
      </c>
      <c r="X938" s="136">
        <v>1</v>
      </c>
      <c r="Y938" s="136">
        <v>2</v>
      </c>
      <c r="Z938" s="314"/>
      <c r="AA938" s="319">
        <v>0.60499999999999998</v>
      </c>
      <c r="AB938" s="315" t="s">
        <v>5166</v>
      </c>
      <c r="AC938" s="319">
        <v>1</v>
      </c>
      <c r="AD938" s="320">
        <v>3.125E-2</v>
      </c>
      <c r="AE938" s="319">
        <v>0</v>
      </c>
      <c r="AF938" s="320">
        <v>0</v>
      </c>
      <c r="AG938" s="319">
        <v>0</v>
      </c>
      <c r="AH938" s="320">
        <v>0</v>
      </c>
      <c r="AI938" s="319">
        <v>1</v>
      </c>
      <c r="AJ938" s="320">
        <v>3.125E-2</v>
      </c>
      <c r="AK938" s="320">
        <v>0</v>
      </c>
      <c r="AL938" s="319">
        <v>6.75</v>
      </c>
      <c r="AM938" s="319">
        <v>6.2</v>
      </c>
      <c r="AN938" s="319">
        <v>4.6666666666666599</v>
      </c>
      <c r="AO938" s="319">
        <v>0.58722222222222198</v>
      </c>
      <c r="AP938">
        <v>2</v>
      </c>
      <c r="AR938" s="136">
        <v>2</v>
      </c>
      <c r="AT938" s="69">
        <v>6.3414000000000001</v>
      </c>
      <c r="AU938" s="69">
        <v>5</v>
      </c>
      <c r="AV938" s="69">
        <v>8.1305999999999994</v>
      </c>
      <c r="AW938" s="69">
        <v>0.64910000000000001</v>
      </c>
      <c r="BB938" s="69"/>
    </row>
    <row r="939" spans="1:54" customFormat="1" ht="40" customHeight="1">
      <c r="A939" s="313">
        <v>938</v>
      </c>
      <c r="B939" s="136" t="s">
        <v>2510</v>
      </c>
      <c r="C939" s="136" t="s">
        <v>45</v>
      </c>
      <c r="D939" s="31">
        <f t="shared" si="64"/>
        <v>4</v>
      </c>
      <c r="E939" s="137" t="s">
        <v>80</v>
      </c>
      <c r="F939" s="31">
        <f t="shared" si="65"/>
        <v>4</v>
      </c>
      <c r="G939" s="137" t="s">
        <v>2036</v>
      </c>
      <c r="H939" s="138">
        <v>41</v>
      </c>
      <c r="I939" s="158">
        <f t="shared" si="66"/>
        <v>0.42651689776635954</v>
      </c>
      <c r="J939" s="95">
        <v>3.8845999096896101E-2</v>
      </c>
      <c r="K939" s="137">
        <v>0.81418779643582295</v>
      </c>
      <c r="L939" s="137">
        <v>0.82499999999999996</v>
      </c>
      <c r="M939" s="137">
        <v>0.79796949108955795</v>
      </c>
      <c r="N939" s="136">
        <v>1</v>
      </c>
      <c r="O939" s="32">
        <v>43191</v>
      </c>
      <c r="P939" s="98">
        <f t="shared" si="67"/>
        <v>0</v>
      </c>
      <c r="Q939">
        <v>5.0999999999999996</v>
      </c>
      <c r="R939">
        <v>0</v>
      </c>
      <c r="S939">
        <v>0</v>
      </c>
      <c r="T939" s="112" t="s">
        <v>48</v>
      </c>
      <c r="U939" s="137" t="s">
        <v>2562</v>
      </c>
      <c r="V939" s="137" t="s">
        <v>2561</v>
      </c>
      <c r="W939" s="69">
        <v>53</v>
      </c>
      <c r="X939" s="136">
        <v>1</v>
      </c>
      <c r="Y939" s="136">
        <v>2</v>
      </c>
      <c r="Z939" s="314"/>
      <c r="AA939" s="319">
        <v>0.54500000000000004</v>
      </c>
      <c r="AB939" s="315" t="s">
        <v>5166</v>
      </c>
      <c r="AC939" s="319">
        <v>1</v>
      </c>
      <c r="AD939" s="320">
        <v>3.125E-2</v>
      </c>
      <c r="AE939" s="319">
        <v>0</v>
      </c>
      <c r="AF939" s="320">
        <v>0</v>
      </c>
      <c r="AG939" s="319">
        <v>0</v>
      </c>
      <c r="AH939" s="320">
        <v>0</v>
      </c>
      <c r="AI939" s="319">
        <v>1</v>
      </c>
      <c r="AJ939" s="320">
        <v>3.125E-2</v>
      </c>
      <c r="AK939" s="320">
        <v>0</v>
      </c>
      <c r="AL939" s="319">
        <v>6.75</v>
      </c>
      <c r="AM939" s="319">
        <v>5</v>
      </c>
      <c r="AN939" s="319">
        <v>4.6666666666666599</v>
      </c>
      <c r="AO939" s="319">
        <v>0.54722222222222205</v>
      </c>
      <c r="AP939">
        <v>2</v>
      </c>
      <c r="AR939" s="136">
        <v>2</v>
      </c>
      <c r="AT939" s="69">
        <v>6.3414000000000001</v>
      </c>
      <c r="AU939" s="69">
        <v>2.3148</v>
      </c>
      <c r="AV939" s="69">
        <v>8.1305999999999994</v>
      </c>
      <c r="AW939" s="69">
        <v>0.55959999999999999</v>
      </c>
      <c r="BB939" s="69"/>
    </row>
    <row r="940" spans="1:54" customFormat="1" ht="40" customHeight="1">
      <c r="A940" s="313">
        <v>939</v>
      </c>
      <c r="B940" s="136" t="s">
        <v>2510</v>
      </c>
      <c r="C940" s="136" t="s">
        <v>45</v>
      </c>
      <c r="D940" s="31">
        <f t="shared" si="64"/>
        <v>4</v>
      </c>
      <c r="E940" s="137" t="s">
        <v>80</v>
      </c>
      <c r="F940" s="31">
        <f t="shared" si="65"/>
        <v>4</v>
      </c>
      <c r="G940" s="137" t="s">
        <v>2563</v>
      </c>
      <c r="H940" s="138">
        <v>47</v>
      </c>
      <c r="I940" s="158">
        <f t="shared" si="66"/>
        <v>0.49393441465114152</v>
      </c>
      <c r="J940" s="95">
        <v>0.25215454358799699</v>
      </c>
      <c r="K940" s="137">
        <v>0.73571428571428599</v>
      </c>
      <c r="L940" s="137">
        <v>0.75</v>
      </c>
      <c r="M940" s="137">
        <v>0.71428571428571397</v>
      </c>
      <c r="N940" s="136">
        <v>1</v>
      </c>
      <c r="O940" s="32">
        <v>43182</v>
      </c>
      <c r="P940" s="98">
        <f t="shared" si="67"/>
        <v>0</v>
      </c>
      <c r="Q940">
        <v>2.5499999999999998</v>
      </c>
      <c r="R940">
        <v>0</v>
      </c>
      <c r="S940">
        <v>0</v>
      </c>
      <c r="T940" s="112" t="s">
        <v>48</v>
      </c>
      <c r="U940" s="137" t="s">
        <v>2564</v>
      </c>
      <c r="V940" s="137" t="s">
        <v>2565</v>
      </c>
      <c r="W940" s="69">
        <v>80</v>
      </c>
      <c r="X940" s="136">
        <v>1</v>
      </c>
      <c r="Y940" s="136">
        <v>4</v>
      </c>
      <c r="Z940" s="314"/>
      <c r="AA940" s="319">
        <v>0.45909090909090899</v>
      </c>
      <c r="AB940" s="315" t="s">
        <v>5167</v>
      </c>
      <c r="AC940" s="319">
        <v>0</v>
      </c>
      <c r="AD940" s="320">
        <v>0</v>
      </c>
      <c r="AE940" s="319">
        <v>0</v>
      </c>
      <c r="AF940" s="320">
        <v>0</v>
      </c>
      <c r="AG940" s="319">
        <v>0</v>
      </c>
      <c r="AH940" s="320">
        <v>0</v>
      </c>
      <c r="AI940" s="319">
        <v>2</v>
      </c>
      <c r="AJ940" s="320">
        <v>0.04</v>
      </c>
      <c r="AK940" s="320">
        <v>0</v>
      </c>
      <c r="AL940" s="319">
        <v>5</v>
      </c>
      <c r="AM940" s="319">
        <v>5</v>
      </c>
      <c r="AN940" s="319">
        <v>4.6666666666666599</v>
      </c>
      <c r="AO940" s="319">
        <v>0.48888888888888798</v>
      </c>
      <c r="AP940">
        <v>4</v>
      </c>
      <c r="AR940" s="136">
        <v>4</v>
      </c>
      <c r="AT940" s="69">
        <v>2.3148</v>
      </c>
      <c r="AU940" s="69">
        <v>2.3148</v>
      </c>
      <c r="AV940" s="69">
        <v>8.1305999999999994</v>
      </c>
      <c r="AW940" s="69">
        <v>0.42530000000000001</v>
      </c>
      <c r="BB940" s="69"/>
    </row>
    <row r="941" spans="1:54" customFormat="1" ht="40" customHeight="1">
      <c r="A941" s="313">
        <v>940</v>
      </c>
      <c r="B941" s="136" t="s">
        <v>2510</v>
      </c>
      <c r="C941" s="136" t="s">
        <v>45</v>
      </c>
      <c r="D941" s="31">
        <f t="shared" si="64"/>
        <v>4</v>
      </c>
      <c r="E941" s="137" t="s">
        <v>80</v>
      </c>
      <c r="F941" s="31">
        <f t="shared" si="65"/>
        <v>4</v>
      </c>
      <c r="G941" s="137" t="s">
        <v>159</v>
      </c>
      <c r="H941" s="138">
        <v>47</v>
      </c>
      <c r="I941" s="158">
        <f t="shared" si="66"/>
        <v>0.41949441150270977</v>
      </c>
      <c r="J941" s="95">
        <v>1.13168014827658E-3</v>
      </c>
      <c r="K941" s="137">
        <v>0.83785714285714297</v>
      </c>
      <c r="L941" s="137">
        <v>0.82499999999999996</v>
      </c>
      <c r="M941" s="137">
        <v>0.85714285714285698</v>
      </c>
      <c r="N941" s="136">
        <v>1</v>
      </c>
      <c r="O941" s="32">
        <v>43173</v>
      </c>
      <c r="P941" s="98">
        <f t="shared" si="67"/>
        <v>0</v>
      </c>
      <c r="Q941">
        <v>7.65</v>
      </c>
      <c r="R941">
        <v>0</v>
      </c>
      <c r="S941">
        <v>0</v>
      </c>
      <c r="T941" s="112" t="s">
        <v>48</v>
      </c>
      <c r="U941" s="137" t="s">
        <v>2566</v>
      </c>
      <c r="V941" s="137" t="s">
        <v>2567</v>
      </c>
      <c r="W941" s="69">
        <v>74</v>
      </c>
      <c r="X941" s="136">
        <v>1</v>
      </c>
      <c r="Y941" s="136">
        <v>1</v>
      </c>
      <c r="Z941" s="314"/>
      <c r="AA941" s="319">
        <v>0.54500000000000004</v>
      </c>
      <c r="AB941" s="315" t="s">
        <v>5170</v>
      </c>
      <c r="AC941" s="319">
        <v>0</v>
      </c>
      <c r="AD941" s="320">
        <v>0</v>
      </c>
      <c r="AE941" s="319">
        <v>0</v>
      </c>
      <c r="AF941" s="320">
        <v>0</v>
      </c>
      <c r="AG941" s="319">
        <v>1</v>
      </c>
      <c r="AH941" s="320">
        <v>2.4390243902439001E-2</v>
      </c>
      <c r="AI941" s="319">
        <v>1</v>
      </c>
      <c r="AJ941" s="320">
        <v>2.4390243902439001E-2</v>
      </c>
      <c r="AK941" s="320">
        <v>0</v>
      </c>
      <c r="AL941" s="319">
        <v>5</v>
      </c>
      <c r="AM941" s="319">
        <v>5</v>
      </c>
      <c r="AN941" s="319">
        <v>4.6666666666666599</v>
      </c>
      <c r="AO941" s="319">
        <v>0.48888888888888798</v>
      </c>
      <c r="AP941">
        <v>1</v>
      </c>
      <c r="AQ941" s="136">
        <v>1</v>
      </c>
      <c r="AT941" s="69">
        <v>2.3148</v>
      </c>
      <c r="AU941" s="69">
        <v>2.3148</v>
      </c>
      <c r="AV941" s="69">
        <v>8.1305999999999994</v>
      </c>
      <c r="AW941" s="69">
        <v>0.42530000000000001</v>
      </c>
      <c r="BB941" s="69"/>
    </row>
    <row r="942" spans="1:54" customFormat="1" ht="40" customHeight="1">
      <c r="A942" s="313">
        <v>941</v>
      </c>
      <c r="B942" s="136" t="s">
        <v>2510</v>
      </c>
      <c r="C942" s="136" t="s">
        <v>45</v>
      </c>
      <c r="D942" s="31">
        <f t="shared" si="64"/>
        <v>4</v>
      </c>
      <c r="E942" s="137" t="s">
        <v>80</v>
      </c>
      <c r="F942" s="31">
        <f t="shared" si="65"/>
        <v>4</v>
      </c>
      <c r="G942" s="137" t="s">
        <v>2568</v>
      </c>
      <c r="H942" s="138">
        <v>84</v>
      </c>
      <c r="I942" s="158">
        <f t="shared" si="66"/>
        <v>0.361875621896525</v>
      </c>
      <c r="J942" s="95">
        <v>1.79815221621027E-4</v>
      </c>
      <c r="K942" s="137">
        <v>0.72357142857142898</v>
      </c>
      <c r="L942" s="137">
        <v>0.82499999999999996</v>
      </c>
      <c r="M942" s="137">
        <v>0.57142857142857095</v>
      </c>
      <c r="N942" s="136">
        <v>1</v>
      </c>
      <c r="O942" s="32">
        <v>43171</v>
      </c>
      <c r="P942" s="98">
        <f t="shared" si="67"/>
        <v>0</v>
      </c>
      <c r="Q942">
        <v>7.65</v>
      </c>
      <c r="R942">
        <v>0</v>
      </c>
      <c r="S942">
        <v>0</v>
      </c>
      <c r="T942" s="112" t="s">
        <v>48</v>
      </c>
      <c r="U942" s="137" t="s">
        <v>2569</v>
      </c>
      <c r="V942" s="137" t="s">
        <v>2570</v>
      </c>
      <c r="W942" s="69">
        <v>95</v>
      </c>
      <c r="X942" s="136">
        <v>3</v>
      </c>
      <c r="Y942" s="136">
        <v>9</v>
      </c>
      <c r="Z942" s="314"/>
      <c r="AA942" s="319">
        <v>0.54500000000000004</v>
      </c>
      <c r="AB942" s="315" t="s">
        <v>5177</v>
      </c>
      <c r="AC942" s="319">
        <v>0</v>
      </c>
      <c r="AD942" s="320">
        <v>0</v>
      </c>
      <c r="AE942" s="319">
        <v>4</v>
      </c>
      <c r="AF942" s="320">
        <v>7.2727272727272696E-2</v>
      </c>
      <c r="AG942" s="319">
        <v>4</v>
      </c>
      <c r="AH942" s="320">
        <v>7.2727272727272696E-2</v>
      </c>
      <c r="AI942" s="319">
        <v>0</v>
      </c>
      <c r="AJ942" s="320">
        <v>0</v>
      </c>
      <c r="AK942" s="320">
        <v>1.8181818181818181E-2</v>
      </c>
      <c r="AL942" s="319">
        <v>5</v>
      </c>
      <c r="AM942" s="319">
        <v>5</v>
      </c>
      <c r="AN942" s="319">
        <v>4.6666666666666599</v>
      </c>
      <c r="AO942" s="319">
        <v>0.48888888888888798</v>
      </c>
      <c r="AP942">
        <v>9</v>
      </c>
      <c r="AS942" s="136">
        <v>9</v>
      </c>
      <c r="AT942" s="69">
        <v>2.3148</v>
      </c>
      <c r="AU942" s="69">
        <v>2.3148</v>
      </c>
      <c r="AV942" s="69">
        <v>8.1305999999999994</v>
      </c>
      <c r="AW942" s="69">
        <v>0.42530000000000001</v>
      </c>
      <c r="BB942" s="69"/>
    </row>
    <row r="943" spans="1:54" customFormat="1" ht="40" customHeight="1">
      <c r="A943" s="313">
        <v>942</v>
      </c>
      <c r="B943" s="136" t="s">
        <v>2510</v>
      </c>
      <c r="C943" s="136" t="s">
        <v>45</v>
      </c>
      <c r="D943" s="31">
        <f t="shared" si="64"/>
        <v>4</v>
      </c>
      <c r="E943" s="137" t="s">
        <v>80</v>
      </c>
      <c r="F943" s="31">
        <f t="shared" si="65"/>
        <v>4</v>
      </c>
      <c r="G943" s="137" t="s">
        <v>2563</v>
      </c>
      <c r="H943" s="138">
        <v>52</v>
      </c>
      <c r="I943" s="158">
        <f t="shared" si="66"/>
        <v>0.66969662503841709</v>
      </c>
      <c r="J943" s="95">
        <v>0.57020545364101105</v>
      </c>
      <c r="K943" s="137">
        <v>0.76918779643582302</v>
      </c>
      <c r="L943" s="137">
        <v>0.75</v>
      </c>
      <c r="M943" s="137">
        <v>0.79796949108955795</v>
      </c>
      <c r="N943" s="136">
        <v>1</v>
      </c>
      <c r="O943" s="32">
        <v>43170</v>
      </c>
      <c r="P943" s="98">
        <f t="shared" si="67"/>
        <v>0</v>
      </c>
      <c r="Q943">
        <v>0</v>
      </c>
      <c r="R943">
        <v>0</v>
      </c>
      <c r="S943">
        <v>0</v>
      </c>
      <c r="T943" s="112" t="s">
        <v>48</v>
      </c>
      <c r="U943" s="137" t="s">
        <v>2571</v>
      </c>
      <c r="V943" s="137" t="s">
        <v>2572</v>
      </c>
      <c r="W943" s="69">
        <v>54</v>
      </c>
      <c r="X943" s="136">
        <v>1</v>
      </c>
      <c r="Y943" s="136">
        <v>2</v>
      </c>
      <c r="Z943" s="314"/>
      <c r="AA943" s="319">
        <v>0.55000000000000004</v>
      </c>
      <c r="AB943" s="315" t="s">
        <v>5166</v>
      </c>
      <c r="AC943" s="319">
        <v>1</v>
      </c>
      <c r="AD943" s="320">
        <v>3.03030303030303E-2</v>
      </c>
      <c r="AE943" s="319">
        <v>0</v>
      </c>
      <c r="AF943" s="320">
        <v>0</v>
      </c>
      <c r="AG943" s="319">
        <v>0</v>
      </c>
      <c r="AH943" s="320">
        <v>0</v>
      </c>
      <c r="AI943" s="319">
        <v>1</v>
      </c>
      <c r="AJ943" s="320">
        <v>3.03030303030303E-2</v>
      </c>
      <c r="AK943" s="320">
        <v>0</v>
      </c>
      <c r="AL943" s="319">
        <v>5</v>
      </c>
      <c r="AM943" s="319">
        <v>7.4</v>
      </c>
      <c r="AN943" s="319">
        <v>2</v>
      </c>
      <c r="AO943" s="319">
        <v>0.48</v>
      </c>
      <c r="AP943">
        <v>2</v>
      </c>
      <c r="AR943" s="136">
        <v>2</v>
      </c>
      <c r="AT943" s="69">
        <v>2.3148</v>
      </c>
      <c r="AU943" s="69">
        <v>7.6852</v>
      </c>
      <c r="AV943" s="69">
        <v>2.3148</v>
      </c>
      <c r="AW943" s="69">
        <v>0.41049999999999998</v>
      </c>
      <c r="BB943" s="69"/>
    </row>
    <row r="944" spans="1:54" customFormat="1" ht="40" customHeight="1">
      <c r="A944" s="313">
        <v>943</v>
      </c>
      <c r="B944" s="136" t="s">
        <v>2510</v>
      </c>
      <c r="C944" s="136" t="s">
        <v>45</v>
      </c>
      <c r="D944" s="31">
        <f t="shared" si="64"/>
        <v>4</v>
      </c>
      <c r="E944" s="137" t="s">
        <v>80</v>
      </c>
      <c r="F944" s="31">
        <f t="shared" si="65"/>
        <v>4</v>
      </c>
      <c r="G944" s="137" t="s">
        <v>2563</v>
      </c>
      <c r="H944" s="138">
        <v>43</v>
      </c>
      <c r="I944" s="158">
        <f t="shared" si="66"/>
        <v>0.46930568230595704</v>
      </c>
      <c r="J944" s="95">
        <v>0.157897078897628</v>
      </c>
      <c r="K944" s="137">
        <v>0.78071428571428603</v>
      </c>
      <c r="L944" s="137">
        <v>0.82499999999999996</v>
      </c>
      <c r="M944" s="137">
        <v>0.71428571428571397</v>
      </c>
      <c r="N944" s="136">
        <v>1</v>
      </c>
      <c r="O944" s="32">
        <v>43167</v>
      </c>
      <c r="P944" s="98">
        <f t="shared" si="67"/>
        <v>0</v>
      </c>
      <c r="Q944">
        <v>5.0999999999999996</v>
      </c>
      <c r="R944">
        <v>0</v>
      </c>
      <c r="S944">
        <v>0</v>
      </c>
      <c r="T944" s="112" t="s">
        <v>48</v>
      </c>
      <c r="U944" s="137" t="s">
        <v>2573</v>
      </c>
      <c r="V944" s="137" t="s">
        <v>2574</v>
      </c>
      <c r="W944" s="69">
        <v>52</v>
      </c>
      <c r="X944" s="136">
        <v>1</v>
      </c>
      <c r="Y944" s="136">
        <v>4</v>
      </c>
      <c r="Z944" s="314"/>
      <c r="AA944" s="319">
        <v>0.5</v>
      </c>
      <c r="AB944" s="315" t="s">
        <v>5165</v>
      </c>
      <c r="AC944" s="319">
        <v>2</v>
      </c>
      <c r="AD944" s="320">
        <v>6.4516129032257993E-2</v>
      </c>
      <c r="AE944" s="319">
        <v>0</v>
      </c>
      <c r="AF944" s="320">
        <v>0</v>
      </c>
      <c r="AG944" s="319">
        <v>0</v>
      </c>
      <c r="AH944" s="320">
        <v>0</v>
      </c>
      <c r="AI944" s="319">
        <v>1</v>
      </c>
      <c r="AJ944" s="320">
        <v>3.2258064516128997E-2</v>
      </c>
      <c r="AK944" s="320">
        <v>0</v>
      </c>
      <c r="AL944" s="319">
        <v>6.75</v>
      </c>
      <c r="AM944" s="319">
        <v>5</v>
      </c>
      <c r="AN944" s="319">
        <v>7.3333333333333304</v>
      </c>
      <c r="AO944" s="319">
        <v>0.63611111111111096</v>
      </c>
      <c r="AP944">
        <v>4</v>
      </c>
      <c r="AR944" s="136">
        <v>4</v>
      </c>
      <c r="AT944" s="69">
        <v>6.3414000000000001</v>
      </c>
      <c r="AU944" s="69">
        <v>2.3148</v>
      </c>
      <c r="AV944" s="69">
        <v>9.8416999999999994</v>
      </c>
      <c r="AW944" s="69">
        <v>0.61660000000000004</v>
      </c>
      <c r="BB944" s="69"/>
    </row>
    <row r="945" spans="1:54" customFormat="1" ht="40" customHeight="1">
      <c r="A945" s="313">
        <v>944</v>
      </c>
      <c r="B945" s="136" t="s">
        <v>2510</v>
      </c>
      <c r="C945" s="136" t="s">
        <v>45</v>
      </c>
      <c r="D945" s="31">
        <f t="shared" si="64"/>
        <v>4</v>
      </c>
      <c r="E945" s="137" t="s">
        <v>80</v>
      </c>
      <c r="F945" s="31">
        <f t="shared" si="65"/>
        <v>4</v>
      </c>
      <c r="G945" s="137" t="s">
        <v>159</v>
      </c>
      <c r="H945" s="138">
        <v>39</v>
      </c>
      <c r="I945" s="158">
        <f t="shared" si="66"/>
        <v>0.40266092060199693</v>
      </c>
      <c r="J945" s="95">
        <v>1.24646983468508E-2</v>
      </c>
      <c r="K945" s="137">
        <v>0.79285714285714304</v>
      </c>
      <c r="L945" s="137">
        <v>0.75</v>
      </c>
      <c r="M945" s="137">
        <v>0.85714285714285698</v>
      </c>
      <c r="N945" s="136">
        <v>1</v>
      </c>
      <c r="O945" s="32">
        <v>43164</v>
      </c>
      <c r="P945" s="98">
        <f t="shared" si="67"/>
        <v>0</v>
      </c>
      <c r="Q945">
        <v>5.0999999999999996</v>
      </c>
      <c r="R945">
        <v>0</v>
      </c>
      <c r="S945">
        <v>0</v>
      </c>
      <c r="T945" s="112" t="s">
        <v>48</v>
      </c>
      <c r="U945" s="137" t="s">
        <v>2575</v>
      </c>
      <c r="V945" s="137" t="s">
        <v>2576</v>
      </c>
      <c r="W945" s="69">
        <v>106</v>
      </c>
      <c r="X945" s="136">
        <v>1</v>
      </c>
      <c r="Y945" s="136">
        <v>1</v>
      </c>
      <c r="Z945" s="314"/>
      <c r="AA945" s="319">
        <v>0.66549999999999998</v>
      </c>
      <c r="AB945" s="315" t="s">
        <v>5193</v>
      </c>
      <c r="AC945" s="319">
        <v>1</v>
      </c>
      <c r="AD945" s="320">
        <v>1.5625E-2</v>
      </c>
      <c r="AE945" s="319">
        <v>1</v>
      </c>
      <c r="AF945" s="320">
        <v>1.5625E-2</v>
      </c>
      <c r="AG945" s="319">
        <v>0</v>
      </c>
      <c r="AH945" s="320">
        <v>0</v>
      </c>
      <c r="AI945" s="319">
        <v>1</v>
      </c>
      <c r="AJ945" s="320">
        <v>1.5625E-2</v>
      </c>
      <c r="AK945" s="320">
        <v>1.5625E-2</v>
      </c>
      <c r="AL945" s="319">
        <v>6.75</v>
      </c>
      <c r="AM945" s="319">
        <v>7.4</v>
      </c>
      <c r="AN945" s="319">
        <v>2</v>
      </c>
      <c r="AO945" s="319">
        <v>0.538333333333333</v>
      </c>
      <c r="AP945">
        <v>1</v>
      </c>
      <c r="AR945" s="136">
        <v>1</v>
      </c>
      <c r="AT945" s="69">
        <v>6.3414000000000001</v>
      </c>
      <c r="AU945" s="69">
        <v>7.6852</v>
      </c>
      <c r="AV945" s="69">
        <v>2.3148</v>
      </c>
      <c r="AW945" s="69">
        <v>0.54469999999999996</v>
      </c>
      <c r="BB945" s="69"/>
    </row>
    <row r="946" spans="1:54" customFormat="1" ht="40" customHeight="1">
      <c r="A946" s="313">
        <v>945</v>
      </c>
      <c r="B946" s="136" t="s">
        <v>2510</v>
      </c>
      <c r="C946" s="136" t="s">
        <v>45</v>
      </c>
      <c r="D946" s="31">
        <f t="shared" si="64"/>
        <v>4</v>
      </c>
      <c r="E946" s="137" t="s">
        <v>80</v>
      </c>
      <c r="F946" s="31">
        <f t="shared" si="65"/>
        <v>4</v>
      </c>
      <c r="G946" s="137" t="s">
        <v>2577</v>
      </c>
      <c r="H946" s="138">
        <v>57</v>
      </c>
      <c r="I946" s="158">
        <f t="shared" si="66"/>
        <v>0.39071247883233806</v>
      </c>
      <c r="J946" s="95">
        <v>7.1067195039009601E-4</v>
      </c>
      <c r="K946" s="137">
        <v>0.78071428571428603</v>
      </c>
      <c r="L946" s="137">
        <v>0.82499999999999996</v>
      </c>
      <c r="M946" s="137">
        <v>0.71428571428571397</v>
      </c>
      <c r="N946" s="136">
        <v>1</v>
      </c>
      <c r="O946" s="32">
        <v>43100</v>
      </c>
      <c r="P946" s="98">
        <f t="shared" si="67"/>
        <v>0</v>
      </c>
      <c r="Q946">
        <v>5.0999999999999996</v>
      </c>
      <c r="R946">
        <v>0</v>
      </c>
      <c r="S946">
        <v>0</v>
      </c>
      <c r="T946" s="112" t="s">
        <v>48</v>
      </c>
      <c r="U946" s="137" t="s">
        <v>2578</v>
      </c>
      <c r="V946" s="137" t="s">
        <v>2579</v>
      </c>
      <c r="W946" s="69">
        <v>106</v>
      </c>
      <c r="X946" s="136">
        <v>3</v>
      </c>
      <c r="Y946" s="136">
        <v>4</v>
      </c>
      <c r="Z946" s="314"/>
      <c r="AA946" s="319">
        <v>0.5</v>
      </c>
      <c r="AB946" s="315" t="s">
        <v>5176</v>
      </c>
      <c r="AC946" s="319">
        <v>1</v>
      </c>
      <c r="AD946" s="320">
        <v>1.63934426229508E-2</v>
      </c>
      <c r="AE946" s="319">
        <v>4</v>
      </c>
      <c r="AF946" s="320">
        <v>6.5573770491803199E-2</v>
      </c>
      <c r="AG946" s="319">
        <v>0</v>
      </c>
      <c r="AH946" s="320">
        <v>0</v>
      </c>
      <c r="AI946" s="319">
        <v>0</v>
      </c>
      <c r="AJ946" s="320">
        <v>0</v>
      </c>
      <c r="AK946" s="320">
        <v>1.6393442622950821E-2</v>
      </c>
      <c r="AL946" s="319">
        <v>5</v>
      </c>
      <c r="AM946" s="319">
        <v>5</v>
      </c>
      <c r="AN946" s="319">
        <v>7.3333333333333304</v>
      </c>
      <c r="AO946" s="319">
        <v>0.57777777777777695</v>
      </c>
      <c r="AP946">
        <v>4</v>
      </c>
      <c r="AR946" s="136">
        <v>4</v>
      </c>
      <c r="AT946" s="69">
        <v>2.3148</v>
      </c>
      <c r="AU946" s="69">
        <v>2.3148</v>
      </c>
      <c r="AV946" s="69">
        <v>9.8416999999999994</v>
      </c>
      <c r="AW946" s="69">
        <v>0.4824</v>
      </c>
      <c r="BB946" s="69"/>
    </row>
    <row r="947" spans="1:54" customFormat="1" ht="40" customHeight="1">
      <c r="A947" s="313">
        <v>946</v>
      </c>
      <c r="B947" s="136" t="s">
        <v>2510</v>
      </c>
      <c r="C947" s="136" t="s">
        <v>45</v>
      </c>
      <c r="D947" s="31">
        <f t="shared" si="64"/>
        <v>4</v>
      </c>
      <c r="E947" s="137" t="s">
        <v>80</v>
      </c>
      <c r="F947" s="31">
        <f t="shared" si="65"/>
        <v>4</v>
      </c>
      <c r="G947" s="137" t="s">
        <v>2580</v>
      </c>
      <c r="H947" s="138">
        <v>63</v>
      </c>
      <c r="I947" s="158">
        <f t="shared" si="66"/>
        <v>0.32422015878789506</v>
      </c>
      <c r="J947" s="95">
        <v>4.4718190308751203E-3</v>
      </c>
      <c r="K947" s="137">
        <v>0.643968498544915</v>
      </c>
      <c r="L947" s="137">
        <v>0.75</v>
      </c>
      <c r="M947" s="137">
        <v>0.48492124636228701</v>
      </c>
      <c r="N947" s="136">
        <v>1</v>
      </c>
      <c r="O947" s="32">
        <v>43068</v>
      </c>
      <c r="P947" s="98">
        <f t="shared" si="67"/>
        <v>2</v>
      </c>
      <c r="Q947">
        <v>0</v>
      </c>
      <c r="R947">
        <v>0</v>
      </c>
      <c r="S947">
        <v>0</v>
      </c>
      <c r="T947" s="112" t="s">
        <v>64</v>
      </c>
      <c r="U947" s="137" t="s">
        <v>2581</v>
      </c>
      <c r="V947" s="137" t="s">
        <v>2582</v>
      </c>
      <c r="W947" s="69">
        <v>98</v>
      </c>
      <c r="X947" s="136">
        <v>1</v>
      </c>
      <c r="Y947" s="136">
        <v>13</v>
      </c>
      <c r="Z947" s="314"/>
      <c r="AA947" s="319">
        <v>0.54500000000000004</v>
      </c>
      <c r="AB947" s="315" t="s">
        <v>5178</v>
      </c>
      <c r="AC947" s="319">
        <v>2</v>
      </c>
      <c r="AD947" s="320">
        <v>3.6363636363636299E-2</v>
      </c>
      <c r="AE947" s="319">
        <v>2</v>
      </c>
      <c r="AF947" s="320">
        <v>3.6363636363636299E-2</v>
      </c>
      <c r="AG947" s="319">
        <v>1</v>
      </c>
      <c r="AH947" s="320">
        <v>1.8181818181818101E-2</v>
      </c>
      <c r="AI947" s="319">
        <v>0</v>
      </c>
      <c r="AJ947" s="320">
        <v>0</v>
      </c>
      <c r="AK947" s="320">
        <v>0</v>
      </c>
      <c r="AL947" s="319">
        <v>5</v>
      </c>
      <c r="AM947" s="319">
        <v>6.2</v>
      </c>
      <c r="AN947" s="319">
        <v>4.6666666666666599</v>
      </c>
      <c r="AO947" s="319">
        <v>0.52888888888888796</v>
      </c>
      <c r="AP947">
        <v>13</v>
      </c>
      <c r="AR947" s="136">
        <v>13</v>
      </c>
      <c r="AT947" s="69">
        <v>2.3148</v>
      </c>
      <c r="AU947" s="69">
        <v>5</v>
      </c>
      <c r="AV947" s="69">
        <v>8.1305999999999994</v>
      </c>
      <c r="AW947" s="69">
        <v>0.51480000000000004</v>
      </c>
      <c r="BB947" s="69"/>
    </row>
    <row r="948" spans="1:54" customFormat="1" ht="40" customHeight="1">
      <c r="A948" s="313">
        <v>947</v>
      </c>
      <c r="B948" s="136" t="s">
        <v>2510</v>
      </c>
      <c r="C948" s="136" t="s">
        <v>45</v>
      </c>
      <c r="D948" s="31">
        <f t="shared" si="64"/>
        <v>4</v>
      </c>
      <c r="E948" s="137" t="s">
        <v>80</v>
      </c>
      <c r="F948" s="31">
        <f t="shared" si="65"/>
        <v>4</v>
      </c>
      <c r="G948" s="137" t="s">
        <v>200</v>
      </c>
      <c r="H948" s="138">
        <v>51</v>
      </c>
      <c r="I948" s="158">
        <f t="shared" si="66"/>
        <v>0.38878953340902744</v>
      </c>
      <c r="J948" s="95">
        <v>8.39127038223186E-3</v>
      </c>
      <c r="K948" s="137">
        <v>0.76918779643582302</v>
      </c>
      <c r="L948" s="137">
        <v>0.75</v>
      </c>
      <c r="M948" s="137">
        <v>0.79796949108955795</v>
      </c>
      <c r="N948" s="136">
        <v>1</v>
      </c>
      <c r="O948" s="32">
        <v>43061</v>
      </c>
      <c r="P948" s="98">
        <f t="shared" si="67"/>
        <v>0</v>
      </c>
      <c r="Q948">
        <v>5.0999999999999996</v>
      </c>
      <c r="R948">
        <v>1.65</v>
      </c>
      <c r="S948">
        <v>0</v>
      </c>
      <c r="T948" s="112" t="s">
        <v>48</v>
      </c>
      <c r="U948" s="137" t="s">
        <v>2583</v>
      </c>
      <c r="V948" s="137" t="s">
        <v>2584</v>
      </c>
      <c r="W948" s="69">
        <v>96</v>
      </c>
      <c r="X948" s="136">
        <v>1</v>
      </c>
      <c r="Y948" s="136">
        <v>2</v>
      </c>
      <c r="Z948" s="314"/>
      <c r="AA948" s="319">
        <v>0.54500000000000004</v>
      </c>
      <c r="AB948" s="315" t="s">
        <v>5176</v>
      </c>
      <c r="AC948" s="319">
        <v>2</v>
      </c>
      <c r="AD948" s="320">
        <v>3.5714285714285698E-2</v>
      </c>
      <c r="AE948" s="319">
        <v>3</v>
      </c>
      <c r="AF948" s="320">
        <v>5.3571428571428499E-2</v>
      </c>
      <c r="AG948" s="319">
        <v>1</v>
      </c>
      <c r="AH948" s="320">
        <v>1.7857142857142801E-2</v>
      </c>
      <c r="AI948" s="319">
        <v>1</v>
      </c>
      <c r="AJ948" s="320">
        <v>1.7857142857142801E-2</v>
      </c>
      <c r="AK948" s="320">
        <v>0</v>
      </c>
      <c r="AL948" s="319">
        <v>6.75</v>
      </c>
      <c r="AM948" s="319">
        <v>5</v>
      </c>
      <c r="AN948" s="319">
        <v>7.3333333333333304</v>
      </c>
      <c r="AO948" s="319">
        <v>0.63611111111111096</v>
      </c>
      <c r="AP948">
        <v>2</v>
      </c>
      <c r="AQ948" s="136">
        <v>2</v>
      </c>
      <c r="AT948" s="69">
        <v>6.3414000000000001</v>
      </c>
      <c r="AU948" s="69">
        <v>2.3148</v>
      </c>
      <c r="AV948" s="69">
        <v>9.8416999999999994</v>
      </c>
      <c r="AW948" s="69">
        <v>0.61660000000000004</v>
      </c>
      <c r="BB948" s="69"/>
    </row>
    <row r="949" spans="1:54" customFormat="1" ht="40" customHeight="1">
      <c r="A949" s="313">
        <v>948</v>
      </c>
      <c r="B949" s="136" t="s">
        <v>2510</v>
      </c>
      <c r="C949" s="136" t="s">
        <v>45</v>
      </c>
      <c r="D949" s="31">
        <f t="shared" si="64"/>
        <v>4</v>
      </c>
      <c r="E949" s="137" t="s">
        <v>80</v>
      </c>
      <c r="F949" s="31">
        <f t="shared" si="65"/>
        <v>4</v>
      </c>
      <c r="G949" s="137" t="s">
        <v>180</v>
      </c>
      <c r="H949" s="138">
        <v>58</v>
      </c>
      <c r="I949" s="158">
        <f t="shared" si="66"/>
        <v>0.38798985435294819</v>
      </c>
      <c r="J949" s="95">
        <v>2.4954040566975401E-2</v>
      </c>
      <c r="K949" s="137">
        <v>0.75102566813892102</v>
      </c>
      <c r="L949" s="137">
        <v>0.75</v>
      </c>
      <c r="M949" s="137">
        <v>0.75256417034730305</v>
      </c>
      <c r="N949" s="136">
        <v>1</v>
      </c>
      <c r="O949" s="32">
        <v>43058</v>
      </c>
      <c r="P949" s="98">
        <f t="shared" si="67"/>
        <v>0</v>
      </c>
      <c r="Q949">
        <v>5.0999999999999996</v>
      </c>
      <c r="R949">
        <v>0</v>
      </c>
      <c r="S949">
        <v>0</v>
      </c>
      <c r="T949" s="112" t="s">
        <v>48</v>
      </c>
      <c r="U949" s="137" t="s">
        <v>2585</v>
      </c>
      <c r="V949" s="137" t="s">
        <v>2584</v>
      </c>
      <c r="W949" s="69">
        <v>96</v>
      </c>
      <c r="X949" s="136">
        <v>1</v>
      </c>
      <c r="Y949" s="136">
        <v>3</v>
      </c>
      <c r="Z949" s="314"/>
      <c r="AA949" s="319">
        <v>0.60499999999999998</v>
      </c>
      <c r="AB949" s="315" t="s">
        <v>5176</v>
      </c>
      <c r="AC949" s="319">
        <v>2</v>
      </c>
      <c r="AD949" s="320">
        <v>3.5714285714285698E-2</v>
      </c>
      <c r="AE949" s="319">
        <v>3</v>
      </c>
      <c r="AF949" s="320">
        <v>5.3571428571428499E-2</v>
      </c>
      <c r="AG949" s="319">
        <v>1</v>
      </c>
      <c r="AH949" s="320">
        <v>1.7857142857142801E-2</v>
      </c>
      <c r="AI949" s="319">
        <v>1</v>
      </c>
      <c r="AJ949" s="320">
        <v>1.7857142857142801E-2</v>
      </c>
      <c r="AK949" s="320">
        <v>0</v>
      </c>
      <c r="AL949" s="319">
        <v>6.75</v>
      </c>
      <c r="AM949" s="319">
        <v>6.2</v>
      </c>
      <c r="AN949" s="319">
        <v>4.6666666666666599</v>
      </c>
      <c r="AO949" s="319">
        <v>0.58722222222222198</v>
      </c>
      <c r="AP949">
        <v>3</v>
      </c>
      <c r="AQ949" s="136">
        <v>3</v>
      </c>
      <c r="AT949" s="69">
        <v>6.3414000000000001</v>
      </c>
      <c r="AU949" s="69">
        <v>5</v>
      </c>
      <c r="AV949" s="69">
        <v>8.1305999999999994</v>
      </c>
      <c r="AW949" s="69">
        <v>0.64910000000000001</v>
      </c>
      <c r="BB949" s="69"/>
    </row>
    <row r="950" spans="1:54" customFormat="1" ht="40" customHeight="1">
      <c r="A950" s="313">
        <v>949</v>
      </c>
      <c r="B950" s="136" t="s">
        <v>2510</v>
      </c>
      <c r="C950" s="136" t="s">
        <v>45</v>
      </c>
      <c r="D950" s="31">
        <f t="shared" si="64"/>
        <v>4</v>
      </c>
      <c r="E950" s="137" t="s">
        <v>46</v>
      </c>
      <c r="F950" s="31">
        <f t="shared" si="65"/>
        <v>6</v>
      </c>
      <c r="G950" s="137" t="s">
        <v>2586</v>
      </c>
      <c r="H950" s="138">
        <v>108</v>
      </c>
      <c r="I950" s="158">
        <f t="shared" si="66"/>
        <v>0.41414718898287473</v>
      </c>
      <c r="J950" s="95">
        <v>4.7580092251463403E-2</v>
      </c>
      <c r="K950" s="137">
        <v>0.78071428571428603</v>
      </c>
      <c r="L950" s="137">
        <v>0.82499999999999996</v>
      </c>
      <c r="M950" s="137">
        <v>0.71428571428571397</v>
      </c>
      <c r="N950" s="136">
        <v>1</v>
      </c>
      <c r="O950" s="32">
        <v>43057</v>
      </c>
      <c r="P950" s="98">
        <f t="shared" si="67"/>
        <v>0</v>
      </c>
      <c r="Q950">
        <v>5.0999999999999996</v>
      </c>
      <c r="R950">
        <v>1.65</v>
      </c>
      <c r="S950">
        <v>0</v>
      </c>
      <c r="T950" s="112" t="s">
        <v>48</v>
      </c>
      <c r="U950" s="137" t="s">
        <v>2587</v>
      </c>
      <c r="V950" s="137" t="s">
        <v>2584</v>
      </c>
      <c r="W950" s="69">
        <v>96</v>
      </c>
      <c r="X950" s="136">
        <v>1</v>
      </c>
      <c r="Y950" s="136">
        <v>4</v>
      </c>
      <c r="Z950" s="314"/>
      <c r="AA950" s="319">
        <v>0.59450000000000003</v>
      </c>
      <c r="AB950" s="315" t="s">
        <v>5176</v>
      </c>
      <c r="AC950" s="319">
        <v>2</v>
      </c>
      <c r="AD950" s="320">
        <v>3.5714285714285698E-2</v>
      </c>
      <c r="AE950" s="319">
        <v>3</v>
      </c>
      <c r="AF950" s="320">
        <v>5.3571428571428499E-2</v>
      </c>
      <c r="AG950" s="319">
        <v>1</v>
      </c>
      <c r="AH950" s="320">
        <v>1.7857142857142801E-2</v>
      </c>
      <c r="AI950" s="319">
        <v>1</v>
      </c>
      <c r="AJ950" s="320">
        <v>1.7857142857142801E-2</v>
      </c>
      <c r="AK950" s="320">
        <v>0</v>
      </c>
      <c r="AL950" s="319">
        <v>5</v>
      </c>
      <c r="AM950" s="319">
        <v>6.2</v>
      </c>
      <c r="AN950" s="319">
        <v>4.6666666666666599</v>
      </c>
      <c r="AO950" s="319">
        <v>0.52888888888888796</v>
      </c>
      <c r="AP950">
        <v>4</v>
      </c>
      <c r="AQ950" s="136">
        <v>4</v>
      </c>
      <c r="AT950" s="69">
        <v>2.3148</v>
      </c>
      <c r="AU950" s="69">
        <v>5</v>
      </c>
      <c r="AV950" s="69">
        <v>8.1305999999999994</v>
      </c>
      <c r="AW950" s="69">
        <v>0.51480000000000004</v>
      </c>
      <c r="BB950" s="69"/>
    </row>
    <row r="951" spans="1:54" customFormat="1" ht="40" customHeight="1">
      <c r="A951" s="313">
        <v>950</v>
      </c>
      <c r="B951" s="136" t="s">
        <v>2510</v>
      </c>
      <c r="C951" s="136" t="s">
        <v>45</v>
      </c>
      <c r="D951" s="31">
        <f t="shared" si="64"/>
        <v>4</v>
      </c>
      <c r="E951" s="137" t="s">
        <v>46</v>
      </c>
      <c r="F951" s="31">
        <f t="shared" si="65"/>
        <v>6</v>
      </c>
      <c r="G951" s="137" t="s">
        <v>2588</v>
      </c>
      <c r="H951" s="138">
        <v>121</v>
      </c>
      <c r="I951" s="158">
        <f t="shared" si="66"/>
        <v>0.3479082752244414</v>
      </c>
      <c r="J951" s="95">
        <v>1.0113556436878201E-3</v>
      </c>
      <c r="K951" s="137">
        <v>0.69480519480519498</v>
      </c>
      <c r="L951" s="137">
        <v>0.68181818181818199</v>
      </c>
      <c r="M951" s="137">
        <v>0.71428571428571397</v>
      </c>
      <c r="N951" s="136">
        <v>1</v>
      </c>
      <c r="O951" s="32">
        <v>43055</v>
      </c>
      <c r="P951" s="98">
        <f t="shared" si="67"/>
        <v>0</v>
      </c>
      <c r="Q951">
        <v>5.0999999999999996</v>
      </c>
      <c r="R951">
        <v>1.65</v>
      </c>
      <c r="S951">
        <v>0</v>
      </c>
      <c r="T951" s="112" t="s">
        <v>48</v>
      </c>
      <c r="U951" s="137" t="s">
        <v>2589</v>
      </c>
      <c r="V951" s="137" t="s">
        <v>2337</v>
      </c>
      <c r="W951" s="69">
        <v>134</v>
      </c>
      <c r="X951" s="136">
        <v>1</v>
      </c>
      <c r="Y951" s="136">
        <v>4</v>
      </c>
      <c r="Z951" s="314"/>
      <c r="AA951" s="319">
        <v>0.37565740045078799</v>
      </c>
      <c r="AB951" s="315" t="s">
        <v>5168</v>
      </c>
      <c r="AC951" s="319">
        <v>1</v>
      </c>
      <c r="AD951" s="320">
        <v>1.38888888888888E-2</v>
      </c>
      <c r="AE951" s="319">
        <v>2</v>
      </c>
      <c r="AF951" s="320">
        <v>2.77777777777777E-2</v>
      </c>
      <c r="AG951" s="319">
        <v>4</v>
      </c>
      <c r="AH951" s="320">
        <v>5.5555555555555497E-2</v>
      </c>
      <c r="AI951" s="319">
        <v>0</v>
      </c>
      <c r="AJ951" s="320">
        <v>0</v>
      </c>
      <c r="AK951" s="320">
        <v>2.777777777777778E-2</v>
      </c>
      <c r="AL951" s="319">
        <v>5</v>
      </c>
      <c r="AM951" s="319">
        <v>5</v>
      </c>
      <c r="AN951" s="319">
        <v>2</v>
      </c>
      <c r="AO951" s="319">
        <v>0.4</v>
      </c>
      <c r="AP951">
        <v>4</v>
      </c>
      <c r="AQ951" s="136">
        <v>4</v>
      </c>
      <c r="AT951" s="69">
        <v>2.3148</v>
      </c>
      <c r="AU951" s="69">
        <v>2.3148</v>
      </c>
      <c r="AV951" s="69">
        <v>2.3148</v>
      </c>
      <c r="AW951" s="69">
        <v>0.23150000000000001</v>
      </c>
      <c r="BB951" s="69"/>
    </row>
    <row r="952" spans="1:54" customFormat="1" ht="40" customHeight="1">
      <c r="A952" s="313">
        <v>951</v>
      </c>
      <c r="B952" s="136" t="s">
        <v>2510</v>
      </c>
      <c r="C952" s="136" t="s">
        <v>59</v>
      </c>
      <c r="D952" s="31">
        <f t="shared" si="64"/>
        <v>5</v>
      </c>
      <c r="E952" s="137" t="s">
        <v>46</v>
      </c>
      <c r="F952" s="31">
        <f t="shared" si="65"/>
        <v>6</v>
      </c>
      <c r="G952" s="137" t="s">
        <v>2590</v>
      </c>
      <c r="H952" s="138">
        <v>77</v>
      </c>
      <c r="I952" s="158">
        <f t="shared" si="66"/>
        <v>0.36827376805708317</v>
      </c>
      <c r="J952" s="95">
        <v>8.2688305874343299E-3</v>
      </c>
      <c r="K952" s="137">
        <v>0.72827870552673202</v>
      </c>
      <c r="L952" s="137">
        <v>0.68181818181818199</v>
      </c>
      <c r="M952" s="137">
        <v>0.79796949108955795</v>
      </c>
      <c r="N952" s="136">
        <v>1</v>
      </c>
      <c r="O952" s="32">
        <v>43046</v>
      </c>
      <c r="P952" s="98">
        <f t="shared" si="67"/>
        <v>0</v>
      </c>
      <c r="Q952">
        <v>2.5499999999999998</v>
      </c>
      <c r="R952">
        <v>0</v>
      </c>
      <c r="S952">
        <v>1.87</v>
      </c>
      <c r="T952" s="112" t="s">
        <v>48</v>
      </c>
      <c r="U952" s="137" t="s">
        <v>2591</v>
      </c>
      <c r="V952" s="137" t="s">
        <v>2592</v>
      </c>
      <c r="W952" s="69">
        <v>96</v>
      </c>
      <c r="X952" s="136">
        <v>2</v>
      </c>
      <c r="Y952" s="136">
        <v>2</v>
      </c>
      <c r="Z952" s="314"/>
      <c r="AA952" s="319">
        <v>0.45454545454545398</v>
      </c>
      <c r="AB952" s="315" t="s">
        <v>5176</v>
      </c>
      <c r="AC952" s="319">
        <v>1</v>
      </c>
      <c r="AD952" s="320">
        <v>1.7857142857142801E-2</v>
      </c>
      <c r="AE952" s="319">
        <v>5</v>
      </c>
      <c r="AF952" s="320">
        <v>8.9285714285714204E-2</v>
      </c>
      <c r="AG952" s="319">
        <v>0</v>
      </c>
      <c r="AH952" s="320">
        <v>0</v>
      </c>
      <c r="AI952" s="319">
        <v>0</v>
      </c>
      <c r="AJ952" s="320">
        <v>0</v>
      </c>
      <c r="AK952" s="320">
        <v>1.785714285714286E-2</v>
      </c>
      <c r="AL952" s="319">
        <v>5</v>
      </c>
      <c r="AM952" s="319">
        <v>5</v>
      </c>
      <c r="AN952" s="319">
        <v>2</v>
      </c>
      <c r="AO952" s="319">
        <v>0.4</v>
      </c>
      <c r="AP952">
        <v>2</v>
      </c>
      <c r="AQ952" s="136">
        <v>2</v>
      </c>
      <c r="AT952" s="69">
        <v>2.3148</v>
      </c>
      <c r="AU952" s="69">
        <v>2.3148</v>
      </c>
      <c r="AV952" s="69">
        <v>2.3148</v>
      </c>
      <c r="AW952" s="69">
        <v>0.23150000000000001</v>
      </c>
      <c r="BB952" s="69"/>
    </row>
    <row r="953" spans="1:54" customFormat="1" ht="40" customHeight="1">
      <c r="A953" s="313">
        <v>952</v>
      </c>
      <c r="B953" s="136" t="s">
        <v>2510</v>
      </c>
      <c r="C953" s="136" t="s">
        <v>45</v>
      </c>
      <c r="D953" s="31">
        <f t="shared" si="64"/>
        <v>4</v>
      </c>
      <c r="E953" s="137" t="s">
        <v>833</v>
      </c>
      <c r="F953" s="31">
        <f t="shared" si="65"/>
        <v>3</v>
      </c>
      <c r="G953" s="137" t="s">
        <v>2593</v>
      </c>
      <c r="H953" s="138">
        <v>261</v>
      </c>
      <c r="I953" s="158">
        <f t="shared" si="66"/>
        <v>0.31809550323503</v>
      </c>
      <c r="J953" s="95">
        <v>0</v>
      </c>
      <c r="K953" s="137">
        <v>0.63619100647005999</v>
      </c>
      <c r="L953" s="137">
        <v>0.75</v>
      </c>
      <c r="M953" s="137">
        <v>0.46547751617515098</v>
      </c>
      <c r="N953" s="136">
        <v>1</v>
      </c>
      <c r="O953" s="32">
        <v>43013</v>
      </c>
      <c r="P953" s="98">
        <f t="shared" si="67"/>
        <v>0</v>
      </c>
      <c r="Q953">
        <v>5.0999999999999996</v>
      </c>
      <c r="R953">
        <v>3.3</v>
      </c>
      <c r="S953">
        <v>0</v>
      </c>
      <c r="T953" s="112" t="s">
        <v>48</v>
      </c>
      <c r="U953" s="137" t="s">
        <v>2594</v>
      </c>
      <c r="V953" s="137" t="s">
        <v>2595</v>
      </c>
      <c r="W953" s="69">
        <v>117</v>
      </c>
      <c r="X953" s="136">
        <v>3</v>
      </c>
      <c r="Y953" s="136">
        <v>14</v>
      </c>
      <c r="Z953" s="314"/>
      <c r="AA953" s="319">
        <v>0.54</v>
      </c>
      <c r="AB953" s="315" t="s">
        <v>5176</v>
      </c>
      <c r="AC953" s="319">
        <v>1</v>
      </c>
      <c r="AD953" s="320">
        <v>1.4492753623188401E-2</v>
      </c>
      <c r="AE953" s="319">
        <v>6</v>
      </c>
      <c r="AF953" s="320">
        <v>8.6956521739130405E-2</v>
      </c>
      <c r="AG953" s="319">
        <v>2</v>
      </c>
      <c r="AH953" s="320">
        <v>2.8985507246376802E-2</v>
      </c>
      <c r="AI953" s="319">
        <v>0</v>
      </c>
      <c r="AJ953" s="320">
        <v>0</v>
      </c>
      <c r="AK953" s="320">
        <v>1.4492753623188409E-2</v>
      </c>
      <c r="AL953" s="319">
        <v>5</v>
      </c>
      <c r="AM953" s="319">
        <v>6.2</v>
      </c>
      <c r="AN953" s="319">
        <v>4.6666666666666599</v>
      </c>
      <c r="AO953" s="319">
        <v>0.52888888888888796</v>
      </c>
      <c r="AP953">
        <v>14</v>
      </c>
      <c r="AQ953" s="136">
        <v>14</v>
      </c>
      <c r="AT953" s="69">
        <v>2.3148</v>
      </c>
      <c r="AU953" s="69">
        <v>5</v>
      </c>
      <c r="AV953" s="69">
        <v>8.1305999999999994</v>
      </c>
      <c r="AW953" s="69">
        <v>0.51480000000000004</v>
      </c>
      <c r="BB953" s="69"/>
    </row>
    <row r="954" spans="1:54" customFormat="1" ht="40" customHeight="1">
      <c r="A954" s="313">
        <v>953</v>
      </c>
      <c r="B954" s="136" t="s">
        <v>2510</v>
      </c>
      <c r="C954" s="136" t="s">
        <v>45</v>
      </c>
      <c r="D954" s="31">
        <f t="shared" si="64"/>
        <v>4</v>
      </c>
      <c r="E954" s="137" t="s">
        <v>46</v>
      </c>
      <c r="F954" s="31">
        <f t="shared" si="65"/>
        <v>6</v>
      </c>
      <c r="G954" s="137" t="s">
        <v>2596</v>
      </c>
      <c r="H954" s="138">
        <v>80</v>
      </c>
      <c r="I954" s="158">
        <f t="shared" si="66"/>
        <v>0.62914403551116305</v>
      </c>
      <c r="J954" s="95">
        <v>0.58536157643712405</v>
      </c>
      <c r="K954" s="137">
        <v>0.67292649458520204</v>
      </c>
      <c r="L954" s="137">
        <v>0.61983471074380203</v>
      </c>
      <c r="M954" s="137">
        <v>0.75256417034730305</v>
      </c>
      <c r="N954" s="136">
        <v>1</v>
      </c>
      <c r="O954" s="32">
        <v>42990</v>
      </c>
      <c r="P954" s="98">
        <f t="shared" si="67"/>
        <v>0</v>
      </c>
      <c r="Q954">
        <v>2.5499999999999998</v>
      </c>
      <c r="R954">
        <v>1.65</v>
      </c>
      <c r="S954">
        <v>0</v>
      </c>
      <c r="T954" s="112" t="s">
        <v>48</v>
      </c>
      <c r="U954" s="137" t="s">
        <v>2597</v>
      </c>
      <c r="V954" s="137" t="s">
        <v>2598</v>
      </c>
      <c r="W954" s="69">
        <v>26</v>
      </c>
      <c r="X954" s="136">
        <v>1</v>
      </c>
      <c r="Y954" s="136">
        <v>3</v>
      </c>
      <c r="Z954" s="314"/>
      <c r="AA954" s="319">
        <v>0.5</v>
      </c>
      <c r="AB954" s="315" t="s">
        <v>5178</v>
      </c>
      <c r="AC954" s="319">
        <v>1</v>
      </c>
      <c r="AD954" s="320">
        <v>6.6666666666666596E-2</v>
      </c>
      <c r="AE954" s="319">
        <v>1</v>
      </c>
      <c r="AF954" s="320">
        <v>6.6666666666666596E-2</v>
      </c>
      <c r="AG954" s="319">
        <v>0</v>
      </c>
      <c r="AH954" s="320">
        <v>0</v>
      </c>
      <c r="AI954" s="319">
        <v>0</v>
      </c>
      <c r="AJ954" s="320">
        <v>0</v>
      </c>
      <c r="AK954" s="320">
        <v>0</v>
      </c>
      <c r="AL954" s="319">
        <v>5</v>
      </c>
      <c r="AM954" s="319">
        <v>5</v>
      </c>
      <c r="AN954" s="319">
        <v>2</v>
      </c>
      <c r="AO954" s="319">
        <v>0.4</v>
      </c>
      <c r="AP954">
        <v>3</v>
      </c>
      <c r="AR954" s="136">
        <v>3</v>
      </c>
      <c r="AT954" s="69">
        <v>2.3148</v>
      </c>
      <c r="AU954" s="69">
        <v>2.3148</v>
      </c>
      <c r="AV954" s="69">
        <v>2.3148</v>
      </c>
      <c r="AW954" s="69">
        <v>0.23150000000000001</v>
      </c>
      <c r="BB954" s="69"/>
    </row>
    <row r="955" spans="1:54" customFormat="1" ht="40" customHeight="1">
      <c r="A955" s="313">
        <v>954</v>
      </c>
      <c r="B955" s="136" t="s">
        <v>2510</v>
      </c>
      <c r="C955" s="136" t="s">
        <v>45</v>
      </c>
      <c r="D955" s="31">
        <f t="shared" si="64"/>
        <v>4</v>
      </c>
      <c r="E955" s="137" t="s">
        <v>46</v>
      </c>
      <c r="F955" s="31">
        <f t="shared" si="65"/>
        <v>6</v>
      </c>
      <c r="G955" s="137" t="s">
        <v>2599</v>
      </c>
      <c r="H955" s="138">
        <v>86</v>
      </c>
      <c r="I955" s="158">
        <f t="shared" si="66"/>
        <v>0.40709931702773006</v>
      </c>
      <c r="J955" s="95">
        <v>1.08376196371607E-5</v>
      </c>
      <c r="K955" s="137">
        <v>0.81418779643582295</v>
      </c>
      <c r="L955" s="137">
        <v>0.82499999999999996</v>
      </c>
      <c r="M955" s="137">
        <v>0.79796949108955795</v>
      </c>
      <c r="N955" s="136">
        <v>1</v>
      </c>
      <c r="O955" s="32">
        <v>42989</v>
      </c>
      <c r="P955" s="98">
        <f t="shared" si="67"/>
        <v>0</v>
      </c>
      <c r="Q955">
        <v>5.0999999999999996</v>
      </c>
      <c r="R955">
        <v>0</v>
      </c>
      <c r="S955">
        <v>0</v>
      </c>
      <c r="T955" s="112" t="s">
        <v>48</v>
      </c>
      <c r="U955" s="137" t="s">
        <v>2600</v>
      </c>
      <c r="V955" s="137" t="s">
        <v>2601</v>
      </c>
      <c r="W955" s="69">
        <v>91</v>
      </c>
      <c r="X955" s="136">
        <v>1</v>
      </c>
      <c r="Y955" s="136">
        <v>2</v>
      </c>
      <c r="Z955" s="314"/>
      <c r="AA955" s="319">
        <v>0.60499999999999998</v>
      </c>
      <c r="AB955" s="315" t="s">
        <v>5176</v>
      </c>
      <c r="AC955" s="319">
        <v>3</v>
      </c>
      <c r="AD955" s="320">
        <v>5.8823529411764698E-2</v>
      </c>
      <c r="AE955" s="319">
        <v>4</v>
      </c>
      <c r="AF955" s="320">
        <v>7.8431372549019607E-2</v>
      </c>
      <c r="AG955" s="319">
        <v>1</v>
      </c>
      <c r="AH955" s="320">
        <v>1.9607843137254902E-2</v>
      </c>
      <c r="AI955" s="319">
        <v>1</v>
      </c>
      <c r="AJ955" s="320">
        <v>1.9607843137254902E-2</v>
      </c>
      <c r="AK955" s="320">
        <v>0</v>
      </c>
      <c r="AL955" s="319">
        <v>5</v>
      </c>
      <c r="AM955" s="319">
        <v>5</v>
      </c>
      <c r="AN955" s="319">
        <v>2</v>
      </c>
      <c r="AO955" s="319">
        <v>0.4</v>
      </c>
      <c r="AP955">
        <v>2</v>
      </c>
      <c r="AQ955" s="136">
        <v>2</v>
      </c>
      <c r="AT955" s="69">
        <v>2.3148</v>
      </c>
      <c r="AU955" s="69">
        <v>2.3148</v>
      </c>
      <c r="AV955" s="69">
        <v>2.3148</v>
      </c>
      <c r="AW955" s="69">
        <v>0.23150000000000001</v>
      </c>
      <c r="BB955" s="69"/>
    </row>
    <row r="956" spans="1:54" customFormat="1" ht="40" customHeight="1">
      <c r="A956" s="313">
        <v>955</v>
      </c>
      <c r="B956" s="136" t="s">
        <v>2510</v>
      </c>
      <c r="C956" s="136" t="s">
        <v>45</v>
      </c>
      <c r="D956" s="31">
        <f t="shared" si="64"/>
        <v>4</v>
      </c>
      <c r="E956" s="137" t="s">
        <v>80</v>
      </c>
      <c r="F956" s="31">
        <f t="shared" si="65"/>
        <v>4</v>
      </c>
      <c r="G956" s="137" t="s">
        <v>2602</v>
      </c>
      <c r="H956" s="138">
        <v>25</v>
      </c>
      <c r="I956" s="158">
        <f t="shared" si="66"/>
        <v>0.35836388076879361</v>
      </c>
      <c r="J956" s="95">
        <v>8.0536755067527194E-2</v>
      </c>
      <c r="K956" s="137">
        <v>0.63619100647005999</v>
      </c>
      <c r="L956" s="137">
        <v>0.75</v>
      </c>
      <c r="M956" s="137">
        <v>0.46547751617515098</v>
      </c>
      <c r="N956" s="136">
        <v>1</v>
      </c>
      <c r="O956" s="32">
        <v>42988</v>
      </c>
      <c r="P956" s="98">
        <f t="shared" si="67"/>
        <v>0</v>
      </c>
      <c r="Q956">
        <v>2.5499999999999998</v>
      </c>
      <c r="R956">
        <v>0</v>
      </c>
      <c r="S956">
        <v>0</v>
      </c>
      <c r="T956" s="112" t="s">
        <v>48</v>
      </c>
      <c r="U956" s="137" t="s">
        <v>2603</v>
      </c>
      <c r="V956" s="137" t="s">
        <v>2604</v>
      </c>
      <c r="W956" s="69">
        <v>63</v>
      </c>
      <c r="X956" s="136">
        <v>2</v>
      </c>
      <c r="Y956" s="136">
        <v>14</v>
      </c>
      <c r="Z956" s="314"/>
      <c r="AA956" s="319">
        <v>0.5</v>
      </c>
      <c r="AB956" s="315" t="s">
        <v>5193</v>
      </c>
      <c r="AC956" s="319">
        <v>2</v>
      </c>
      <c r="AD956" s="320">
        <v>5.5555555555555497E-2</v>
      </c>
      <c r="AE956" s="319">
        <v>2</v>
      </c>
      <c r="AF956" s="320">
        <v>5.5555555555555497E-2</v>
      </c>
      <c r="AG956" s="319">
        <v>1</v>
      </c>
      <c r="AH956" s="320">
        <v>2.77777777777777E-2</v>
      </c>
      <c r="AI956" s="319">
        <v>2</v>
      </c>
      <c r="AJ956" s="320">
        <v>5.5555555555555497E-2</v>
      </c>
      <c r="AK956" s="320">
        <v>0</v>
      </c>
      <c r="AL956" s="319">
        <v>5</v>
      </c>
      <c r="AM956" s="319">
        <v>5</v>
      </c>
      <c r="AN956" s="319">
        <v>4.6666666666666599</v>
      </c>
      <c r="AO956" s="319">
        <v>0.48888888888888798</v>
      </c>
      <c r="AP956">
        <v>14</v>
      </c>
      <c r="AS956" s="136">
        <v>14</v>
      </c>
      <c r="AT956" s="69">
        <v>2.3148</v>
      </c>
      <c r="AU956" s="69">
        <v>2.3148</v>
      </c>
      <c r="AV956" s="69">
        <v>8.1305999999999994</v>
      </c>
      <c r="AW956" s="69">
        <v>0.42530000000000001</v>
      </c>
      <c r="BB956" s="69"/>
    </row>
    <row r="957" spans="1:54" customFormat="1" ht="40" customHeight="1">
      <c r="A957" s="313">
        <v>956</v>
      </c>
      <c r="B957" s="136" t="s">
        <v>2510</v>
      </c>
      <c r="C957" s="136" t="s">
        <v>45</v>
      </c>
      <c r="D957" s="31">
        <f t="shared" si="64"/>
        <v>4</v>
      </c>
      <c r="E957" s="137" t="s">
        <v>46</v>
      </c>
      <c r="F957" s="31">
        <f t="shared" si="65"/>
        <v>6</v>
      </c>
      <c r="G957" s="137" t="s">
        <v>2605</v>
      </c>
      <c r="H957" s="138">
        <v>136</v>
      </c>
      <c r="I957" s="158">
        <f t="shared" si="66"/>
        <v>0.48642241720483853</v>
      </c>
      <c r="J957" s="95">
        <v>0.19213054869539101</v>
      </c>
      <c r="K957" s="137">
        <v>0.78071428571428603</v>
      </c>
      <c r="L957" s="137">
        <v>0.82499999999999996</v>
      </c>
      <c r="M957" s="137">
        <v>0.71428571428571397</v>
      </c>
      <c r="N957" s="136">
        <v>1</v>
      </c>
      <c r="O957" s="32">
        <v>42987</v>
      </c>
      <c r="P957" s="98">
        <f t="shared" si="67"/>
        <v>0</v>
      </c>
      <c r="Q957">
        <v>10.199999999999999</v>
      </c>
      <c r="R957">
        <v>0</v>
      </c>
      <c r="S957">
        <v>0</v>
      </c>
      <c r="T957" s="112" t="s">
        <v>48</v>
      </c>
      <c r="U957" s="137" t="s">
        <v>2606</v>
      </c>
      <c r="V957" s="137" t="s">
        <v>2601</v>
      </c>
      <c r="W957" s="69">
        <v>91</v>
      </c>
      <c r="X957" s="136">
        <v>1</v>
      </c>
      <c r="Y957" s="136">
        <v>4</v>
      </c>
      <c r="Z957" s="314"/>
      <c r="AA957" s="319">
        <v>0.60499999999999998</v>
      </c>
      <c r="AB957" s="315" t="s">
        <v>5176</v>
      </c>
      <c r="AC957" s="319">
        <v>3</v>
      </c>
      <c r="AD957" s="320">
        <v>5.8823529411764698E-2</v>
      </c>
      <c r="AE957" s="319">
        <v>4</v>
      </c>
      <c r="AF957" s="320">
        <v>7.8431372549019607E-2</v>
      </c>
      <c r="AG957" s="319">
        <v>1</v>
      </c>
      <c r="AH957" s="320">
        <v>1.9607843137254902E-2</v>
      </c>
      <c r="AI957" s="319">
        <v>1</v>
      </c>
      <c r="AJ957" s="320">
        <v>1.9607843137254902E-2</v>
      </c>
      <c r="AK957" s="320">
        <v>0</v>
      </c>
      <c r="AL957" s="319">
        <v>6.75</v>
      </c>
      <c r="AM957" s="319">
        <v>5</v>
      </c>
      <c r="AN957" s="319">
        <v>4.6666666666666599</v>
      </c>
      <c r="AO957" s="319">
        <v>0.54722222222222205</v>
      </c>
      <c r="AP957">
        <v>4</v>
      </c>
      <c r="AQ957" s="136">
        <v>4</v>
      </c>
      <c r="AT957" s="69">
        <v>6.3414000000000001</v>
      </c>
      <c r="AU957" s="69">
        <v>2.3148</v>
      </c>
      <c r="AV957" s="69">
        <v>8.1305999999999994</v>
      </c>
      <c r="AW957" s="69">
        <v>0.55959999999999999</v>
      </c>
      <c r="BB957" s="69"/>
    </row>
    <row r="958" spans="1:54" customFormat="1" ht="40" customHeight="1">
      <c r="A958" s="313">
        <v>957</v>
      </c>
      <c r="B958" s="136" t="s">
        <v>2510</v>
      </c>
      <c r="C958" s="136" t="s">
        <v>45</v>
      </c>
      <c r="D958" s="31">
        <f t="shared" si="64"/>
        <v>4</v>
      </c>
      <c r="E958" s="137" t="s">
        <v>80</v>
      </c>
      <c r="F958" s="31">
        <f t="shared" si="65"/>
        <v>4</v>
      </c>
      <c r="G958" s="137" t="s">
        <v>159</v>
      </c>
      <c r="H958" s="138">
        <v>35</v>
      </c>
      <c r="I958" s="158">
        <f t="shared" si="66"/>
        <v>0.37398637400258045</v>
      </c>
      <c r="J958" s="95">
        <v>1.4597155133514899E-2</v>
      </c>
      <c r="K958" s="137">
        <v>0.733375592871646</v>
      </c>
      <c r="L958" s="137">
        <v>0.82499999999999996</v>
      </c>
      <c r="M958" s="137">
        <v>0.59593898217911601</v>
      </c>
      <c r="N958" s="136">
        <v>1</v>
      </c>
      <c r="O958" s="32">
        <v>42987</v>
      </c>
      <c r="P958" s="98">
        <f t="shared" si="67"/>
        <v>0</v>
      </c>
      <c r="Q958">
        <v>5.0999999999999996</v>
      </c>
      <c r="R958">
        <v>0</v>
      </c>
      <c r="S958">
        <v>0</v>
      </c>
      <c r="T958" s="112" t="s">
        <v>48</v>
      </c>
      <c r="U958" s="137" t="s">
        <v>2607</v>
      </c>
      <c r="V958" s="137" t="s">
        <v>2601</v>
      </c>
      <c r="W958" s="69">
        <v>91</v>
      </c>
      <c r="X958" s="136">
        <v>1</v>
      </c>
      <c r="Y958" s="136">
        <v>8</v>
      </c>
      <c r="Z958" s="314"/>
      <c r="AA958" s="319">
        <v>0.60499999999999998</v>
      </c>
      <c r="AB958" s="315" t="s">
        <v>5176</v>
      </c>
      <c r="AC958" s="319">
        <v>3</v>
      </c>
      <c r="AD958" s="320">
        <v>5.8823529411764698E-2</v>
      </c>
      <c r="AE958" s="319">
        <v>4</v>
      </c>
      <c r="AF958" s="320">
        <v>7.8431372549019607E-2</v>
      </c>
      <c r="AG958" s="319">
        <v>1</v>
      </c>
      <c r="AH958" s="320">
        <v>1.9607843137254902E-2</v>
      </c>
      <c r="AI958" s="319">
        <v>1</v>
      </c>
      <c r="AJ958" s="320">
        <v>1.9607843137254902E-2</v>
      </c>
      <c r="AK958" s="320">
        <v>0</v>
      </c>
      <c r="AL958" s="319">
        <v>6.75</v>
      </c>
      <c r="AM958" s="319">
        <v>6.2</v>
      </c>
      <c r="AN958" s="319">
        <v>2</v>
      </c>
      <c r="AO958" s="319">
        <v>0.49833333333333302</v>
      </c>
      <c r="AP958">
        <v>8</v>
      </c>
      <c r="AQ958" s="136">
        <v>8</v>
      </c>
      <c r="AT958" s="69">
        <v>6.3414000000000001</v>
      </c>
      <c r="AU958" s="69">
        <v>5</v>
      </c>
      <c r="AV958" s="69">
        <v>2.3148</v>
      </c>
      <c r="AW958" s="69">
        <v>0.45519999999999999</v>
      </c>
      <c r="BB958" s="69"/>
    </row>
    <row r="959" spans="1:54" customFormat="1" ht="40" customHeight="1">
      <c r="A959" s="313">
        <v>958</v>
      </c>
      <c r="B959" s="136" t="s">
        <v>2510</v>
      </c>
      <c r="C959" s="136" t="s">
        <v>45</v>
      </c>
      <c r="D959" s="31">
        <f t="shared" si="64"/>
        <v>4</v>
      </c>
      <c r="E959" s="137" t="s">
        <v>46</v>
      </c>
      <c r="F959" s="31">
        <f t="shared" si="65"/>
        <v>6</v>
      </c>
      <c r="G959" s="137" t="s">
        <v>2608</v>
      </c>
      <c r="H959" s="138">
        <v>98</v>
      </c>
      <c r="I959" s="158">
        <f t="shared" si="66"/>
        <v>0.25478114772713323</v>
      </c>
      <c r="J959" s="95">
        <v>1.57627150621842E-3</v>
      </c>
      <c r="K959" s="137">
        <v>0.50798602394804804</v>
      </c>
      <c r="L959" s="137">
        <v>0.465690992294366</v>
      </c>
      <c r="M959" s="137">
        <v>0.57142857142857095</v>
      </c>
      <c r="N959" s="136">
        <v>1</v>
      </c>
      <c r="O959" s="32">
        <v>42986</v>
      </c>
      <c r="P959" s="98">
        <f t="shared" si="67"/>
        <v>0</v>
      </c>
      <c r="Q959">
        <v>0</v>
      </c>
      <c r="R959">
        <v>0</v>
      </c>
      <c r="S959">
        <v>0</v>
      </c>
      <c r="T959" s="112" t="s">
        <v>48</v>
      </c>
      <c r="U959" s="137" t="s">
        <v>2609</v>
      </c>
      <c r="V959" s="137" t="s">
        <v>2601</v>
      </c>
      <c r="W959" s="69">
        <v>91</v>
      </c>
      <c r="X959" s="136">
        <v>1</v>
      </c>
      <c r="Y959" s="136">
        <v>9</v>
      </c>
      <c r="Z959" s="314"/>
      <c r="AA959" s="319">
        <v>3.0627031814024798E-3</v>
      </c>
      <c r="AB959" s="315" t="s">
        <v>5176</v>
      </c>
      <c r="AC959" s="319">
        <v>3</v>
      </c>
      <c r="AD959" s="320">
        <v>5.8823529411764698E-2</v>
      </c>
      <c r="AE959" s="319">
        <v>4</v>
      </c>
      <c r="AF959" s="320">
        <v>7.8431372549019607E-2</v>
      </c>
      <c r="AG959" s="319">
        <v>1</v>
      </c>
      <c r="AH959" s="320">
        <v>1.9607843137254902E-2</v>
      </c>
      <c r="AI959" s="319">
        <v>1</v>
      </c>
      <c r="AJ959" s="320">
        <v>1.9607843137254902E-2</v>
      </c>
      <c r="AK959" s="320">
        <v>0</v>
      </c>
      <c r="AL959" s="319">
        <v>5</v>
      </c>
      <c r="AM959" s="319">
        <v>5</v>
      </c>
      <c r="AN959" s="319">
        <v>2</v>
      </c>
      <c r="AO959" s="319">
        <v>0.4</v>
      </c>
      <c r="AP959">
        <v>9</v>
      </c>
      <c r="AQ959" s="136">
        <v>9</v>
      </c>
      <c r="AT959" s="69">
        <v>2.3148</v>
      </c>
      <c r="AU959" s="69">
        <v>2.3148</v>
      </c>
      <c r="AV959" s="69">
        <v>2.3148</v>
      </c>
      <c r="AW959" s="69">
        <v>0.23150000000000001</v>
      </c>
      <c r="BB959" s="69"/>
    </row>
    <row r="960" spans="1:54" customFormat="1" ht="40" customHeight="1">
      <c r="A960" s="313">
        <v>959</v>
      </c>
      <c r="B960" s="136" t="s">
        <v>2510</v>
      </c>
      <c r="C960" s="136" t="s">
        <v>45</v>
      </c>
      <c r="D960" s="31">
        <f t="shared" si="64"/>
        <v>4</v>
      </c>
      <c r="E960" s="137" t="s">
        <v>46</v>
      </c>
      <c r="F960" s="31">
        <f t="shared" si="65"/>
        <v>6</v>
      </c>
      <c r="G960" s="137" t="s">
        <v>2610</v>
      </c>
      <c r="H960" s="138">
        <v>119</v>
      </c>
      <c r="I960" s="158">
        <f t="shared" si="66"/>
        <v>0.29653518022265285</v>
      </c>
      <c r="J960" s="95">
        <v>1.98167386944448E-8</v>
      </c>
      <c r="K960" s="137">
        <v>0.59307034062856701</v>
      </c>
      <c r="L960" s="137">
        <v>0.51226009152380303</v>
      </c>
      <c r="M960" s="137">
        <v>0.71428571428571397</v>
      </c>
      <c r="N960" s="136">
        <v>1</v>
      </c>
      <c r="O960" s="32">
        <v>42986</v>
      </c>
      <c r="P960" s="98">
        <f t="shared" si="67"/>
        <v>0</v>
      </c>
      <c r="Q960">
        <v>2.5499999999999998</v>
      </c>
      <c r="R960">
        <v>0</v>
      </c>
      <c r="S960">
        <v>0</v>
      </c>
      <c r="T960" s="112" t="s">
        <v>48</v>
      </c>
      <c r="U960" s="137" t="s">
        <v>2611</v>
      </c>
      <c r="V960" s="137" t="s">
        <v>2612</v>
      </c>
      <c r="W960" s="69">
        <v>166</v>
      </c>
      <c r="X960" s="136">
        <v>1</v>
      </c>
      <c r="Y960" s="136">
        <v>4</v>
      </c>
      <c r="Z960" s="314"/>
      <c r="AA960" s="319">
        <v>0.55000000000000004</v>
      </c>
      <c r="AB960" s="315" t="s">
        <v>5194</v>
      </c>
      <c r="AC960" s="319">
        <v>1</v>
      </c>
      <c r="AD960" s="320">
        <v>1.13636363636363E-2</v>
      </c>
      <c r="AE960" s="319">
        <v>3</v>
      </c>
      <c r="AF960" s="320">
        <v>3.4090909090908998E-2</v>
      </c>
      <c r="AG960" s="319">
        <v>2</v>
      </c>
      <c r="AH960" s="320">
        <v>2.27272727272727E-2</v>
      </c>
      <c r="AI960" s="319">
        <v>3</v>
      </c>
      <c r="AJ960" s="320">
        <v>3.4090909090908998E-2</v>
      </c>
      <c r="AK960" s="320">
        <v>0</v>
      </c>
      <c r="AL960" s="319">
        <v>5</v>
      </c>
      <c r="AM960" s="319">
        <v>5</v>
      </c>
      <c r="AN960" s="319">
        <v>2</v>
      </c>
      <c r="AO960" s="319">
        <v>0.4</v>
      </c>
      <c r="AP960">
        <v>4</v>
      </c>
      <c r="AR960" s="136">
        <v>4</v>
      </c>
      <c r="AT960" s="69">
        <v>2.3148</v>
      </c>
      <c r="AU960" s="69">
        <v>2.3148</v>
      </c>
      <c r="AV960" s="69">
        <v>2.3148</v>
      </c>
      <c r="AW960" s="69">
        <v>0.23150000000000001</v>
      </c>
      <c r="BB960" s="69"/>
    </row>
    <row r="961" spans="1:54" customFormat="1" ht="40" customHeight="1">
      <c r="A961" s="313">
        <v>960</v>
      </c>
      <c r="B961" s="136" t="s">
        <v>2510</v>
      </c>
      <c r="C961" s="136" t="s">
        <v>45</v>
      </c>
      <c r="D961" s="31">
        <f t="shared" si="64"/>
        <v>4</v>
      </c>
      <c r="E961" s="137" t="s">
        <v>80</v>
      </c>
      <c r="F961" s="31">
        <f t="shared" si="65"/>
        <v>4</v>
      </c>
      <c r="G961" s="137" t="s">
        <v>200</v>
      </c>
      <c r="H961" s="138">
        <v>40</v>
      </c>
      <c r="I961" s="158">
        <f t="shared" si="66"/>
        <v>0.43778106400559252</v>
      </c>
      <c r="J961" s="95">
        <v>0.108337441011173</v>
      </c>
      <c r="K961" s="137">
        <v>0.76722468700001201</v>
      </c>
      <c r="L961" s="137">
        <v>0.82499999999999996</v>
      </c>
      <c r="M961" s="137">
        <v>0.68056171750003003</v>
      </c>
      <c r="N961" s="136">
        <v>1</v>
      </c>
      <c r="O961" s="32">
        <v>42985</v>
      </c>
      <c r="P961" s="98">
        <f t="shared" si="67"/>
        <v>0</v>
      </c>
      <c r="Q961">
        <v>5.0999999999999996</v>
      </c>
      <c r="R961">
        <v>0</v>
      </c>
      <c r="S961">
        <v>0</v>
      </c>
      <c r="T961" s="112" t="s">
        <v>48</v>
      </c>
      <c r="U961" s="137" t="s">
        <v>2613</v>
      </c>
      <c r="V961" s="137" t="s">
        <v>2614</v>
      </c>
      <c r="W961" s="69">
        <v>77</v>
      </c>
      <c r="X961" s="136">
        <v>1</v>
      </c>
      <c r="Y961" s="136">
        <v>5</v>
      </c>
      <c r="Z961" s="314"/>
      <c r="AA961" s="319">
        <v>0.55000000000000004</v>
      </c>
      <c r="AB961" s="315" t="s">
        <v>5176</v>
      </c>
      <c r="AC961" s="319">
        <v>2</v>
      </c>
      <c r="AD961" s="320">
        <v>4.6511627906976702E-2</v>
      </c>
      <c r="AE961" s="319">
        <v>4</v>
      </c>
      <c r="AF961" s="320">
        <v>9.3023255813953501E-2</v>
      </c>
      <c r="AG961" s="319">
        <v>1</v>
      </c>
      <c r="AH961" s="320">
        <v>2.3255813953488299E-2</v>
      </c>
      <c r="AI961" s="319">
        <v>1</v>
      </c>
      <c r="AJ961" s="320">
        <v>2.3255813953488299E-2</v>
      </c>
      <c r="AK961" s="320">
        <v>0</v>
      </c>
      <c r="AL961" s="319">
        <v>5</v>
      </c>
      <c r="AM961" s="319">
        <v>5</v>
      </c>
      <c r="AN961" s="319">
        <v>2</v>
      </c>
      <c r="AO961" s="319">
        <v>0.4</v>
      </c>
      <c r="AP961">
        <v>5</v>
      </c>
      <c r="AR961" s="136">
        <v>5</v>
      </c>
      <c r="AT961" s="69">
        <v>2.3148</v>
      </c>
      <c r="AU961" s="69">
        <v>2.3148</v>
      </c>
      <c r="AV961" s="69">
        <v>2.3148</v>
      </c>
      <c r="AW961" s="69">
        <v>0.23150000000000001</v>
      </c>
      <c r="BB961" s="69"/>
    </row>
    <row r="962" spans="1:54" customFormat="1" ht="40" customHeight="1">
      <c r="A962" s="313">
        <v>961</v>
      </c>
      <c r="B962" s="136" t="s">
        <v>2510</v>
      </c>
      <c r="C962" s="136" t="s">
        <v>1191</v>
      </c>
      <c r="D962" s="31">
        <f t="shared" ref="D962:D1025" si="68">IF(C962="投诉",4,IF(C962="建议",1,IF(C962="举报",2,IF(C962="求助",3,5))))</f>
        <v>2</v>
      </c>
      <c r="E962" s="137" t="s">
        <v>80</v>
      </c>
      <c r="F962" s="31">
        <f t="shared" ref="F962:F1025" si="69">IF(E962="12345app",1,IF(E962="e福州app",2,IF(E962="qq",3,IF(E962="电话",4,IF(E962="短信",5,IF(E962="网站",6,IF(E962="微博",7,IF(E962="微信",8,9))))))))</f>
        <v>4</v>
      </c>
      <c r="G962" s="137" t="s">
        <v>2615</v>
      </c>
      <c r="H962" s="138">
        <v>24</v>
      </c>
      <c r="I962" s="158">
        <f t="shared" ref="I962:I1025" si="70">(J962+K962)/2</f>
        <v>0.30821201683103983</v>
      </c>
      <c r="J962" s="95">
        <v>2.3795612069461701E-2</v>
      </c>
      <c r="K962" s="137">
        <v>0.59262842159261797</v>
      </c>
      <c r="L962" s="137">
        <v>0.82499999999999996</v>
      </c>
      <c r="M962" s="137">
        <v>0.24407105398154499</v>
      </c>
      <c r="N962" s="136">
        <v>1</v>
      </c>
      <c r="O962" s="32">
        <v>42528</v>
      </c>
      <c r="P962" s="98">
        <f t="shared" ref="P962:P1025" si="71">IF(T962="利己",0,IF(T962="生态",2,1))</f>
        <v>1</v>
      </c>
      <c r="Q962">
        <v>0</v>
      </c>
      <c r="R962">
        <v>0</v>
      </c>
      <c r="S962">
        <v>0</v>
      </c>
      <c r="T962" s="112" t="s">
        <v>73</v>
      </c>
      <c r="U962" s="137" t="s">
        <v>2616</v>
      </c>
      <c r="V962" s="137" t="s">
        <v>2617</v>
      </c>
      <c r="W962" s="69">
        <v>77</v>
      </c>
      <c r="X962" s="136">
        <v>3</v>
      </c>
      <c r="Y962" s="136">
        <v>28</v>
      </c>
      <c r="Z962" s="314"/>
      <c r="AA962" s="319">
        <v>0.60499999999999998</v>
      </c>
      <c r="AB962" s="315" t="s">
        <v>5165</v>
      </c>
      <c r="AC962" s="319">
        <v>2</v>
      </c>
      <c r="AD962" s="320">
        <v>4.54545454545454E-2</v>
      </c>
      <c r="AE962" s="319">
        <v>1</v>
      </c>
      <c r="AF962" s="320">
        <v>2.27272727272727E-2</v>
      </c>
      <c r="AG962" s="319">
        <v>1</v>
      </c>
      <c r="AH962" s="320">
        <v>2.27272727272727E-2</v>
      </c>
      <c r="AI962" s="319">
        <v>0</v>
      </c>
      <c r="AJ962" s="320">
        <v>0</v>
      </c>
      <c r="AK962" s="320">
        <v>0</v>
      </c>
      <c r="AL962" s="319">
        <v>5</v>
      </c>
      <c r="AM962" s="319">
        <v>6.2</v>
      </c>
      <c r="AN962" s="319">
        <v>2</v>
      </c>
      <c r="AO962" s="319">
        <v>0.44</v>
      </c>
      <c r="AP962">
        <v>28</v>
      </c>
      <c r="AR962" s="136"/>
      <c r="AS962" s="136">
        <v>28</v>
      </c>
      <c r="AT962" s="69">
        <v>2.3148</v>
      </c>
      <c r="AU962" s="69">
        <v>5</v>
      </c>
      <c r="AV962" s="69">
        <v>2.3148</v>
      </c>
      <c r="AW962" s="69">
        <v>0.32100000000000001</v>
      </c>
      <c r="BB962" s="69"/>
    </row>
    <row r="963" spans="1:54" customFormat="1" ht="40" customHeight="1">
      <c r="A963" s="313">
        <v>962</v>
      </c>
      <c r="B963" s="136" t="s">
        <v>2618</v>
      </c>
      <c r="C963" s="136" t="s">
        <v>45</v>
      </c>
      <c r="D963" s="31">
        <f t="shared" si="68"/>
        <v>4</v>
      </c>
      <c r="E963" s="137" t="s">
        <v>80</v>
      </c>
      <c r="F963" s="31">
        <f t="shared" si="69"/>
        <v>4</v>
      </c>
      <c r="G963" s="137" t="s">
        <v>359</v>
      </c>
      <c r="H963" s="138">
        <v>38</v>
      </c>
      <c r="I963" s="158">
        <f t="shared" si="70"/>
        <v>0.43081260226946838</v>
      </c>
      <c r="J963" s="95">
        <v>9.2437408103113697E-2</v>
      </c>
      <c r="K963" s="137">
        <v>0.76918779643582302</v>
      </c>
      <c r="L963" s="137">
        <v>0.75</v>
      </c>
      <c r="M963" s="137">
        <v>0.79796949108955795</v>
      </c>
      <c r="N963" s="136">
        <v>1</v>
      </c>
      <c r="O963" s="32">
        <v>43170</v>
      </c>
      <c r="P963" s="98">
        <f t="shared" si="71"/>
        <v>0</v>
      </c>
      <c r="Q963">
        <v>2.5499999999999998</v>
      </c>
      <c r="R963">
        <v>0</v>
      </c>
      <c r="S963">
        <v>0</v>
      </c>
      <c r="T963" s="112" t="s">
        <v>48</v>
      </c>
      <c r="U963" s="137" t="s">
        <v>2619</v>
      </c>
      <c r="V963" s="137" t="s">
        <v>2620</v>
      </c>
      <c r="W963" s="69">
        <v>47</v>
      </c>
      <c r="X963" s="136">
        <v>1</v>
      </c>
      <c r="Y963" s="136">
        <v>2</v>
      </c>
      <c r="Z963" s="314"/>
      <c r="AA963" s="319">
        <v>0.5</v>
      </c>
      <c r="AB963" s="315" t="s">
        <v>5167</v>
      </c>
      <c r="AC963" s="319">
        <v>0</v>
      </c>
      <c r="AD963" s="320">
        <v>0</v>
      </c>
      <c r="AE963" s="319">
        <v>0</v>
      </c>
      <c r="AF963" s="320">
        <v>0</v>
      </c>
      <c r="AG963" s="319">
        <v>0</v>
      </c>
      <c r="AH963" s="320">
        <v>0</v>
      </c>
      <c r="AI963" s="319">
        <v>1</v>
      </c>
      <c r="AJ963" s="320">
        <v>3.4482758620689599E-2</v>
      </c>
      <c r="AK963" s="320">
        <v>0</v>
      </c>
      <c r="AL963" s="319">
        <v>5</v>
      </c>
      <c r="AM963" s="319">
        <v>5</v>
      </c>
      <c r="AN963" s="319">
        <v>4.6666666666666599</v>
      </c>
      <c r="AO963" s="319">
        <v>0.48888888888888798</v>
      </c>
      <c r="AP963">
        <v>2</v>
      </c>
      <c r="AR963" s="136">
        <v>2</v>
      </c>
      <c r="AT963" s="69">
        <v>2.3148</v>
      </c>
      <c r="AU963" s="69">
        <v>2.3148</v>
      </c>
      <c r="AV963" s="69">
        <v>8.1305999999999994</v>
      </c>
      <c r="AW963" s="69">
        <v>0.42530000000000001</v>
      </c>
      <c r="BB963" s="69"/>
    </row>
    <row r="964" spans="1:54" customFormat="1" ht="40" customHeight="1">
      <c r="A964" s="313">
        <v>963</v>
      </c>
      <c r="B964" s="136" t="s">
        <v>2618</v>
      </c>
      <c r="C964" s="136" t="s">
        <v>45</v>
      </c>
      <c r="D964" s="31">
        <f t="shared" si="68"/>
        <v>4</v>
      </c>
      <c r="E964" s="137" t="s">
        <v>46</v>
      </c>
      <c r="F964" s="31">
        <f t="shared" si="69"/>
        <v>6</v>
      </c>
      <c r="G964" s="137" t="s">
        <v>2621</v>
      </c>
      <c r="H964" s="138">
        <v>166</v>
      </c>
      <c r="I964" s="158">
        <f t="shared" si="70"/>
        <v>0.26597341067141234</v>
      </c>
      <c r="J964" s="95">
        <v>8.5709217501062098E-14</v>
      </c>
      <c r="K964" s="137">
        <v>0.53194682134273896</v>
      </c>
      <c r="L964" s="137">
        <v>0.38486858867302998</v>
      </c>
      <c r="M964" s="137">
        <v>0.75256417034730305</v>
      </c>
      <c r="N964" s="136">
        <v>1</v>
      </c>
      <c r="O964" s="32">
        <v>43088</v>
      </c>
      <c r="P964" s="98">
        <f t="shared" si="71"/>
        <v>0</v>
      </c>
      <c r="Q964">
        <v>7.65</v>
      </c>
      <c r="R964">
        <v>1.65</v>
      </c>
      <c r="S964">
        <v>0</v>
      </c>
      <c r="T964" s="112" t="s">
        <v>48</v>
      </c>
      <c r="U964" s="137" t="s">
        <v>2622</v>
      </c>
      <c r="V964" s="137" t="s">
        <v>2623</v>
      </c>
      <c r="W964" s="69">
        <v>131</v>
      </c>
      <c r="X964" s="136">
        <v>1</v>
      </c>
      <c r="Y964" s="136">
        <v>3</v>
      </c>
      <c r="Z964" s="314"/>
      <c r="AA964" s="319">
        <v>5.1338954660719196E-4</v>
      </c>
      <c r="AB964" s="315" t="s">
        <v>5165</v>
      </c>
      <c r="AC964" s="319">
        <v>4</v>
      </c>
      <c r="AD964" s="320">
        <v>5.4054054054054002E-2</v>
      </c>
      <c r="AE964" s="319">
        <v>3</v>
      </c>
      <c r="AF964" s="320">
        <v>4.0540540540540501E-2</v>
      </c>
      <c r="AG964" s="319">
        <v>1</v>
      </c>
      <c r="AH964" s="320">
        <v>1.35135135135135E-2</v>
      </c>
      <c r="AI964" s="319">
        <v>1</v>
      </c>
      <c r="AJ964" s="320">
        <v>1.35135135135135E-2</v>
      </c>
      <c r="AK964" s="320">
        <v>0</v>
      </c>
      <c r="AL964" s="319">
        <v>5</v>
      </c>
      <c r="AM964" s="319">
        <v>5</v>
      </c>
      <c r="AN964" s="319">
        <v>8.8333333333333304</v>
      </c>
      <c r="AO964" s="319">
        <v>0.62777777777777699</v>
      </c>
      <c r="AP964">
        <v>3</v>
      </c>
      <c r="AR964" s="136">
        <v>3</v>
      </c>
      <c r="AT964" s="69">
        <v>2.3148</v>
      </c>
      <c r="AU964" s="69">
        <v>2.3148</v>
      </c>
      <c r="AV964" s="69">
        <v>9.9641999999999999</v>
      </c>
      <c r="AW964" s="69">
        <v>0.48649999999999999</v>
      </c>
      <c r="BB964" s="69"/>
    </row>
    <row r="965" spans="1:54" customFormat="1" ht="40" customHeight="1">
      <c r="A965" s="313">
        <v>964</v>
      </c>
      <c r="B965" s="136" t="s">
        <v>2618</v>
      </c>
      <c r="C965" s="136" t="s">
        <v>45</v>
      </c>
      <c r="D965" s="31">
        <f t="shared" si="68"/>
        <v>4</v>
      </c>
      <c r="E965" s="137" t="s">
        <v>46</v>
      </c>
      <c r="F965" s="31">
        <f t="shared" si="69"/>
        <v>6</v>
      </c>
      <c r="G965" s="137" t="s">
        <v>2624</v>
      </c>
      <c r="H965" s="138">
        <v>463</v>
      </c>
      <c r="I965" s="158">
        <f t="shared" si="70"/>
        <v>0.27751946833156049</v>
      </c>
      <c r="J965" s="95">
        <v>0</v>
      </c>
      <c r="K965" s="137">
        <v>0.55503893666312099</v>
      </c>
      <c r="L965" s="137">
        <v>0.423355447540333</v>
      </c>
      <c r="M965" s="137">
        <v>0.75256417034730305</v>
      </c>
      <c r="N965" s="136">
        <v>1</v>
      </c>
      <c r="O965" s="32">
        <v>43088</v>
      </c>
      <c r="P965" s="98">
        <f t="shared" si="71"/>
        <v>0</v>
      </c>
      <c r="Q965">
        <v>10.199999999999999</v>
      </c>
      <c r="R965">
        <v>1.65</v>
      </c>
      <c r="S965">
        <v>3.74</v>
      </c>
      <c r="T965" s="112" t="s">
        <v>48</v>
      </c>
      <c r="U965" s="137" t="s">
        <v>2625</v>
      </c>
      <c r="V965" s="137" t="s">
        <v>2623</v>
      </c>
      <c r="W965" s="69">
        <v>131</v>
      </c>
      <c r="X965" s="136">
        <v>1</v>
      </c>
      <c r="Y965" s="136">
        <v>3</v>
      </c>
      <c r="Z965" s="314"/>
      <c r="AA965" s="319">
        <v>5.7667415501667604E-4</v>
      </c>
      <c r="AB965" s="315" t="s">
        <v>5165</v>
      </c>
      <c r="AC965" s="319">
        <v>4</v>
      </c>
      <c r="AD965" s="320">
        <v>5.4054054054054002E-2</v>
      </c>
      <c r="AE965" s="319">
        <v>3</v>
      </c>
      <c r="AF965" s="320">
        <v>4.0540540540540501E-2</v>
      </c>
      <c r="AG965" s="319">
        <v>1</v>
      </c>
      <c r="AH965" s="320">
        <v>1.35135135135135E-2</v>
      </c>
      <c r="AI965" s="319">
        <v>1</v>
      </c>
      <c r="AJ965" s="320">
        <v>1.35135135135135E-2</v>
      </c>
      <c r="AK965" s="320">
        <v>0</v>
      </c>
      <c r="AL965" s="319">
        <v>6.75</v>
      </c>
      <c r="AM965" s="319">
        <v>6.2</v>
      </c>
      <c r="AN965" s="319">
        <v>8.8333333333333304</v>
      </c>
      <c r="AO965" s="319">
        <v>0.72611111111111104</v>
      </c>
      <c r="AP965">
        <v>3</v>
      </c>
      <c r="AR965" s="136">
        <v>3</v>
      </c>
      <c r="AT965" s="69">
        <v>6.3414000000000001</v>
      </c>
      <c r="AU965" s="69">
        <v>5</v>
      </c>
      <c r="AV965" s="69">
        <v>9.9641999999999999</v>
      </c>
      <c r="AW965" s="69">
        <v>0.71020000000000005</v>
      </c>
      <c r="BB965" s="69"/>
    </row>
    <row r="966" spans="1:54" customFormat="1" ht="40" customHeight="1">
      <c r="A966" s="313">
        <v>965</v>
      </c>
      <c r="B966" s="136" t="s">
        <v>2618</v>
      </c>
      <c r="C966" s="136" t="s">
        <v>45</v>
      </c>
      <c r="D966" s="31">
        <f t="shared" si="68"/>
        <v>4</v>
      </c>
      <c r="E966" s="137" t="s">
        <v>46</v>
      </c>
      <c r="F966" s="31">
        <f t="shared" si="69"/>
        <v>6</v>
      </c>
      <c r="G966" s="137" t="s">
        <v>2626</v>
      </c>
      <c r="H966" s="138">
        <v>202</v>
      </c>
      <c r="I966" s="158">
        <f t="shared" si="70"/>
        <v>0.27166469893758555</v>
      </c>
      <c r="J966" s="95">
        <v>3.1907809727726999E-13</v>
      </c>
      <c r="K966" s="137">
        <v>0.54332939787485202</v>
      </c>
      <c r="L966" s="137">
        <v>0.61983471074380203</v>
      </c>
      <c r="M966" s="137">
        <v>0.42857142857142899</v>
      </c>
      <c r="N966" s="136">
        <v>1</v>
      </c>
      <c r="O966" s="32">
        <v>43071</v>
      </c>
      <c r="P966" s="98">
        <f t="shared" si="71"/>
        <v>0</v>
      </c>
      <c r="Q966">
        <v>10.199999999999999</v>
      </c>
      <c r="R966">
        <v>1.65</v>
      </c>
      <c r="S966">
        <v>0</v>
      </c>
      <c r="T966" s="112" t="s">
        <v>48</v>
      </c>
      <c r="U966" s="137" t="s">
        <v>2627</v>
      </c>
      <c r="V966" s="137" t="s">
        <v>2628</v>
      </c>
      <c r="W966" s="69">
        <v>138</v>
      </c>
      <c r="X966" s="136">
        <v>1</v>
      </c>
      <c r="Y966" s="136">
        <v>16</v>
      </c>
      <c r="Z966" s="314"/>
      <c r="AA966" s="319">
        <v>0.66549999999999998</v>
      </c>
      <c r="AB966" s="315" t="s">
        <v>5165</v>
      </c>
      <c r="AC966" s="319">
        <v>4</v>
      </c>
      <c r="AD966" s="320">
        <v>5.1282051282051197E-2</v>
      </c>
      <c r="AE966" s="319">
        <v>3</v>
      </c>
      <c r="AF966" s="320">
        <v>3.8461538461538401E-2</v>
      </c>
      <c r="AG966" s="319">
        <v>1</v>
      </c>
      <c r="AH966" s="320">
        <v>1.2820512820512799E-2</v>
      </c>
      <c r="AI966" s="319">
        <v>1</v>
      </c>
      <c r="AJ966" s="320">
        <v>1.2820512820512799E-2</v>
      </c>
      <c r="AK966" s="320">
        <v>0</v>
      </c>
      <c r="AL966" s="319">
        <v>6.75</v>
      </c>
      <c r="AM966" s="319">
        <v>6.2</v>
      </c>
      <c r="AN966" s="319">
        <v>2</v>
      </c>
      <c r="AO966" s="319">
        <v>0.49833333333333302</v>
      </c>
      <c r="AP966">
        <v>16</v>
      </c>
      <c r="AR966" s="136">
        <v>16</v>
      </c>
      <c r="AT966" s="69">
        <v>6.3414000000000001</v>
      </c>
      <c r="AU966" s="69">
        <v>5</v>
      </c>
      <c r="AV966" s="69">
        <v>2.3148</v>
      </c>
      <c r="AW966" s="69">
        <v>0.45519999999999999</v>
      </c>
      <c r="BB966" s="69"/>
    </row>
    <row r="967" spans="1:54" customFormat="1" ht="40" customHeight="1">
      <c r="A967" s="313">
        <v>966</v>
      </c>
      <c r="B967" s="136" t="s">
        <v>2618</v>
      </c>
      <c r="C967" s="136" t="s">
        <v>45</v>
      </c>
      <c r="D967" s="31">
        <f t="shared" si="68"/>
        <v>4</v>
      </c>
      <c r="E967" s="137" t="s">
        <v>46</v>
      </c>
      <c r="F967" s="31">
        <f t="shared" si="69"/>
        <v>6</v>
      </c>
      <c r="G967" s="137" t="s">
        <v>2629</v>
      </c>
      <c r="H967" s="138">
        <v>115</v>
      </c>
      <c r="I967" s="158">
        <f t="shared" si="70"/>
        <v>0.41893124345196775</v>
      </c>
      <c r="J967" s="95">
        <v>5.3440467925325299E-6</v>
      </c>
      <c r="K967" s="137">
        <v>0.83785714285714297</v>
      </c>
      <c r="L967" s="137">
        <v>0.82499999999999996</v>
      </c>
      <c r="M967" s="137">
        <v>0.85714285714285698</v>
      </c>
      <c r="N967" s="136">
        <v>1</v>
      </c>
      <c r="O967" s="32">
        <v>43062</v>
      </c>
      <c r="P967" s="98">
        <f t="shared" si="71"/>
        <v>0</v>
      </c>
      <c r="Q967">
        <v>0</v>
      </c>
      <c r="R967">
        <v>0</v>
      </c>
      <c r="S967">
        <v>0</v>
      </c>
      <c r="T967" s="112" t="s">
        <v>48</v>
      </c>
      <c r="U967" s="137" t="s">
        <v>2630</v>
      </c>
      <c r="V967" s="137" t="s">
        <v>2631</v>
      </c>
      <c r="W967" s="69">
        <v>154</v>
      </c>
      <c r="X967" s="136">
        <v>1</v>
      </c>
      <c r="Y967" s="136">
        <v>1</v>
      </c>
      <c r="Z967" s="314"/>
      <c r="AA967" s="319">
        <v>0.53</v>
      </c>
      <c r="AB967" s="315" t="s">
        <v>5176</v>
      </c>
      <c r="AC967" s="319">
        <v>2</v>
      </c>
      <c r="AD967" s="320">
        <v>2.27272727272727E-2</v>
      </c>
      <c r="AE967" s="319">
        <v>5</v>
      </c>
      <c r="AF967" s="320">
        <v>5.6818181818181802E-2</v>
      </c>
      <c r="AG967" s="319">
        <v>2</v>
      </c>
      <c r="AH967" s="320">
        <v>2.27272727272727E-2</v>
      </c>
      <c r="AI967" s="319">
        <v>2</v>
      </c>
      <c r="AJ967" s="320">
        <v>2.27272727272727E-2</v>
      </c>
      <c r="AK967" s="320">
        <v>3.4090909090909088E-2</v>
      </c>
      <c r="AL967" s="319">
        <v>5</v>
      </c>
      <c r="AM967" s="319">
        <v>6.2</v>
      </c>
      <c r="AN967" s="319">
        <v>6.1666666666666599</v>
      </c>
      <c r="AO967" s="319">
        <v>0.57888888888888801</v>
      </c>
      <c r="AP967">
        <v>1</v>
      </c>
      <c r="AQ967" s="136">
        <v>1</v>
      </c>
      <c r="AT967" s="69">
        <v>2.3148</v>
      </c>
      <c r="AU967" s="69">
        <v>5</v>
      </c>
      <c r="AV967" s="69">
        <v>9.5120000000000005</v>
      </c>
      <c r="AW967" s="69">
        <v>0.56089999999999995</v>
      </c>
      <c r="BB967" s="69"/>
    </row>
    <row r="968" spans="1:54" customFormat="1" ht="40" customHeight="1">
      <c r="A968" s="313">
        <v>967</v>
      </c>
      <c r="B968" s="136" t="s">
        <v>2618</v>
      </c>
      <c r="C968" s="136" t="s">
        <v>45</v>
      </c>
      <c r="D968" s="31">
        <f t="shared" si="68"/>
        <v>4</v>
      </c>
      <c r="E968" s="137" t="s">
        <v>46</v>
      </c>
      <c r="F968" s="31">
        <f t="shared" si="69"/>
        <v>6</v>
      </c>
      <c r="G968" s="137" t="s">
        <v>2632</v>
      </c>
      <c r="H968" s="138">
        <v>79</v>
      </c>
      <c r="I968" s="158">
        <f t="shared" si="70"/>
        <v>0.26086094839351243</v>
      </c>
      <c r="J968" s="95">
        <v>5.3716963407198799E-3</v>
      </c>
      <c r="K968" s="137">
        <v>0.51635020044630497</v>
      </c>
      <c r="L968" s="137">
        <v>0.61983471074380203</v>
      </c>
      <c r="M968" s="137">
        <v>0.36112343500006</v>
      </c>
      <c r="N968" s="136">
        <v>1</v>
      </c>
      <c r="O968" s="32">
        <v>42868</v>
      </c>
      <c r="P968" s="98">
        <f t="shared" si="71"/>
        <v>1</v>
      </c>
      <c r="Q968">
        <v>0</v>
      </c>
      <c r="R968">
        <v>0</v>
      </c>
      <c r="S968">
        <v>0</v>
      </c>
      <c r="T968" s="112" t="s">
        <v>73</v>
      </c>
      <c r="U968" s="137" t="s">
        <v>2633</v>
      </c>
      <c r="V968" s="137" t="s">
        <v>2634</v>
      </c>
      <c r="W968" s="69">
        <v>180</v>
      </c>
      <c r="X968" s="136">
        <v>3</v>
      </c>
      <c r="Y968" s="136">
        <v>20</v>
      </c>
      <c r="Z968" s="314"/>
      <c r="AA968" s="319">
        <v>0.45454545454545398</v>
      </c>
      <c r="AB968" s="315" t="s">
        <v>5179</v>
      </c>
      <c r="AC968" s="319">
        <v>1</v>
      </c>
      <c r="AD968" s="320">
        <v>1.04166666666666E-2</v>
      </c>
      <c r="AE968" s="319">
        <v>1</v>
      </c>
      <c r="AF968" s="320">
        <v>1.04166666666666E-2</v>
      </c>
      <c r="AG968" s="319">
        <v>1</v>
      </c>
      <c r="AH968" s="320">
        <v>1.04166666666666E-2</v>
      </c>
      <c r="AI968" s="319">
        <v>0</v>
      </c>
      <c r="AJ968" s="320">
        <v>0</v>
      </c>
      <c r="AK968" s="320">
        <v>0</v>
      </c>
      <c r="AL968" s="319">
        <v>5</v>
      </c>
      <c r="AM968" s="319">
        <v>5</v>
      </c>
      <c r="AN968" s="319">
        <v>2</v>
      </c>
      <c r="AO968" s="319">
        <v>0.4</v>
      </c>
      <c r="AP968">
        <v>20</v>
      </c>
      <c r="AR968" s="136">
        <v>20</v>
      </c>
      <c r="AT968" s="69">
        <v>2.3148</v>
      </c>
      <c r="AU968" s="69">
        <v>2.3148</v>
      </c>
      <c r="AV968" s="69">
        <v>2.3148</v>
      </c>
      <c r="AW968" s="69">
        <v>0.23150000000000001</v>
      </c>
      <c r="BB968" s="69"/>
    </row>
    <row r="969" spans="1:54" customFormat="1" ht="40" customHeight="1">
      <c r="A969" s="313">
        <v>968</v>
      </c>
      <c r="B969" s="136" t="s">
        <v>2618</v>
      </c>
      <c r="C969" s="136" t="s">
        <v>45</v>
      </c>
      <c r="D969" s="31">
        <f t="shared" si="68"/>
        <v>4</v>
      </c>
      <c r="E969" s="137" t="s">
        <v>848</v>
      </c>
      <c r="F969" s="31">
        <f t="shared" si="69"/>
        <v>9</v>
      </c>
      <c r="G969" s="137" t="s">
        <v>2635</v>
      </c>
      <c r="H969" s="138">
        <v>7</v>
      </c>
      <c r="I969" s="158">
        <f t="shared" si="70"/>
        <v>0.60352456871316851</v>
      </c>
      <c r="J969" s="95">
        <v>0.53775071800738705</v>
      </c>
      <c r="K969" s="137">
        <v>0.66929841941894996</v>
      </c>
      <c r="L969" s="137">
        <v>0.75</v>
      </c>
      <c r="M969" s="137">
        <v>0.54824604854737402</v>
      </c>
      <c r="N969" s="136">
        <v>1</v>
      </c>
      <c r="O969" s="32">
        <v>42443</v>
      </c>
      <c r="P969" s="98">
        <f t="shared" si="71"/>
        <v>1</v>
      </c>
      <c r="Q969">
        <v>0</v>
      </c>
      <c r="R969">
        <v>0</v>
      </c>
      <c r="S969">
        <v>0</v>
      </c>
      <c r="T969" s="112" t="s">
        <v>73</v>
      </c>
      <c r="U969" s="137" t="s">
        <v>2636</v>
      </c>
      <c r="V969" s="137" t="s">
        <v>2637</v>
      </c>
      <c r="W969" s="69">
        <v>119</v>
      </c>
      <c r="X969" s="136">
        <v>1</v>
      </c>
      <c r="Y969" s="136">
        <v>10</v>
      </c>
      <c r="Z969" s="314"/>
      <c r="AA969" s="319">
        <v>0.45454545454545398</v>
      </c>
      <c r="AB969" s="315" t="s">
        <v>5176</v>
      </c>
      <c r="AC969" s="319">
        <v>1</v>
      </c>
      <c r="AD969" s="320">
        <v>1.4925373134328301E-2</v>
      </c>
      <c r="AE969" s="319">
        <v>2</v>
      </c>
      <c r="AF969" s="320">
        <v>2.9850746268656699E-2</v>
      </c>
      <c r="AG969" s="319">
        <v>1</v>
      </c>
      <c r="AH969" s="320">
        <v>1.4925373134328301E-2</v>
      </c>
      <c r="AI969" s="319">
        <v>0</v>
      </c>
      <c r="AJ969" s="320">
        <v>0</v>
      </c>
      <c r="AK969" s="320">
        <v>0</v>
      </c>
      <c r="AL969" s="319">
        <v>5</v>
      </c>
      <c r="AM969" s="319">
        <v>5</v>
      </c>
      <c r="AN969" s="319">
        <v>2</v>
      </c>
      <c r="AO969" s="319">
        <v>0.4</v>
      </c>
      <c r="AP969">
        <v>10</v>
      </c>
      <c r="AR969" s="136">
        <v>10</v>
      </c>
      <c r="AT969" s="69">
        <v>2.3148</v>
      </c>
      <c r="AU969" s="69">
        <v>2.3148</v>
      </c>
      <c r="AV969" s="69">
        <v>2.3148</v>
      </c>
      <c r="AW969" s="69">
        <v>0.23150000000000001</v>
      </c>
      <c r="BB969" s="69"/>
    </row>
    <row r="970" spans="1:54" customFormat="1" ht="40" customHeight="1">
      <c r="A970" s="313">
        <v>969</v>
      </c>
      <c r="B970" s="136" t="s">
        <v>2638</v>
      </c>
      <c r="C970" s="136" t="s">
        <v>45</v>
      </c>
      <c r="D970" s="31">
        <f t="shared" si="68"/>
        <v>4</v>
      </c>
      <c r="E970" s="137" t="s">
        <v>80</v>
      </c>
      <c r="F970" s="31">
        <f t="shared" si="69"/>
        <v>4</v>
      </c>
      <c r="G970" s="137" t="s">
        <v>2639</v>
      </c>
      <c r="H970" s="138">
        <f t="shared" ref="H970:H981" si="72">LEN(U970)</f>
        <v>80</v>
      </c>
      <c r="I970" s="158">
        <f t="shared" si="70"/>
        <v>0.3837598008777095</v>
      </c>
      <c r="J970" s="95">
        <v>2.9491475540699403E-4</v>
      </c>
      <c r="K970" s="137">
        <v>0.76722468700001201</v>
      </c>
      <c r="L970" s="137">
        <v>0.82499999999999996</v>
      </c>
      <c r="M970" s="137">
        <v>0.68056171750003003</v>
      </c>
      <c r="N970" s="136">
        <v>1</v>
      </c>
      <c r="O970" s="32">
        <v>44055</v>
      </c>
      <c r="P970" s="98">
        <f t="shared" si="71"/>
        <v>0</v>
      </c>
      <c r="Q970">
        <v>0</v>
      </c>
      <c r="R970">
        <v>0</v>
      </c>
      <c r="S970">
        <v>0</v>
      </c>
      <c r="T970" s="112" t="s">
        <v>48</v>
      </c>
      <c r="U970" s="137" t="s">
        <v>2640</v>
      </c>
      <c r="V970" s="137" t="s">
        <v>2641</v>
      </c>
      <c r="W970" s="69">
        <f t="shared" ref="W970:W981" si="73">LEN(V970)</f>
        <v>71</v>
      </c>
      <c r="X970" s="136">
        <v>0</v>
      </c>
      <c r="Y970" s="136">
        <v>5</v>
      </c>
      <c r="Z970" s="314"/>
      <c r="AA970" s="319">
        <v>0.54500000000000004</v>
      </c>
      <c r="AB970" s="315" t="s">
        <v>5176</v>
      </c>
      <c r="AC970" s="319">
        <v>1</v>
      </c>
      <c r="AD970" s="320">
        <v>2.27272727272727E-2</v>
      </c>
      <c r="AE970" s="319">
        <v>3</v>
      </c>
      <c r="AF970" s="320">
        <v>6.8181818181818094E-2</v>
      </c>
      <c r="AG970" s="319">
        <v>0</v>
      </c>
      <c r="AH970" s="320">
        <v>0</v>
      </c>
      <c r="AI970" s="319">
        <v>0</v>
      </c>
      <c r="AJ970" s="320">
        <v>0</v>
      </c>
      <c r="AK970" s="320">
        <v>2.2727272727272731E-2</v>
      </c>
      <c r="AL970" s="319">
        <v>5</v>
      </c>
      <c r="AM970" s="319">
        <v>5</v>
      </c>
      <c r="AN970" s="319">
        <v>6.1666666666666599</v>
      </c>
      <c r="AO970" s="319">
        <v>0.53888888888888797</v>
      </c>
      <c r="AR970" s="136">
        <v>5</v>
      </c>
      <c r="AT970" s="69">
        <v>2.3148</v>
      </c>
      <c r="AU970" s="69">
        <v>2.3148</v>
      </c>
      <c r="AV970" s="69">
        <v>9.5120000000000005</v>
      </c>
      <c r="AW970" s="69">
        <v>0.47139999999999999</v>
      </c>
      <c r="BB970" s="69"/>
    </row>
    <row r="971" spans="1:54" customFormat="1" ht="40" customHeight="1">
      <c r="A971" s="313">
        <v>970</v>
      </c>
      <c r="B971" s="136" t="s">
        <v>2638</v>
      </c>
      <c r="C971" s="136" t="s">
        <v>45</v>
      </c>
      <c r="D971" s="31">
        <f t="shared" si="68"/>
        <v>4</v>
      </c>
      <c r="E971" s="137" t="s">
        <v>80</v>
      </c>
      <c r="F971" s="31">
        <f t="shared" si="69"/>
        <v>4</v>
      </c>
      <c r="G971" s="137" t="s">
        <v>2639</v>
      </c>
      <c r="H971" s="138">
        <f t="shared" si="72"/>
        <v>41</v>
      </c>
      <c r="I971" s="158">
        <f t="shared" si="70"/>
        <v>0.67537193550690255</v>
      </c>
      <c r="J971" s="95">
        <v>0.55471820287488405</v>
      </c>
      <c r="K971" s="137">
        <v>0.79602566813892095</v>
      </c>
      <c r="L971" s="137">
        <v>0.82499999999999996</v>
      </c>
      <c r="M971" s="137">
        <v>0.75256417034730305</v>
      </c>
      <c r="N971" s="136">
        <v>1</v>
      </c>
      <c r="O971" s="32">
        <v>44043</v>
      </c>
      <c r="P971" s="98">
        <f t="shared" si="71"/>
        <v>0</v>
      </c>
      <c r="Q971">
        <v>0</v>
      </c>
      <c r="R971">
        <v>1.65</v>
      </c>
      <c r="S971">
        <v>0</v>
      </c>
      <c r="T971" s="112" t="s">
        <v>48</v>
      </c>
      <c r="U971" s="137" t="s">
        <v>2642</v>
      </c>
      <c r="V971" s="137" t="s">
        <v>2643</v>
      </c>
      <c r="W971" s="69">
        <f t="shared" si="73"/>
        <v>51</v>
      </c>
      <c r="X971" s="136">
        <v>0</v>
      </c>
      <c r="Y971" s="136">
        <v>3</v>
      </c>
      <c r="Z971" s="314"/>
      <c r="AA971" s="319">
        <v>0.54500000000000004</v>
      </c>
      <c r="AB971" s="315" t="s">
        <v>5176</v>
      </c>
      <c r="AC971" s="319">
        <v>0</v>
      </c>
      <c r="AD971" s="320">
        <v>0</v>
      </c>
      <c r="AE971" s="319">
        <v>3</v>
      </c>
      <c r="AF971" s="320">
        <v>9.0909090909090898E-2</v>
      </c>
      <c r="AG971" s="319">
        <v>0</v>
      </c>
      <c r="AH971" s="320">
        <v>0</v>
      </c>
      <c r="AI971" s="319">
        <v>0</v>
      </c>
      <c r="AJ971" s="320">
        <v>0</v>
      </c>
      <c r="AK971" s="320">
        <v>3.03030303030303E-2</v>
      </c>
      <c r="AL971" s="319">
        <v>5</v>
      </c>
      <c r="AM971" s="319">
        <v>5</v>
      </c>
      <c r="AN971" s="319">
        <v>6.1666666666666599</v>
      </c>
      <c r="AO971" s="319">
        <v>0.53888888888888797</v>
      </c>
      <c r="AR971" s="136">
        <v>3</v>
      </c>
      <c r="AT971" s="69">
        <v>2.3148</v>
      </c>
      <c r="AU971" s="69">
        <v>2.3148</v>
      </c>
      <c r="AV971" s="69">
        <v>9.5120000000000005</v>
      </c>
      <c r="AW971" s="69">
        <v>0.47139999999999999</v>
      </c>
      <c r="BB971" s="69"/>
    </row>
    <row r="972" spans="1:54" customFormat="1" ht="40" customHeight="1">
      <c r="A972" s="313">
        <v>971</v>
      </c>
      <c r="B972" s="136" t="s">
        <v>2638</v>
      </c>
      <c r="C972" s="136" t="s">
        <v>45</v>
      </c>
      <c r="D972" s="31">
        <f t="shared" si="68"/>
        <v>4</v>
      </c>
      <c r="E972" s="137" t="s">
        <v>80</v>
      </c>
      <c r="F972" s="31">
        <f t="shared" si="69"/>
        <v>4</v>
      </c>
      <c r="G972" s="137" t="s">
        <v>2644</v>
      </c>
      <c r="H972" s="138">
        <f t="shared" si="72"/>
        <v>53</v>
      </c>
      <c r="I972" s="158">
        <f t="shared" si="70"/>
        <v>0.36497295774074096</v>
      </c>
      <c r="J972" s="95">
        <v>3.5140720676286902E-2</v>
      </c>
      <c r="K972" s="137">
        <v>0.69480519480519498</v>
      </c>
      <c r="L972" s="137">
        <v>0.68181818181818199</v>
      </c>
      <c r="M972" s="137">
        <v>0.71428571428571397</v>
      </c>
      <c r="N972" s="136">
        <v>1</v>
      </c>
      <c r="O972" s="32">
        <v>44042</v>
      </c>
      <c r="P972" s="98">
        <f t="shared" si="71"/>
        <v>0</v>
      </c>
      <c r="Q972">
        <v>0</v>
      </c>
      <c r="R972">
        <v>1.65</v>
      </c>
      <c r="S972">
        <v>0</v>
      </c>
      <c r="T972" s="112" t="s">
        <v>48</v>
      </c>
      <c r="U972" s="137" t="s">
        <v>2645</v>
      </c>
      <c r="V972" s="137" t="s">
        <v>2643</v>
      </c>
      <c r="W972" s="69">
        <f t="shared" si="73"/>
        <v>51</v>
      </c>
      <c r="X972" s="136">
        <v>0</v>
      </c>
      <c r="Y972" s="136">
        <v>4</v>
      </c>
      <c r="Z972" s="314"/>
      <c r="AA972" s="319">
        <v>0.45909090909090899</v>
      </c>
      <c r="AB972" s="315" t="s">
        <v>5176</v>
      </c>
      <c r="AC972" s="319">
        <v>0</v>
      </c>
      <c r="AD972" s="320">
        <v>0</v>
      </c>
      <c r="AE972" s="319">
        <v>3</v>
      </c>
      <c r="AF972" s="320">
        <v>9.0909090909090898E-2</v>
      </c>
      <c r="AG972" s="319">
        <v>0</v>
      </c>
      <c r="AH972" s="320">
        <v>0</v>
      </c>
      <c r="AI972" s="319">
        <v>0</v>
      </c>
      <c r="AJ972" s="320">
        <v>0</v>
      </c>
      <c r="AK972" s="320">
        <v>3.03030303030303E-2</v>
      </c>
      <c r="AL972" s="319">
        <v>5</v>
      </c>
      <c r="AM972" s="319">
        <v>5</v>
      </c>
      <c r="AN972" s="319">
        <v>6.1666666666666599</v>
      </c>
      <c r="AO972" s="319">
        <v>0.53888888888888797</v>
      </c>
      <c r="AR972" s="136">
        <v>4</v>
      </c>
      <c r="AT972" s="69">
        <v>2.3148</v>
      </c>
      <c r="AU972" s="69">
        <v>2.3148</v>
      </c>
      <c r="AV972" s="69">
        <v>9.5120000000000005</v>
      </c>
      <c r="AW972" s="69">
        <v>0.47139999999999999</v>
      </c>
      <c r="BB972" s="69"/>
    </row>
    <row r="973" spans="1:54" customFormat="1" ht="40" customHeight="1">
      <c r="A973" s="313">
        <v>972</v>
      </c>
      <c r="B973" s="136" t="s">
        <v>2638</v>
      </c>
      <c r="C973" s="136" t="s">
        <v>45</v>
      </c>
      <c r="D973" s="31">
        <f t="shared" si="68"/>
        <v>4</v>
      </c>
      <c r="E973" s="137" t="s">
        <v>80</v>
      </c>
      <c r="F973" s="31">
        <f t="shared" si="69"/>
        <v>4</v>
      </c>
      <c r="G973" s="137" t="s">
        <v>2646</v>
      </c>
      <c r="H973" s="138">
        <f t="shared" si="72"/>
        <v>37</v>
      </c>
      <c r="I973" s="158">
        <f t="shared" si="70"/>
        <v>0.3446059896296525</v>
      </c>
      <c r="J973" s="95">
        <v>2.4348071438995401E-4</v>
      </c>
      <c r="K973" s="137">
        <v>0.68896849854491504</v>
      </c>
      <c r="L973" s="137">
        <v>0.82499999999999996</v>
      </c>
      <c r="M973" s="137">
        <v>0.48492124636228701</v>
      </c>
      <c r="N973" s="136">
        <v>1</v>
      </c>
      <c r="O973" s="32">
        <v>44034</v>
      </c>
      <c r="P973" s="98">
        <f t="shared" si="71"/>
        <v>0</v>
      </c>
      <c r="Q973">
        <v>0</v>
      </c>
      <c r="R973">
        <v>0</v>
      </c>
      <c r="S973">
        <v>0</v>
      </c>
      <c r="T973" s="112" t="s">
        <v>48</v>
      </c>
      <c r="U973" s="137" t="s">
        <v>2647</v>
      </c>
      <c r="V973" s="137" t="s">
        <v>2643</v>
      </c>
      <c r="W973" s="69">
        <f t="shared" si="73"/>
        <v>51</v>
      </c>
      <c r="X973" s="136">
        <v>0</v>
      </c>
      <c r="Y973" s="136">
        <v>13</v>
      </c>
      <c r="Z973" s="314"/>
      <c r="AA973" s="319">
        <v>0.54</v>
      </c>
      <c r="AB973" s="315" t="s">
        <v>5176</v>
      </c>
      <c r="AC973" s="319">
        <v>0</v>
      </c>
      <c r="AD973" s="320">
        <v>0</v>
      </c>
      <c r="AE973" s="319">
        <v>3</v>
      </c>
      <c r="AF973" s="320">
        <v>9.0909090909090898E-2</v>
      </c>
      <c r="AG973" s="319">
        <v>0</v>
      </c>
      <c r="AH973" s="320">
        <v>0</v>
      </c>
      <c r="AI973" s="319">
        <v>0</v>
      </c>
      <c r="AJ973" s="320">
        <v>0</v>
      </c>
      <c r="AK973" s="320">
        <v>3.03030303030303E-2</v>
      </c>
      <c r="AL973" s="319">
        <v>5</v>
      </c>
      <c r="AM973" s="319">
        <v>5</v>
      </c>
      <c r="AN973" s="319">
        <v>6.1666666666666599</v>
      </c>
      <c r="AO973" s="319">
        <v>0.53888888888888797</v>
      </c>
      <c r="AR973" s="136">
        <v>13</v>
      </c>
      <c r="AT973" s="69">
        <v>2.3148</v>
      </c>
      <c r="AU973" s="69">
        <v>2.3148</v>
      </c>
      <c r="AV973" s="69">
        <v>9.5120000000000005</v>
      </c>
      <c r="AW973" s="69">
        <v>0.47139999999999999</v>
      </c>
      <c r="BB973" s="69"/>
    </row>
    <row r="974" spans="1:54" customFormat="1" ht="40" customHeight="1">
      <c r="A974" s="313">
        <v>973</v>
      </c>
      <c r="B974" s="136" t="s">
        <v>2638</v>
      </c>
      <c r="C974" s="136" t="s">
        <v>45</v>
      </c>
      <c r="D974" s="31">
        <f t="shared" si="68"/>
        <v>4</v>
      </c>
      <c r="E974" s="137" t="s">
        <v>80</v>
      </c>
      <c r="F974" s="31">
        <f t="shared" si="69"/>
        <v>4</v>
      </c>
      <c r="G974" s="137" t="s">
        <v>2648</v>
      </c>
      <c r="H974" s="138">
        <f t="shared" si="72"/>
        <v>40</v>
      </c>
      <c r="I974" s="158">
        <f t="shared" si="70"/>
        <v>0.39331132505145294</v>
      </c>
      <c r="J974" s="95">
        <v>8.11440666946429E-2</v>
      </c>
      <c r="K974" s="137">
        <v>0.70547858340826297</v>
      </c>
      <c r="L974" s="137">
        <v>0.82499999999999996</v>
      </c>
      <c r="M974" s="137">
        <v>0.526196458520657</v>
      </c>
      <c r="N974" s="136">
        <v>0</v>
      </c>
      <c r="O974" s="32">
        <v>44032</v>
      </c>
      <c r="P974" s="98">
        <f t="shared" si="71"/>
        <v>0</v>
      </c>
      <c r="Q974">
        <v>0</v>
      </c>
      <c r="R974">
        <v>3.3</v>
      </c>
      <c r="S974">
        <v>0</v>
      </c>
      <c r="T974" s="112" t="s">
        <v>48</v>
      </c>
      <c r="U974" s="137" t="s">
        <v>2649</v>
      </c>
      <c r="V974" s="137" t="s">
        <v>2650</v>
      </c>
      <c r="W974" s="69">
        <f t="shared" si="73"/>
        <v>51</v>
      </c>
      <c r="X974" s="136">
        <v>3</v>
      </c>
      <c r="Y974" s="136">
        <v>11</v>
      </c>
      <c r="Z974" s="314"/>
      <c r="AA974" s="319">
        <v>0.54500000000000004</v>
      </c>
      <c r="AB974" s="315" t="s">
        <v>5176</v>
      </c>
      <c r="AC974" s="319">
        <v>1</v>
      </c>
      <c r="AD974" s="320">
        <v>3.2258064516128997E-2</v>
      </c>
      <c r="AE974" s="319">
        <v>3</v>
      </c>
      <c r="AF974" s="320">
        <v>9.6774193548387094E-2</v>
      </c>
      <c r="AG974" s="319">
        <v>0</v>
      </c>
      <c r="AH974" s="320">
        <v>0</v>
      </c>
      <c r="AI974" s="319">
        <v>0</v>
      </c>
      <c r="AJ974" s="320">
        <v>0</v>
      </c>
      <c r="AK974" s="320">
        <v>3.2258064516129031E-2</v>
      </c>
      <c r="AL974" s="319">
        <v>6.75</v>
      </c>
      <c r="AM974" s="319">
        <v>5</v>
      </c>
      <c r="AN974" s="319">
        <v>6.1666666666666599</v>
      </c>
      <c r="AO974" s="319">
        <v>0.59722222222222199</v>
      </c>
      <c r="AP974">
        <v>11</v>
      </c>
      <c r="AR974" s="136">
        <v>11</v>
      </c>
      <c r="AT974" s="69">
        <v>6.3414000000000001</v>
      </c>
      <c r="AU974" s="69">
        <v>2.3148</v>
      </c>
      <c r="AV974" s="69">
        <v>9.5120000000000005</v>
      </c>
      <c r="AW974" s="69">
        <v>0.60560000000000003</v>
      </c>
      <c r="BB974" s="69"/>
    </row>
    <row r="975" spans="1:54" customFormat="1" ht="40" customHeight="1">
      <c r="A975" s="313">
        <v>974</v>
      </c>
      <c r="B975" s="136" t="s">
        <v>2638</v>
      </c>
      <c r="C975" s="136" t="s">
        <v>45</v>
      </c>
      <c r="D975" s="31">
        <f t="shared" si="68"/>
        <v>4</v>
      </c>
      <c r="E975" s="137" t="s">
        <v>46</v>
      </c>
      <c r="F975" s="31">
        <f t="shared" si="69"/>
        <v>6</v>
      </c>
      <c r="G975" s="137" t="s">
        <v>2651</v>
      </c>
      <c r="H975" s="138">
        <f t="shared" si="72"/>
        <v>200</v>
      </c>
      <c r="I975" s="158">
        <f t="shared" si="70"/>
        <v>0.39642857144965332</v>
      </c>
      <c r="J975" s="95">
        <v>4.2163605940004403E-11</v>
      </c>
      <c r="K975" s="137">
        <v>0.79285714285714304</v>
      </c>
      <c r="L975" s="137">
        <v>0.75</v>
      </c>
      <c r="M975" s="137">
        <v>0.85714285714285698</v>
      </c>
      <c r="N975" s="136">
        <v>1</v>
      </c>
      <c r="O975" s="32">
        <v>44018</v>
      </c>
      <c r="P975" s="98">
        <f t="shared" si="71"/>
        <v>0</v>
      </c>
      <c r="Q975">
        <v>0</v>
      </c>
      <c r="R975">
        <v>0</v>
      </c>
      <c r="S975">
        <v>0</v>
      </c>
      <c r="T975" s="112" t="s">
        <v>48</v>
      </c>
      <c r="U975" s="137" t="s">
        <v>2652</v>
      </c>
      <c r="V975" s="137" t="s">
        <v>2653</v>
      </c>
      <c r="W975" s="69">
        <f t="shared" si="73"/>
        <v>100</v>
      </c>
      <c r="X975" s="136">
        <v>0</v>
      </c>
      <c r="Y975" s="136">
        <v>1</v>
      </c>
      <c r="Z975" s="314"/>
      <c r="AA975" s="319">
        <v>0.5</v>
      </c>
      <c r="AB975" s="315" t="s">
        <v>5176</v>
      </c>
      <c r="AC975" s="319">
        <v>1</v>
      </c>
      <c r="AD975" s="320">
        <v>1.5873015873015799E-2</v>
      </c>
      <c r="AE975" s="319">
        <v>3</v>
      </c>
      <c r="AF975" s="320">
        <v>4.7619047619047603E-2</v>
      </c>
      <c r="AG975" s="319">
        <v>0</v>
      </c>
      <c r="AH975" s="320">
        <v>0</v>
      </c>
      <c r="AI975" s="319">
        <v>0</v>
      </c>
      <c r="AJ975" s="320">
        <v>0</v>
      </c>
      <c r="AK975" s="320">
        <v>1.5873015873015869E-2</v>
      </c>
      <c r="AL975" s="319">
        <v>6.75</v>
      </c>
      <c r="AM975" s="319">
        <v>5</v>
      </c>
      <c r="AN975" s="319">
        <v>6.1666666666666599</v>
      </c>
      <c r="AO975" s="319">
        <v>0.59722222222222199</v>
      </c>
      <c r="AR975" s="136">
        <v>1</v>
      </c>
      <c r="AT975" s="69">
        <v>6.3414000000000001</v>
      </c>
      <c r="AU975" s="69">
        <v>2.3148</v>
      </c>
      <c r="AV975" s="69">
        <v>9.5120000000000005</v>
      </c>
      <c r="AW975" s="69">
        <v>0.60560000000000003</v>
      </c>
      <c r="BB975" s="69"/>
    </row>
    <row r="976" spans="1:54" customFormat="1" ht="40" customHeight="1">
      <c r="A976" s="313">
        <v>975</v>
      </c>
      <c r="B976" s="136" t="s">
        <v>2638</v>
      </c>
      <c r="C976" s="136" t="s">
        <v>45</v>
      </c>
      <c r="D976" s="31">
        <f t="shared" si="68"/>
        <v>4</v>
      </c>
      <c r="E976" s="137" t="s">
        <v>80</v>
      </c>
      <c r="F976" s="31">
        <f t="shared" si="69"/>
        <v>4</v>
      </c>
      <c r="G976" s="137" t="s">
        <v>2646</v>
      </c>
      <c r="H976" s="138">
        <f t="shared" si="72"/>
        <v>50</v>
      </c>
      <c r="I976" s="158">
        <f t="shared" si="70"/>
        <v>0.54454903656165354</v>
      </c>
      <c r="J976" s="95">
        <v>0.308383787409021</v>
      </c>
      <c r="K976" s="137">
        <v>0.78071428571428603</v>
      </c>
      <c r="L976" s="137">
        <v>0.82499999999999996</v>
      </c>
      <c r="M976" s="137">
        <v>0.71428571428571397</v>
      </c>
      <c r="N976" s="136">
        <v>1</v>
      </c>
      <c r="O976" s="32">
        <v>44007</v>
      </c>
      <c r="P976" s="98">
        <f t="shared" si="71"/>
        <v>0</v>
      </c>
      <c r="Q976">
        <v>0</v>
      </c>
      <c r="R976">
        <v>1.65</v>
      </c>
      <c r="S976">
        <v>0</v>
      </c>
      <c r="T976" s="112" t="s">
        <v>48</v>
      </c>
      <c r="U976" s="137" t="s">
        <v>2654</v>
      </c>
      <c r="V976" s="137" t="s">
        <v>2655</v>
      </c>
      <c r="W976" s="69">
        <f t="shared" si="73"/>
        <v>73</v>
      </c>
      <c r="X976" s="136">
        <v>0</v>
      </c>
      <c r="Y976" s="136">
        <v>4</v>
      </c>
      <c r="Z976" s="314"/>
      <c r="AA976" s="319">
        <v>0.54500000000000004</v>
      </c>
      <c r="AB976" s="315" t="s">
        <v>5176</v>
      </c>
      <c r="AC976" s="319">
        <v>1</v>
      </c>
      <c r="AD976" s="320">
        <v>2.3255813953488299E-2</v>
      </c>
      <c r="AE976" s="319">
        <v>3</v>
      </c>
      <c r="AF976" s="320">
        <v>6.9767441860465101E-2</v>
      </c>
      <c r="AG976" s="319">
        <v>0</v>
      </c>
      <c r="AH976" s="320">
        <v>0</v>
      </c>
      <c r="AI976" s="319">
        <v>0</v>
      </c>
      <c r="AJ976" s="320">
        <v>0</v>
      </c>
      <c r="AK976" s="320">
        <v>2.3255813953488368E-2</v>
      </c>
      <c r="AL976" s="319">
        <v>5</v>
      </c>
      <c r="AM976" s="319">
        <v>5</v>
      </c>
      <c r="AN976" s="319">
        <v>6.1666666666666599</v>
      </c>
      <c r="AO976" s="319">
        <v>0.53888888888888797</v>
      </c>
      <c r="AP976" s="136">
        <v>4</v>
      </c>
      <c r="AT976" s="69">
        <v>2.3148</v>
      </c>
      <c r="AU976" s="69">
        <v>2.3148</v>
      </c>
      <c r="AV976" s="69">
        <v>9.5120000000000005</v>
      </c>
      <c r="AW976" s="69">
        <v>0.47139999999999999</v>
      </c>
      <c r="BB976" s="69"/>
    </row>
    <row r="977" spans="1:54" customFormat="1" ht="40" customHeight="1">
      <c r="A977" s="313">
        <v>976</v>
      </c>
      <c r="B977" s="136" t="s">
        <v>2638</v>
      </c>
      <c r="C977" s="136" t="s">
        <v>45</v>
      </c>
      <c r="D977" s="31">
        <f t="shared" si="68"/>
        <v>4</v>
      </c>
      <c r="E977" s="137" t="s">
        <v>80</v>
      </c>
      <c r="F977" s="31">
        <f t="shared" si="69"/>
        <v>4</v>
      </c>
      <c r="G977" s="137" t="s">
        <v>2656</v>
      </c>
      <c r="H977" s="138">
        <f t="shared" si="72"/>
        <v>41</v>
      </c>
      <c r="I977" s="158">
        <f t="shared" si="70"/>
        <v>0.40421411244620303</v>
      </c>
      <c r="J977" s="95">
        <v>2.7713939178120001E-2</v>
      </c>
      <c r="K977" s="137">
        <v>0.78071428571428603</v>
      </c>
      <c r="L977" s="137">
        <v>0.82499999999999996</v>
      </c>
      <c r="M977" s="137">
        <v>0.71428571428571397</v>
      </c>
      <c r="N977" s="136">
        <v>1</v>
      </c>
      <c r="O977" s="32">
        <v>44007</v>
      </c>
      <c r="P977" s="98">
        <f t="shared" si="71"/>
        <v>0</v>
      </c>
      <c r="Q977">
        <v>0</v>
      </c>
      <c r="R977">
        <v>0</v>
      </c>
      <c r="S977">
        <v>0</v>
      </c>
      <c r="T977" s="112" t="s">
        <v>48</v>
      </c>
      <c r="U977" s="137" t="s">
        <v>2657</v>
      </c>
      <c r="V977" s="137" t="s">
        <v>2655</v>
      </c>
      <c r="W977" s="69">
        <f t="shared" si="73"/>
        <v>73</v>
      </c>
      <c r="X977" s="136">
        <v>0</v>
      </c>
      <c r="Y977" s="136">
        <v>4</v>
      </c>
      <c r="Z977" s="314"/>
      <c r="AA977" s="319">
        <v>0.54500000000000004</v>
      </c>
      <c r="AB977" s="315" t="s">
        <v>5176</v>
      </c>
      <c r="AC977" s="319">
        <v>1</v>
      </c>
      <c r="AD977" s="320">
        <v>2.3255813953488299E-2</v>
      </c>
      <c r="AE977" s="319">
        <v>3</v>
      </c>
      <c r="AF977" s="320">
        <v>6.9767441860465101E-2</v>
      </c>
      <c r="AG977" s="319">
        <v>0</v>
      </c>
      <c r="AH977" s="320">
        <v>0</v>
      </c>
      <c r="AI977" s="319">
        <v>0</v>
      </c>
      <c r="AJ977" s="320">
        <v>0</v>
      </c>
      <c r="AK977" s="320">
        <v>2.3255813953488368E-2</v>
      </c>
      <c r="AL977" s="319">
        <v>5</v>
      </c>
      <c r="AM977" s="319">
        <v>5</v>
      </c>
      <c r="AN977" s="319">
        <v>6.1666666666666599</v>
      </c>
      <c r="AO977" s="319">
        <v>0.53888888888888797</v>
      </c>
      <c r="AP977" s="136">
        <v>4</v>
      </c>
      <c r="AT977" s="69">
        <v>2.3148</v>
      </c>
      <c r="AU977" s="69">
        <v>2.3148</v>
      </c>
      <c r="AV977" s="69">
        <v>9.5120000000000005</v>
      </c>
      <c r="AW977" s="69">
        <v>0.47139999999999999</v>
      </c>
      <c r="BB977" s="69"/>
    </row>
    <row r="978" spans="1:54" customFormat="1" ht="40" customHeight="1">
      <c r="A978" s="313">
        <v>977</v>
      </c>
      <c r="B978" s="136" t="s">
        <v>2638</v>
      </c>
      <c r="C978" s="136" t="s">
        <v>45</v>
      </c>
      <c r="D978" s="31">
        <f t="shared" si="68"/>
        <v>4</v>
      </c>
      <c r="E978" s="137" t="s">
        <v>46</v>
      </c>
      <c r="F978" s="31">
        <f t="shared" si="69"/>
        <v>6</v>
      </c>
      <c r="G978" s="137" t="s">
        <v>2658</v>
      </c>
      <c r="H978" s="138">
        <f t="shared" si="72"/>
        <v>107</v>
      </c>
      <c r="I978" s="158">
        <f t="shared" si="70"/>
        <v>0.39657826048889011</v>
      </c>
      <c r="J978" s="95">
        <v>2.9937812063718399E-4</v>
      </c>
      <c r="K978" s="137">
        <v>0.79285714285714304</v>
      </c>
      <c r="L978" s="137">
        <v>0.75</v>
      </c>
      <c r="M978" s="137">
        <v>0.85714285714285698</v>
      </c>
      <c r="N978" s="136">
        <v>1</v>
      </c>
      <c r="O978" s="32">
        <v>43997</v>
      </c>
      <c r="P978" s="98">
        <f t="shared" si="71"/>
        <v>0</v>
      </c>
      <c r="Q978">
        <v>0</v>
      </c>
      <c r="R978">
        <v>0</v>
      </c>
      <c r="S978">
        <v>0</v>
      </c>
      <c r="T978" s="112" t="s">
        <v>48</v>
      </c>
      <c r="U978" s="137" t="s">
        <v>2659</v>
      </c>
      <c r="V978" s="137" t="s">
        <v>2660</v>
      </c>
      <c r="W978" s="69">
        <f t="shared" si="73"/>
        <v>63</v>
      </c>
      <c r="X978" s="136">
        <v>0</v>
      </c>
      <c r="Y978" s="136">
        <v>1</v>
      </c>
      <c r="Z978" s="314"/>
      <c r="AA978" s="319">
        <v>0.45909090909090899</v>
      </c>
      <c r="AB978" s="315" t="s">
        <v>5176</v>
      </c>
      <c r="AC978" s="319">
        <v>0</v>
      </c>
      <c r="AD978" s="320">
        <v>0</v>
      </c>
      <c r="AE978" s="319">
        <v>3</v>
      </c>
      <c r="AF978" s="320">
        <v>7.8947368421052599E-2</v>
      </c>
      <c r="AG978" s="319">
        <v>1</v>
      </c>
      <c r="AH978" s="320">
        <v>2.6315789473684199E-2</v>
      </c>
      <c r="AI978" s="319">
        <v>0</v>
      </c>
      <c r="AJ978" s="320">
        <v>0</v>
      </c>
      <c r="AK978" s="320">
        <v>2.6315789473684209E-2</v>
      </c>
      <c r="AL978" s="319">
        <v>5</v>
      </c>
      <c r="AM978" s="319">
        <v>5</v>
      </c>
      <c r="AN978" s="319">
        <v>6.1666666666666599</v>
      </c>
      <c r="AO978" s="319">
        <v>0.53888888888888797</v>
      </c>
      <c r="AR978" s="136">
        <v>1</v>
      </c>
      <c r="AT978" s="69">
        <v>2.3148</v>
      </c>
      <c r="AU978" s="69">
        <v>2.3148</v>
      </c>
      <c r="AV978" s="69">
        <v>9.5120000000000005</v>
      </c>
      <c r="AW978" s="69">
        <v>0.47139999999999999</v>
      </c>
      <c r="BB978" s="69"/>
    </row>
    <row r="979" spans="1:54" customFormat="1" ht="40" customHeight="1">
      <c r="A979" s="313">
        <v>978</v>
      </c>
      <c r="B979" s="136" t="s">
        <v>2638</v>
      </c>
      <c r="C979" s="136" t="s">
        <v>45</v>
      </c>
      <c r="D979" s="31">
        <f t="shared" si="68"/>
        <v>4</v>
      </c>
      <c r="E979" s="137" t="s">
        <v>46</v>
      </c>
      <c r="F979" s="31">
        <f t="shared" si="69"/>
        <v>6</v>
      </c>
      <c r="G979" s="137" t="s">
        <v>2658</v>
      </c>
      <c r="H979" s="138">
        <f t="shared" si="72"/>
        <v>213</v>
      </c>
      <c r="I979" s="158">
        <f t="shared" si="70"/>
        <v>0.34554584886515999</v>
      </c>
      <c r="J979" s="95">
        <v>3.07484821593373E-6</v>
      </c>
      <c r="K979" s="137">
        <v>0.69108862288210404</v>
      </c>
      <c r="L979" s="137">
        <v>0.61983471074380203</v>
      </c>
      <c r="M979" s="137">
        <v>0.79796949108955795</v>
      </c>
      <c r="N979" s="136">
        <v>1</v>
      </c>
      <c r="O979" s="32">
        <v>43977</v>
      </c>
      <c r="P979" s="98">
        <f t="shared" si="71"/>
        <v>0</v>
      </c>
      <c r="Q979">
        <v>0</v>
      </c>
      <c r="R979">
        <v>0</v>
      </c>
      <c r="S979">
        <v>0</v>
      </c>
      <c r="T979" s="112" t="s">
        <v>48</v>
      </c>
      <c r="U979" s="137" t="s">
        <v>2661</v>
      </c>
      <c r="V979" s="137" t="s">
        <v>2662</v>
      </c>
      <c r="W979" s="69">
        <f t="shared" si="73"/>
        <v>35</v>
      </c>
      <c r="X979" s="136">
        <v>0</v>
      </c>
      <c r="Y979" s="136">
        <v>2</v>
      </c>
      <c r="Z979" s="314"/>
      <c r="AA979" s="319">
        <v>0.5</v>
      </c>
      <c r="AB979" s="315" t="s">
        <v>5176</v>
      </c>
      <c r="AC979" s="319">
        <v>1</v>
      </c>
      <c r="AD979" s="320">
        <v>4.7619047619047603E-2</v>
      </c>
      <c r="AE979" s="319">
        <v>2</v>
      </c>
      <c r="AF979" s="320">
        <v>9.5238095238095205E-2</v>
      </c>
      <c r="AG979" s="319">
        <v>0</v>
      </c>
      <c r="AH979" s="320">
        <v>0</v>
      </c>
      <c r="AI979" s="319">
        <v>0</v>
      </c>
      <c r="AJ979" s="320">
        <v>0</v>
      </c>
      <c r="AK979" s="320">
        <v>4.7619047619047623E-2</v>
      </c>
      <c r="AL979" s="319">
        <v>5</v>
      </c>
      <c r="AM979" s="319">
        <v>5</v>
      </c>
      <c r="AN979" s="319">
        <v>7.6666666666666599</v>
      </c>
      <c r="AO979" s="319">
        <v>0.58888888888888802</v>
      </c>
      <c r="AR979" s="136">
        <v>2</v>
      </c>
      <c r="AT979" s="69">
        <v>2.3148</v>
      </c>
      <c r="AU979" s="69">
        <v>2.3148</v>
      </c>
      <c r="AV979" s="69">
        <v>9.8867999999999991</v>
      </c>
      <c r="AW979" s="69">
        <v>0.4839</v>
      </c>
      <c r="BB979" s="69"/>
    </row>
    <row r="980" spans="1:54" customFormat="1" ht="40" customHeight="1">
      <c r="A980" s="313">
        <v>979</v>
      </c>
      <c r="B980" s="136" t="s">
        <v>2638</v>
      </c>
      <c r="C980" s="136" t="s">
        <v>45</v>
      </c>
      <c r="D980" s="31">
        <f t="shared" si="68"/>
        <v>4</v>
      </c>
      <c r="E980" s="137" t="s">
        <v>80</v>
      </c>
      <c r="F980" s="31">
        <f t="shared" si="69"/>
        <v>4</v>
      </c>
      <c r="G980" s="137" t="s">
        <v>2648</v>
      </c>
      <c r="H980" s="138">
        <f t="shared" si="72"/>
        <v>94</v>
      </c>
      <c r="I980" s="158">
        <f t="shared" si="70"/>
        <v>0.37319890850731391</v>
      </c>
      <c r="J980" s="95">
        <v>5.1592622209432802E-2</v>
      </c>
      <c r="K980" s="137">
        <v>0.69480519480519498</v>
      </c>
      <c r="L980" s="137">
        <v>0.68181818181818199</v>
      </c>
      <c r="M980" s="137">
        <v>0.71428571428571397</v>
      </c>
      <c r="N980" s="136">
        <v>1</v>
      </c>
      <c r="O980" s="32">
        <v>43965</v>
      </c>
      <c r="P980" s="98">
        <f t="shared" si="71"/>
        <v>0</v>
      </c>
      <c r="Q980">
        <v>0</v>
      </c>
      <c r="R980">
        <v>0</v>
      </c>
      <c r="S980">
        <v>0</v>
      </c>
      <c r="T980" s="112" t="s">
        <v>48</v>
      </c>
      <c r="U980" s="137" t="s">
        <v>2663</v>
      </c>
      <c r="V980" s="137" t="s">
        <v>2664</v>
      </c>
      <c r="W980" s="69">
        <f t="shared" si="73"/>
        <v>55</v>
      </c>
      <c r="X980" s="136">
        <v>0</v>
      </c>
      <c r="Y980" s="136">
        <v>4</v>
      </c>
      <c r="Z980" s="314"/>
      <c r="AA980" s="319">
        <v>0.54500000000000004</v>
      </c>
      <c r="AB980" s="315" t="s">
        <v>5176</v>
      </c>
      <c r="AC980" s="319">
        <v>1</v>
      </c>
      <c r="AD980" s="320">
        <v>3.03030303030303E-2</v>
      </c>
      <c r="AE980" s="319">
        <v>3</v>
      </c>
      <c r="AF980" s="320">
        <v>9.0909090909090898E-2</v>
      </c>
      <c r="AG980" s="319">
        <v>0</v>
      </c>
      <c r="AH980" s="320">
        <v>0</v>
      </c>
      <c r="AI980" s="319">
        <v>0</v>
      </c>
      <c r="AJ980" s="320">
        <v>0</v>
      </c>
      <c r="AK980" s="320">
        <v>3.03030303030303E-2</v>
      </c>
      <c r="AL980" s="319">
        <v>6.75</v>
      </c>
      <c r="AM980" s="319">
        <v>5</v>
      </c>
      <c r="AN980" s="319">
        <v>7.6666666666666599</v>
      </c>
      <c r="AO980" s="319">
        <v>0.64722222222222203</v>
      </c>
      <c r="AR980" s="136">
        <v>4</v>
      </c>
      <c r="AT980" s="69">
        <v>6.3414000000000001</v>
      </c>
      <c r="AU980" s="69">
        <v>2.3148</v>
      </c>
      <c r="AV980" s="69">
        <v>9.8867999999999991</v>
      </c>
      <c r="AW980" s="69">
        <v>0.61809999999999998</v>
      </c>
      <c r="BB980" s="69"/>
    </row>
    <row r="981" spans="1:54" customFormat="1" ht="40" customHeight="1">
      <c r="A981" s="313">
        <v>980</v>
      </c>
      <c r="B981" s="136" t="s">
        <v>2638</v>
      </c>
      <c r="C981" s="136" t="s">
        <v>45</v>
      </c>
      <c r="D981" s="31">
        <f t="shared" si="68"/>
        <v>4</v>
      </c>
      <c r="E981" s="137" t="s">
        <v>80</v>
      </c>
      <c r="F981" s="31">
        <f t="shared" si="69"/>
        <v>4</v>
      </c>
      <c r="G981" s="137" t="s">
        <v>2665</v>
      </c>
      <c r="H981" s="138">
        <f t="shared" si="72"/>
        <v>109</v>
      </c>
      <c r="I981" s="158">
        <f t="shared" si="70"/>
        <v>0.42833664321013482</v>
      </c>
      <c r="J981" s="95">
        <v>1.8816143563126699E-2</v>
      </c>
      <c r="K981" s="137">
        <v>0.83785714285714297</v>
      </c>
      <c r="L981" s="137">
        <v>0.82499999999999996</v>
      </c>
      <c r="M981" s="137">
        <v>0.85714285714285698</v>
      </c>
      <c r="N981" s="136">
        <v>1</v>
      </c>
      <c r="O981" s="32">
        <v>43949</v>
      </c>
      <c r="P981" s="98">
        <f t="shared" si="71"/>
        <v>0</v>
      </c>
      <c r="Q981">
        <v>0</v>
      </c>
      <c r="R981">
        <v>1.65</v>
      </c>
      <c r="S981">
        <v>0</v>
      </c>
      <c r="T981" s="112" t="s">
        <v>48</v>
      </c>
      <c r="U981" s="137" t="s">
        <v>2666</v>
      </c>
      <c r="V981" s="137" t="s">
        <v>2667</v>
      </c>
      <c r="W981" s="69">
        <f t="shared" si="73"/>
        <v>78</v>
      </c>
      <c r="X981" s="136">
        <v>0</v>
      </c>
      <c r="Y981" s="136">
        <v>1</v>
      </c>
      <c r="Z981" s="314"/>
      <c r="AA981" s="319">
        <v>0.54500000000000004</v>
      </c>
      <c r="AB981" s="315" t="s">
        <v>5176</v>
      </c>
      <c r="AC981" s="319">
        <v>1</v>
      </c>
      <c r="AD981" s="320">
        <v>2.27272727272727E-2</v>
      </c>
      <c r="AE981" s="319">
        <v>3</v>
      </c>
      <c r="AF981" s="320">
        <v>6.8181818181818094E-2</v>
      </c>
      <c r="AG981" s="319">
        <v>1</v>
      </c>
      <c r="AH981" s="320">
        <v>2.27272727272727E-2</v>
      </c>
      <c r="AI981" s="319">
        <v>0</v>
      </c>
      <c r="AJ981" s="320">
        <v>0</v>
      </c>
      <c r="AK981" s="320">
        <v>2.2727272727272731E-2</v>
      </c>
      <c r="AL981" s="319">
        <v>5</v>
      </c>
      <c r="AM981" s="319">
        <v>5</v>
      </c>
      <c r="AN981" s="319">
        <v>7.6666666666666599</v>
      </c>
      <c r="AO981" s="319">
        <v>0.58888888888888802</v>
      </c>
      <c r="AR981" s="136">
        <v>1</v>
      </c>
      <c r="AT981" s="69">
        <v>2.3148</v>
      </c>
      <c r="AU981" s="69">
        <v>2.3148</v>
      </c>
      <c r="AV981" s="69">
        <v>9.8867999999999991</v>
      </c>
      <c r="AW981" s="69">
        <v>0.4839</v>
      </c>
      <c r="BB981" s="69"/>
    </row>
    <row r="982" spans="1:54" customFormat="1" ht="40" customHeight="1">
      <c r="A982" s="313">
        <v>981</v>
      </c>
      <c r="B982" s="136" t="s">
        <v>2638</v>
      </c>
      <c r="C982" s="136" t="s">
        <v>119</v>
      </c>
      <c r="D982" s="31">
        <f t="shared" si="68"/>
        <v>1</v>
      </c>
      <c r="E982" s="137" t="s">
        <v>46</v>
      </c>
      <c r="F982" s="31">
        <f t="shared" si="69"/>
        <v>6</v>
      </c>
      <c r="G982" s="137" t="s">
        <v>2668</v>
      </c>
      <c r="H982" s="138">
        <v>148</v>
      </c>
      <c r="I982" s="158">
        <f t="shared" si="70"/>
        <v>0.86178570928885301</v>
      </c>
      <c r="J982" s="95">
        <v>0.99999999000627704</v>
      </c>
      <c r="K982" s="137">
        <v>0.72357142857142898</v>
      </c>
      <c r="L982" s="137">
        <v>0.82499999999999996</v>
      </c>
      <c r="M982" s="137">
        <v>0.57142857142857095</v>
      </c>
      <c r="N982" s="136">
        <v>1</v>
      </c>
      <c r="O982" s="32">
        <v>43795</v>
      </c>
      <c r="P982" s="98">
        <f t="shared" si="71"/>
        <v>1</v>
      </c>
      <c r="Q982">
        <v>0</v>
      </c>
      <c r="R982">
        <v>4.95</v>
      </c>
      <c r="S982">
        <v>3.74</v>
      </c>
      <c r="T982" s="112" t="s">
        <v>73</v>
      </c>
      <c r="U982" s="137" t="s">
        <v>2669</v>
      </c>
      <c r="V982" s="137" t="s">
        <v>2670</v>
      </c>
      <c r="W982" s="69">
        <v>86</v>
      </c>
      <c r="X982" s="136">
        <v>2</v>
      </c>
      <c r="Y982" s="136">
        <v>9</v>
      </c>
      <c r="Z982" s="314"/>
      <c r="AA982" s="319">
        <v>0.46818181818181798</v>
      </c>
      <c r="AB982" s="315" t="s">
        <v>5176</v>
      </c>
      <c r="AC982" s="319">
        <v>1</v>
      </c>
      <c r="AD982" s="320">
        <v>1.9230769230769201E-2</v>
      </c>
      <c r="AE982" s="319">
        <v>3</v>
      </c>
      <c r="AF982" s="320">
        <v>5.7692307692307598E-2</v>
      </c>
      <c r="AG982" s="319">
        <v>0</v>
      </c>
      <c r="AH982" s="320">
        <v>0</v>
      </c>
      <c r="AI982" s="319">
        <v>0</v>
      </c>
      <c r="AJ982" s="320">
        <v>0</v>
      </c>
      <c r="AK982" s="320">
        <v>1.9230769230769228E-2</v>
      </c>
      <c r="AL982" s="319">
        <v>6.75</v>
      </c>
      <c r="AM982" s="319">
        <v>6.2</v>
      </c>
      <c r="AN982" s="319">
        <v>6.5</v>
      </c>
      <c r="AO982" s="319">
        <v>0.64833333333333298</v>
      </c>
      <c r="AP982">
        <v>9</v>
      </c>
      <c r="AR982" s="136">
        <v>9</v>
      </c>
      <c r="AT982" s="69">
        <v>6.3414000000000001</v>
      </c>
      <c r="AU982" s="69">
        <v>5</v>
      </c>
      <c r="AV982" s="69">
        <v>9.6442999999999994</v>
      </c>
      <c r="AW982" s="69">
        <v>0.69950000000000001</v>
      </c>
      <c r="BB982" s="69"/>
    </row>
    <row r="983" spans="1:54" customFormat="1" ht="40" customHeight="1">
      <c r="A983" s="313">
        <v>982</v>
      </c>
      <c r="B983" s="136" t="s">
        <v>2638</v>
      </c>
      <c r="C983" s="136" t="s">
        <v>45</v>
      </c>
      <c r="D983" s="31">
        <f t="shared" si="68"/>
        <v>4</v>
      </c>
      <c r="E983" s="137" t="s">
        <v>80</v>
      </c>
      <c r="F983" s="31">
        <f t="shared" si="69"/>
        <v>4</v>
      </c>
      <c r="G983" s="137" t="s">
        <v>364</v>
      </c>
      <c r="H983" s="138">
        <v>65</v>
      </c>
      <c r="I983" s="158">
        <f t="shared" si="70"/>
        <v>0.40737784457742376</v>
      </c>
      <c r="J983" s="95">
        <v>5.6789271902457595E-4</v>
      </c>
      <c r="K983" s="137">
        <v>0.81418779643582295</v>
      </c>
      <c r="L983" s="137">
        <v>0.82499999999999996</v>
      </c>
      <c r="M983" s="137">
        <v>0.79796949108955795</v>
      </c>
      <c r="N983" s="136">
        <v>1</v>
      </c>
      <c r="O983" s="32">
        <v>43773</v>
      </c>
      <c r="P983" s="98">
        <f t="shared" si="71"/>
        <v>0</v>
      </c>
      <c r="Q983">
        <v>10.199999999999999</v>
      </c>
      <c r="R983">
        <v>0</v>
      </c>
      <c r="S983">
        <v>0</v>
      </c>
      <c r="T983" s="112" t="s">
        <v>48</v>
      </c>
      <c r="U983" s="137" t="s">
        <v>2671</v>
      </c>
      <c r="V983" s="137" t="s">
        <v>2672</v>
      </c>
      <c r="W983" s="69">
        <v>136</v>
      </c>
      <c r="X983" s="136">
        <v>1</v>
      </c>
      <c r="Y983" s="136">
        <v>2</v>
      </c>
      <c r="Z983" s="314"/>
      <c r="AA983" s="319">
        <v>0.5</v>
      </c>
      <c r="AB983" s="315" t="s">
        <v>5194</v>
      </c>
      <c r="AC983" s="319">
        <v>1</v>
      </c>
      <c r="AD983" s="320">
        <v>1.3333333333333299E-2</v>
      </c>
      <c r="AE983" s="319">
        <v>3</v>
      </c>
      <c r="AF983" s="320">
        <v>0.04</v>
      </c>
      <c r="AG983" s="319">
        <v>1</v>
      </c>
      <c r="AH983" s="320">
        <v>1.3333333333333299E-2</v>
      </c>
      <c r="AI983" s="319">
        <v>3</v>
      </c>
      <c r="AJ983" s="320">
        <v>0.04</v>
      </c>
      <c r="AK983" s="320">
        <v>0</v>
      </c>
      <c r="AL983" s="319">
        <v>6.75</v>
      </c>
      <c r="AM983" s="319">
        <v>5</v>
      </c>
      <c r="AN983" s="319">
        <v>4.6666666666666599</v>
      </c>
      <c r="AO983" s="319">
        <v>0.54722222222222205</v>
      </c>
      <c r="AP983">
        <v>2</v>
      </c>
      <c r="AQ983" s="136">
        <v>2</v>
      </c>
      <c r="AT983" s="69">
        <v>6.3414000000000001</v>
      </c>
      <c r="AU983" s="69">
        <v>2.3148</v>
      </c>
      <c r="AV983" s="69">
        <v>8.1305999999999994</v>
      </c>
      <c r="AW983" s="69">
        <v>0.55959999999999999</v>
      </c>
      <c r="BB983" s="69"/>
    </row>
    <row r="984" spans="1:54" customFormat="1" ht="40" customHeight="1">
      <c r="A984" s="313">
        <v>983</v>
      </c>
      <c r="B984" s="136" t="s">
        <v>2638</v>
      </c>
      <c r="C984" s="136" t="s">
        <v>45</v>
      </c>
      <c r="D984" s="31">
        <f t="shared" si="68"/>
        <v>4</v>
      </c>
      <c r="E984" s="137" t="s">
        <v>46</v>
      </c>
      <c r="F984" s="31">
        <f t="shared" si="69"/>
        <v>6</v>
      </c>
      <c r="G984" s="137" t="s">
        <v>2673</v>
      </c>
      <c r="H984" s="138">
        <v>218</v>
      </c>
      <c r="I984" s="158">
        <f t="shared" si="70"/>
        <v>0.32880755693919866</v>
      </c>
      <c r="J984" s="95">
        <v>1.7178303224341101E-9</v>
      </c>
      <c r="K984" s="137">
        <v>0.65761511216056701</v>
      </c>
      <c r="L984" s="137">
        <v>0.61983471074380203</v>
      </c>
      <c r="M984" s="137">
        <v>0.71428571428571397</v>
      </c>
      <c r="N984" s="136">
        <v>1</v>
      </c>
      <c r="O984" s="32">
        <v>43762</v>
      </c>
      <c r="P984" s="98">
        <f t="shared" si="71"/>
        <v>0</v>
      </c>
      <c r="Q984">
        <v>2.5499999999999998</v>
      </c>
      <c r="R984">
        <v>0</v>
      </c>
      <c r="S984">
        <v>0</v>
      </c>
      <c r="T984" s="112" t="s">
        <v>48</v>
      </c>
      <c r="U984" s="137" t="s">
        <v>2674</v>
      </c>
      <c r="V984" s="137" t="s">
        <v>2675</v>
      </c>
      <c r="W984" s="69">
        <v>77</v>
      </c>
      <c r="X984" s="136">
        <v>2</v>
      </c>
      <c r="Y984" s="136">
        <v>4</v>
      </c>
      <c r="Z984" s="314"/>
      <c r="AA984" s="319">
        <v>0.5</v>
      </c>
      <c r="AB984" s="315" t="s">
        <v>5178</v>
      </c>
      <c r="AC984" s="319">
        <v>2</v>
      </c>
      <c r="AD984" s="320">
        <v>4.54545454545454E-2</v>
      </c>
      <c r="AE984" s="319">
        <v>2</v>
      </c>
      <c r="AF984" s="320">
        <v>4.54545454545454E-2</v>
      </c>
      <c r="AG984" s="319">
        <v>1</v>
      </c>
      <c r="AH984" s="320">
        <v>2.27272727272727E-2</v>
      </c>
      <c r="AI984" s="319">
        <v>0</v>
      </c>
      <c r="AJ984" s="320">
        <v>0</v>
      </c>
      <c r="AK984" s="320">
        <v>2.2727272727272731E-2</v>
      </c>
      <c r="AL984" s="319">
        <v>5</v>
      </c>
      <c r="AM984" s="319">
        <v>6.2</v>
      </c>
      <c r="AN984" s="319">
        <v>4.6666666666666599</v>
      </c>
      <c r="AO984" s="319">
        <v>0.52888888888888796</v>
      </c>
      <c r="AP984">
        <v>4</v>
      </c>
      <c r="AQ984" s="136">
        <v>4</v>
      </c>
      <c r="AR984" s="136"/>
      <c r="AT984" s="69">
        <v>2.3148</v>
      </c>
      <c r="AU984" s="69">
        <v>5</v>
      </c>
      <c r="AV984" s="69">
        <v>8.1305999999999994</v>
      </c>
      <c r="AW984" s="69">
        <v>0.51480000000000004</v>
      </c>
      <c r="BB984" s="69"/>
    </row>
    <row r="985" spans="1:54" customFormat="1" ht="40" customHeight="1">
      <c r="A985" s="313">
        <v>984</v>
      </c>
      <c r="B985" s="136" t="s">
        <v>2638</v>
      </c>
      <c r="C985" s="136" t="s">
        <v>45</v>
      </c>
      <c r="D985" s="31">
        <f t="shared" si="68"/>
        <v>4</v>
      </c>
      <c r="E985" s="137" t="s">
        <v>221</v>
      </c>
      <c r="F985" s="31">
        <f t="shared" si="69"/>
        <v>2</v>
      </c>
      <c r="G985" s="137" t="s">
        <v>2676</v>
      </c>
      <c r="H985" s="138">
        <v>50</v>
      </c>
      <c r="I985" s="158">
        <f t="shared" si="70"/>
        <v>0.39249334060071062</v>
      </c>
      <c r="J985" s="95">
        <v>7.4870103971591204E-2</v>
      </c>
      <c r="K985" s="137">
        <v>0.71011657722983001</v>
      </c>
      <c r="L985" s="137">
        <v>0.68181818181818199</v>
      </c>
      <c r="M985" s="137">
        <v>0.75256417034730305</v>
      </c>
      <c r="N985" s="136">
        <v>1</v>
      </c>
      <c r="O985" s="32">
        <v>43715</v>
      </c>
      <c r="P985" s="98">
        <f t="shared" si="71"/>
        <v>1</v>
      </c>
      <c r="Q985">
        <v>0</v>
      </c>
      <c r="R985">
        <v>0</v>
      </c>
      <c r="S985">
        <v>0</v>
      </c>
      <c r="T985" s="112" t="s">
        <v>73</v>
      </c>
      <c r="U985" s="137" t="s">
        <v>2677</v>
      </c>
      <c r="V985" s="137" t="s">
        <v>2678</v>
      </c>
      <c r="W985" s="69">
        <v>117</v>
      </c>
      <c r="X985" s="136">
        <v>1</v>
      </c>
      <c r="Y985" s="136">
        <v>3</v>
      </c>
      <c r="Z985" s="314"/>
      <c r="AA985" s="319">
        <v>0.54500000000000004</v>
      </c>
      <c r="AB985" s="315" t="s">
        <v>5176</v>
      </c>
      <c r="AC985" s="319">
        <v>2</v>
      </c>
      <c r="AD985" s="320">
        <v>2.77777777777777E-2</v>
      </c>
      <c r="AE985" s="319">
        <v>3</v>
      </c>
      <c r="AF985" s="320">
        <v>4.1666666666666602E-2</v>
      </c>
      <c r="AG985" s="319">
        <v>0</v>
      </c>
      <c r="AH985" s="320">
        <v>0</v>
      </c>
      <c r="AI985" s="319">
        <v>0</v>
      </c>
      <c r="AJ985" s="320">
        <v>0</v>
      </c>
      <c r="AK985" s="320">
        <v>1.388888888888889E-2</v>
      </c>
      <c r="AL985" s="319">
        <v>5</v>
      </c>
      <c r="AM985" s="319">
        <v>6.2</v>
      </c>
      <c r="AN985" s="319">
        <v>3.5</v>
      </c>
      <c r="AO985" s="319">
        <v>0.49</v>
      </c>
      <c r="AP985">
        <v>3</v>
      </c>
      <c r="AR985" s="136">
        <v>3</v>
      </c>
      <c r="AT985" s="69">
        <v>2.3148</v>
      </c>
      <c r="AU985" s="69">
        <v>5</v>
      </c>
      <c r="AV985" s="69">
        <v>5.7443999999999997</v>
      </c>
      <c r="AW985" s="69">
        <v>0.43530000000000002</v>
      </c>
      <c r="BB985" s="69"/>
    </row>
    <row r="986" spans="1:54" customFormat="1" ht="40" customHeight="1">
      <c r="A986" s="313">
        <v>985</v>
      </c>
      <c r="B986" s="136" t="s">
        <v>2638</v>
      </c>
      <c r="C986" s="136" t="s">
        <v>45</v>
      </c>
      <c r="D986" s="31">
        <f t="shared" si="68"/>
        <v>4</v>
      </c>
      <c r="E986" s="137" t="s">
        <v>46</v>
      </c>
      <c r="F986" s="31">
        <f t="shared" si="69"/>
        <v>6</v>
      </c>
      <c r="G986" s="137" t="s">
        <v>2679</v>
      </c>
      <c r="H986" s="138">
        <v>156</v>
      </c>
      <c r="I986" s="158">
        <f t="shared" si="70"/>
        <v>0.34450154548975098</v>
      </c>
      <c r="J986" s="95">
        <v>3.4592434586922001E-5</v>
      </c>
      <c r="K986" s="137">
        <v>0.68896849854491504</v>
      </c>
      <c r="L986" s="137">
        <v>0.82499999999999996</v>
      </c>
      <c r="M986" s="137">
        <v>0.48492124636228701</v>
      </c>
      <c r="N986" s="136">
        <v>1</v>
      </c>
      <c r="O986" s="32">
        <v>43669</v>
      </c>
      <c r="P986" s="98">
        <f t="shared" si="71"/>
        <v>1</v>
      </c>
      <c r="Q986">
        <v>2.5499999999999998</v>
      </c>
      <c r="R986">
        <v>3.3</v>
      </c>
      <c r="S986">
        <v>0</v>
      </c>
      <c r="T986" s="112" t="s">
        <v>73</v>
      </c>
      <c r="U986" s="137" t="s">
        <v>2680</v>
      </c>
      <c r="V986" s="137" t="s">
        <v>2681</v>
      </c>
      <c r="W986" s="69">
        <v>79</v>
      </c>
      <c r="X986" s="136">
        <v>2</v>
      </c>
      <c r="Y986" s="136">
        <v>13</v>
      </c>
      <c r="Z986" s="314"/>
      <c r="AA986" s="319">
        <v>0.5</v>
      </c>
      <c r="AB986" s="315" t="s">
        <v>5165</v>
      </c>
      <c r="AC986" s="319">
        <v>2</v>
      </c>
      <c r="AD986" s="320">
        <v>4.4444444444444398E-2</v>
      </c>
      <c r="AE986" s="319">
        <v>0</v>
      </c>
      <c r="AF986" s="320">
        <v>0</v>
      </c>
      <c r="AG986" s="319">
        <v>1</v>
      </c>
      <c r="AH986" s="320">
        <v>2.2222222222222199E-2</v>
      </c>
      <c r="AI986" s="319">
        <v>0</v>
      </c>
      <c r="AJ986" s="320">
        <v>0</v>
      </c>
      <c r="AK986" s="320">
        <v>0</v>
      </c>
      <c r="AL986" s="319">
        <v>5</v>
      </c>
      <c r="AM986" s="319">
        <v>5</v>
      </c>
      <c r="AN986" s="319">
        <v>2</v>
      </c>
      <c r="AO986" s="319">
        <v>0.4</v>
      </c>
      <c r="AP986">
        <v>13</v>
      </c>
      <c r="AQ986" s="136">
        <v>13</v>
      </c>
      <c r="AT986" s="69">
        <v>2.3148</v>
      </c>
      <c r="AU986" s="69">
        <v>2.3148</v>
      </c>
      <c r="AV986" s="69">
        <v>2.3148</v>
      </c>
      <c r="AW986" s="69">
        <v>0.23150000000000001</v>
      </c>
      <c r="BB986" s="69"/>
    </row>
    <row r="987" spans="1:54" customFormat="1" ht="40" customHeight="1">
      <c r="A987" s="313">
        <v>986</v>
      </c>
      <c r="B987" s="136" t="s">
        <v>2638</v>
      </c>
      <c r="C987" s="136" t="s">
        <v>45</v>
      </c>
      <c r="D987" s="31">
        <f t="shared" si="68"/>
        <v>4</v>
      </c>
      <c r="E987" s="137" t="s">
        <v>221</v>
      </c>
      <c r="F987" s="31">
        <f t="shared" si="69"/>
        <v>2</v>
      </c>
      <c r="G987" s="137" t="s">
        <v>2676</v>
      </c>
      <c r="H987" s="138">
        <v>8</v>
      </c>
      <c r="I987" s="158">
        <f t="shared" si="70"/>
        <v>0.49685552739216998</v>
      </c>
      <c r="J987" s="95">
        <v>0.44608263319172198</v>
      </c>
      <c r="K987" s="137">
        <v>0.54762842159261804</v>
      </c>
      <c r="L987" s="137">
        <v>0.75</v>
      </c>
      <c r="M987" s="137">
        <v>0.24407105398154499</v>
      </c>
      <c r="N987" s="136">
        <v>1</v>
      </c>
      <c r="O987" s="32">
        <v>43655</v>
      </c>
      <c r="P987" s="98">
        <f t="shared" si="71"/>
        <v>0</v>
      </c>
      <c r="Q987">
        <v>2.5499999999999998</v>
      </c>
      <c r="R987">
        <v>0</v>
      </c>
      <c r="S987">
        <v>0</v>
      </c>
      <c r="T987" s="112" t="s">
        <v>48</v>
      </c>
      <c r="U987" s="137" t="s">
        <v>2676</v>
      </c>
      <c r="V987" s="137" t="s">
        <v>2682</v>
      </c>
      <c r="W987" s="69">
        <v>118</v>
      </c>
      <c r="X987" s="136">
        <v>3</v>
      </c>
      <c r="Y987" s="136">
        <v>28</v>
      </c>
      <c r="Z987" s="314"/>
      <c r="AA987" s="319">
        <v>0.5</v>
      </c>
      <c r="AB987" s="315" t="s">
        <v>5178</v>
      </c>
      <c r="AC987" s="319">
        <v>2</v>
      </c>
      <c r="AD987" s="320">
        <v>2.77777777777777E-2</v>
      </c>
      <c r="AE987" s="319">
        <v>2</v>
      </c>
      <c r="AF987" s="320">
        <v>2.77777777777777E-2</v>
      </c>
      <c r="AG987" s="319">
        <v>0</v>
      </c>
      <c r="AH987" s="320">
        <v>0</v>
      </c>
      <c r="AI987" s="319">
        <v>0</v>
      </c>
      <c r="AJ987" s="320">
        <v>0</v>
      </c>
      <c r="AK987" s="320">
        <v>1.388888888888889E-2</v>
      </c>
      <c r="AL987" s="319">
        <v>5</v>
      </c>
      <c r="AM987" s="319">
        <v>5</v>
      </c>
      <c r="AN987" s="319">
        <v>2</v>
      </c>
      <c r="AO987" s="319">
        <v>0.4</v>
      </c>
      <c r="AP987">
        <v>28</v>
      </c>
      <c r="AQ987" s="136">
        <v>28</v>
      </c>
      <c r="AT987" s="69">
        <v>2.3148</v>
      </c>
      <c r="AU987" s="69">
        <v>2.3148</v>
      </c>
      <c r="AV987" s="69">
        <v>2.3148</v>
      </c>
      <c r="AW987" s="69">
        <v>0.23150000000000001</v>
      </c>
      <c r="BB987" s="69"/>
    </row>
    <row r="988" spans="1:54" customFormat="1" ht="40" customHeight="1">
      <c r="A988" s="313">
        <v>987</v>
      </c>
      <c r="B988" s="136" t="s">
        <v>2638</v>
      </c>
      <c r="C988" s="136" t="s">
        <v>45</v>
      </c>
      <c r="D988" s="31">
        <f t="shared" si="68"/>
        <v>4</v>
      </c>
      <c r="E988" s="137" t="s">
        <v>221</v>
      </c>
      <c r="F988" s="31">
        <f t="shared" si="69"/>
        <v>2</v>
      </c>
      <c r="G988" s="137" t="s">
        <v>2683</v>
      </c>
      <c r="H988" s="138">
        <v>215</v>
      </c>
      <c r="I988" s="158">
        <f t="shared" si="70"/>
        <v>0.36785714288549187</v>
      </c>
      <c r="J988" s="95">
        <v>5.6697757599977201E-11</v>
      </c>
      <c r="K988" s="137">
        <v>0.73571428571428599</v>
      </c>
      <c r="L988" s="137">
        <v>0.75</v>
      </c>
      <c r="M988" s="137">
        <v>0.71428571428571397</v>
      </c>
      <c r="N988" s="136">
        <v>1</v>
      </c>
      <c r="O988" s="32">
        <v>43651</v>
      </c>
      <c r="P988" s="98">
        <f t="shared" si="71"/>
        <v>1</v>
      </c>
      <c r="Q988">
        <v>0</v>
      </c>
      <c r="R988">
        <v>4.95</v>
      </c>
      <c r="S988">
        <v>0</v>
      </c>
      <c r="T988" s="112" t="s">
        <v>73</v>
      </c>
      <c r="U988" s="137" t="s">
        <v>2684</v>
      </c>
      <c r="V988" s="137" t="s">
        <v>2685</v>
      </c>
      <c r="W988" s="69">
        <v>228</v>
      </c>
      <c r="X988" s="136">
        <v>1</v>
      </c>
      <c r="Y988" s="136">
        <v>4</v>
      </c>
      <c r="Z988" s="314"/>
      <c r="AA988" s="319">
        <v>0.413223140495867</v>
      </c>
      <c r="AB988" s="315" t="s">
        <v>5178</v>
      </c>
      <c r="AC988" s="319">
        <v>2</v>
      </c>
      <c r="AD988" s="320">
        <v>1.4598540145985399E-2</v>
      </c>
      <c r="AE988" s="319">
        <v>2</v>
      </c>
      <c r="AF988" s="320">
        <v>1.4598540145985399E-2</v>
      </c>
      <c r="AG988" s="319">
        <v>1</v>
      </c>
      <c r="AH988" s="320">
        <v>7.2992700729926996E-3</v>
      </c>
      <c r="AI988" s="319">
        <v>1</v>
      </c>
      <c r="AJ988" s="320">
        <v>7.2992700729926996E-3</v>
      </c>
      <c r="AK988" s="320">
        <v>7.2992700729926996E-3</v>
      </c>
      <c r="AL988" s="319">
        <v>6.75</v>
      </c>
      <c r="AM988" s="319">
        <v>5</v>
      </c>
      <c r="AN988" s="319">
        <v>4.6666666666666599</v>
      </c>
      <c r="AO988" s="319">
        <v>0.54722222222222205</v>
      </c>
      <c r="AP988">
        <v>4</v>
      </c>
      <c r="AQ988" s="136">
        <v>4</v>
      </c>
      <c r="AT988" s="69">
        <v>6.3414000000000001</v>
      </c>
      <c r="AU988" s="69">
        <v>2.3148</v>
      </c>
      <c r="AV988" s="69">
        <v>8.1305999999999994</v>
      </c>
      <c r="AW988" s="69">
        <v>0.55959999999999999</v>
      </c>
      <c r="BB988" s="69"/>
    </row>
    <row r="989" spans="1:54" customFormat="1" ht="40" customHeight="1">
      <c r="A989" s="313">
        <v>988</v>
      </c>
      <c r="B989" s="136" t="s">
        <v>2638</v>
      </c>
      <c r="C989" s="136" t="s">
        <v>119</v>
      </c>
      <c r="D989" s="31">
        <f t="shared" si="68"/>
        <v>1</v>
      </c>
      <c r="E989" s="137" t="s">
        <v>80</v>
      </c>
      <c r="F989" s="31">
        <f t="shared" si="69"/>
        <v>4</v>
      </c>
      <c r="G989" s="137" t="s">
        <v>2686</v>
      </c>
      <c r="H989" s="138">
        <v>57</v>
      </c>
      <c r="I989" s="158">
        <f t="shared" si="70"/>
        <v>0.35506699050953233</v>
      </c>
      <c r="J989" s="95">
        <v>1.04823463817683E-4</v>
      </c>
      <c r="K989" s="137">
        <v>0.71002915755524698</v>
      </c>
      <c r="L989" s="137">
        <v>0.75</v>
      </c>
      <c r="M989" s="137">
        <v>0.65007289388811795</v>
      </c>
      <c r="N989" s="136">
        <v>1</v>
      </c>
      <c r="O989" s="32">
        <v>43645</v>
      </c>
      <c r="P989" s="98">
        <f t="shared" si="71"/>
        <v>0</v>
      </c>
      <c r="Q989">
        <v>2.5499999999999998</v>
      </c>
      <c r="R989">
        <v>0</v>
      </c>
      <c r="S989">
        <v>0</v>
      </c>
      <c r="T989" s="112" t="s">
        <v>48</v>
      </c>
      <c r="U989" s="137" t="s">
        <v>2687</v>
      </c>
      <c r="V989" s="137" t="s">
        <v>2688</v>
      </c>
      <c r="W989" s="69">
        <v>246</v>
      </c>
      <c r="X989" s="136">
        <v>2</v>
      </c>
      <c r="Y989" s="136">
        <v>6</v>
      </c>
      <c r="Z989" s="314"/>
      <c r="AA989" s="319">
        <v>0.54500000000000004</v>
      </c>
      <c r="AB989" s="315" t="s">
        <v>5176</v>
      </c>
      <c r="AC989" s="319">
        <v>2</v>
      </c>
      <c r="AD989" s="320">
        <v>1.4492753623188401E-2</v>
      </c>
      <c r="AE989" s="319">
        <v>3</v>
      </c>
      <c r="AF989" s="320">
        <v>2.1739130434782601E-2</v>
      </c>
      <c r="AG989" s="319">
        <v>0</v>
      </c>
      <c r="AH989" s="320">
        <v>0</v>
      </c>
      <c r="AI989" s="319">
        <v>0</v>
      </c>
      <c r="AJ989" s="320">
        <v>0</v>
      </c>
      <c r="AK989" s="320">
        <v>7.246376811594203E-3</v>
      </c>
      <c r="AL989" s="319">
        <v>5</v>
      </c>
      <c r="AM989" s="319">
        <v>6.2</v>
      </c>
      <c r="AN989" s="319">
        <v>3.5</v>
      </c>
      <c r="AO989" s="319">
        <v>0.49</v>
      </c>
      <c r="AP989">
        <v>6</v>
      </c>
      <c r="AQ989" s="136">
        <v>6</v>
      </c>
      <c r="AT989" s="69">
        <v>2.3148</v>
      </c>
      <c r="AU989" s="69">
        <v>5</v>
      </c>
      <c r="AV989" s="69">
        <v>5.7443999999999997</v>
      </c>
      <c r="AW989" s="69">
        <v>0.43530000000000002</v>
      </c>
      <c r="BB989" s="69"/>
    </row>
    <row r="990" spans="1:54" customFormat="1" ht="40" customHeight="1">
      <c r="A990" s="313">
        <v>989</v>
      </c>
      <c r="B990" s="136" t="s">
        <v>2638</v>
      </c>
      <c r="C990" s="136" t="s">
        <v>119</v>
      </c>
      <c r="D990" s="31">
        <f t="shared" si="68"/>
        <v>1</v>
      </c>
      <c r="E990" s="137" t="s">
        <v>46</v>
      </c>
      <c r="F990" s="31">
        <f t="shared" si="69"/>
        <v>6</v>
      </c>
      <c r="G990" s="137" t="s">
        <v>2689</v>
      </c>
      <c r="H990" s="138">
        <v>138</v>
      </c>
      <c r="I990" s="158">
        <f t="shared" si="70"/>
        <v>0.82445854469388458</v>
      </c>
      <c r="J990" s="95">
        <v>0.95010287859146003</v>
      </c>
      <c r="K990" s="137">
        <v>0.69881421079630901</v>
      </c>
      <c r="L990" s="137">
        <v>0.75</v>
      </c>
      <c r="M990" s="137">
        <v>0.62203552699077302</v>
      </c>
      <c r="N990" s="136">
        <v>1</v>
      </c>
      <c r="O990" s="32">
        <v>43545</v>
      </c>
      <c r="P990" s="98">
        <f t="shared" si="71"/>
        <v>0</v>
      </c>
      <c r="Q990">
        <v>2.5499999999999998</v>
      </c>
      <c r="R990">
        <v>0</v>
      </c>
      <c r="S990">
        <v>0</v>
      </c>
      <c r="T990" s="112" t="s">
        <v>48</v>
      </c>
      <c r="U990" s="137" t="s">
        <v>2690</v>
      </c>
      <c r="V990" s="137" t="s">
        <v>2691</v>
      </c>
      <c r="W990" s="69">
        <v>87</v>
      </c>
      <c r="X990" s="136">
        <v>1</v>
      </c>
      <c r="Y990" s="136">
        <v>7</v>
      </c>
      <c r="Z990" s="314"/>
      <c r="AA990" s="319">
        <v>0.45909090909090899</v>
      </c>
      <c r="AB990" s="315" t="s">
        <v>5176</v>
      </c>
      <c r="AC990" s="319">
        <v>0</v>
      </c>
      <c r="AD990" s="320">
        <v>0</v>
      </c>
      <c r="AE990" s="319">
        <v>3</v>
      </c>
      <c r="AF990" s="320">
        <v>6.1224489795918297E-2</v>
      </c>
      <c r="AG990" s="319">
        <v>0</v>
      </c>
      <c r="AH990" s="320">
        <v>0</v>
      </c>
      <c r="AI990" s="319">
        <v>0</v>
      </c>
      <c r="AJ990" s="320">
        <v>0</v>
      </c>
      <c r="AK990" s="320">
        <v>2.0408163265306121E-2</v>
      </c>
      <c r="AL990" s="319">
        <v>5</v>
      </c>
      <c r="AM990" s="319">
        <v>7.4</v>
      </c>
      <c r="AN990" s="319">
        <v>3.5</v>
      </c>
      <c r="AO990" s="319">
        <v>0.53</v>
      </c>
      <c r="AP990">
        <v>7</v>
      </c>
      <c r="AR990" s="136">
        <v>7</v>
      </c>
      <c r="AT990" s="69">
        <v>2.3148</v>
      </c>
      <c r="AU990" s="69">
        <v>7.6852</v>
      </c>
      <c r="AV990" s="69">
        <v>5.7443999999999997</v>
      </c>
      <c r="AW990" s="69">
        <v>0.52480000000000004</v>
      </c>
      <c r="BB990" s="69"/>
    </row>
    <row r="991" spans="1:54" customFormat="1" ht="40" customHeight="1">
      <c r="A991" s="313">
        <v>990</v>
      </c>
      <c r="B991" s="136" t="s">
        <v>2638</v>
      </c>
      <c r="C991" s="136" t="s">
        <v>45</v>
      </c>
      <c r="D991" s="31">
        <f t="shared" si="68"/>
        <v>4</v>
      </c>
      <c r="E991" s="137" t="s">
        <v>46</v>
      </c>
      <c r="F991" s="31">
        <f t="shared" si="69"/>
        <v>6</v>
      </c>
      <c r="G991" s="137" t="s">
        <v>2692</v>
      </c>
      <c r="H991" s="138">
        <v>384</v>
      </c>
      <c r="I991" s="158">
        <f t="shared" si="70"/>
        <v>0.73223128025247453</v>
      </c>
      <c r="J991" s="95">
        <v>0.99997070857248604</v>
      </c>
      <c r="K991" s="137">
        <v>0.46449185193246301</v>
      </c>
      <c r="L991" s="137">
        <v>0.423355447540333</v>
      </c>
      <c r="M991" s="137">
        <v>0.526196458520657</v>
      </c>
      <c r="N991" s="136">
        <v>1</v>
      </c>
      <c r="O991" s="32">
        <v>43353</v>
      </c>
      <c r="P991" s="98">
        <f t="shared" si="71"/>
        <v>1</v>
      </c>
      <c r="Q991">
        <v>2.5499999999999998</v>
      </c>
      <c r="R991">
        <v>4.95</v>
      </c>
      <c r="S991">
        <v>3.74</v>
      </c>
      <c r="T991" s="112" t="s">
        <v>73</v>
      </c>
      <c r="U991" s="137" t="s">
        <v>2693</v>
      </c>
      <c r="V991" s="137" t="s">
        <v>2694</v>
      </c>
      <c r="W991" s="69">
        <v>85</v>
      </c>
      <c r="X991" s="136">
        <v>1</v>
      </c>
      <c r="Y991" s="136">
        <v>11</v>
      </c>
      <c r="Z991" s="314"/>
      <c r="AA991" s="319">
        <v>1.7570510866690601E-3</v>
      </c>
      <c r="AB991" s="315" t="s">
        <v>5168</v>
      </c>
      <c r="AC991" s="319">
        <v>0</v>
      </c>
      <c r="AD991" s="320">
        <v>0</v>
      </c>
      <c r="AE991" s="319">
        <v>0</v>
      </c>
      <c r="AF991" s="320">
        <v>0</v>
      </c>
      <c r="AG991" s="319">
        <v>1</v>
      </c>
      <c r="AH991" s="320">
        <v>2.1276595744680799E-2</v>
      </c>
      <c r="AI991" s="319">
        <v>0</v>
      </c>
      <c r="AJ991" s="320">
        <v>0</v>
      </c>
      <c r="AK991" s="320">
        <v>0</v>
      </c>
      <c r="AL991" s="319">
        <v>5</v>
      </c>
      <c r="AM991" s="319">
        <v>8.3333333333333304</v>
      </c>
      <c r="AN991" s="319">
        <v>2</v>
      </c>
      <c r="AO991" s="319">
        <v>0.51111111111111096</v>
      </c>
      <c r="AP991">
        <v>11</v>
      </c>
      <c r="AQ991" s="136">
        <v>11</v>
      </c>
      <c r="AR991" s="136"/>
      <c r="AT991" s="69">
        <v>2.3148</v>
      </c>
      <c r="AU991" s="69">
        <v>8.9379000000000008</v>
      </c>
      <c r="AV991" s="69">
        <v>2.3148</v>
      </c>
      <c r="AW991" s="69">
        <v>0.45219999999999999</v>
      </c>
      <c r="BB991" s="69"/>
    </row>
    <row r="992" spans="1:54" customFormat="1" ht="40" customHeight="1">
      <c r="A992" s="313">
        <v>991</v>
      </c>
      <c r="B992" s="136" t="s">
        <v>2638</v>
      </c>
      <c r="C992" s="136" t="s">
        <v>45</v>
      </c>
      <c r="D992" s="31">
        <f t="shared" si="68"/>
        <v>4</v>
      </c>
      <c r="E992" s="137" t="s">
        <v>46</v>
      </c>
      <c r="F992" s="31">
        <f t="shared" si="69"/>
        <v>6</v>
      </c>
      <c r="G992" s="137" t="s">
        <v>2695</v>
      </c>
      <c r="H992" s="138">
        <v>312</v>
      </c>
      <c r="I992" s="158">
        <f t="shared" si="70"/>
        <v>0.8042863553063655</v>
      </c>
      <c r="J992" s="95">
        <v>0.98900321811355896</v>
      </c>
      <c r="K992" s="137">
        <v>0.61956949249917204</v>
      </c>
      <c r="L992" s="137">
        <v>0.68181818181818199</v>
      </c>
      <c r="M992" s="137">
        <v>0.526196458520657</v>
      </c>
      <c r="N992" s="136">
        <v>1</v>
      </c>
      <c r="O992" s="32">
        <v>43335</v>
      </c>
      <c r="P992" s="98">
        <f t="shared" si="71"/>
        <v>1</v>
      </c>
      <c r="Q992">
        <v>0</v>
      </c>
      <c r="R992">
        <v>4.95</v>
      </c>
      <c r="S992">
        <v>0</v>
      </c>
      <c r="T992" s="112" t="s">
        <v>73</v>
      </c>
      <c r="U992" s="137" t="s">
        <v>2696</v>
      </c>
      <c r="V992" s="137" t="s">
        <v>2697</v>
      </c>
      <c r="W992" s="69">
        <v>49</v>
      </c>
      <c r="X992" s="136">
        <v>1</v>
      </c>
      <c r="Y992" s="136">
        <v>11</v>
      </c>
      <c r="Z992" s="314"/>
      <c r="AA992" s="319">
        <v>0.70884499999999995</v>
      </c>
      <c r="AB992" s="315" t="s">
        <v>5176</v>
      </c>
      <c r="AC992" s="319">
        <v>0</v>
      </c>
      <c r="AD992" s="320">
        <v>0</v>
      </c>
      <c r="AE992" s="319">
        <v>1</v>
      </c>
      <c r="AF992" s="320">
        <v>3.8461538461538401E-2</v>
      </c>
      <c r="AG992" s="319">
        <v>0</v>
      </c>
      <c r="AH992" s="320">
        <v>0</v>
      </c>
      <c r="AI992" s="319">
        <v>0</v>
      </c>
      <c r="AJ992" s="320">
        <v>0</v>
      </c>
      <c r="AK992" s="320">
        <v>0</v>
      </c>
      <c r="AL992" s="319">
        <v>5</v>
      </c>
      <c r="AM992" s="319">
        <v>5</v>
      </c>
      <c r="AN992" s="319">
        <v>2</v>
      </c>
      <c r="AO992" s="319">
        <v>0.4</v>
      </c>
      <c r="AP992" s="136">
        <v>11</v>
      </c>
      <c r="AT992" s="69">
        <v>2.3148</v>
      </c>
      <c r="AU992" s="69">
        <v>2.3148</v>
      </c>
      <c r="AV992" s="69">
        <v>2.3148</v>
      </c>
      <c r="AW992" s="69">
        <v>0.23150000000000001</v>
      </c>
      <c r="BB992" s="69"/>
    </row>
    <row r="993" spans="1:54" customFormat="1" ht="40" customHeight="1">
      <c r="A993" s="313">
        <v>992</v>
      </c>
      <c r="B993" s="136" t="s">
        <v>2638</v>
      </c>
      <c r="C993" s="136" t="s">
        <v>45</v>
      </c>
      <c r="D993" s="31">
        <f t="shared" si="68"/>
        <v>4</v>
      </c>
      <c r="E993" s="137" t="s">
        <v>46</v>
      </c>
      <c r="F993" s="31">
        <f t="shared" si="69"/>
        <v>6</v>
      </c>
      <c r="G993" s="137" t="s">
        <v>2698</v>
      </c>
      <c r="H993" s="138">
        <v>91</v>
      </c>
      <c r="I993" s="158">
        <f t="shared" si="70"/>
        <v>0.34047523362188442</v>
      </c>
      <c r="J993" s="95">
        <v>1.6639809158336401E-6</v>
      </c>
      <c r="K993" s="137">
        <v>0.68094880326285301</v>
      </c>
      <c r="L993" s="137">
        <v>0.56348610067618299</v>
      </c>
      <c r="M993" s="137">
        <v>0.85714285714285698</v>
      </c>
      <c r="N993" s="136">
        <v>1</v>
      </c>
      <c r="O993" s="32">
        <v>43313</v>
      </c>
      <c r="P993" s="98">
        <f t="shared" si="71"/>
        <v>0</v>
      </c>
      <c r="Q993">
        <v>2.5499999999999998</v>
      </c>
      <c r="R993">
        <v>3.3</v>
      </c>
      <c r="S993">
        <v>0</v>
      </c>
      <c r="T993" s="112" t="s">
        <v>48</v>
      </c>
      <c r="U993" s="137" t="s">
        <v>2699</v>
      </c>
      <c r="V993" s="137" t="s">
        <v>2700</v>
      </c>
      <c r="W993" s="69">
        <v>16</v>
      </c>
      <c r="X993" s="136">
        <v>1</v>
      </c>
      <c r="Y993" s="136">
        <v>1</v>
      </c>
      <c r="Z993" s="314"/>
      <c r="AA993" s="319">
        <v>2.2630485621756301E-2</v>
      </c>
      <c r="AB993" s="315" t="s">
        <v>5165</v>
      </c>
      <c r="AC993" s="319">
        <v>1</v>
      </c>
      <c r="AD993" s="320">
        <v>9.0909090909090898E-2</v>
      </c>
      <c r="AE993" s="319">
        <v>0</v>
      </c>
      <c r="AF993" s="320">
        <v>0</v>
      </c>
      <c r="AG993" s="319">
        <v>0</v>
      </c>
      <c r="AH993" s="320">
        <v>0</v>
      </c>
      <c r="AI993" s="319">
        <v>0</v>
      </c>
      <c r="AJ993" s="320">
        <v>0</v>
      </c>
      <c r="AK993" s="320">
        <v>0</v>
      </c>
      <c r="AL993" s="319">
        <v>5</v>
      </c>
      <c r="AM993" s="319">
        <v>5</v>
      </c>
      <c r="AN993" s="319">
        <v>2</v>
      </c>
      <c r="AO993" s="319">
        <v>0.4</v>
      </c>
      <c r="AP993">
        <v>1</v>
      </c>
      <c r="AR993" s="136">
        <v>1</v>
      </c>
      <c r="AT993" s="69">
        <v>2.3148</v>
      </c>
      <c r="AU993" s="69">
        <v>2.3148</v>
      </c>
      <c r="AV993" s="69">
        <v>2.3148</v>
      </c>
      <c r="AW993" s="69">
        <v>0.23150000000000001</v>
      </c>
      <c r="BB993" s="69"/>
    </row>
    <row r="994" spans="1:54" customFormat="1" ht="40" customHeight="1">
      <c r="A994" s="313">
        <v>993</v>
      </c>
      <c r="B994" s="136" t="s">
        <v>2638</v>
      </c>
      <c r="C994" s="136" t="s">
        <v>45</v>
      </c>
      <c r="D994" s="31">
        <f t="shared" si="68"/>
        <v>4</v>
      </c>
      <c r="E994" s="137" t="s">
        <v>46</v>
      </c>
      <c r="F994" s="31">
        <f t="shared" si="69"/>
        <v>6</v>
      </c>
      <c r="G994" s="137" t="s">
        <v>2701</v>
      </c>
      <c r="H994" s="138">
        <v>90</v>
      </c>
      <c r="I994" s="158">
        <f t="shared" si="70"/>
        <v>0.66733653556971895</v>
      </c>
      <c r="J994" s="95">
        <v>0.83901802142625903</v>
      </c>
      <c r="K994" s="137">
        <v>0.49565504971317897</v>
      </c>
      <c r="L994" s="137">
        <v>0.56348610067618299</v>
      </c>
      <c r="M994" s="137">
        <v>0.39390847326867401</v>
      </c>
      <c r="N994" s="136">
        <v>1</v>
      </c>
      <c r="O994" s="32">
        <v>43302</v>
      </c>
      <c r="P994" s="98">
        <f t="shared" si="71"/>
        <v>1</v>
      </c>
      <c r="Q994">
        <v>0</v>
      </c>
      <c r="R994">
        <v>1.65</v>
      </c>
      <c r="S994">
        <v>0</v>
      </c>
      <c r="T994" s="112" t="s">
        <v>73</v>
      </c>
      <c r="U994" s="137" t="s">
        <v>2702</v>
      </c>
      <c r="V994" s="137" t="s">
        <v>2703</v>
      </c>
      <c r="W994" s="69">
        <v>76</v>
      </c>
      <c r="X994" s="136">
        <v>2</v>
      </c>
      <c r="Y994" s="136">
        <v>18</v>
      </c>
      <c r="Z994" s="314"/>
      <c r="AA994" s="319">
        <v>0.55000000000000004</v>
      </c>
      <c r="AB994" s="315" t="s">
        <v>5177</v>
      </c>
      <c r="AC994" s="319">
        <v>0</v>
      </c>
      <c r="AD994" s="320">
        <v>0</v>
      </c>
      <c r="AE994" s="319">
        <v>1</v>
      </c>
      <c r="AF994" s="320">
        <v>2.2222222222222199E-2</v>
      </c>
      <c r="AG994" s="319">
        <v>1</v>
      </c>
      <c r="AH994" s="320">
        <v>2.2222222222222199E-2</v>
      </c>
      <c r="AI994" s="319">
        <v>0</v>
      </c>
      <c r="AJ994" s="320">
        <v>0</v>
      </c>
      <c r="AK994" s="320">
        <v>2.222222222222222E-2</v>
      </c>
      <c r="AL994" s="319">
        <v>5</v>
      </c>
      <c r="AM994" s="319">
        <v>5</v>
      </c>
      <c r="AN994" s="319">
        <v>2</v>
      </c>
      <c r="AO994" s="319">
        <v>0.4</v>
      </c>
      <c r="AP994">
        <v>18</v>
      </c>
      <c r="AR994" s="136">
        <v>18</v>
      </c>
      <c r="AT994" s="69">
        <v>2.3148</v>
      </c>
      <c r="AU994" s="69">
        <v>2.3148</v>
      </c>
      <c r="AV994" s="69">
        <v>2.3148</v>
      </c>
      <c r="AW994" s="69">
        <v>0.23150000000000001</v>
      </c>
      <c r="BB994" s="69"/>
    </row>
    <row r="995" spans="1:54" customFormat="1" ht="40" customHeight="1">
      <c r="A995" s="313">
        <v>994</v>
      </c>
      <c r="B995" s="136" t="s">
        <v>2638</v>
      </c>
      <c r="C995" s="136" t="s">
        <v>45</v>
      </c>
      <c r="D995" s="31">
        <f t="shared" si="68"/>
        <v>4</v>
      </c>
      <c r="E995" s="137" t="s">
        <v>80</v>
      </c>
      <c r="F995" s="31">
        <f t="shared" si="69"/>
        <v>4</v>
      </c>
      <c r="G995" s="137" t="s">
        <v>2704</v>
      </c>
      <c r="H995" s="138">
        <v>146</v>
      </c>
      <c r="I995" s="158">
        <f t="shared" si="70"/>
        <v>0.26862280834608554</v>
      </c>
      <c r="J995" s="95">
        <v>2.2993526655212801E-4</v>
      </c>
      <c r="K995" s="137">
        <v>0.53701568142561895</v>
      </c>
      <c r="L995" s="137">
        <v>0.75</v>
      </c>
      <c r="M995" s="137">
        <v>0.21753920356404799</v>
      </c>
      <c r="N995" s="136">
        <v>1</v>
      </c>
      <c r="O995" s="32">
        <v>43227</v>
      </c>
      <c r="P995" s="98">
        <f t="shared" si="71"/>
        <v>2</v>
      </c>
      <c r="Q995">
        <v>0</v>
      </c>
      <c r="R995">
        <v>1.65</v>
      </c>
      <c r="S995">
        <v>1.87</v>
      </c>
      <c r="T995" s="112" t="s">
        <v>64</v>
      </c>
      <c r="U995" s="137" t="s">
        <v>2705</v>
      </c>
      <c r="V995" s="137" t="s">
        <v>2706</v>
      </c>
      <c r="W995" s="69">
        <v>384</v>
      </c>
      <c r="X995" s="136">
        <v>3</v>
      </c>
      <c r="Y995" s="136">
        <v>30</v>
      </c>
      <c r="Z995" s="314"/>
      <c r="AA995" s="319">
        <v>0.5</v>
      </c>
      <c r="AB995" s="315" t="s">
        <v>5176</v>
      </c>
      <c r="AC995" s="319">
        <v>1</v>
      </c>
      <c r="AD995" s="320">
        <v>4.5871559633027499E-3</v>
      </c>
      <c r="AE995" s="319">
        <v>4</v>
      </c>
      <c r="AF995" s="320">
        <v>1.8348623853211E-2</v>
      </c>
      <c r="AG995" s="319">
        <v>3</v>
      </c>
      <c r="AH995" s="320">
        <v>1.37614678899082E-2</v>
      </c>
      <c r="AI995" s="319">
        <v>0</v>
      </c>
      <c r="AJ995" s="320">
        <v>0</v>
      </c>
      <c r="AK995" s="320">
        <v>4.6511627906976744E-3</v>
      </c>
      <c r="AL995" s="319">
        <v>5</v>
      </c>
      <c r="AM995" s="319">
        <v>6.2</v>
      </c>
      <c r="AN995" s="319">
        <v>4.6666666666666599</v>
      </c>
      <c r="AO995" s="319">
        <v>0.52888888888888796</v>
      </c>
      <c r="AP995">
        <v>30</v>
      </c>
      <c r="AR995" s="136">
        <v>30</v>
      </c>
      <c r="AT995" s="69">
        <v>2.3148</v>
      </c>
      <c r="AU995" s="69">
        <v>5</v>
      </c>
      <c r="AV995" s="69">
        <v>8.1305999999999994</v>
      </c>
      <c r="AW995" s="69">
        <v>0.51480000000000004</v>
      </c>
      <c r="BB995" s="69"/>
    </row>
    <row r="996" spans="1:54" customFormat="1" ht="40" customHeight="1">
      <c r="A996" s="313">
        <v>995</v>
      </c>
      <c r="B996" s="136" t="s">
        <v>2638</v>
      </c>
      <c r="C996" s="136" t="s">
        <v>45</v>
      </c>
      <c r="D996" s="31">
        <f t="shared" si="68"/>
        <v>4</v>
      </c>
      <c r="E996" s="137" t="s">
        <v>46</v>
      </c>
      <c r="F996" s="31">
        <f t="shared" si="69"/>
        <v>6</v>
      </c>
      <c r="G996" s="137" t="s">
        <v>2707</v>
      </c>
      <c r="H996" s="138">
        <v>198</v>
      </c>
      <c r="I996" s="158">
        <f t="shared" si="70"/>
        <v>0.27263576537747869</v>
      </c>
      <c r="J996" s="95">
        <v>1.3211371804332401E-2</v>
      </c>
      <c r="K996" s="137">
        <v>0.53206015895062497</v>
      </c>
      <c r="L996" s="137">
        <v>0.56348610067618299</v>
      </c>
      <c r="M996" s="137">
        <v>0.48492124636228701</v>
      </c>
      <c r="N996" s="136">
        <v>1</v>
      </c>
      <c r="O996" s="32">
        <v>43222</v>
      </c>
      <c r="P996" s="98">
        <f t="shared" si="71"/>
        <v>0</v>
      </c>
      <c r="Q996">
        <v>0</v>
      </c>
      <c r="R996">
        <v>0</v>
      </c>
      <c r="S996">
        <v>0</v>
      </c>
      <c r="T996" s="112" t="s">
        <v>48</v>
      </c>
      <c r="U996" s="137" t="s">
        <v>2708</v>
      </c>
      <c r="V996" s="137" t="s">
        <v>2709</v>
      </c>
      <c r="W996" s="69">
        <v>67</v>
      </c>
      <c r="X996" s="136">
        <v>2</v>
      </c>
      <c r="Y996" s="136">
        <v>13</v>
      </c>
      <c r="Z996" s="314"/>
      <c r="AA996" s="319">
        <v>2.2630485621756301E-2</v>
      </c>
      <c r="AB996" s="315" t="s">
        <v>5178</v>
      </c>
      <c r="AC996" s="319">
        <v>2</v>
      </c>
      <c r="AD996" s="320">
        <v>5.1282051282051197E-2</v>
      </c>
      <c r="AE996" s="319">
        <v>2</v>
      </c>
      <c r="AF996" s="320">
        <v>5.1282051282051197E-2</v>
      </c>
      <c r="AG996" s="319">
        <v>1</v>
      </c>
      <c r="AH996" s="320">
        <v>2.5641025641025599E-2</v>
      </c>
      <c r="AI996" s="319">
        <v>0</v>
      </c>
      <c r="AJ996" s="320">
        <v>0</v>
      </c>
      <c r="AK996" s="320">
        <v>2.564102564102564E-2</v>
      </c>
      <c r="AL996" s="319">
        <v>5</v>
      </c>
      <c r="AM996" s="319">
        <v>5</v>
      </c>
      <c r="AN996" s="319">
        <v>2</v>
      </c>
      <c r="AO996" s="319">
        <v>0.4</v>
      </c>
      <c r="AP996">
        <v>13</v>
      </c>
      <c r="AR996" s="136">
        <v>13</v>
      </c>
      <c r="AT996" s="69">
        <v>2.3148</v>
      </c>
      <c r="AU996" s="69">
        <v>2.3148</v>
      </c>
      <c r="AV996" s="69">
        <v>2.3148</v>
      </c>
      <c r="AW996" s="69">
        <v>0.23150000000000001</v>
      </c>
      <c r="BB996" s="69"/>
    </row>
    <row r="997" spans="1:54" customFormat="1" ht="40" customHeight="1">
      <c r="A997" s="313">
        <v>996</v>
      </c>
      <c r="B997" s="136" t="s">
        <v>2638</v>
      </c>
      <c r="C997" s="136" t="s">
        <v>45</v>
      </c>
      <c r="D997" s="31">
        <f t="shared" si="68"/>
        <v>4</v>
      </c>
      <c r="E997" s="137" t="s">
        <v>46</v>
      </c>
      <c r="F997" s="31">
        <f t="shared" si="69"/>
        <v>6</v>
      </c>
      <c r="G997" s="137" t="s">
        <v>2710</v>
      </c>
      <c r="H997" s="138">
        <v>497</v>
      </c>
      <c r="I997" s="158">
        <f t="shared" si="70"/>
        <v>0.36975569886954762</v>
      </c>
      <c r="J997" s="95">
        <v>3.7971120248092602E-3</v>
      </c>
      <c r="K997" s="137">
        <v>0.73571428571428599</v>
      </c>
      <c r="L997" s="137">
        <v>0.75</v>
      </c>
      <c r="M997" s="137">
        <v>0.71428571428571397</v>
      </c>
      <c r="N997" s="136">
        <v>1</v>
      </c>
      <c r="O997" s="32">
        <v>43219</v>
      </c>
      <c r="P997" s="98">
        <f t="shared" si="71"/>
        <v>1</v>
      </c>
      <c r="Q997">
        <v>0</v>
      </c>
      <c r="R997">
        <v>3.3</v>
      </c>
      <c r="S997">
        <v>0</v>
      </c>
      <c r="T997" s="112" t="s">
        <v>73</v>
      </c>
      <c r="U997" s="137" t="s">
        <v>2711</v>
      </c>
      <c r="V997" s="137" t="s">
        <v>2712</v>
      </c>
      <c r="W997" s="69">
        <v>298</v>
      </c>
      <c r="X997" s="136">
        <v>2</v>
      </c>
      <c r="Y997" s="136">
        <v>4</v>
      </c>
      <c r="Z997" s="314"/>
      <c r="AA997" s="319">
        <v>0.5</v>
      </c>
      <c r="AB997" s="315" t="s">
        <v>5168</v>
      </c>
      <c r="AC997" s="319">
        <v>1</v>
      </c>
      <c r="AD997" s="320">
        <v>5.8823529411764696E-3</v>
      </c>
      <c r="AE997" s="319">
        <v>0</v>
      </c>
      <c r="AF997" s="320">
        <v>0</v>
      </c>
      <c r="AG997" s="319">
        <v>2</v>
      </c>
      <c r="AH997" s="320">
        <v>1.1764705882352899E-2</v>
      </c>
      <c r="AI997" s="319">
        <v>0</v>
      </c>
      <c r="AJ997" s="320">
        <v>0</v>
      </c>
      <c r="AK997" s="320">
        <v>0</v>
      </c>
      <c r="AL997" s="319">
        <v>5</v>
      </c>
      <c r="AM997" s="319">
        <v>6.2</v>
      </c>
      <c r="AN997" s="319">
        <v>2</v>
      </c>
      <c r="AO997" s="319">
        <v>0.44</v>
      </c>
      <c r="AP997">
        <v>4</v>
      </c>
      <c r="AQ997" s="136">
        <v>4</v>
      </c>
      <c r="AT997" s="69">
        <v>2.3148</v>
      </c>
      <c r="AU997" s="69">
        <v>5</v>
      </c>
      <c r="AV997" s="69">
        <v>2.3148</v>
      </c>
      <c r="AW997" s="69">
        <v>0.32100000000000001</v>
      </c>
      <c r="BB997" s="69"/>
    </row>
    <row r="998" spans="1:54" customFormat="1" ht="40" customHeight="1">
      <c r="A998" s="313">
        <v>997</v>
      </c>
      <c r="B998" s="136" t="s">
        <v>2638</v>
      </c>
      <c r="C998" s="136" t="s">
        <v>45</v>
      </c>
      <c r="D998" s="31">
        <f t="shared" si="68"/>
        <v>4</v>
      </c>
      <c r="E998" s="137" t="s">
        <v>46</v>
      </c>
      <c r="F998" s="31">
        <f t="shared" si="69"/>
        <v>6</v>
      </c>
      <c r="G998" s="137" t="s">
        <v>2713</v>
      </c>
      <c r="H998" s="138">
        <v>138</v>
      </c>
      <c r="I998" s="158">
        <f t="shared" si="70"/>
        <v>0.50057137450822298</v>
      </c>
      <c r="J998" s="95">
        <v>0.39086632969851898</v>
      </c>
      <c r="K998" s="137">
        <v>0.61027641931792698</v>
      </c>
      <c r="L998" s="137">
        <v>0.61983471074380203</v>
      </c>
      <c r="M998" s="137">
        <v>0.59593898217911601</v>
      </c>
      <c r="N998" s="136">
        <v>1</v>
      </c>
      <c r="O998" s="32">
        <v>43123</v>
      </c>
      <c r="P998" s="98">
        <f t="shared" si="71"/>
        <v>0</v>
      </c>
      <c r="Q998">
        <v>2.5499999999999998</v>
      </c>
      <c r="R998">
        <v>0</v>
      </c>
      <c r="S998">
        <v>0</v>
      </c>
      <c r="T998" s="112" t="s">
        <v>48</v>
      </c>
      <c r="U998" s="137" t="s">
        <v>2714</v>
      </c>
      <c r="V998" s="137" t="s">
        <v>2715</v>
      </c>
      <c r="W998" s="69">
        <v>95</v>
      </c>
      <c r="X998" s="136">
        <v>2</v>
      </c>
      <c r="Y998" s="136">
        <v>8</v>
      </c>
      <c r="Z998" s="314"/>
      <c r="AA998" s="319">
        <v>0.54500000000000004</v>
      </c>
      <c r="AB998" s="315" t="s">
        <v>5179</v>
      </c>
      <c r="AC998" s="319">
        <v>1</v>
      </c>
      <c r="AD998" s="320">
        <v>1.7543859649122799E-2</v>
      </c>
      <c r="AE998" s="319">
        <v>1</v>
      </c>
      <c r="AF998" s="320">
        <v>1.7543859649122799E-2</v>
      </c>
      <c r="AG998" s="319">
        <v>1</v>
      </c>
      <c r="AH998" s="320">
        <v>1.7543859649122799E-2</v>
      </c>
      <c r="AI998" s="319">
        <v>0</v>
      </c>
      <c r="AJ998" s="320">
        <v>0</v>
      </c>
      <c r="AK998" s="320">
        <v>0</v>
      </c>
      <c r="AL998" s="319">
        <v>5</v>
      </c>
      <c r="AM998" s="319">
        <v>5</v>
      </c>
      <c r="AN998" s="319">
        <v>2</v>
      </c>
      <c r="AO998" s="319">
        <v>0.4</v>
      </c>
      <c r="AP998">
        <v>8</v>
      </c>
      <c r="AQ998" s="136">
        <v>8</v>
      </c>
      <c r="AT998" s="69">
        <v>2.3148</v>
      </c>
      <c r="AU998" s="69">
        <v>2.3148</v>
      </c>
      <c r="AV998" s="69">
        <v>2.3148</v>
      </c>
      <c r="AW998" s="69">
        <v>0.23150000000000001</v>
      </c>
      <c r="BB998" s="69"/>
    </row>
    <row r="999" spans="1:54" customFormat="1" ht="40" customHeight="1">
      <c r="A999" s="313">
        <v>998</v>
      </c>
      <c r="B999" s="136" t="s">
        <v>2638</v>
      </c>
      <c r="C999" s="136" t="s">
        <v>45</v>
      </c>
      <c r="D999" s="31">
        <f t="shared" si="68"/>
        <v>4</v>
      </c>
      <c r="E999" s="137" t="s">
        <v>80</v>
      </c>
      <c r="F999" s="31">
        <f t="shared" si="69"/>
        <v>4</v>
      </c>
      <c r="G999" s="137" t="s">
        <v>2716</v>
      </c>
      <c r="H999" s="138">
        <v>126</v>
      </c>
      <c r="I999" s="158">
        <f t="shared" si="70"/>
        <v>0.64547820646190845</v>
      </c>
      <c r="J999" s="95">
        <v>0.73286458000747601</v>
      </c>
      <c r="K999" s="137">
        <v>0.55809183291634101</v>
      </c>
      <c r="L999" s="137">
        <v>0.61983471074380103</v>
      </c>
      <c r="M999" s="137">
        <v>0.46547751617515098</v>
      </c>
      <c r="N999" s="136">
        <v>1</v>
      </c>
      <c r="O999" s="32">
        <v>43104</v>
      </c>
      <c r="P999" s="98">
        <f t="shared" si="71"/>
        <v>0</v>
      </c>
      <c r="Q999">
        <v>2.5499999999999998</v>
      </c>
      <c r="R999">
        <v>1.65</v>
      </c>
      <c r="S999">
        <v>1.87</v>
      </c>
      <c r="T999" s="112" t="s">
        <v>48</v>
      </c>
      <c r="U999" s="137" t="s">
        <v>2717</v>
      </c>
      <c r="V999" s="137" t="s">
        <v>2718</v>
      </c>
      <c r="W999" s="69">
        <v>61</v>
      </c>
      <c r="X999" s="136">
        <v>2</v>
      </c>
      <c r="Y999" s="136">
        <v>14</v>
      </c>
      <c r="Z999" s="314"/>
      <c r="AA999" s="319">
        <v>0.46363636363636301</v>
      </c>
      <c r="AB999" s="315" t="s">
        <v>5176</v>
      </c>
      <c r="AC999" s="319">
        <v>1</v>
      </c>
      <c r="AD999" s="320">
        <v>2.77777777777777E-2</v>
      </c>
      <c r="AE999" s="319">
        <v>3</v>
      </c>
      <c r="AF999" s="320">
        <v>8.3333333333333301E-2</v>
      </c>
      <c r="AG999" s="319">
        <v>0</v>
      </c>
      <c r="AH999" s="320">
        <v>0</v>
      </c>
      <c r="AI999" s="319">
        <v>0</v>
      </c>
      <c r="AJ999" s="320">
        <v>0</v>
      </c>
      <c r="AK999" s="320">
        <v>2.777777777777778E-2</v>
      </c>
      <c r="AL999" s="319">
        <v>5</v>
      </c>
      <c r="AM999" s="319">
        <v>5</v>
      </c>
      <c r="AN999" s="319">
        <v>2</v>
      </c>
      <c r="AO999" s="319">
        <v>0.4</v>
      </c>
      <c r="AP999">
        <v>14</v>
      </c>
      <c r="AR999" s="136">
        <v>14</v>
      </c>
      <c r="AT999" s="69">
        <v>2.3148</v>
      </c>
      <c r="AU999" s="69">
        <v>2.3148</v>
      </c>
      <c r="AV999" s="69">
        <v>2.3148</v>
      </c>
      <c r="AW999" s="69">
        <v>0.23150000000000001</v>
      </c>
      <c r="BB999" s="69"/>
    </row>
    <row r="1000" spans="1:54" customFormat="1" ht="40" customHeight="1">
      <c r="A1000" s="313">
        <v>999</v>
      </c>
      <c r="B1000" s="136" t="s">
        <v>2638</v>
      </c>
      <c r="C1000" s="136" t="s">
        <v>45</v>
      </c>
      <c r="D1000" s="31">
        <f t="shared" si="68"/>
        <v>4</v>
      </c>
      <c r="E1000" s="137" t="s">
        <v>80</v>
      </c>
      <c r="F1000" s="31">
        <f t="shared" si="69"/>
        <v>4</v>
      </c>
      <c r="G1000" s="137" t="s">
        <v>2719</v>
      </c>
      <c r="H1000" s="138">
        <v>66</v>
      </c>
      <c r="I1000" s="158">
        <f t="shared" si="70"/>
        <v>0.68739515962275199</v>
      </c>
      <c r="J1000" s="95">
        <v>0.69359931277544395</v>
      </c>
      <c r="K1000" s="137">
        <v>0.68119100647006003</v>
      </c>
      <c r="L1000" s="137">
        <v>0.82499999999999996</v>
      </c>
      <c r="M1000" s="137">
        <v>0.46547751617515098</v>
      </c>
      <c r="N1000" s="136">
        <v>1</v>
      </c>
      <c r="O1000" s="32">
        <v>43081</v>
      </c>
      <c r="P1000" s="98">
        <f t="shared" si="71"/>
        <v>1</v>
      </c>
      <c r="Q1000">
        <v>0</v>
      </c>
      <c r="R1000">
        <v>0</v>
      </c>
      <c r="S1000">
        <v>0</v>
      </c>
      <c r="T1000" s="112" t="s">
        <v>73</v>
      </c>
      <c r="U1000" s="137" t="s">
        <v>2720</v>
      </c>
      <c r="V1000" s="137" t="s">
        <v>2721</v>
      </c>
      <c r="W1000" s="69">
        <v>123</v>
      </c>
      <c r="X1000" s="136">
        <v>2</v>
      </c>
      <c r="Y1000" s="136">
        <v>14</v>
      </c>
      <c r="Z1000" s="314"/>
      <c r="AA1000" s="319">
        <v>0.66549999999999998</v>
      </c>
      <c r="AB1000" s="315" t="s">
        <v>5176</v>
      </c>
      <c r="AC1000" s="319">
        <v>2</v>
      </c>
      <c r="AD1000" s="320">
        <v>2.8571428571428501E-2</v>
      </c>
      <c r="AE1000" s="319">
        <v>4</v>
      </c>
      <c r="AF1000" s="320">
        <v>5.7142857142857099E-2</v>
      </c>
      <c r="AG1000" s="319">
        <v>0</v>
      </c>
      <c r="AH1000" s="320">
        <v>0</v>
      </c>
      <c r="AI1000" s="319">
        <v>0</v>
      </c>
      <c r="AJ1000" s="320">
        <v>0</v>
      </c>
      <c r="AK1000" s="320">
        <v>2.8571428571428571E-2</v>
      </c>
      <c r="AL1000" s="319">
        <v>5</v>
      </c>
      <c r="AM1000" s="319">
        <v>6.2</v>
      </c>
      <c r="AN1000" s="319">
        <v>2</v>
      </c>
      <c r="AO1000" s="319">
        <v>0.44</v>
      </c>
      <c r="AP1000">
        <v>14</v>
      </c>
      <c r="AR1000" s="136">
        <v>14</v>
      </c>
      <c r="AT1000" s="69">
        <v>2.3148</v>
      </c>
      <c r="AU1000" s="69">
        <v>5</v>
      </c>
      <c r="AV1000" s="69">
        <v>2.3148</v>
      </c>
      <c r="AW1000" s="69">
        <v>0.32100000000000001</v>
      </c>
      <c r="BB1000" s="69"/>
    </row>
    <row r="1001" spans="1:54" customFormat="1" ht="40" customHeight="1">
      <c r="A1001" s="313">
        <v>1000</v>
      </c>
      <c r="B1001" s="136" t="s">
        <v>2638</v>
      </c>
      <c r="C1001" s="136" t="s">
        <v>45</v>
      </c>
      <c r="D1001" s="31">
        <f t="shared" si="68"/>
        <v>4</v>
      </c>
      <c r="E1001" s="137" t="s">
        <v>80</v>
      </c>
      <c r="F1001" s="31">
        <f t="shared" si="69"/>
        <v>4</v>
      </c>
      <c r="G1001" s="137" t="s">
        <v>2722</v>
      </c>
      <c r="H1001" s="138">
        <v>176</v>
      </c>
      <c r="I1001" s="158">
        <f t="shared" si="70"/>
        <v>0.23610834320000756</v>
      </c>
      <c r="J1001" s="95">
        <v>2.8408126772976099E-2</v>
      </c>
      <c r="K1001" s="137">
        <v>0.44380855962703902</v>
      </c>
      <c r="L1001" s="137">
        <v>0.465690992294366</v>
      </c>
      <c r="M1001" s="137">
        <v>0.41098491062604903</v>
      </c>
      <c r="N1001" s="136">
        <v>1</v>
      </c>
      <c r="O1001" s="32">
        <v>43073</v>
      </c>
      <c r="P1001" s="98">
        <f t="shared" si="71"/>
        <v>1</v>
      </c>
      <c r="Q1001">
        <v>2.5499999999999998</v>
      </c>
      <c r="R1001">
        <v>4.95</v>
      </c>
      <c r="S1001">
        <v>0</v>
      </c>
      <c r="T1001" s="112" t="s">
        <v>73</v>
      </c>
      <c r="U1001" s="137" t="s">
        <v>2723</v>
      </c>
      <c r="V1001" s="137" t="s">
        <v>2724</v>
      </c>
      <c r="W1001" s="69">
        <v>344</v>
      </c>
      <c r="X1001" s="136">
        <v>2</v>
      </c>
      <c r="Y1001" s="136">
        <v>17</v>
      </c>
      <c r="Z1001" s="314"/>
      <c r="AA1001" s="319">
        <v>9.1578194443670893E-3</v>
      </c>
      <c r="AB1001" s="315" t="s">
        <v>5165</v>
      </c>
      <c r="AC1001" s="319">
        <v>6</v>
      </c>
      <c r="AD1001" s="320">
        <v>3.2608695652173898E-2</v>
      </c>
      <c r="AE1001" s="319">
        <v>2</v>
      </c>
      <c r="AF1001" s="320">
        <v>1.0869565217391301E-2</v>
      </c>
      <c r="AG1001" s="319">
        <v>1</v>
      </c>
      <c r="AH1001" s="320">
        <v>5.4347826086956503E-3</v>
      </c>
      <c r="AI1001" s="319">
        <v>0</v>
      </c>
      <c r="AJ1001" s="320">
        <v>0</v>
      </c>
      <c r="AK1001" s="320">
        <v>1.098901098901099E-2</v>
      </c>
      <c r="AL1001" s="319">
        <v>6.75</v>
      </c>
      <c r="AM1001" s="319">
        <v>6.2</v>
      </c>
      <c r="AN1001" s="319">
        <v>7.3333333333333304</v>
      </c>
      <c r="AO1001" s="319">
        <v>0.676111111111111</v>
      </c>
      <c r="AP1001">
        <v>17</v>
      </c>
      <c r="AQ1001" s="136">
        <v>17</v>
      </c>
      <c r="AT1001" s="69">
        <v>6.3414000000000001</v>
      </c>
      <c r="AU1001" s="69">
        <v>5</v>
      </c>
      <c r="AV1001" s="69">
        <v>9.8416999999999994</v>
      </c>
      <c r="AW1001" s="69">
        <v>0.70609999999999995</v>
      </c>
      <c r="BB1001" s="69"/>
    </row>
    <row r="1002" spans="1:54" customFormat="1" ht="40" customHeight="1">
      <c r="A1002" s="313">
        <v>1001</v>
      </c>
      <c r="B1002" s="136" t="s">
        <v>2638</v>
      </c>
      <c r="C1002" s="136" t="s">
        <v>45</v>
      </c>
      <c r="D1002" s="31">
        <f t="shared" si="68"/>
        <v>4</v>
      </c>
      <c r="E1002" s="137" t="s">
        <v>80</v>
      </c>
      <c r="F1002" s="31">
        <f t="shared" si="69"/>
        <v>4</v>
      </c>
      <c r="G1002" s="137" t="s">
        <v>2725</v>
      </c>
      <c r="H1002" s="138">
        <v>69</v>
      </c>
      <c r="I1002" s="158">
        <f t="shared" si="70"/>
        <v>0.73092674911611</v>
      </c>
      <c r="J1002" s="95">
        <v>0.73962881123220803</v>
      </c>
      <c r="K1002" s="137">
        <v>0.72222468700001197</v>
      </c>
      <c r="L1002" s="137">
        <v>0.75</v>
      </c>
      <c r="M1002" s="137">
        <v>0.68056171750003003</v>
      </c>
      <c r="N1002" s="136">
        <v>1</v>
      </c>
      <c r="O1002" s="32">
        <v>43068</v>
      </c>
      <c r="P1002" s="98">
        <f t="shared" si="71"/>
        <v>1</v>
      </c>
      <c r="Q1002">
        <v>0</v>
      </c>
      <c r="R1002">
        <v>1.65</v>
      </c>
      <c r="S1002">
        <v>0</v>
      </c>
      <c r="T1002" s="112" t="s">
        <v>73</v>
      </c>
      <c r="U1002" s="137" t="s">
        <v>2726</v>
      </c>
      <c r="V1002" s="137" t="s">
        <v>2727</v>
      </c>
      <c r="W1002" s="69">
        <v>72</v>
      </c>
      <c r="X1002" s="136">
        <v>2</v>
      </c>
      <c r="Y1002" s="136">
        <v>5</v>
      </c>
      <c r="Z1002" s="314"/>
      <c r="AA1002" s="319">
        <v>0.59450000000000003</v>
      </c>
      <c r="AB1002" s="315" t="s">
        <v>5176</v>
      </c>
      <c r="AC1002" s="319">
        <v>1</v>
      </c>
      <c r="AD1002" s="320">
        <v>2.4390243902439001E-2</v>
      </c>
      <c r="AE1002" s="319">
        <v>2</v>
      </c>
      <c r="AF1002" s="320">
        <v>4.8780487804878002E-2</v>
      </c>
      <c r="AG1002" s="319">
        <v>0</v>
      </c>
      <c r="AH1002" s="320">
        <v>0</v>
      </c>
      <c r="AI1002" s="319">
        <v>0</v>
      </c>
      <c r="AJ1002" s="320">
        <v>0</v>
      </c>
      <c r="AK1002" s="320">
        <v>2.4390243902439029E-2</v>
      </c>
      <c r="AL1002" s="319">
        <v>5</v>
      </c>
      <c r="AM1002" s="319">
        <v>6.2</v>
      </c>
      <c r="AN1002" s="319">
        <v>4.6666666666666599</v>
      </c>
      <c r="AO1002" s="319">
        <v>0.52888888888888796</v>
      </c>
      <c r="AP1002">
        <v>5</v>
      </c>
      <c r="AQ1002" s="136">
        <v>5</v>
      </c>
      <c r="AT1002" s="69">
        <v>2.3148</v>
      </c>
      <c r="AU1002" s="69">
        <v>5</v>
      </c>
      <c r="AV1002" s="69">
        <v>8.1305999999999994</v>
      </c>
      <c r="AW1002" s="69">
        <v>0.51480000000000004</v>
      </c>
      <c r="BB1002" s="69"/>
    </row>
    <row r="1003" spans="1:54" customFormat="1" ht="40" customHeight="1">
      <c r="A1003" s="313">
        <v>1002</v>
      </c>
      <c r="B1003" s="136" t="s">
        <v>2638</v>
      </c>
      <c r="C1003" s="136" t="s">
        <v>45</v>
      </c>
      <c r="D1003" s="31">
        <f t="shared" si="68"/>
        <v>4</v>
      </c>
      <c r="E1003" s="137" t="s">
        <v>46</v>
      </c>
      <c r="F1003" s="31">
        <f t="shared" si="69"/>
        <v>6</v>
      </c>
      <c r="G1003" s="137" t="s">
        <v>2728</v>
      </c>
      <c r="H1003" s="138">
        <v>203</v>
      </c>
      <c r="I1003" s="158">
        <f t="shared" si="70"/>
        <v>0.23374840652904288</v>
      </c>
      <c r="J1003" s="95">
        <v>1.8912112114057901E-3</v>
      </c>
      <c r="K1003" s="137">
        <v>0.46560560184667998</v>
      </c>
      <c r="L1003" s="137">
        <v>0.465690992294366</v>
      </c>
      <c r="M1003" s="137">
        <v>0.46547751617515098</v>
      </c>
      <c r="N1003" s="136">
        <v>1</v>
      </c>
      <c r="O1003" s="32">
        <v>43034</v>
      </c>
      <c r="P1003" s="98">
        <f t="shared" si="71"/>
        <v>2</v>
      </c>
      <c r="Q1003">
        <v>2.5499999999999998</v>
      </c>
      <c r="R1003">
        <v>1.65</v>
      </c>
      <c r="S1003">
        <v>3.74</v>
      </c>
      <c r="T1003" s="112" t="s">
        <v>64</v>
      </c>
      <c r="U1003" s="137" t="s">
        <v>2729</v>
      </c>
      <c r="V1003" s="137" t="s">
        <v>2730</v>
      </c>
      <c r="W1003" s="69">
        <v>286</v>
      </c>
      <c r="X1003" s="136">
        <v>2</v>
      </c>
      <c r="Y1003" s="136">
        <v>14</v>
      </c>
      <c r="Z1003" s="314"/>
      <c r="AA1003" s="319">
        <v>7.5684458217909799E-3</v>
      </c>
      <c r="AB1003" s="315" t="s">
        <v>5165</v>
      </c>
      <c r="AC1003" s="319">
        <v>4</v>
      </c>
      <c r="AD1003" s="320">
        <v>2.64900662251655E-2</v>
      </c>
      <c r="AE1003" s="319">
        <v>1</v>
      </c>
      <c r="AF1003" s="320">
        <v>6.6225165562913899E-3</v>
      </c>
      <c r="AG1003" s="319">
        <v>1</v>
      </c>
      <c r="AH1003" s="320">
        <v>6.6225165562913899E-3</v>
      </c>
      <c r="AI1003" s="319">
        <v>0</v>
      </c>
      <c r="AJ1003" s="320">
        <v>0</v>
      </c>
      <c r="AK1003" s="320">
        <v>1.3333333333333331E-2</v>
      </c>
      <c r="AL1003" s="319">
        <v>5</v>
      </c>
      <c r="AM1003" s="319">
        <v>5</v>
      </c>
      <c r="AN1003" s="319">
        <v>2</v>
      </c>
      <c r="AO1003" s="319">
        <v>0.4</v>
      </c>
      <c r="AP1003">
        <v>14</v>
      </c>
      <c r="AQ1003" s="136">
        <v>14</v>
      </c>
      <c r="AT1003" s="69">
        <v>2.3148</v>
      </c>
      <c r="AU1003" s="69">
        <v>2.3148</v>
      </c>
      <c r="AV1003" s="69">
        <v>2.3148</v>
      </c>
      <c r="AW1003" s="69">
        <v>0.23150000000000001</v>
      </c>
      <c r="BB1003" s="69"/>
    </row>
    <row r="1004" spans="1:54" customFormat="1" ht="40" customHeight="1">
      <c r="A1004" s="313">
        <v>1003</v>
      </c>
      <c r="B1004" s="136" t="s">
        <v>2638</v>
      </c>
      <c r="C1004" s="136" t="s">
        <v>45</v>
      </c>
      <c r="D1004" s="31">
        <f t="shared" si="68"/>
        <v>4</v>
      </c>
      <c r="E1004" s="137" t="s">
        <v>46</v>
      </c>
      <c r="F1004" s="31">
        <f t="shared" si="69"/>
        <v>6</v>
      </c>
      <c r="G1004" s="137" t="s">
        <v>2731</v>
      </c>
      <c r="H1004" s="138">
        <v>187</v>
      </c>
      <c r="I1004" s="158">
        <f t="shared" si="70"/>
        <v>0.23042122004912116</v>
      </c>
      <c r="J1004" s="95">
        <v>2.5663248148563001E-3</v>
      </c>
      <c r="K1004" s="137">
        <v>0.45827611528338602</v>
      </c>
      <c r="L1004" s="137">
        <v>0.51226009152380303</v>
      </c>
      <c r="M1004" s="137">
        <v>0.37730015092276098</v>
      </c>
      <c r="N1004" s="136">
        <v>1</v>
      </c>
      <c r="O1004" s="32">
        <v>43034</v>
      </c>
      <c r="P1004" s="98">
        <f t="shared" si="71"/>
        <v>2</v>
      </c>
      <c r="Q1004">
        <v>2.5499999999999998</v>
      </c>
      <c r="R1004">
        <v>1.65</v>
      </c>
      <c r="S1004">
        <v>3.74</v>
      </c>
      <c r="T1004" s="112" t="s">
        <v>64</v>
      </c>
      <c r="U1004" s="137" t="s">
        <v>2732</v>
      </c>
      <c r="V1004" s="137" t="s">
        <v>2733</v>
      </c>
      <c r="W1004" s="69">
        <v>212</v>
      </c>
      <c r="X1004" s="136">
        <v>1</v>
      </c>
      <c r="Y1004" s="136">
        <v>19</v>
      </c>
      <c r="Z1004" s="314"/>
      <c r="AA1004" s="319">
        <v>2.0573168747051201E-2</v>
      </c>
      <c r="AB1004" s="315" t="s">
        <v>5165</v>
      </c>
      <c r="AC1004" s="319">
        <v>2</v>
      </c>
      <c r="AD1004" s="320">
        <v>1.8018018018018001E-2</v>
      </c>
      <c r="AE1004" s="319">
        <v>1</v>
      </c>
      <c r="AF1004" s="320">
        <v>9.0090090090090003E-3</v>
      </c>
      <c r="AG1004" s="319">
        <v>1</v>
      </c>
      <c r="AH1004" s="320">
        <v>9.0090090090090003E-3</v>
      </c>
      <c r="AI1004" s="319">
        <v>0</v>
      </c>
      <c r="AJ1004" s="320">
        <v>0</v>
      </c>
      <c r="AK1004" s="320">
        <v>1.8018018018018021E-2</v>
      </c>
      <c r="AL1004" s="319">
        <v>5</v>
      </c>
      <c r="AM1004" s="319">
        <v>5</v>
      </c>
      <c r="AN1004" s="319">
        <v>2</v>
      </c>
      <c r="AO1004" s="319">
        <v>0.4</v>
      </c>
      <c r="AP1004">
        <v>19</v>
      </c>
      <c r="AQ1004" s="136">
        <v>19</v>
      </c>
      <c r="AT1004" s="69">
        <v>2.3148</v>
      </c>
      <c r="AU1004" s="69">
        <v>2.3148</v>
      </c>
      <c r="AV1004" s="69">
        <v>2.3148</v>
      </c>
      <c r="AW1004" s="69">
        <v>0.23150000000000001</v>
      </c>
      <c r="BB1004" s="69"/>
    </row>
    <row r="1005" spans="1:54" customFormat="1" ht="40" customHeight="1">
      <c r="A1005" s="313">
        <v>1004</v>
      </c>
      <c r="B1005" s="136" t="s">
        <v>2638</v>
      </c>
      <c r="C1005" s="136" t="s">
        <v>45</v>
      </c>
      <c r="D1005" s="31">
        <f t="shared" si="68"/>
        <v>4</v>
      </c>
      <c r="E1005" s="137" t="s">
        <v>80</v>
      </c>
      <c r="F1005" s="31">
        <f t="shared" si="69"/>
        <v>4</v>
      </c>
      <c r="G1005" s="137" t="s">
        <v>2734</v>
      </c>
      <c r="H1005" s="138">
        <v>145</v>
      </c>
      <c r="I1005" s="158">
        <f t="shared" si="70"/>
        <v>0.3666877979216418</v>
      </c>
      <c r="J1005" s="95">
        <v>2.9716376026556199E-9</v>
      </c>
      <c r="K1005" s="137">
        <v>0.733375592871646</v>
      </c>
      <c r="L1005" s="137">
        <v>0.82499999999999996</v>
      </c>
      <c r="M1005" s="137">
        <v>0.59593898217911601</v>
      </c>
      <c r="N1005" s="136">
        <v>1</v>
      </c>
      <c r="O1005" s="32">
        <v>43032</v>
      </c>
      <c r="P1005" s="98">
        <f t="shared" si="71"/>
        <v>1</v>
      </c>
      <c r="Q1005">
        <v>2.5499999999999998</v>
      </c>
      <c r="R1005">
        <v>6.6</v>
      </c>
      <c r="S1005">
        <v>0</v>
      </c>
      <c r="T1005" s="112" t="s">
        <v>73</v>
      </c>
      <c r="U1005" s="137" t="s">
        <v>2735</v>
      </c>
      <c r="V1005" s="137" t="s">
        <v>2736</v>
      </c>
      <c r="W1005" s="69">
        <v>321</v>
      </c>
      <c r="X1005" s="136">
        <v>2</v>
      </c>
      <c r="Y1005" s="136">
        <v>8</v>
      </c>
      <c r="Z1005" s="314"/>
      <c r="AA1005" s="319">
        <v>0.64895000000000003</v>
      </c>
      <c r="AB1005" s="315" t="s">
        <v>5165</v>
      </c>
      <c r="AC1005" s="319">
        <v>2</v>
      </c>
      <c r="AD1005" s="320">
        <v>1.1560693641618399E-2</v>
      </c>
      <c r="AE1005" s="319">
        <v>1</v>
      </c>
      <c r="AF1005" s="320">
        <v>5.7803468208092396E-3</v>
      </c>
      <c r="AG1005" s="319">
        <v>1</v>
      </c>
      <c r="AH1005" s="320">
        <v>5.7803468208092396E-3</v>
      </c>
      <c r="AI1005" s="319">
        <v>0</v>
      </c>
      <c r="AJ1005" s="320">
        <v>0</v>
      </c>
      <c r="AK1005" s="320">
        <v>1.15606936416185E-2</v>
      </c>
      <c r="AL1005" s="319">
        <v>6.75</v>
      </c>
      <c r="AM1005" s="319">
        <v>5</v>
      </c>
      <c r="AN1005" s="319">
        <v>4.6666666666666599</v>
      </c>
      <c r="AO1005" s="319">
        <v>0.54722222222222205</v>
      </c>
      <c r="AP1005">
        <v>8</v>
      </c>
      <c r="AQ1005" s="136">
        <v>8</v>
      </c>
      <c r="AT1005" s="69">
        <v>6.3414000000000001</v>
      </c>
      <c r="AU1005" s="69">
        <v>2.3148</v>
      </c>
      <c r="AV1005" s="69">
        <v>8.1305999999999994</v>
      </c>
      <c r="AW1005" s="69">
        <v>0.55959999999999999</v>
      </c>
      <c r="BB1005" s="69"/>
    </row>
    <row r="1006" spans="1:54" customFormat="1" ht="40" customHeight="1">
      <c r="A1006" s="313">
        <v>1005</v>
      </c>
      <c r="B1006" s="136" t="s">
        <v>2638</v>
      </c>
      <c r="C1006" s="136" t="s">
        <v>45</v>
      </c>
      <c r="D1006" s="31">
        <f t="shared" si="68"/>
        <v>4</v>
      </c>
      <c r="E1006" s="137" t="s">
        <v>46</v>
      </c>
      <c r="F1006" s="31">
        <f t="shared" si="69"/>
        <v>6</v>
      </c>
      <c r="G1006" s="137" t="s">
        <v>2737</v>
      </c>
      <c r="H1006" s="138">
        <v>276</v>
      </c>
      <c r="I1006" s="158">
        <f t="shared" si="70"/>
        <v>0.32602946363560481</v>
      </c>
      <c r="J1006" s="95">
        <v>7.5909933666684603E-6</v>
      </c>
      <c r="K1006" s="137">
        <v>0.65205133627784295</v>
      </c>
      <c r="L1006" s="137">
        <v>0.75</v>
      </c>
      <c r="M1006" s="137">
        <v>0.50512834069460699</v>
      </c>
      <c r="N1006" s="136">
        <v>1</v>
      </c>
      <c r="O1006" s="32">
        <v>43028</v>
      </c>
      <c r="P1006" s="98">
        <f t="shared" si="71"/>
        <v>1</v>
      </c>
      <c r="Q1006">
        <v>2.5499999999999998</v>
      </c>
      <c r="R1006">
        <v>3.3</v>
      </c>
      <c r="S1006">
        <v>0</v>
      </c>
      <c r="T1006" s="112" t="s">
        <v>73</v>
      </c>
      <c r="U1006" s="137" t="s">
        <v>2738</v>
      </c>
      <c r="V1006" s="137" t="s">
        <v>2739</v>
      </c>
      <c r="W1006" s="69">
        <v>320</v>
      </c>
      <c r="X1006" s="136">
        <v>1</v>
      </c>
      <c r="Y1006" s="136">
        <v>12</v>
      </c>
      <c r="Z1006" s="314"/>
      <c r="AA1006" s="319">
        <v>0.60499999999999998</v>
      </c>
      <c r="AB1006" s="315" t="s">
        <v>5165</v>
      </c>
      <c r="AC1006" s="319">
        <v>2</v>
      </c>
      <c r="AD1006" s="320">
        <v>1.1627906976744099E-2</v>
      </c>
      <c r="AE1006" s="319">
        <v>1</v>
      </c>
      <c r="AF1006" s="320">
        <v>5.8139534883720903E-3</v>
      </c>
      <c r="AG1006" s="319">
        <v>1</v>
      </c>
      <c r="AH1006" s="320">
        <v>5.8139534883720903E-3</v>
      </c>
      <c r="AI1006" s="319">
        <v>0</v>
      </c>
      <c r="AJ1006" s="320">
        <v>0</v>
      </c>
      <c r="AK1006" s="320">
        <v>1.1627906976744189E-2</v>
      </c>
      <c r="AL1006" s="319">
        <v>5</v>
      </c>
      <c r="AM1006" s="319">
        <v>5</v>
      </c>
      <c r="AN1006" s="319">
        <v>2</v>
      </c>
      <c r="AO1006" s="319">
        <v>0.4</v>
      </c>
      <c r="AP1006">
        <v>12</v>
      </c>
      <c r="AQ1006" s="136">
        <v>12</v>
      </c>
      <c r="AT1006" s="69">
        <v>2.3148</v>
      </c>
      <c r="AU1006" s="69">
        <v>2.3148</v>
      </c>
      <c r="AV1006" s="69">
        <v>2.3148</v>
      </c>
      <c r="AW1006" s="69">
        <v>0.23150000000000001</v>
      </c>
      <c r="BB1006" s="69"/>
    </row>
    <row r="1007" spans="1:54" customFormat="1" ht="40" customHeight="1">
      <c r="A1007" s="313">
        <v>1006</v>
      </c>
      <c r="B1007" s="136" t="s">
        <v>2638</v>
      </c>
      <c r="C1007" s="136" t="s">
        <v>45</v>
      </c>
      <c r="D1007" s="31">
        <f t="shared" si="68"/>
        <v>4</v>
      </c>
      <c r="E1007" s="137" t="s">
        <v>46</v>
      </c>
      <c r="F1007" s="31">
        <f t="shared" si="69"/>
        <v>6</v>
      </c>
      <c r="G1007" s="137" t="s">
        <v>2740</v>
      </c>
      <c r="H1007" s="138">
        <v>181</v>
      </c>
      <c r="I1007" s="158">
        <f t="shared" si="70"/>
        <v>0.40709416768362422</v>
      </c>
      <c r="J1007" s="95">
        <v>5.3893142548666596E-7</v>
      </c>
      <c r="K1007" s="137">
        <v>0.81418779643582295</v>
      </c>
      <c r="L1007" s="137">
        <v>0.82499999999999996</v>
      </c>
      <c r="M1007" s="137">
        <v>0.79796949108955795</v>
      </c>
      <c r="N1007" s="136">
        <v>1</v>
      </c>
      <c r="O1007" s="32">
        <v>43017</v>
      </c>
      <c r="P1007" s="98">
        <f t="shared" si="71"/>
        <v>0</v>
      </c>
      <c r="Q1007">
        <v>10.199999999999999</v>
      </c>
      <c r="R1007">
        <v>1.65</v>
      </c>
      <c r="S1007">
        <v>0</v>
      </c>
      <c r="T1007" s="112" t="s">
        <v>48</v>
      </c>
      <c r="U1007" s="137" t="s">
        <v>2741</v>
      </c>
      <c r="V1007" s="137" t="s">
        <v>2742</v>
      </c>
      <c r="W1007" s="69">
        <v>155</v>
      </c>
      <c r="X1007" s="136">
        <v>1</v>
      </c>
      <c r="Y1007" s="136">
        <v>2</v>
      </c>
      <c r="Z1007" s="314"/>
      <c r="AA1007" s="319">
        <v>0.5</v>
      </c>
      <c r="AB1007" s="315" t="s">
        <v>5167</v>
      </c>
      <c r="AC1007" s="319">
        <v>2</v>
      </c>
      <c r="AD1007" s="320">
        <v>2.27272727272727E-2</v>
      </c>
      <c r="AE1007" s="319">
        <v>2</v>
      </c>
      <c r="AF1007" s="320">
        <v>2.27272727272727E-2</v>
      </c>
      <c r="AG1007" s="319">
        <v>1</v>
      </c>
      <c r="AH1007" s="320">
        <v>1.13636363636363E-2</v>
      </c>
      <c r="AI1007" s="319">
        <v>4</v>
      </c>
      <c r="AJ1007" s="320">
        <v>4.54545454545454E-2</v>
      </c>
      <c r="AK1007" s="320">
        <v>0</v>
      </c>
      <c r="AL1007" s="319">
        <v>6.75</v>
      </c>
      <c r="AM1007" s="319">
        <v>5</v>
      </c>
      <c r="AN1007" s="319">
        <v>7.3333333333333304</v>
      </c>
      <c r="AO1007" s="319">
        <v>0.63611111111111096</v>
      </c>
      <c r="AP1007">
        <v>2</v>
      </c>
      <c r="AR1007" s="136">
        <v>2</v>
      </c>
      <c r="AT1007" s="69">
        <v>6.3414000000000001</v>
      </c>
      <c r="AU1007" s="69">
        <v>2.3148</v>
      </c>
      <c r="AV1007" s="69">
        <v>9.8416999999999994</v>
      </c>
      <c r="AW1007" s="69">
        <v>0.61660000000000004</v>
      </c>
      <c r="BB1007" s="69"/>
    </row>
    <row r="1008" spans="1:54" customFormat="1" ht="40" customHeight="1">
      <c r="A1008" s="313">
        <v>1007</v>
      </c>
      <c r="B1008" s="136" t="s">
        <v>2638</v>
      </c>
      <c r="C1008" s="136" t="s">
        <v>45</v>
      </c>
      <c r="D1008" s="31">
        <f t="shared" si="68"/>
        <v>4</v>
      </c>
      <c r="E1008" s="137" t="s">
        <v>80</v>
      </c>
      <c r="F1008" s="31">
        <f t="shared" si="69"/>
        <v>4</v>
      </c>
      <c r="G1008" s="137" t="s">
        <v>2743</v>
      </c>
      <c r="H1008" s="138">
        <v>61</v>
      </c>
      <c r="I1008" s="158">
        <f t="shared" si="70"/>
        <v>0.77041173697779652</v>
      </c>
      <c r="J1008" s="95">
        <v>0.78979780581667203</v>
      </c>
      <c r="K1008" s="137">
        <v>0.75102566813892102</v>
      </c>
      <c r="L1008" s="137">
        <v>0.75</v>
      </c>
      <c r="M1008" s="137">
        <v>0.75256417034730305</v>
      </c>
      <c r="N1008" s="136">
        <v>1</v>
      </c>
      <c r="O1008" s="32">
        <v>42996</v>
      </c>
      <c r="P1008" s="98">
        <f t="shared" si="71"/>
        <v>1</v>
      </c>
      <c r="Q1008">
        <v>0</v>
      </c>
      <c r="R1008">
        <v>0</v>
      </c>
      <c r="S1008">
        <v>0</v>
      </c>
      <c r="T1008" s="112" t="s">
        <v>73</v>
      </c>
      <c r="U1008" s="137" t="s">
        <v>2744</v>
      </c>
      <c r="V1008" s="137" t="s">
        <v>2745</v>
      </c>
      <c r="W1008" s="69">
        <v>167</v>
      </c>
      <c r="X1008" s="136">
        <v>2</v>
      </c>
      <c r="Y1008" s="136">
        <v>3</v>
      </c>
      <c r="Z1008" s="314"/>
      <c r="AA1008" s="319">
        <v>0.64895000000000003</v>
      </c>
      <c r="AB1008" s="315" t="s">
        <v>5176</v>
      </c>
      <c r="AC1008" s="319">
        <v>1</v>
      </c>
      <c r="AD1008" s="320">
        <v>1.0204081632653E-2</v>
      </c>
      <c r="AE1008" s="319">
        <v>6</v>
      </c>
      <c r="AF1008" s="320">
        <v>6.1224489795918297E-2</v>
      </c>
      <c r="AG1008" s="319">
        <v>0</v>
      </c>
      <c r="AH1008" s="320">
        <v>0</v>
      </c>
      <c r="AI1008" s="319">
        <v>0</v>
      </c>
      <c r="AJ1008" s="320">
        <v>0</v>
      </c>
      <c r="AK1008" s="320">
        <v>3.0612244897959179E-2</v>
      </c>
      <c r="AL1008" s="319">
        <v>5</v>
      </c>
      <c r="AM1008" s="319">
        <v>7.4</v>
      </c>
      <c r="AN1008" s="319">
        <v>4.6666666666666599</v>
      </c>
      <c r="AO1008" s="319">
        <v>0.568888888888888</v>
      </c>
      <c r="AP1008">
        <v>3</v>
      </c>
      <c r="AR1008" s="136">
        <v>3</v>
      </c>
      <c r="AT1008" s="69">
        <v>2.3148</v>
      </c>
      <c r="AU1008" s="69">
        <v>7.6852</v>
      </c>
      <c r="AV1008" s="69">
        <v>8.1305999999999994</v>
      </c>
      <c r="AW1008" s="69">
        <v>0.60440000000000005</v>
      </c>
      <c r="BB1008" s="69"/>
    </row>
    <row r="1009" spans="1:54" customFormat="1" ht="40" customHeight="1">
      <c r="A1009" s="313">
        <v>1008</v>
      </c>
      <c r="B1009" s="136" t="s">
        <v>2638</v>
      </c>
      <c r="C1009" s="136" t="s">
        <v>45</v>
      </c>
      <c r="D1009" s="31">
        <f t="shared" si="68"/>
        <v>4</v>
      </c>
      <c r="E1009" s="137" t="s">
        <v>46</v>
      </c>
      <c r="F1009" s="31">
        <f t="shared" si="69"/>
        <v>6</v>
      </c>
      <c r="G1009" s="137" t="s">
        <v>2746</v>
      </c>
      <c r="H1009" s="138">
        <v>135</v>
      </c>
      <c r="I1009" s="158">
        <f t="shared" si="70"/>
        <v>0.36111250604759981</v>
      </c>
      <c r="J1009" s="95">
        <v>3.2509518765877498E-7</v>
      </c>
      <c r="K1009" s="137">
        <v>0.72222468700001197</v>
      </c>
      <c r="L1009" s="137">
        <v>0.75</v>
      </c>
      <c r="M1009" s="137">
        <v>0.68056171750003003</v>
      </c>
      <c r="N1009" s="136">
        <v>0</v>
      </c>
      <c r="O1009" s="32">
        <v>42431</v>
      </c>
      <c r="P1009" s="98">
        <f t="shared" si="71"/>
        <v>0</v>
      </c>
      <c r="Q1009">
        <v>2.5499999999999998</v>
      </c>
      <c r="R1009">
        <v>1.65</v>
      </c>
      <c r="S1009">
        <v>1.87</v>
      </c>
      <c r="T1009" s="112" t="s">
        <v>48</v>
      </c>
      <c r="U1009" s="137" t="s">
        <v>2747</v>
      </c>
      <c r="V1009" s="137" t="s">
        <v>2748</v>
      </c>
      <c r="W1009" s="69">
        <v>74</v>
      </c>
      <c r="X1009" s="136">
        <v>1</v>
      </c>
      <c r="Y1009" s="136">
        <v>5</v>
      </c>
      <c r="Z1009" s="314"/>
      <c r="AA1009" s="319">
        <v>0.58399999999999996</v>
      </c>
      <c r="AB1009" s="315" t="s">
        <v>5178</v>
      </c>
      <c r="AC1009" s="319">
        <v>2</v>
      </c>
      <c r="AD1009" s="320">
        <v>4.4444444444444398E-2</v>
      </c>
      <c r="AE1009" s="319">
        <v>2</v>
      </c>
      <c r="AF1009" s="320">
        <v>4.4444444444444398E-2</v>
      </c>
      <c r="AG1009" s="319">
        <v>0</v>
      </c>
      <c r="AH1009" s="320">
        <v>0</v>
      </c>
      <c r="AI1009" s="319">
        <v>0</v>
      </c>
      <c r="AJ1009" s="320">
        <v>0</v>
      </c>
      <c r="AK1009" s="320">
        <v>0</v>
      </c>
      <c r="AL1009" s="319">
        <v>5</v>
      </c>
      <c r="AM1009" s="319">
        <v>6.2</v>
      </c>
      <c r="AN1009" s="319">
        <v>7.3333333333333304</v>
      </c>
      <c r="AO1009" s="319">
        <v>0.61777777777777698</v>
      </c>
      <c r="AP1009">
        <v>5</v>
      </c>
      <c r="AR1009" s="136">
        <v>5</v>
      </c>
      <c r="AT1009" s="69">
        <v>2.3148</v>
      </c>
      <c r="AU1009" s="69">
        <v>5</v>
      </c>
      <c r="AV1009" s="69">
        <v>9.8416999999999994</v>
      </c>
      <c r="AW1009" s="69">
        <v>0.57189999999999996</v>
      </c>
      <c r="BB1009" s="69"/>
    </row>
    <row r="1010" spans="1:54" customFormat="1" ht="40" customHeight="1">
      <c r="A1010" s="313">
        <v>1009</v>
      </c>
      <c r="B1010" s="136" t="s">
        <v>2638</v>
      </c>
      <c r="C1010" s="136" t="s">
        <v>45</v>
      </c>
      <c r="D1010" s="31">
        <f t="shared" si="68"/>
        <v>4</v>
      </c>
      <c r="E1010" s="137" t="s">
        <v>46</v>
      </c>
      <c r="F1010" s="31">
        <f t="shared" si="69"/>
        <v>6</v>
      </c>
      <c r="G1010" s="137" t="s">
        <v>2749</v>
      </c>
      <c r="H1010" s="138">
        <v>107</v>
      </c>
      <c r="I1010" s="158">
        <f t="shared" si="70"/>
        <v>0.28979784608062964</v>
      </c>
      <c r="J1010" s="95">
        <v>1.49502469652951E-5</v>
      </c>
      <c r="K1010" s="137">
        <v>0.57958074191429398</v>
      </c>
      <c r="L1010" s="137">
        <v>0.51226009152380303</v>
      </c>
      <c r="M1010" s="137">
        <v>0.68056171750003003</v>
      </c>
      <c r="N1010" s="136">
        <v>1</v>
      </c>
      <c r="O1010" s="32">
        <v>42691</v>
      </c>
      <c r="P1010" s="98">
        <f t="shared" si="71"/>
        <v>0</v>
      </c>
      <c r="Q1010">
        <v>2.5499999999999998</v>
      </c>
      <c r="R1010">
        <v>0</v>
      </c>
      <c r="S1010">
        <v>0</v>
      </c>
      <c r="T1010" s="112" t="s">
        <v>48</v>
      </c>
      <c r="U1010" s="137" t="s">
        <v>2750</v>
      </c>
      <c r="V1010" s="137" t="s">
        <v>2751</v>
      </c>
      <c r="W1010" s="69">
        <v>78</v>
      </c>
      <c r="X1010" s="136">
        <v>1</v>
      </c>
      <c r="Y1010" s="136">
        <v>5</v>
      </c>
      <c r="Z1010" s="314"/>
      <c r="AA1010" s="319">
        <v>0.42190082644628002</v>
      </c>
      <c r="AB1010" s="315" t="s">
        <v>5165</v>
      </c>
      <c r="AC1010" s="319">
        <v>1</v>
      </c>
      <c r="AD1010" s="320">
        <v>2.2222222222222199E-2</v>
      </c>
      <c r="AE1010" s="319">
        <v>0</v>
      </c>
      <c r="AF1010" s="320">
        <v>0</v>
      </c>
      <c r="AG1010" s="319">
        <v>0</v>
      </c>
      <c r="AH1010" s="320">
        <v>0</v>
      </c>
      <c r="AI1010" s="319">
        <v>0</v>
      </c>
      <c r="AJ1010" s="320">
        <v>0</v>
      </c>
      <c r="AK1010" s="320">
        <v>0</v>
      </c>
      <c r="AL1010" s="319">
        <v>5</v>
      </c>
      <c r="AM1010" s="319">
        <v>5</v>
      </c>
      <c r="AN1010" s="319">
        <v>7.3333333333333304</v>
      </c>
      <c r="AO1010" s="319">
        <v>0.57777777777777695</v>
      </c>
      <c r="AP1010">
        <v>5</v>
      </c>
      <c r="AR1010" s="136">
        <v>5</v>
      </c>
      <c r="AT1010" s="69">
        <v>2.3148</v>
      </c>
      <c r="AU1010" s="69">
        <v>2.3148</v>
      </c>
      <c r="AV1010" s="69">
        <v>9.8416999999999994</v>
      </c>
      <c r="AW1010" s="69">
        <v>0.4824</v>
      </c>
      <c r="BB1010" s="69"/>
    </row>
    <row r="1011" spans="1:54" customFormat="1" ht="40" customHeight="1">
      <c r="A1011" s="313">
        <v>1010</v>
      </c>
      <c r="B1011" s="136" t="s">
        <v>2752</v>
      </c>
      <c r="C1011" s="136" t="s">
        <v>45</v>
      </c>
      <c r="D1011" s="31">
        <f t="shared" si="68"/>
        <v>4</v>
      </c>
      <c r="E1011" s="137" t="s">
        <v>46</v>
      </c>
      <c r="F1011" s="31">
        <f t="shared" si="69"/>
        <v>6</v>
      </c>
      <c r="G1011" s="137" t="s">
        <v>2753</v>
      </c>
      <c r="H1011" s="138">
        <f>LEN(U1011)</f>
        <v>56</v>
      </c>
      <c r="I1011" s="158">
        <f t="shared" si="70"/>
        <v>0.34526602881725754</v>
      </c>
      <c r="J1011" s="95">
        <v>2.1564647628691301E-3</v>
      </c>
      <c r="K1011" s="137">
        <v>0.68837559287164596</v>
      </c>
      <c r="L1011" s="137">
        <v>0.75</v>
      </c>
      <c r="M1011" s="137">
        <v>0.59593898217911601</v>
      </c>
      <c r="N1011" s="136">
        <v>0</v>
      </c>
      <c r="O1011" s="32">
        <v>44129</v>
      </c>
      <c r="P1011" s="98">
        <f t="shared" si="71"/>
        <v>1</v>
      </c>
      <c r="Q1011">
        <v>2.5499999999999998</v>
      </c>
      <c r="R1011">
        <v>0</v>
      </c>
      <c r="S1011">
        <v>1.87</v>
      </c>
      <c r="T1011" s="112" t="s">
        <v>73</v>
      </c>
      <c r="U1011" s="137" t="s">
        <v>2754</v>
      </c>
      <c r="V1011" s="137" t="s">
        <v>2755</v>
      </c>
      <c r="W1011" s="69">
        <f>LEN(V1011)</f>
        <v>280</v>
      </c>
      <c r="X1011" s="136">
        <v>2</v>
      </c>
      <c r="Y1011" s="136">
        <v>8</v>
      </c>
      <c r="Z1011" s="314"/>
      <c r="AA1011" s="319">
        <v>0.5</v>
      </c>
      <c r="AB1011" s="315" t="s">
        <v>5176</v>
      </c>
      <c r="AC1011" s="319">
        <v>0</v>
      </c>
      <c r="AD1011" s="320">
        <v>0</v>
      </c>
      <c r="AE1011" s="319">
        <v>3</v>
      </c>
      <c r="AF1011" s="320">
        <v>1.85185185185185E-2</v>
      </c>
      <c r="AG1011" s="319">
        <v>2</v>
      </c>
      <c r="AH1011" s="320">
        <v>1.23456790123456E-2</v>
      </c>
      <c r="AI1011" s="319">
        <v>0</v>
      </c>
      <c r="AJ1011" s="320">
        <v>0</v>
      </c>
      <c r="AK1011" s="320">
        <v>6.1728395061728392E-3</v>
      </c>
      <c r="AL1011" s="319">
        <v>5</v>
      </c>
      <c r="AM1011" s="319">
        <v>5</v>
      </c>
      <c r="AN1011" s="319">
        <v>2</v>
      </c>
      <c r="AO1011" s="319">
        <v>0.4</v>
      </c>
      <c r="AP1011">
        <v>8</v>
      </c>
      <c r="AR1011" s="136">
        <v>8</v>
      </c>
      <c r="AT1011" s="69">
        <v>2.3148</v>
      </c>
      <c r="AU1011" s="69">
        <v>2.3148</v>
      </c>
      <c r="AV1011" s="69">
        <v>2.3148</v>
      </c>
      <c r="AW1011" s="69">
        <v>0.23150000000000001</v>
      </c>
      <c r="BB1011" s="69"/>
    </row>
    <row r="1012" spans="1:54" customFormat="1" ht="40" customHeight="1">
      <c r="A1012" s="313">
        <v>1011</v>
      </c>
      <c r="B1012" s="136" t="s">
        <v>2752</v>
      </c>
      <c r="C1012" s="136" t="s">
        <v>45</v>
      </c>
      <c r="D1012" s="31">
        <f t="shared" si="68"/>
        <v>4</v>
      </c>
      <c r="E1012" s="137" t="s">
        <v>80</v>
      </c>
      <c r="F1012" s="31">
        <f t="shared" si="69"/>
        <v>4</v>
      </c>
      <c r="G1012" s="137" t="s">
        <v>2756</v>
      </c>
      <c r="H1012" s="138">
        <f>LEN(U1012)</f>
        <v>49</v>
      </c>
      <c r="I1012" s="158">
        <f t="shared" si="70"/>
        <v>0.38216323110274125</v>
      </c>
      <c r="J1012" s="95">
        <v>3.60477566787505E-2</v>
      </c>
      <c r="K1012" s="137">
        <v>0.72827870552673202</v>
      </c>
      <c r="L1012" s="137">
        <v>0.68181818181818199</v>
      </c>
      <c r="M1012" s="137">
        <v>0.79796949108955795</v>
      </c>
      <c r="N1012" s="136">
        <v>1</v>
      </c>
      <c r="O1012" s="32">
        <v>44124</v>
      </c>
      <c r="P1012" s="98">
        <f t="shared" si="71"/>
        <v>1</v>
      </c>
      <c r="Q1012">
        <v>0</v>
      </c>
      <c r="R1012">
        <v>0</v>
      </c>
      <c r="S1012">
        <v>1.87</v>
      </c>
      <c r="T1012" s="112" t="s">
        <v>73</v>
      </c>
      <c r="U1012" s="137" t="s">
        <v>2757</v>
      </c>
      <c r="V1012" s="137" t="s">
        <v>2758</v>
      </c>
      <c r="W1012" s="69">
        <f>LEN(V1012)</f>
        <v>29</v>
      </c>
      <c r="X1012" s="136">
        <v>0</v>
      </c>
      <c r="Y1012" s="136">
        <v>2</v>
      </c>
      <c r="Z1012" s="314"/>
      <c r="AA1012" s="319">
        <v>0.5</v>
      </c>
      <c r="AB1012" s="315" t="s">
        <v>5176</v>
      </c>
      <c r="AC1012" s="319">
        <v>0</v>
      </c>
      <c r="AD1012" s="320">
        <v>0</v>
      </c>
      <c r="AE1012" s="319">
        <v>3</v>
      </c>
      <c r="AF1012" s="320">
        <v>0.17647058823529399</v>
      </c>
      <c r="AG1012" s="319">
        <v>0</v>
      </c>
      <c r="AH1012" s="320">
        <v>0</v>
      </c>
      <c r="AI1012" s="319">
        <v>0</v>
      </c>
      <c r="AJ1012" s="320">
        <v>0</v>
      </c>
      <c r="AK1012" s="320">
        <v>5.8823529411764712E-2</v>
      </c>
      <c r="AL1012" s="319">
        <v>5</v>
      </c>
      <c r="AM1012" s="319">
        <v>5</v>
      </c>
      <c r="AN1012" s="319">
        <v>6.1666666666666599</v>
      </c>
      <c r="AO1012" s="319">
        <v>0.53888888888888797</v>
      </c>
      <c r="AR1012" s="136">
        <v>2</v>
      </c>
      <c r="AT1012" s="69">
        <v>2.3148</v>
      </c>
      <c r="AU1012" s="69">
        <v>2.3148</v>
      </c>
      <c r="AV1012" s="69">
        <v>9.5120000000000005</v>
      </c>
      <c r="AW1012" s="69">
        <v>0.47139999999999999</v>
      </c>
      <c r="BB1012" s="69"/>
    </row>
    <row r="1013" spans="1:54" customFormat="1" ht="40" customHeight="1">
      <c r="A1013" s="313">
        <v>1012</v>
      </c>
      <c r="B1013" s="136" t="s">
        <v>2752</v>
      </c>
      <c r="C1013" s="136" t="s">
        <v>45</v>
      </c>
      <c r="D1013" s="31">
        <f t="shared" si="68"/>
        <v>4</v>
      </c>
      <c r="E1013" s="137" t="s">
        <v>221</v>
      </c>
      <c r="F1013" s="31">
        <f t="shared" si="69"/>
        <v>2</v>
      </c>
      <c r="G1013" s="137" t="s">
        <v>2759</v>
      </c>
      <c r="H1013" s="138">
        <f>LEN(U1013)</f>
        <v>86</v>
      </c>
      <c r="I1013" s="158">
        <f t="shared" si="70"/>
        <v>0.42764242049388257</v>
      </c>
      <c r="J1013" s="95">
        <v>8.6097044551942101E-2</v>
      </c>
      <c r="K1013" s="137">
        <v>0.76918779643582302</v>
      </c>
      <c r="L1013" s="137">
        <v>0.75</v>
      </c>
      <c r="M1013" s="137">
        <v>0.79796949108955795</v>
      </c>
      <c r="N1013" s="136">
        <v>1</v>
      </c>
      <c r="O1013" s="32">
        <v>44046</v>
      </c>
      <c r="P1013" s="98">
        <f t="shared" si="71"/>
        <v>1</v>
      </c>
      <c r="Q1013">
        <v>0</v>
      </c>
      <c r="R1013">
        <v>0</v>
      </c>
      <c r="S1013">
        <v>0</v>
      </c>
      <c r="T1013" s="112" t="s">
        <v>73</v>
      </c>
      <c r="U1013" s="137" t="s">
        <v>2760</v>
      </c>
      <c r="V1013" s="137" t="s">
        <v>2761</v>
      </c>
      <c r="W1013" s="69">
        <f>LEN(V1013)</f>
        <v>68</v>
      </c>
      <c r="X1013" s="136">
        <v>0</v>
      </c>
      <c r="Y1013" s="136">
        <v>2</v>
      </c>
      <c r="Z1013" s="314"/>
      <c r="AA1013" s="319">
        <v>0.55000000000000004</v>
      </c>
      <c r="AB1013" s="315" t="s">
        <v>5178</v>
      </c>
      <c r="AC1013" s="319">
        <v>2</v>
      </c>
      <c r="AD1013" s="320">
        <v>0.05</v>
      </c>
      <c r="AE1013" s="319">
        <v>2</v>
      </c>
      <c r="AF1013" s="320">
        <v>0.05</v>
      </c>
      <c r="AG1013" s="319">
        <v>1</v>
      </c>
      <c r="AH1013" s="320">
        <v>2.5000000000000001E-2</v>
      </c>
      <c r="AI1013" s="319">
        <v>0</v>
      </c>
      <c r="AJ1013" s="320">
        <v>0</v>
      </c>
      <c r="AK1013" s="320">
        <v>2.5000000000000001E-2</v>
      </c>
      <c r="AL1013" s="319">
        <v>5</v>
      </c>
      <c r="AM1013" s="319">
        <v>6.2</v>
      </c>
      <c r="AN1013" s="319">
        <v>4.6666666666666599</v>
      </c>
      <c r="AO1013" s="319">
        <v>0.52888888888888796</v>
      </c>
      <c r="AR1013" s="136">
        <v>2</v>
      </c>
      <c r="AT1013" s="69">
        <v>2.3148</v>
      </c>
      <c r="AU1013" s="69">
        <v>5</v>
      </c>
      <c r="AV1013" s="69">
        <v>8.1305999999999994</v>
      </c>
      <c r="AW1013" s="69">
        <v>0.51480000000000004</v>
      </c>
      <c r="BB1013" s="69"/>
    </row>
    <row r="1014" spans="1:54" customFormat="1" ht="40" customHeight="1">
      <c r="A1014" s="313">
        <v>1013</v>
      </c>
      <c r="B1014" s="136" t="s">
        <v>2752</v>
      </c>
      <c r="C1014" s="136" t="s">
        <v>45</v>
      </c>
      <c r="D1014" s="31">
        <f t="shared" si="68"/>
        <v>4</v>
      </c>
      <c r="E1014" s="137" t="s">
        <v>80</v>
      </c>
      <c r="F1014" s="31">
        <f t="shared" si="69"/>
        <v>4</v>
      </c>
      <c r="G1014" s="137" t="s">
        <v>2762</v>
      </c>
      <c r="H1014" s="138">
        <v>64</v>
      </c>
      <c r="I1014" s="158">
        <f t="shared" si="70"/>
        <v>0.83077422782245547</v>
      </c>
      <c r="J1014" s="95">
        <v>0.89432376864489904</v>
      </c>
      <c r="K1014" s="137">
        <v>0.76722468700001201</v>
      </c>
      <c r="L1014" s="137">
        <v>0.82499999999999996</v>
      </c>
      <c r="M1014" s="137">
        <v>0.68056171750003003</v>
      </c>
      <c r="N1014" s="136">
        <v>1</v>
      </c>
      <c r="O1014" s="32">
        <v>44022</v>
      </c>
      <c r="P1014" s="98">
        <f t="shared" si="71"/>
        <v>1</v>
      </c>
      <c r="Q1014">
        <v>0</v>
      </c>
      <c r="R1014">
        <v>0</v>
      </c>
      <c r="S1014">
        <v>0</v>
      </c>
      <c r="T1014" s="112" t="s">
        <v>73</v>
      </c>
      <c r="U1014" s="137" t="s">
        <v>2763</v>
      </c>
      <c r="V1014" s="137" t="s">
        <v>2764</v>
      </c>
      <c r="W1014" s="69">
        <v>233</v>
      </c>
      <c r="X1014" s="136">
        <v>1</v>
      </c>
      <c r="Y1014" s="136">
        <v>5</v>
      </c>
      <c r="Z1014" s="314"/>
      <c r="AA1014" s="319">
        <v>0.54</v>
      </c>
      <c r="AB1014" s="315" t="s">
        <v>5178</v>
      </c>
      <c r="AC1014" s="319">
        <v>2</v>
      </c>
      <c r="AD1014" s="320">
        <v>1.48148148148148E-2</v>
      </c>
      <c r="AE1014" s="319">
        <v>2</v>
      </c>
      <c r="AF1014" s="320">
        <v>1.48148148148148E-2</v>
      </c>
      <c r="AG1014" s="319">
        <v>0</v>
      </c>
      <c r="AH1014" s="320">
        <v>0</v>
      </c>
      <c r="AI1014" s="319">
        <v>0</v>
      </c>
      <c r="AJ1014" s="320">
        <v>0</v>
      </c>
      <c r="AK1014" s="320">
        <v>0</v>
      </c>
      <c r="AL1014" s="319">
        <v>5</v>
      </c>
      <c r="AM1014" s="319">
        <v>5</v>
      </c>
      <c r="AN1014" s="319">
        <v>4.6666666666666599</v>
      </c>
      <c r="AO1014" s="319">
        <v>0.48888888888888798</v>
      </c>
      <c r="AP1014">
        <v>5</v>
      </c>
      <c r="AQ1014" s="136">
        <v>5</v>
      </c>
      <c r="AT1014" s="69">
        <v>2.3148</v>
      </c>
      <c r="AU1014" s="69">
        <v>2.3148</v>
      </c>
      <c r="AV1014" s="69">
        <v>8.1305999999999994</v>
      </c>
      <c r="AW1014" s="69">
        <v>0.42530000000000001</v>
      </c>
      <c r="BB1014" s="69"/>
    </row>
    <row r="1015" spans="1:54" customFormat="1" ht="40" customHeight="1">
      <c r="A1015" s="313">
        <v>1014</v>
      </c>
      <c r="B1015" s="136" t="s">
        <v>2752</v>
      </c>
      <c r="C1015" s="136" t="s">
        <v>45</v>
      </c>
      <c r="D1015" s="31">
        <f t="shared" si="68"/>
        <v>4</v>
      </c>
      <c r="E1015" s="137" t="s">
        <v>221</v>
      </c>
      <c r="F1015" s="31">
        <f t="shared" si="69"/>
        <v>2</v>
      </c>
      <c r="G1015" s="137" t="s">
        <v>2765</v>
      </c>
      <c r="H1015" s="138">
        <v>21</v>
      </c>
      <c r="I1015" s="158">
        <f t="shared" si="70"/>
        <v>0.35997110899008755</v>
      </c>
      <c r="J1015" s="95">
        <v>5.9463634571912102E-2</v>
      </c>
      <c r="K1015" s="137">
        <v>0.66047858340826304</v>
      </c>
      <c r="L1015" s="137">
        <v>0.75</v>
      </c>
      <c r="M1015" s="137">
        <v>0.526196458520657</v>
      </c>
      <c r="N1015" s="136">
        <v>1</v>
      </c>
      <c r="O1015" s="32">
        <v>43786</v>
      </c>
      <c r="P1015" s="98">
        <f t="shared" si="71"/>
        <v>1</v>
      </c>
      <c r="Q1015">
        <v>0</v>
      </c>
      <c r="R1015">
        <v>0</v>
      </c>
      <c r="S1015">
        <v>0</v>
      </c>
      <c r="T1015" s="112" t="s">
        <v>73</v>
      </c>
      <c r="U1015" s="137" t="s">
        <v>2766</v>
      </c>
      <c r="V1015" s="137" t="s">
        <v>2767</v>
      </c>
      <c r="W1015" s="69">
        <v>78</v>
      </c>
      <c r="X1015" s="136">
        <v>2</v>
      </c>
      <c r="Y1015" s="136">
        <v>11</v>
      </c>
      <c r="Z1015" s="314"/>
      <c r="AA1015" s="319">
        <v>0.5</v>
      </c>
      <c r="AB1015" s="315" t="s">
        <v>5176</v>
      </c>
      <c r="AC1015" s="319">
        <v>0</v>
      </c>
      <c r="AD1015" s="320">
        <v>0</v>
      </c>
      <c r="AE1015" s="319">
        <v>3</v>
      </c>
      <c r="AF1015" s="320">
        <v>6.1224489795918297E-2</v>
      </c>
      <c r="AG1015" s="319">
        <v>0</v>
      </c>
      <c r="AH1015" s="320">
        <v>0</v>
      </c>
      <c r="AI1015" s="319">
        <v>0</v>
      </c>
      <c r="AJ1015" s="320">
        <v>0</v>
      </c>
      <c r="AK1015" s="320">
        <v>2.0408163265306121E-2</v>
      </c>
      <c r="AL1015" s="319">
        <v>5</v>
      </c>
      <c r="AM1015" s="319">
        <v>5</v>
      </c>
      <c r="AN1015" s="319">
        <v>4.6666666666666599</v>
      </c>
      <c r="AO1015" s="319">
        <v>0.48888888888888798</v>
      </c>
      <c r="AP1015">
        <v>11</v>
      </c>
      <c r="AR1015" s="136">
        <v>11</v>
      </c>
      <c r="AT1015" s="69">
        <v>2.3148</v>
      </c>
      <c r="AU1015" s="69">
        <v>2.3148</v>
      </c>
      <c r="AV1015" s="69">
        <v>8.1305999999999994</v>
      </c>
      <c r="AW1015" s="69">
        <v>0.42530000000000001</v>
      </c>
      <c r="BB1015" s="69"/>
    </row>
    <row r="1016" spans="1:54" customFormat="1" ht="40" customHeight="1">
      <c r="A1016" s="313">
        <v>1015</v>
      </c>
      <c r="B1016" s="136" t="s">
        <v>2752</v>
      </c>
      <c r="C1016" s="136" t="s">
        <v>45</v>
      </c>
      <c r="D1016" s="31">
        <f t="shared" si="68"/>
        <v>4</v>
      </c>
      <c r="E1016" s="137" t="s">
        <v>46</v>
      </c>
      <c r="F1016" s="31">
        <f t="shared" si="69"/>
        <v>6</v>
      </c>
      <c r="G1016" s="137" t="s">
        <v>2768</v>
      </c>
      <c r="H1016" s="138">
        <v>70</v>
      </c>
      <c r="I1016" s="158">
        <f t="shared" si="70"/>
        <v>0.41399185239103553</v>
      </c>
      <c r="J1016" s="95">
        <v>0.11786712755224101</v>
      </c>
      <c r="K1016" s="137">
        <v>0.71011657722983001</v>
      </c>
      <c r="L1016" s="137">
        <v>0.68181818181818199</v>
      </c>
      <c r="M1016" s="137">
        <v>0.75256417034730305</v>
      </c>
      <c r="N1016" s="136">
        <v>1</v>
      </c>
      <c r="O1016" s="32">
        <v>43626</v>
      </c>
      <c r="P1016" s="98">
        <f t="shared" si="71"/>
        <v>2</v>
      </c>
      <c r="Q1016">
        <v>0</v>
      </c>
      <c r="R1016">
        <v>1.65</v>
      </c>
      <c r="S1016">
        <v>0</v>
      </c>
      <c r="T1016" s="112" t="s">
        <v>64</v>
      </c>
      <c r="U1016" s="137" t="s">
        <v>2769</v>
      </c>
      <c r="V1016" s="137" t="s">
        <v>2770</v>
      </c>
      <c r="W1016" s="69">
        <v>77</v>
      </c>
      <c r="X1016" s="136">
        <v>1</v>
      </c>
      <c r="Y1016" s="136">
        <v>3</v>
      </c>
      <c r="Z1016" s="314"/>
      <c r="AA1016" s="319">
        <v>0.60499999999999998</v>
      </c>
      <c r="AB1016" s="315" t="s">
        <v>5176</v>
      </c>
      <c r="AC1016" s="319">
        <v>2</v>
      </c>
      <c r="AD1016" s="320">
        <v>4.4444444444444398E-2</v>
      </c>
      <c r="AE1016" s="319">
        <v>3</v>
      </c>
      <c r="AF1016" s="320">
        <v>6.6666666666666596E-2</v>
      </c>
      <c r="AG1016" s="319">
        <v>0</v>
      </c>
      <c r="AH1016" s="320">
        <v>0</v>
      </c>
      <c r="AI1016" s="319">
        <v>0</v>
      </c>
      <c r="AJ1016" s="320">
        <v>0</v>
      </c>
      <c r="AK1016" s="320">
        <v>2.222222222222222E-2</v>
      </c>
      <c r="AL1016" s="319">
        <v>5</v>
      </c>
      <c r="AM1016" s="319">
        <v>5</v>
      </c>
      <c r="AN1016" s="319">
        <v>2</v>
      </c>
      <c r="AO1016" s="319">
        <v>0.4</v>
      </c>
      <c r="AP1016">
        <v>3</v>
      </c>
      <c r="AR1016" s="136">
        <v>3</v>
      </c>
      <c r="AT1016" s="69">
        <v>2.3148</v>
      </c>
      <c r="AU1016" s="69">
        <v>2.3148</v>
      </c>
      <c r="AV1016" s="69">
        <v>2.3148</v>
      </c>
      <c r="AW1016" s="69">
        <v>0.23150000000000001</v>
      </c>
      <c r="BB1016" s="69"/>
    </row>
    <row r="1017" spans="1:54" customFormat="1" ht="40" customHeight="1">
      <c r="A1017" s="313">
        <v>1016</v>
      </c>
      <c r="B1017" s="136" t="s">
        <v>2752</v>
      </c>
      <c r="C1017" s="136" t="s">
        <v>45</v>
      </c>
      <c r="D1017" s="31">
        <f t="shared" si="68"/>
        <v>4</v>
      </c>
      <c r="E1017" s="137" t="s">
        <v>46</v>
      </c>
      <c r="F1017" s="31">
        <f t="shared" si="69"/>
        <v>6</v>
      </c>
      <c r="G1017" s="137" t="s">
        <v>2771</v>
      </c>
      <c r="H1017" s="138">
        <v>111</v>
      </c>
      <c r="I1017" s="158">
        <f t="shared" si="70"/>
        <v>0.37019290961131701</v>
      </c>
      <c r="J1017" s="95">
        <v>4.6715335083480402E-3</v>
      </c>
      <c r="K1017" s="137">
        <v>0.73571428571428599</v>
      </c>
      <c r="L1017" s="137">
        <v>0.75</v>
      </c>
      <c r="M1017" s="137">
        <v>0.71428571428571397</v>
      </c>
      <c r="N1017" s="136">
        <v>1</v>
      </c>
      <c r="O1017" s="32">
        <v>43546</v>
      </c>
      <c r="P1017" s="98">
        <f t="shared" si="71"/>
        <v>0</v>
      </c>
      <c r="Q1017">
        <v>2.5499999999999998</v>
      </c>
      <c r="R1017">
        <v>0</v>
      </c>
      <c r="S1017">
        <v>0</v>
      </c>
      <c r="T1017" s="112" t="s">
        <v>48</v>
      </c>
      <c r="U1017" s="137" t="s">
        <v>2772</v>
      </c>
      <c r="V1017" s="137" t="s">
        <v>2773</v>
      </c>
      <c r="W1017" s="69">
        <v>149</v>
      </c>
      <c r="X1017" s="136">
        <v>1</v>
      </c>
      <c r="Y1017" s="136">
        <v>4</v>
      </c>
      <c r="Z1017" s="314"/>
      <c r="AA1017" s="319">
        <v>0.55000000000000004</v>
      </c>
      <c r="AB1017" s="315" t="s">
        <v>5165</v>
      </c>
      <c r="AC1017" s="319">
        <v>4</v>
      </c>
      <c r="AD1017" s="320">
        <v>4.54545454545454E-2</v>
      </c>
      <c r="AE1017" s="319">
        <v>1</v>
      </c>
      <c r="AF1017" s="320">
        <v>1.13636363636363E-2</v>
      </c>
      <c r="AG1017" s="319">
        <v>0</v>
      </c>
      <c r="AH1017" s="320">
        <v>0</v>
      </c>
      <c r="AI1017" s="319">
        <v>1</v>
      </c>
      <c r="AJ1017" s="320">
        <v>1.13636363636363E-2</v>
      </c>
      <c r="AK1017" s="320">
        <v>0</v>
      </c>
      <c r="AL1017" s="319">
        <v>5</v>
      </c>
      <c r="AM1017" s="319">
        <v>5</v>
      </c>
      <c r="AN1017" s="319">
        <v>4.6666666666666599</v>
      </c>
      <c r="AO1017" s="319">
        <v>0.48888888888888798</v>
      </c>
      <c r="AP1017">
        <v>4</v>
      </c>
      <c r="AQ1017" s="136">
        <v>4</v>
      </c>
      <c r="AT1017" s="69">
        <v>2.3148</v>
      </c>
      <c r="AU1017" s="69">
        <v>2.3148</v>
      </c>
      <c r="AV1017" s="69">
        <v>8.1305999999999994</v>
      </c>
      <c r="AW1017" s="69">
        <v>0.42530000000000001</v>
      </c>
      <c r="BB1017" s="69"/>
    </row>
    <row r="1018" spans="1:54" customFormat="1" ht="40" customHeight="1">
      <c r="A1018" s="313">
        <v>1017</v>
      </c>
      <c r="B1018" s="136" t="s">
        <v>2752</v>
      </c>
      <c r="C1018" s="136" t="s">
        <v>45</v>
      </c>
      <c r="D1018" s="31">
        <f t="shared" si="68"/>
        <v>4</v>
      </c>
      <c r="E1018" s="137" t="s">
        <v>80</v>
      </c>
      <c r="F1018" s="31">
        <f t="shared" si="69"/>
        <v>4</v>
      </c>
      <c r="G1018" s="137" t="s">
        <v>180</v>
      </c>
      <c r="H1018" s="138">
        <v>40</v>
      </c>
      <c r="I1018" s="158">
        <f t="shared" si="70"/>
        <v>0.59220620649767597</v>
      </c>
      <c r="J1018" s="95">
        <v>0.37022461655952899</v>
      </c>
      <c r="K1018" s="137">
        <v>0.81418779643582295</v>
      </c>
      <c r="L1018" s="137">
        <v>0.82499999999999996</v>
      </c>
      <c r="M1018" s="137">
        <v>0.79796949108955795</v>
      </c>
      <c r="N1018" s="136">
        <v>1</v>
      </c>
      <c r="O1018" s="32">
        <v>43404</v>
      </c>
      <c r="P1018" s="98">
        <f t="shared" si="71"/>
        <v>0</v>
      </c>
      <c r="Q1018">
        <v>5.0999999999999996</v>
      </c>
      <c r="R1018">
        <v>1.65</v>
      </c>
      <c r="S1018">
        <v>0</v>
      </c>
      <c r="T1018" s="112" t="s">
        <v>48</v>
      </c>
      <c r="U1018" s="137" t="s">
        <v>2774</v>
      </c>
      <c r="V1018" s="137" t="s">
        <v>2775</v>
      </c>
      <c r="W1018" s="69">
        <v>116</v>
      </c>
      <c r="X1018" s="136">
        <v>1</v>
      </c>
      <c r="Y1018" s="136">
        <v>2</v>
      </c>
      <c r="Z1018" s="314"/>
      <c r="AA1018" s="319">
        <v>0.55000000000000004</v>
      </c>
      <c r="AB1018" s="315" t="s">
        <v>5165</v>
      </c>
      <c r="AC1018" s="319">
        <v>3</v>
      </c>
      <c r="AD1018" s="320">
        <v>4.6875E-2</v>
      </c>
      <c r="AE1018" s="319">
        <v>1</v>
      </c>
      <c r="AF1018" s="320">
        <v>1.5625E-2</v>
      </c>
      <c r="AG1018" s="319">
        <v>1</v>
      </c>
      <c r="AH1018" s="320">
        <v>1.5625E-2</v>
      </c>
      <c r="AI1018" s="319">
        <v>2</v>
      </c>
      <c r="AJ1018" s="320">
        <v>3.125E-2</v>
      </c>
      <c r="AK1018" s="320">
        <v>0</v>
      </c>
      <c r="AL1018" s="319">
        <v>6.75</v>
      </c>
      <c r="AM1018" s="319">
        <v>6.2</v>
      </c>
      <c r="AN1018" s="319">
        <v>2</v>
      </c>
      <c r="AO1018" s="319">
        <v>0.49833333333333302</v>
      </c>
      <c r="AP1018">
        <v>2</v>
      </c>
      <c r="AQ1018" s="136">
        <v>2</v>
      </c>
      <c r="AT1018" s="69">
        <v>6.3414000000000001</v>
      </c>
      <c r="AU1018" s="69">
        <v>5</v>
      </c>
      <c r="AV1018" s="69">
        <v>2.3148</v>
      </c>
      <c r="AW1018" s="69">
        <v>0.45519999999999999</v>
      </c>
      <c r="BB1018" s="69"/>
    </row>
    <row r="1019" spans="1:54" customFormat="1" ht="40" customHeight="1">
      <c r="A1019" s="313">
        <v>1018</v>
      </c>
      <c r="B1019" s="136" t="s">
        <v>2752</v>
      </c>
      <c r="C1019" s="136" t="s">
        <v>45</v>
      </c>
      <c r="D1019" s="31">
        <f t="shared" si="68"/>
        <v>4</v>
      </c>
      <c r="E1019" s="137" t="s">
        <v>80</v>
      </c>
      <c r="F1019" s="31">
        <f t="shared" si="69"/>
        <v>4</v>
      </c>
      <c r="G1019" s="137" t="s">
        <v>2776</v>
      </c>
      <c r="H1019" s="138">
        <v>108</v>
      </c>
      <c r="I1019" s="158">
        <f t="shared" si="70"/>
        <v>0.39848655906682301</v>
      </c>
      <c r="J1019" s="95">
        <v>9.4744999472506897E-4</v>
      </c>
      <c r="K1019" s="137">
        <v>0.79602566813892095</v>
      </c>
      <c r="L1019" s="137">
        <v>0.82499999999999996</v>
      </c>
      <c r="M1019" s="137">
        <v>0.75256417034730305</v>
      </c>
      <c r="N1019" s="136">
        <v>1</v>
      </c>
      <c r="O1019" s="32">
        <v>43394</v>
      </c>
      <c r="P1019" s="98">
        <f t="shared" si="71"/>
        <v>1</v>
      </c>
      <c r="Q1019">
        <v>0</v>
      </c>
      <c r="R1019">
        <v>3.3</v>
      </c>
      <c r="S1019">
        <v>0</v>
      </c>
      <c r="T1019" s="112" t="s">
        <v>73</v>
      </c>
      <c r="U1019" s="137" t="s">
        <v>2777</v>
      </c>
      <c r="V1019" s="137" t="s">
        <v>2778</v>
      </c>
      <c r="W1019" s="69">
        <v>70</v>
      </c>
      <c r="X1019" s="136">
        <v>1</v>
      </c>
      <c r="Y1019" s="136">
        <v>3</v>
      </c>
      <c r="Z1019" s="314"/>
      <c r="AA1019" s="319">
        <v>0.59450000000000003</v>
      </c>
      <c r="AB1019" s="315" t="s">
        <v>5176</v>
      </c>
      <c r="AC1019" s="319">
        <v>0</v>
      </c>
      <c r="AD1019" s="320">
        <v>0</v>
      </c>
      <c r="AE1019" s="319">
        <v>2</v>
      </c>
      <c r="AF1019" s="320">
        <v>5.1282051282051197E-2</v>
      </c>
      <c r="AG1019" s="319">
        <v>1</v>
      </c>
      <c r="AH1019" s="320">
        <v>2.5641025641025599E-2</v>
      </c>
      <c r="AI1019" s="319">
        <v>1</v>
      </c>
      <c r="AJ1019" s="320">
        <v>2.5641025641025599E-2</v>
      </c>
      <c r="AK1019" s="320">
        <v>2.564102564102564E-2</v>
      </c>
      <c r="AL1019" s="319">
        <v>6.75</v>
      </c>
      <c r="AM1019" s="319">
        <v>5</v>
      </c>
      <c r="AN1019" s="319">
        <v>4.6666666666666599</v>
      </c>
      <c r="AO1019" s="319">
        <v>0.54722222222222205</v>
      </c>
      <c r="AP1019">
        <v>3</v>
      </c>
      <c r="AQ1019" s="136">
        <v>3</v>
      </c>
      <c r="AT1019" s="69">
        <v>6.3414000000000001</v>
      </c>
      <c r="AU1019" s="69">
        <v>2.3148</v>
      </c>
      <c r="AV1019" s="69">
        <v>8.1305999999999994</v>
      </c>
      <c r="AW1019" s="69">
        <v>0.55959999999999999</v>
      </c>
      <c r="BB1019" s="69"/>
    </row>
    <row r="1020" spans="1:54" customFormat="1" ht="40" customHeight="1">
      <c r="A1020" s="313">
        <v>1019</v>
      </c>
      <c r="B1020" s="136" t="s">
        <v>2752</v>
      </c>
      <c r="C1020" s="136" t="s">
        <v>45</v>
      </c>
      <c r="D1020" s="31">
        <f t="shared" si="68"/>
        <v>4</v>
      </c>
      <c r="E1020" s="137" t="s">
        <v>80</v>
      </c>
      <c r="F1020" s="31">
        <f t="shared" si="69"/>
        <v>4</v>
      </c>
      <c r="G1020" s="137" t="s">
        <v>2779</v>
      </c>
      <c r="H1020" s="138">
        <v>77</v>
      </c>
      <c r="I1020" s="158">
        <f t="shared" si="70"/>
        <v>0.77875923586015494</v>
      </c>
      <c r="J1020" s="95">
        <v>0.89108990029173896</v>
      </c>
      <c r="K1020" s="137">
        <v>0.66642857142857104</v>
      </c>
      <c r="L1020" s="137">
        <v>0.82499999999999996</v>
      </c>
      <c r="M1020" s="137">
        <v>0.42857142857142899</v>
      </c>
      <c r="N1020" s="136">
        <v>1</v>
      </c>
      <c r="O1020" s="32">
        <v>43383</v>
      </c>
      <c r="P1020" s="98">
        <f t="shared" si="71"/>
        <v>1</v>
      </c>
      <c r="Q1020">
        <v>0</v>
      </c>
      <c r="R1020">
        <v>0</v>
      </c>
      <c r="S1020">
        <v>0</v>
      </c>
      <c r="T1020" s="112" t="s">
        <v>73</v>
      </c>
      <c r="U1020" s="137" t="s">
        <v>2780</v>
      </c>
      <c r="V1020" s="137" t="s">
        <v>2781</v>
      </c>
      <c r="W1020" s="69">
        <v>28</v>
      </c>
      <c r="X1020" s="136">
        <v>2</v>
      </c>
      <c r="Y1020" s="136">
        <v>16</v>
      </c>
      <c r="Z1020" s="314"/>
      <c r="AA1020" s="319">
        <v>0.5</v>
      </c>
      <c r="AB1020" s="315" t="s">
        <v>5178</v>
      </c>
      <c r="AC1020" s="319">
        <v>2</v>
      </c>
      <c r="AD1020" s="320">
        <v>0.125</v>
      </c>
      <c r="AE1020" s="319">
        <v>2</v>
      </c>
      <c r="AF1020" s="320">
        <v>0.125</v>
      </c>
      <c r="AG1020" s="319">
        <v>0</v>
      </c>
      <c r="AH1020" s="320">
        <v>0</v>
      </c>
      <c r="AI1020" s="319">
        <v>0</v>
      </c>
      <c r="AJ1020" s="320">
        <v>0</v>
      </c>
      <c r="AK1020" s="320">
        <v>6.25E-2</v>
      </c>
      <c r="AL1020" s="319">
        <v>6.75</v>
      </c>
      <c r="AM1020" s="319">
        <v>5</v>
      </c>
      <c r="AN1020" s="319">
        <v>7.3333333333333304</v>
      </c>
      <c r="AO1020" s="319">
        <v>0.63611111111111096</v>
      </c>
      <c r="AP1020">
        <v>16</v>
      </c>
      <c r="AQ1020" s="136">
        <v>16</v>
      </c>
      <c r="AT1020" s="69">
        <v>6.3414000000000001</v>
      </c>
      <c r="AU1020" s="69">
        <v>2.3148</v>
      </c>
      <c r="AV1020" s="69">
        <v>9.8416999999999994</v>
      </c>
      <c r="AW1020" s="69">
        <v>0.61660000000000004</v>
      </c>
      <c r="BB1020" s="69"/>
    </row>
    <row r="1021" spans="1:54" customFormat="1" ht="40" customHeight="1">
      <c r="A1021" s="313">
        <v>1020</v>
      </c>
      <c r="B1021" s="136" t="s">
        <v>2752</v>
      </c>
      <c r="C1021" s="136" t="s">
        <v>45</v>
      </c>
      <c r="D1021" s="31">
        <f t="shared" si="68"/>
        <v>4</v>
      </c>
      <c r="E1021" s="137" t="s">
        <v>80</v>
      </c>
      <c r="F1021" s="31">
        <f t="shared" si="69"/>
        <v>4</v>
      </c>
      <c r="G1021" s="137" t="s">
        <v>159</v>
      </c>
      <c r="H1021" s="138">
        <v>95</v>
      </c>
      <c r="I1021" s="158">
        <f t="shared" si="70"/>
        <v>0.39081807494493331</v>
      </c>
      <c r="J1021" s="95">
        <v>9.2186417558059997E-4</v>
      </c>
      <c r="K1021" s="137">
        <v>0.78071428571428603</v>
      </c>
      <c r="L1021" s="137">
        <v>0.82499999999999996</v>
      </c>
      <c r="M1021" s="137">
        <v>0.71428571428571397</v>
      </c>
      <c r="N1021" s="136">
        <v>1</v>
      </c>
      <c r="O1021" s="32">
        <v>43349</v>
      </c>
      <c r="P1021" s="98">
        <f t="shared" si="71"/>
        <v>0</v>
      </c>
      <c r="Q1021">
        <v>7.65</v>
      </c>
      <c r="R1021">
        <v>0</v>
      </c>
      <c r="S1021">
        <v>0</v>
      </c>
      <c r="T1021" s="112" t="s">
        <v>48</v>
      </c>
      <c r="U1021" s="137" t="s">
        <v>2782</v>
      </c>
      <c r="V1021" s="137" t="s">
        <v>2783</v>
      </c>
      <c r="W1021" s="69">
        <v>110</v>
      </c>
      <c r="X1021" s="136">
        <v>1</v>
      </c>
      <c r="Y1021" s="136">
        <v>4</v>
      </c>
      <c r="Z1021" s="314"/>
      <c r="AA1021" s="319">
        <v>0.54500000000000004</v>
      </c>
      <c r="AB1021" s="315" t="s">
        <v>5165</v>
      </c>
      <c r="AC1021" s="319">
        <v>3</v>
      </c>
      <c r="AD1021" s="320">
        <v>4.8387096774193498E-2</v>
      </c>
      <c r="AE1021" s="319">
        <v>1</v>
      </c>
      <c r="AF1021" s="320">
        <v>1.6129032258064498E-2</v>
      </c>
      <c r="AG1021" s="319">
        <v>1</v>
      </c>
      <c r="AH1021" s="320">
        <v>1.6129032258064498E-2</v>
      </c>
      <c r="AI1021" s="319">
        <v>2</v>
      </c>
      <c r="AJ1021" s="320">
        <v>3.2258064516128997E-2</v>
      </c>
      <c r="AK1021" s="320">
        <v>0</v>
      </c>
      <c r="AL1021" s="319">
        <v>6.75</v>
      </c>
      <c r="AM1021" s="319">
        <v>5</v>
      </c>
      <c r="AN1021" s="319">
        <v>7.3333333333333304</v>
      </c>
      <c r="AO1021" s="319">
        <v>0.63611111111111096</v>
      </c>
      <c r="AP1021">
        <v>4</v>
      </c>
      <c r="AQ1021" s="136">
        <v>4</v>
      </c>
      <c r="AT1021" s="69">
        <v>6.3414000000000001</v>
      </c>
      <c r="AU1021" s="69">
        <v>2.3148</v>
      </c>
      <c r="AV1021" s="69">
        <v>9.8416999999999994</v>
      </c>
      <c r="AW1021" s="69">
        <v>0.61660000000000004</v>
      </c>
      <c r="BB1021" s="69"/>
    </row>
    <row r="1022" spans="1:54" customFormat="1" ht="40" customHeight="1">
      <c r="A1022" s="313">
        <v>1021</v>
      </c>
      <c r="B1022" s="136" t="s">
        <v>2752</v>
      </c>
      <c r="C1022" s="136" t="s">
        <v>45</v>
      </c>
      <c r="D1022" s="31">
        <f t="shared" si="68"/>
        <v>4</v>
      </c>
      <c r="E1022" s="137" t="s">
        <v>80</v>
      </c>
      <c r="F1022" s="31">
        <f t="shared" si="69"/>
        <v>4</v>
      </c>
      <c r="G1022" s="137" t="s">
        <v>180</v>
      </c>
      <c r="H1022" s="138">
        <v>74</v>
      </c>
      <c r="I1022" s="158">
        <f t="shared" si="70"/>
        <v>0.36832429200772648</v>
      </c>
      <c r="J1022" s="95">
        <v>9.3429830116697999E-4</v>
      </c>
      <c r="K1022" s="137">
        <v>0.73571428571428599</v>
      </c>
      <c r="L1022" s="137">
        <v>0.75</v>
      </c>
      <c r="M1022" s="137">
        <v>0.71428571428571397</v>
      </c>
      <c r="N1022" s="136">
        <v>1</v>
      </c>
      <c r="O1022" s="32">
        <v>43300</v>
      </c>
      <c r="P1022" s="98">
        <f t="shared" si="71"/>
        <v>0</v>
      </c>
      <c r="Q1022">
        <v>2.5499999999999998</v>
      </c>
      <c r="R1022">
        <v>0</v>
      </c>
      <c r="S1022">
        <v>0</v>
      </c>
      <c r="T1022" s="112" t="s">
        <v>48</v>
      </c>
      <c r="U1022" s="137" t="s">
        <v>2784</v>
      </c>
      <c r="V1022" s="137" t="s">
        <v>2785</v>
      </c>
      <c r="W1022" s="69">
        <v>119</v>
      </c>
      <c r="X1022" s="136">
        <v>1</v>
      </c>
      <c r="Y1022" s="136">
        <v>4</v>
      </c>
      <c r="Z1022" s="314"/>
      <c r="AA1022" s="319">
        <v>0.54500000000000004</v>
      </c>
      <c r="AB1022" s="315" t="s">
        <v>5165</v>
      </c>
      <c r="AC1022" s="319">
        <v>3</v>
      </c>
      <c r="AD1022" s="320">
        <v>4.6153846153846101E-2</v>
      </c>
      <c r="AE1022" s="319">
        <v>1</v>
      </c>
      <c r="AF1022" s="320">
        <v>1.53846153846153E-2</v>
      </c>
      <c r="AG1022" s="319">
        <v>1</v>
      </c>
      <c r="AH1022" s="320">
        <v>1.53846153846153E-2</v>
      </c>
      <c r="AI1022" s="319">
        <v>2</v>
      </c>
      <c r="AJ1022" s="320">
        <v>3.0769230769230702E-2</v>
      </c>
      <c r="AK1022" s="320">
        <v>0</v>
      </c>
      <c r="AL1022" s="319">
        <v>6.75</v>
      </c>
      <c r="AM1022" s="319">
        <v>6.2</v>
      </c>
      <c r="AN1022" s="319">
        <v>7.3333333333333304</v>
      </c>
      <c r="AO1022" s="319">
        <v>0.676111111111111</v>
      </c>
      <c r="AP1022">
        <v>4</v>
      </c>
      <c r="AQ1022" s="136">
        <v>4</v>
      </c>
      <c r="AT1022" s="69">
        <v>6.3414000000000001</v>
      </c>
      <c r="AU1022" s="69">
        <v>5</v>
      </c>
      <c r="AV1022" s="69">
        <v>9.8416999999999994</v>
      </c>
      <c r="AW1022" s="69">
        <v>0.70609999999999995</v>
      </c>
      <c r="BB1022" s="69"/>
    </row>
    <row r="1023" spans="1:54" customFormat="1" ht="40" customHeight="1">
      <c r="A1023" s="313">
        <v>1022</v>
      </c>
      <c r="B1023" s="136" t="s">
        <v>2752</v>
      </c>
      <c r="C1023" s="136" t="s">
        <v>45</v>
      </c>
      <c r="D1023" s="31">
        <f t="shared" si="68"/>
        <v>4</v>
      </c>
      <c r="E1023" s="137" t="s">
        <v>80</v>
      </c>
      <c r="F1023" s="31">
        <f t="shared" si="69"/>
        <v>4</v>
      </c>
      <c r="G1023" s="137" t="s">
        <v>159</v>
      </c>
      <c r="H1023" s="138">
        <v>76</v>
      </c>
      <c r="I1023" s="158">
        <f t="shared" si="70"/>
        <v>0.38041539783789752</v>
      </c>
      <c r="J1023" s="95">
        <v>0.11686229713088001</v>
      </c>
      <c r="K1023" s="137">
        <v>0.643968498544915</v>
      </c>
      <c r="L1023" s="137">
        <v>0.75</v>
      </c>
      <c r="M1023" s="137">
        <v>0.48492124636228701</v>
      </c>
      <c r="N1023" s="136">
        <v>1</v>
      </c>
      <c r="O1023" s="32">
        <v>43300</v>
      </c>
      <c r="P1023" s="98">
        <f t="shared" si="71"/>
        <v>1</v>
      </c>
      <c r="Q1023">
        <v>0</v>
      </c>
      <c r="R1023">
        <v>0</v>
      </c>
      <c r="S1023">
        <v>0</v>
      </c>
      <c r="T1023" s="112" t="s">
        <v>73</v>
      </c>
      <c r="U1023" s="137" t="s">
        <v>2786</v>
      </c>
      <c r="V1023" s="137" t="s">
        <v>2787</v>
      </c>
      <c r="W1023" s="69">
        <v>122</v>
      </c>
      <c r="X1023" s="136">
        <v>1</v>
      </c>
      <c r="Y1023" s="136">
        <v>13</v>
      </c>
      <c r="Z1023" s="314"/>
      <c r="AA1023" s="319">
        <v>0.54500000000000004</v>
      </c>
      <c r="AB1023" s="315" t="s">
        <v>5165</v>
      </c>
      <c r="AC1023" s="319">
        <v>3</v>
      </c>
      <c r="AD1023" s="320">
        <v>4.54545454545454E-2</v>
      </c>
      <c r="AE1023" s="319">
        <v>1</v>
      </c>
      <c r="AF1023" s="320">
        <v>1.51515151515151E-2</v>
      </c>
      <c r="AG1023" s="319">
        <v>1</v>
      </c>
      <c r="AH1023" s="320">
        <v>1.51515151515151E-2</v>
      </c>
      <c r="AI1023" s="319">
        <v>2</v>
      </c>
      <c r="AJ1023" s="320">
        <v>3.03030303030303E-2</v>
      </c>
      <c r="AK1023" s="320">
        <v>0</v>
      </c>
      <c r="AL1023" s="319">
        <v>5</v>
      </c>
      <c r="AM1023" s="319">
        <v>6.2</v>
      </c>
      <c r="AN1023" s="319">
        <v>4.6666666666666599</v>
      </c>
      <c r="AO1023" s="319">
        <v>0.52888888888888796</v>
      </c>
      <c r="AP1023">
        <v>13</v>
      </c>
      <c r="AQ1023" s="136">
        <v>13</v>
      </c>
      <c r="AT1023" s="69">
        <v>2.3148</v>
      </c>
      <c r="AU1023" s="69">
        <v>5</v>
      </c>
      <c r="AV1023" s="69">
        <v>8.1305999999999994</v>
      </c>
      <c r="AW1023" s="69">
        <v>0.51480000000000004</v>
      </c>
      <c r="BB1023" s="69"/>
    </row>
    <row r="1024" spans="1:54" customFormat="1" ht="40" customHeight="1">
      <c r="A1024" s="313">
        <v>1023</v>
      </c>
      <c r="B1024" s="136" t="s">
        <v>2752</v>
      </c>
      <c r="C1024" s="136" t="s">
        <v>45</v>
      </c>
      <c r="D1024" s="31">
        <f t="shared" si="68"/>
        <v>4</v>
      </c>
      <c r="E1024" s="137" t="s">
        <v>46</v>
      </c>
      <c r="F1024" s="31">
        <f t="shared" si="69"/>
        <v>6</v>
      </c>
      <c r="G1024" s="137" t="s">
        <v>2788</v>
      </c>
      <c r="H1024" s="138">
        <v>153</v>
      </c>
      <c r="I1024" s="158">
        <f t="shared" si="70"/>
        <v>0.35572299143524022</v>
      </c>
      <c r="J1024" s="95">
        <v>1.2631772074171399E-2</v>
      </c>
      <c r="K1024" s="137">
        <v>0.69881421079630901</v>
      </c>
      <c r="L1024" s="137">
        <v>0.75</v>
      </c>
      <c r="M1024" s="137">
        <v>0.62203552699077302</v>
      </c>
      <c r="N1024" s="136">
        <v>0</v>
      </c>
      <c r="O1024" s="32">
        <v>43270</v>
      </c>
      <c r="P1024" s="98">
        <f t="shared" si="71"/>
        <v>0</v>
      </c>
      <c r="Q1024">
        <v>5.0999999999999996</v>
      </c>
      <c r="R1024">
        <v>0</v>
      </c>
      <c r="S1024">
        <v>0</v>
      </c>
      <c r="T1024" s="112" t="s">
        <v>48</v>
      </c>
      <c r="U1024" s="137" t="s">
        <v>2789</v>
      </c>
      <c r="V1024" s="137" t="s">
        <v>2790</v>
      </c>
      <c r="W1024" s="69">
        <v>91</v>
      </c>
      <c r="X1024" s="136">
        <v>2</v>
      </c>
      <c r="Y1024" s="136">
        <v>7</v>
      </c>
      <c r="Z1024" s="314"/>
      <c r="AA1024" s="319">
        <v>0.54500000000000004</v>
      </c>
      <c r="AB1024" s="315" t="s">
        <v>5165</v>
      </c>
      <c r="AC1024" s="319">
        <v>1</v>
      </c>
      <c r="AD1024" s="320">
        <v>1.6129032258064498E-2</v>
      </c>
      <c r="AE1024" s="319">
        <v>0</v>
      </c>
      <c r="AF1024" s="320">
        <v>0</v>
      </c>
      <c r="AG1024" s="319">
        <v>0</v>
      </c>
      <c r="AH1024" s="320">
        <v>0</v>
      </c>
      <c r="AI1024" s="319">
        <v>0</v>
      </c>
      <c r="AJ1024" s="320">
        <v>0</v>
      </c>
      <c r="AK1024" s="320">
        <v>0</v>
      </c>
      <c r="AL1024" s="319">
        <v>5</v>
      </c>
      <c r="AM1024" s="319">
        <v>5</v>
      </c>
      <c r="AN1024" s="319">
        <v>4.6666666666666599</v>
      </c>
      <c r="AO1024" s="319">
        <v>0.48888888888888798</v>
      </c>
      <c r="AP1024">
        <v>7</v>
      </c>
      <c r="AR1024" s="136">
        <v>7</v>
      </c>
      <c r="AT1024" s="69">
        <v>2.3148</v>
      </c>
      <c r="AU1024" s="69">
        <v>2.3148</v>
      </c>
      <c r="AV1024" s="69">
        <v>8.1305999999999994</v>
      </c>
      <c r="AW1024" s="69">
        <v>0.42530000000000001</v>
      </c>
      <c r="BB1024" s="69"/>
    </row>
    <row r="1025" spans="1:54" customFormat="1" ht="40" customHeight="1">
      <c r="A1025" s="313">
        <v>1024</v>
      </c>
      <c r="B1025" s="136" t="s">
        <v>2752</v>
      </c>
      <c r="C1025" s="136" t="s">
        <v>45</v>
      </c>
      <c r="D1025" s="31">
        <f t="shared" si="68"/>
        <v>4</v>
      </c>
      <c r="E1025" s="137" t="s">
        <v>80</v>
      </c>
      <c r="F1025" s="31">
        <f t="shared" si="69"/>
        <v>4</v>
      </c>
      <c r="G1025" s="137" t="s">
        <v>200</v>
      </c>
      <c r="H1025" s="138">
        <v>86</v>
      </c>
      <c r="I1025" s="158">
        <f t="shared" si="70"/>
        <v>0.38415767631870312</v>
      </c>
      <c r="J1025" s="95">
        <v>4.0036647110674201E-2</v>
      </c>
      <c r="K1025" s="137">
        <v>0.72827870552673202</v>
      </c>
      <c r="L1025" s="137">
        <v>0.68181818181818199</v>
      </c>
      <c r="M1025" s="137">
        <v>0.79796949108955795</v>
      </c>
      <c r="N1025" s="136">
        <v>1</v>
      </c>
      <c r="O1025" s="32">
        <v>43226</v>
      </c>
      <c r="P1025" s="98">
        <f t="shared" si="71"/>
        <v>0</v>
      </c>
      <c r="Q1025">
        <v>7.65</v>
      </c>
      <c r="R1025">
        <v>0</v>
      </c>
      <c r="S1025">
        <v>0</v>
      </c>
      <c r="T1025" s="112" t="s">
        <v>48</v>
      </c>
      <c r="U1025" s="137" t="s">
        <v>2791</v>
      </c>
      <c r="V1025" s="137" t="s">
        <v>2792</v>
      </c>
      <c r="W1025" s="69">
        <v>138</v>
      </c>
      <c r="X1025" s="136">
        <v>1</v>
      </c>
      <c r="Y1025" s="136">
        <v>2</v>
      </c>
      <c r="Z1025" s="314"/>
      <c r="AA1025" s="319">
        <v>0.54500000000000004</v>
      </c>
      <c r="AB1025" s="315" t="s">
        <v>5165</v>
      </c>
      <c r="AC1025" s="319">
        <v>3</v>
      </c>
      <c r="AD1025" s="320">
        <v>3.94736842105263E-2</v>
      </c>
      <c r="AE1025" s="319">
        <v>1</v>
      </c>
      <c r="AF1025" s="320">
        <v>1.3157894736842099E-2</v>
      </c>
      <c r="AG1025" s="319">
        <v>1</v>
      </c>
      <c r="AH1025" s="320">
        <v>1.3157894736842099E-2</v>
      </c>
      <c r="AI1025" s="319">
        <v>2</v>
      </c>
      <c r="AJ1025" s="320">
        <v>2.6315789473684199E-2</v>
      </c>
      <c r="AK1025" s="320">
        <v>0</v>
      </c>
      <c r="AL1025" s="319">
        <v>6.75</v>
      </c>
      <c r="AM1025" s="319">
        <v>6.2</v>
      </c>
      <c r="AN1025" s="319">
        <v>7.3333333333333304</v>
      </c>
      <c r="AO1025" s="319">
        <v>0.676111111111111</v>
      </c>
      <c r="AP1025">
        <v>2</v>
      </c>
      <c r="AQ1025" s="136">
        <v>2</v>
      </c>
      <c r="AT1025" s="69">
        <v>6.3414000000000001</v>
      </c>
      <c r="AU1025" s="69">
        <v>5</v>
      </c>
      <c r="AV1025" s="69">
        <v>9.8416999999999994</v>
      </c>
      <c r="AW1025" s="69">
        <v>0.70609999999999995</v>
      </c>
      <c r="BB1025" s="69"/>
    </row>
    <row r="1026" spans="1:54" customFormat="1" ht="40" customHeight="1">
      <c r="A1026" s="313">
        <v>1025</v>
      </c>
      <c r="B1026" s="136" t="s">
        <v>2752</v>
      </c>
      <c r="C1026" s="136" t="s">
        <v>45</v>
      </c>
      <c r="D1026" s="31">
        <f t="shared" ref="D1026:D1089" si="74">IF(C1026="投诉",4,IF(C1026="建议",1,IF(C1026="举报",2,IF(C1026="求助",3,5))))</f>
        <v>4</v>
      </c>
      <c r="E1026" s="137" t="s">
        <v>80</v>
      </c>
      <c r="F1026" s="31">
        <f t="shared" ref="F1026:F1089" si="75">IF(E1026="12345app",1,IF(E1026="e福州app",2,IF(E1026="qq",3,IF(E1026="电话",4,IF(E1026="短信",5,IF(E1026="网站",6,IF(E1026="微博",7,IF(E1026="微信",8,9))))))))</f>
        <v>4</v>
      </c>
      <c r="G1026" s="137" t="s">
        <v>305</v>
      </c>
      <c r="H1026" s="138">
        <v>52</v>
      </c>
      <c r="I1026" s="158">
        <f t="shared" ref="I1026:I1089" si="76">(J1026+K1026)/2</f>
        <v>0.516270054588995</v>
      </c>
      <c r="J1026" s="95">
        <v>0.194682966320847</v>
      </c>
      <c r="K1026" s="137">
        <v>0.83785714285714297</v>
      </c>
      <c r="L1026" s="137">
        <v>0.82499999999999996</v>
      </c>
      <c r="M1026" s="137">
        <v>0.85714285714285698</v>
      </c>
      <c r="N1026" s="136">
        <v>1</v>
      </c>
      <c r="O1026" s="32">
        <v>43202</v>
      </c>
      <c r="P1026" s="98">
        <f t="shared" ref="P1026:P1089" si="77">IF(T1026="利己",0,IF(T1026="生态",2,1))</f>
        <v>0</v>
      </c>
      <c r="Q1026">
        <v>5.0999999999999996</v>
      </c>
      <c r="R1026">
        <v>0</v>
      </c>
      <c r="S1026">
        <v>0</v>
      </c>
      <c r="T1026" s="112" t="s">
        <v>48</v>
      </c>
      <c r="U1026" s="137" t="s">
        <v>2793</v>
      </c>
      <c r="V1026" s="137" t="s">
        <v>2794</v>
      </c>
      <c r="W1026" s="69">
        <v>101</v>
      </c>
      <c r="X1026" s="136">
        <v>1</v>
      </c>
      <c r="Y1026" s="136">
        <v>1</v>
      </c>
      <c r="Z1026" s="314"/>
      <c r="AA1026" s="319">
        <v>0.60499999999999998</v>
      </c>
      <c r="AB1026" s="315" t="s">
        <v>5165</v>
      </c>
      <c r="AC1026" s="319">
        <v>4</v>
      </c>
      <c r="AD1026" s="320">
        <v>7.0175438596491196E-2</v>
      </c>
      <c r="AE1026" s="319">
        <v>2</v>
      </c>
      <c r="AF1026" s="320">
        <v>3.5087719298245598E-2</v>
      </c>
      <c r="AG1026" s="319">
        <v>1</v>
      </c>
      <c r="AH1026" s="320">
        <v>1.7543859649122799E-2</v>
      </c>
      <c r="AI1026" s="319">
        <v>2</v>
      </c>
      <c r="AJ1026" s="320">
        <v>3.5087719298245598E-2</v>
      </c>
      <c r="AK1026" s="320">
        <v>0</v>
      </c>
      <c r="AL1026" s="319">
        <v>6.75</v>
      </c>
      <c r="AM1026" s="319">
        <v>6.2</v>
      </c>
      <c r="AN1026" s="319">
        <v>4.6666666666666599</v>
      </c>
      <c r="AO1026" s="319">
        <v>0.58722222222222198</v>
      </c>
      <c r="AP1026">
        <v>1</v>
      </c>
      <c r="AQ1026" s="136">
        <v>1</v>
      </c>
      <c r="AT1026" s="69">
        <v>6.3414000000000001</v>
      </c>
      <c r="AU1026" s="69">
        <v>5</v>
      </c>
      <c r="AV1026" s="69">
        <v>8.1305999999999994</v>
      </c>
      <c r="AW1026" s="69">
        <v>0.64910000000000001</v>
      </c>
      <c r="BB1026" s="69"/>
    </row>
    <row r="1027" spans="1:54" customFormat="1" ht="40" customHeight="1">
      <c r="A1027" s="313">
        <v>1026</v>
      </c>
      <c r="B1027" s="136" t="s">
        <v>2752</v>
      </c>
      <c r="C1027" s="136" t="s">
        <v>45</v>
      </c>
      <c r="D1027" s="31">
        <f t="shared" si="74"/>
        <v>4</v>
      </c>
      <c r="E1027" s="137" t="s">
        <v>80</v>
      </c>
      <c r="F1027" s="31">
        <f t="shared" si="75"/>
        <v>4</v>
      </c>
      <c r="G1027" s="137" t="s">
        <v>159</v>
      </c>
      <c r="H1027" s="138">
        <v>70</v>
      </c>
      <c r="I1027" s="158">
        <f t="shared" si="76"/>
        <v>0.36815171755485393</v>
      </c>
      <c r="J1027" s="95">
        <v>5.8914939542187305E-4</v>
      </c>
      <c r="K1027" s="137">
        <v>0.73571428571428599</v>
      </c>
      <c r="L1027" s="137">
        <v>0.75</v>
      </c>
      <c r="M1027" s="137">
        <v>0.71428571428571397</v>
      </c>
      <c r="N1027" s="136">
        <v>1</v>
      </c>
      <c r="O1027" s="32">
        <v>43195</v>
      </c>
      <c r="P1027" s="98">
        <f t="shared" si="77"/>
        <v>0</v>
      </c>
      <c r="Q1027">
        <v>5.0999999999999996</v>
      </c>
      <c r="R1027">
        <v>0</v>
      </c>
      <c r="S1027">
        <v>0</v>
      </c>
      <c r="T1027" s="112" t="s">
        <v>48</v>
      </c>
      <c r="U1027" s="137" t="s">
        <v>2795</v>
      </c>
      <c r="V1027" s="137" t="s">
        <v>2796</v>
      </c>
      <c r="W1027" s="69">
        <v>157</v>
      </c>
      <c r="X1027" s="136">
        <v>1</v>
      </c>
      <c r="Y1027" s="136">
        <v>4</v>
      </c>
      <c r="Z1027" s="314"/>
      <c r="AA1027" s="319">
        <v>0.54500000000000004</v>
      </c>
      <c r="AB1027" s="315" t="s">
        <v>5166</v>
      </c>
      <c r="AC1027" s="319">
        <v>3</v>
      </c>
      <c r="AD1027" s="320">
        <v>3.4090909090908998E-2</v>
      </c>
      <c r="AE1027" s="319">
        <v>1</v>
      </c>
      <c r="AF1027" s="320">
        <v>1.13636363636363E-2</v>
      </c>
      <c r="AG1027" s="319">
        <v>1</v>
      </c>
      <c r="AH1027" s="320">
        <v>1.13636363636363E-2</v>
      </c>
      <c r="AI1027" s="319">
        <v>3</v>
      </c>
      <c r="AJ1027" s="320">
        <v>3.4090909090908998E-2</v>
      </c>
      <c r="AK1027" s="320">
        <v>0</v>
      </c>
      <c r="AL1027" s="319">
        <v>6.75</v>
      </c>
      <c r="AM1027" s="319">
        <v>6.2</v>
      </c>
      <c r="AN1027" s="319">
        <v>7.3333333333333304</v>
      </c>
      <c r="AO1027" s="319">
        <v>0.676111111111111</v>
      </c>
      <c r="AP1027">
        <v>4</v>
      </c>
      <c r="AQ1027" s="136">
        <v>4</v>
      </c>
      <c r="AT1027" s="69">
        <v>6.3414000000000001</v>
      </c>
      <c r="AU1027" s="69">
        <v>5</v>
      </c>
      <c r="AV1027" s="69">
        <v>9.8416999999999994</v>
      </c>
      <c r="AW1027" s="69">
        <v>0.70609999999999995</v>
      </c>
      <c r="BB1027" s="69"/>
    </row>
    <row r="1028" spans="1:54" customFormat="1" ht="40" customHeight="1">
      <c r="A1028" s="313">
        <v>1027</v>
      </c>
      <c r="B1028" s="136" t="s">
        <v>2752</v>
      </c>
      <c r="C1028" s="136" t="s">
        <v>59</v>
      </c>
      <c r="D1028" s="31">
        <f t="shared" si="74"/>
        <v>5</v>
      </c>
      <c r="E1028" s="137" t="s">
        <v>46</v>
      </c>
      <c r="F1028" s="31">
        <f t="shared" si="75"/>
        <v>6</v>
      </c>
      <c r="G1028" s="137" t="s">
        <v>2797</v>
      </c>
      <c r="H1028" s="138">
        <v>63</v>
      </c>
      <c r="I1028" s="158">
        <f t="shared" si="76"/>
        <v>0.85042937427959353</v>
      </c>
      <c r="J1028" s="95">
        <v>0.99074217132935705</v>
      </c>
      <c r="K1028" s="137">
        <v>0.71011657722983001</v>
      </c>
      <c r="L1028" s="137">
        <v>0.68181818181818199</v>
      </c>
      <c r="M1028" s="137">
        <v>0.75256417034730305</v>
      </c>
      <c r="N1028" s="136">
        <v>1</v>
      </c>
      <c r="O1028" s="32">
        <v>43163</v>
      </c>
      <c r="P1028" s="98">
        <f t="shared" si="77"/>
        <v>1</v>
      </c>
      <c r="Q1028">
        <v>0</v>
      </c>
      <c r="R1028">
        <v>1.65</v>
      </c>
      <c r="S1028">
        <v>0</v>
      </c>
      <c r="T1028" s="112" t="s">
        <v>73</v>
      </c>
      <c r="U1028" s="137" t="s">
        <v>2798</v>
      </c>
      <c r="V1028" s="137" t="s">
        <v>2799</v>
      </c>
      <c r="W1028" s="69">
        <v>42</v>
      </c>
      <c r="X1028" s="136">
        <v>2</v>
      </c>
      <c r="Y1028" s="136">
        <v>3</v>
      </c>
      <c r="Z1028" s="314"/>
      <c r="AA1028" s="319">
        <v>0.45454545454545398</v>
      </c>
      <c r="AB1028" s="315" t="s">
        <v>5168</v>
      </c>
      <c r="AC1028" s="319">
        <v>0</v>
      </c>
      <c r="AD1028" s="320">
        <v>0</v>
      </c>
      <c r="AE1028" s="319">
        <v>0</v>
      </c>
      <c r="AF1028" s="320">
        <v>0</v>
      </c>
      <c r="AG1028" s="319">
        <v>1</v>
      </c>
      <c r="AH1028" s="320">
        <v>4.3478260869565202E-2</v>
      </c>
      <c r="AI1028" s="319">
        <v>0</v>
      </c>
      <c r="AJ1028" s="320">
        <v>0</v>
      </c>
      <c r="AK1028" s="320">
        <v>0</v>
      </c>
      <c r="AL1028" s="319">
        <v>5</v>
      </c>
      <c r="AM1028" s="319">
        <v>5</v>
      </c>
      <c r="AN1028" s="319">
        <v>2</v>
      </c>
      <c r="AO1028" s="319">
        <v>0.4</v>
      </c>
      <c r="AP1028">
        <v>3</v>
      </c>
      <c r="AR1028" s="136">
        <v>3</v>
      </c>
      <c r="AT1028" s="69">
        <v>2.3148</v>
      </c>
      <c r="AU1028" s="69">
        <v>2.3148</v>
      </c>
      <c r="AV1028" s="69">
        <v>2.3148</v>
      </c>
      <c r="AW1028" s="69">
        <v>0.23150000000000001</v>
      </c>
      <c r="BB1028" s="69"/>
    </row>
    <row r="1029" spans="1:54" customFormat="1" ht="40" customHeight="1">
      <c r="A1029" s="313">
        <v>1028</v>
      </c>
      <c r="B1029" s="136" t="s">
        <v>2752</v>
      </c>
      <c r="C1029" s="136" t="s">
        <v>45</v>
      </c>
      <c r="D1029" s="31">
        <f t="shared" si="74"/>
        <v>4</v>
      </c>
      <c r="E1029" s="137" t="s">
        <v>80</v>
      </c>
      <c r="F1029" s="31">
        <f t="shared" si="75"/>
        <v>4</v>
      </c>
      <c r="G1029" s="137" t="s">
        <v>359</v>
      </c>
      <c r="H1029" s="138">
        <v>57</v>
      </c>
      <c r="I1029" s="158">
        <f t="shared" si="76"/>
        <v>0.81865436120198398</v>
      </c>
      <c r="J1029" s="95">
        <v>0.84128305426504701</v>
      </c>
      <c r="K1029" s="137">
        <v>0.79602566813892095</v>
      </c>
      <c r="L1029" s="137">
        <v>0.82499999999999996</v>
      </c>
      <c r="M1029" s="137">
        <v>0.75256417034730305</v>
      </c>
      <c r="N1029" s="136">
        <v>1</v>
      </c>
      <c r="O1029" s="32">
        <v>43053</v>
      </c>
      <c r="P1029" s="98">
        <f t="shared" si="77"/>
        <v>0</v>
      </c>
      <c r="Q1029">
        <v>5.0999999999999996</v>
      </c>
      <c r="R1029">
        <v>0</v>
      </c>
      <c r="S1029">
        <v>0</v>
      </c>
      <c r="T1029" s="112" t="s">
        <v>48</v>
      </c>
      <c r="U1029" s="137" t="s">
        <v>2800</v>
      </c>
      <c r="V1029" s="137" t="s">
        <v>2801</v>
      </c>
      <c r="W1029" s="69">
        <v>118</v>
      </c>
      <c r="X1029" s="136">
        <v>1</v>
      </c>
      <c r="Y1029" s="136">
        <v>3</v>
      </c>
      <c r="Z1029" s="314"/>
      <c r="AA1029" s="319">
        <v>0.55000000000000004</v>
      </c>
      <c r="AB1029" s="315" t="s">
        <v>5167</v>
      </c>
      <c r="AC1029" s="319">
        <v>1</v>
      </c>
      <c r="AD1029" s="320">
        <v>1.47058823529411E-2</v>
      </c>
      <c r="AE1029" s="319">
        <v>1</v>
      </c>
      <c r="AF1029" s="320">
        <v>1.47058823529411E-2</v>
      </c>
      <c r="AG1029" s="319">
        <v>1</v>
      </c>
      <c r="AH1029" s="320">
        <v>1.47058823529411E-2</v>
      </c>
      <c r="AI1029" s="319">
        <v>2</v>
      </c>
      <c r="AJ1029" s="320">
        <v>2.94117647058823E-2</v>
      </c>
      <c r="AK1029" s="320">
        <v>0</v>
      </c>
      <c r="AL1029" s="319">
        <v>5</v>
      </c>
      <c r="AM1029" s="319">
        <v>5</v>
      </c>
      <c r="AN1029" s="319">
        <v>2</v>
      </c>
      <c r="AO1029" s="319">
        <v>0.4</v>
      </c>
      <c r="AP1029">
        <v>3</v>
      </c>
      <c r="AQ1029" s="136">
        <v>3</v>
      </c>
      <c r="AT1029" s="69">
        <v>2.3148</v>
      </c>
      <c r="AU1029" s="69">
        <v>2.3148</v>
      </c>
      <c r="AV1029" s="69">
        <v>2.3148</v>
      </c>
      <c r="AW1029" s="69">
        <v>0.23150000000000001</v>
      </c>
      <c r="BB1029" s="69"/>
    </row>
    <row r="1030" spans="1:54" customFormat="1" ht="40" customHeight="1">
      <c r="A1030" s="313">
        <v>1029</v>
      </c>
      <c r="B1030" s="136" t="s">
        <v>2752</v>
      </c>
      <c r="C1030" s="136" t="s">
        <v>45</v>
      </c>
      <c r="D1030" s="31">
        <f t="shared" si="74"/>
        <v>4</v>
      </c>
      <c r="E1030" s="137" t="s">
        <v>46</v>
      </c>
      <c r="F1030" s="31">
        <f t="shared" si="75"/>
        <v>6</v>
      </c>
      <c r="G1030" s="137" t="s">
        <v>2802</v>
      </c>
      <c r="H1030" s="138">
        <v>140</v>
      </c>
      <c r="I1030" s="158">
        <f t="shared" si="76"/>
        <v>0.38477434383590964</v>
      </c>
      <c r="J1030" s="95">
        <v>3.6089123599625201E-4</v>
      </c>
      <c r="K1030" s="137">
        <v>0.76918779643582302</v>
      </c>
      <c r="L1030" s="137">
        <v>0.75</v>
      </c>
      <c r="M1030" s="137">
        <v>0.79796949108955795</v>
      </c>
      <c r="N1030" s="136">
        <v>1</v>
      </c>
      <c r="O1030" s="32">
        <v>43017</v>
      </c>
      <c r="P1030" s="98">
        <f t="shared" si="77"/>
        <v>2</v>
      </c>
      <c r="Q1030">
        <v>0</v>
      </c>
      <c r="R1030">
        <v>0</v>
      </c>
      <c r="S1030">
        <v>0</v>
      </c>
      <c r="T1030" s="112" t="s">
        <v>64</v>
      </c>
      <c r="U1030" s="137" t="s">
        <v>2803</v>
      </c>
      <c r="V1030" s="137" t="s">
        <v>2804</v>
      </c>
      <c r="W1030" s="69">
        <v>48</v>
      </c>
      <c r="X1030" s="136">
        <v>1</v>
      </c>
      <c r="Y1030" s="136">
        <v>2</v>
      </c>
      <c r="Z1030" s="314"/>
      <c r="AA1030" s="319">
        <v>0.55000000000000004</v>
      </c>
      <c r="AB1030" s="315" t="s">
        <v>5165</v>
      </c>
      <c r="AC1030" s="319">
        <v>1</v>
      </c>
      <c r="AD1030" s="320">
        <v>3.7037037037037E-2</v>
      </c>
      <c r="AE1030" s="319">
        <v>0</v>
      </c>
      <c r="AF1030" s="320">
        <v>0</v>
      </c>
      <c r="AG1030" s="319">
        <v>0</v>
      </c>
      <c r="AH1030" s="320">
        <v>0</v>
      </c>
      <c r="AI1030" s="319">
        <v>0</v>
      </c>
      <c r="AJ1030" s="320">
        <v>0</v>
      </c>
      <c r="AK1030" s="320">
        <v>0</v>
      </c>
      <c r="AL1030" s="319">
        <v>5</v>
      </c>
      <c r="AM1030" s="319">
        <v>5</v>
      </c>
      <c r="AN1030" s="319">
        <v>2</v>
      </c>
      <c r="AO1030" s="319">
        <v>0.4</v>
      </c>
      <c r="AP1030">
        <v>2</v>
      </c>
      <c r="AR1030" s="136">
        <v>2</v>
      </c>
      <c r="AT1030" s="69">
        <v>2.3148</v>
      </c>
      <c r="AU1030" s="69">
        <v>2.3148</v>
      </c>
      <c r="AV1030" s="69">
        <v>2.3148</v>
      </c>
      <c r="AW1030" s="69">
        <v>0.23150000000000001</v>
      </c>
      <c r="BB1030" s="69"/>
    </row>
    <row r="1031" spans="1:54" customFormat="1" ht="40" customHeight="1">
      <c r="A1031" s="313">
        <v>1030</v>
      </c>
      <c r="B1031" s="136" t="s">
        <v>2752</v>
      </c>
      <c r="C1031" s="136" t="s">
        <v>45</v>
      </c>
      <c r="D1031" s="31">
        <f t="shared" si="74"/>
        <v>4</v>
      </c>
      <c r="E1031" s="137" t="s">
        <v>46</v>
      </c>
      <c r="F1031" s="31">
        <f t="shared" si="75"/>
        <v>6</v>
      </c>
      <c r="G1031" s="137" t="s">
        <v>2805</v>
      </c>
      <c r="H1031" s="138">
        <v>152</v>
      </c>
      <c r="I1031" s="158">
        <f t="shared" si="76"/>
        <v>0.31809554073666341</v>
      </c>
      <c r="J1031" s="95">
        <v>7.5003266819528794E-8</v>
      </c>
      <c r="K1031" s="137">
        <v>0.63619100647005999</v>
      </c>
      <c r="L1031" s="137">
        <v>0.75</v>
      </c>
      <c r="M1031" s="137">
        <v>0.46547751617515098</v>
      </c>
      <c r="N1031" s="136">
        <v>1</v>
      </c>
      <c r="O1031" s="32">
        <v>43017</v>
      </c>
      <c r="P1031" s="98">
        <f t="shared" si="77"/>
        <v>0</v>
      </c>
      <c r="Q1031">
        <v>5.0999999999999996</v>
      </c>
      <c r="R1031">
        <v>0</v>
      </c>
      <c r="S1031">
        <v>0</v>
      </c>
      <c r="T1031" s="112" t="s">
        <v>48</v>
      </c>
      <c r="U1031" s="137" t="s">
        <v>2806</v>
      </c>
      <c r="V1031" s="137" t="s">
        <v>2804</v>
      </c>
      <c r="W1031" s="69">
        <v>48</v>
      </c>
      <c r="X1031" s="136">
        <v>1</v>
      </c>
      <c r="Y1031" s="136">
        <v>14</v>
      </c>
      <c r="Z1031" s="314"/>
      <c r="AA1031" s="319">
        <v>0.60499999999999998</v>
      </c>
      <c r="AB1031" s="315" t="s">
        <v>5165</v>
      </c>
      <c r="AC1031" s="319">
        <v>1</v>
      </c>
      <c r="AD1031" s="320">
        <v>3.7037037037037E-2</v>
      </c>
      <c r="AE1031" s="319">
        <v>0</v>
      </c>
      <c r="AF1031" s="320">
        <v>0</v>
      </c>
      <c r="AG1031" s="319">
        <v>0</v>
      </c>
      <c r="AH1031" s="320">
        <v>0</v>
      </c>
      <c r="AI1031" s="319">
        <v>0</v>
      </c>
      <c r="AJ1031" s="320">
        <v>0</v>
      </c>
      <c r="AK1031" s="320">
        <v>0</v>
      </c>
      <c r="AL1031" s="319">
        <v>5</v>
      </c>
      <c r="AM1031" s="319">
        <v>5</v>
      </c>
      <c r="AN1031" s="319">
        <v>2</v>
      </c>
      <c r="AO1031" s="319">
        <v>0.4</v>
      </c>
      <c r="AP1031">
        <v>14</v>
      </c>
      <c r="AR1031" s="136">
        <v>14</v>
      </c>
      <c r="AT1031" s="69">
        <v>2.3148</v>
      </c>
      <c r="AU1031" s="69">
        <v>2.3148</v>
      </c>
      <c r="AV1031" s="69">
        <v>2.3148</v>
      </c>
      <c r="AW1031" s="69">
        <v>0.23150000000000001</v>
      </c>
      <c r="BB1031" s="69"/>
    </row>
    <row r="1032" spans="1:54" customFormat="1" ht="40" customHeight="1">
      <c r="A1032" s="313">
        <v>1031</v>
      </c>
      <c r="B1032" s="136" t="s">
        <v>2752</v>
      </c>
      <c r="C1032" s="136" t="s">
        <v>59</v>
      </c>
      <c r="D1032" s="31">
        <f t="shared" si="74"/>
        <v>5</v>
      </c>
      <c r="E1032" s="137" t="s">
        <v>80</v>
      </c>
      <c r="F1032" s="31">
        <f t="shared" si="75"/>
        <v>4</v>
      </c>
      <c r="G1032" s="137" t="s">
        <v>2807</v>
      </c>
      <c r="H1032" s="138">
        <v>35</v>
      </c>
      <c r="I1032" s="158">
        <f t="shared" si="76"/>
        <v>0.79612151586787649</v>
      </c>
      <c r="J1032" s="95">
        <v>0.856528746021467</v>
      </c>
      <c r="K1032" s="137">
        <v>0.73571428571428599</v>
      </c>
      <c r="L1032" s="137">
        <v>0.75</v>
      </c>
      <c r="M1032" s="137">
        <v>0.71428571428571397</v>
      </c>
      <c r="N1032" s="136">
        <v>1</v>
      </c>
      <c r="O1032" s="32">
        <v>42952</v>
      </c>
      <c r="P1032" s="98">
        <f t="shared" si="77"/>
        <v>0</v>
      </c>
      <c r="Q1032">
        <v>0</v>
      </c>
      <c r="R1032">
        <v>0</v>
      </c>
      <c r="S1032">
        <v>0</v>
      </c>
      <c r="T1032" s="112" t="s">
        <v>48</v>
      </c>
      <c r="U1032" s="137" t="s">
        <v>2808</v>
      </c>
      <c r="V1032" s="137" t="s">
        <v>2809</v>
      </c>
      <c r="W1032" s="69">
        <v>52</v>
      </c>
      <c r="X1032" s="136">
        <v>2</v>
      </c>
      <c r="Y1032" s="136">
        <v>4</v>
      </c>
      <c r="Z1032" s="314"/>
      <c r="AA1032" s="319">
        <v>0.45454545454545398</v>
      </c>
      <c r="AB1032" s="331" t="s">
        <v>5172</v>
      </c>
      <c r="AC1032" s="319">
        <v>0</v>
      </c>
      <c r="AD1032" s="320">
        <v>0</v>
      </c>
      <c r="AE1032" s="319">
        <v>0</v>
      </c>
      <c r="AF1032" s="320">
        <v>0</v>
      </c>
      <c r="AG1032" s="319">
        <v>0</v>
      </c>
      <c r="AH1032" s="320">
        <v>0</v>
      </c>
      <c r="AI1032" s="319">
        <v>0</v>
      </c>
      <c r="AJ1032" s="320">
        <v>0</v>
      </c>
      <c r="AK1032" s="320">
        <v>0</v>
      </c>
      <c r="AL1032" s="319">
        <v>5</v>
      </c>
      <c r="AM1032" s="319">
        <v>5</v>
      </c>
      <c r="AN1032" s="319">
        <v>2</v>
      </c>
      <c r="AO1032" s="319">
        <v>0.4</v>
      </c>
      <c r="AP1032">
        <v>4</v>
      </c>
      <c r="AR1032" s="136">
        <v>4</v>
      </c>
      <c r="AT1032" s="69">
        <v>2.3148</v>
      </c>
      <c r="AU1032" s="69">
        <v>2.3148</v>
      </c>
      <c r="AV1032" s="69">
        <v>2.3148</v>
      </c>
      <c r="AW1032" s="69">
        <v>0.23150000000000001</v>
      </c>
      <c r="BB1032" s="69"/>
    </row>
    <row r="1033" spans="1:54" customFormat="1" ht="40" customHeight="1">
      <c r="A1033" s="313">
        <v>1032</v>
      </c>
      <c r="B1033" s="136" t="s">
        <v>2752</v>
      </c>
      <c r="C1033" s="136" t="s">
        <v>59</v>
      </c>
      <c r="D1033" s="31">
        <f t="shared" si="74"/>
        <v>5</v>
      </c>
      <c r="E1033" s="137" t="s">
        <v>80</v>
      </c>
      <c r="F1033" s="31">
        <f t="shared" si="75"/>
        <v>4</v>
      </c>
      <c r="G1033" s="137" t="s">
        <v>2810</v>
      </c>
      <c r="H1033" s="138">
        <v>74</v>
      </c>
      <c r="I1033" s="158">
        <f t="shared" si="76"/>
        <v>0.84216908482757802</v>
      </c>
      <c r="J1033" s="95">
        <v>0.97422159242532602</v>
      </c>
      <c r="K1033" s="137">
        <v>0.71011657722983001</v>
      </c>
      <c r="L1033" s="137">
        <v>0.68181818181818199</v>
      </c>
      <c r="M1033" s="137">
        <v>0.75256417034730305</v>
      </c>
      <c r="N1033" s="136">
        <v>1</v>
      </c>
      <c r="O1033" s="32">
        <v>42917</v>
      </c>
      <c r="P1033" s="98">
        <f t="shared" si="77"/>
        <v>0</v>
      </c>
      <c r="Q1033">
        <v>2.5499999999999998</v>
      </c>
      <c r="R1033">
        <v>1.65</v>
      </c>
      <c r="S1033">
        <v>0</v>
      </c>
      <c r="T1033" s="112" t="s">
        <v>48</v>
      </c>
      <c r="U1033" s="137" t="s">
        <v>2811</v>
      </c>
      <c r="V1033" s="137" t="s">
        <v>2812</v>
      </c>
      <c r="W1033" s="69">
        <v>57</v>
      </c>
      <c r="X1033" s="136">
        <v>2</v>
      </c>
      <c r="Y1033" s="136">
        <v>3</v>
      </c>
      <c r="Z1033" s="314"/>
      <c r="AA1033" s="319">
        <v>0.5</v>
      </c>
      <c r="AB1033" s="315" t="s">
        <v>5169</v>
      </c>
      <c r="AC1033" s="319">
        <v>1</v>
      </c>
      <c r="AD1033" s="320">
        <v>3.3333333333333298E-2</v>
      </c>
      <c r="AE1033" s="319">
        <v>0</v>
      </c>
      <c r="AF1033" s="320">
        <v>0</v>
      </c>
      <c r="AG1033" s="319">
        <v>1</v>
      </c>
      <c r="AH1033" s="320">
        <v>3.3333333333333298E-2</v>
      </c>
      <c r="AI1033" s="319">
        <v>0</v>
      </c>
      <c r="AJ1033" s="320">
        <v>0</v>
      </c>
      <c r="AK1033" s="320">
        <v>0</v>
      </c>
      <c r="AL1033" s="319">
        <v>5</v>
      </c>
      <c r="AM1033" s="319">
        <v>5</v>
      </c>
      <c r="AN1033" s="319">
        <v>3.5</v>
      </c>
      <c r="AO1033" s="319">
        <v>0.45</v>
      </c>
      <c r="AP1033">
        <v>3</v>
      </c>
      <c r="AQ1033" s="136">
        <v>3</v>
      </c>
      <c r="AT1033" s="69">
        <v>2.3148</v>
      </c>
      <c r="AU1033" s="69">
        <v>2.3148</v>
      </c>
      <c r="AV1033" s="69">
        <v>5.7443999999999997</v>
      </c>
      <c r="AW1033" s="69">
        <v>0.3458</v>
      </c>
      <c r="BB1033" s="69"/>
    </row>
    <row r="1034" spans="1:54" customFormat="1" ht="40" customHeight="1">
      <c r="A1034" s="313">
        <v>1033</v>
      </c>
      <c r="B1034" s="136" t="s">
        <v>2752</v>
      </c>
      <c r="C1034" s="136" t="s">
        <v>59</v>
      </c>
      <c r="D1034" s="31">
        <f t="shared" si="74"/>
        <v>5</v>
      </c>
      <c r="E1034" s="137" t="s">
        <v>46</v>
      </c>
      <c r="F1034" s="31">
        <f t="shared" si="75"/>
        <v>6</v>
      </c>
      <c r="G1034" s="137" t="s">
        <v>2813</v>
      </c>
      <c r="H1034" s="138">
        <v>71</v>
      </c>
      <c r="I1034" s="158">
        <f t="shared" si="76"/>
        <v>0.26124185883322493</v>
      </c>
      <c r="J1034" s="95">
        <v>4.6935294181839103E-3</v>
      </c>
      <c r="K1034" s="137">
        <v>0.51779018824826595</v>
      </c>
      <c r="L1034" s="137">
        <v>0.465690992294366</v>
      </c>
      <c r="M1034" s="137">
        <v>0.59593898217911601</v>
      </c>
      <c r="N1034" s="136">
        <v>1</v>
      </c>
      <c r="O1034" s="32">
        <v>42890</v>
      </c>
      <c r="P1034" s="98">
        <f t="shared" si="77"/>
        <v>0</v>
      </c>
      <c r="Q1034">
        <v>2.5499999999999998</v>
      </c>
      <c r="R1034">
        <v>0</v>
      </c>
      <c r="S1034">
        <v>0</v>
      </c>
      <c r="T1034" s="112" t="s">
        <v>48</v>
      </c>
      <c r="U1034" s="137" t="s">
        <v>2814</v>
      </c>
      <c r="V1034" s="137" t="s">
        <v>2815</v>
      </c>
      <c r="W1034" s="69">
        <v>37</v>
      </c>
      <c r="X1034" s="136">
        <v>1</v>
      </c>
      <c r="Y1034" s="136">
        <v>8</v>
      </c>
      <c r="Z1034" s="314"/>
      <c r="AA1034" s="319">
        <v>9.1578194443670893E-3</v>
      </c>
      <c r="AB1034" s="315" t="s">
        <v>5169</v>
      </c>
      <c r="AC1034" s="319">
        <v>1</v>
      </c>
      <c r="AD1034" s="320">
        <v>4.7619047619047603E-2</v>
      </c>
      <c r="AE1034" s="319">
        <v>0</v>
      </c>
      <c r="AF1034" s="320">
        <v>0</v>
      </c>
      <c r="AG1034" s="319">
        <v>1</v>
      </c>
      <c r="AH1034" s="320">
        <v>4.7619047619047603E-2</v>
      </c>
      <c r="AI1034" s="319">
        <v>0</v>
      </c>
      <c r="AJ1034" s="320">
        <v>0</v>
      </c>
      <c r="AK1034" s="320">
        <v>0</v>
      </c>
      <c r="AL1034" s="319">
        <v>5</v>
      </c>
      <c r="AM1034" s="319">
        <v>5</v>
      </c>
      <c r="AN1034" s="319">
        <v>3.5</v>
      </c>
      <c r="AO1034" s="319">
        <v>0.45</v>
      </c>
      <c r="AP1034">
        <v>8</v>
      </c>
      <c r="AQ1034" s="136">
        <v>8</v>
      </c>
      <c r="AT1034" s="69">
        <v>2.3148</v>
      </c>
      <c r="AU1034" s="69">
        <v>2.3148</v>
      </c>
      <c r="AV1034" s="69">
        <v>5.7443999999999997</v>
      </c>
      <c r="AW1034" s="69">
        <v>0.3458</v>
      </c>
      <c r="BB1034" s="69"/>
    </row>
    <row r="1035" spans="1:54" customFormat="1" ht="40" customHeight="1">
      <c r="A1035" s="313">
        <v>1034</v>
      </c>
      <c r="B1035" s="136" t="s">
        <v>2752</v>
      </c>
      <c r="C1035" s="136" t="s">
        <v>45</v>
      </c>
      <c r="D1035" s="31">
        <f t="shared" si="74"/>
        <v>4</v>
      </c>
      <c r="E1035" s="137" t="s">
        <v>80</v>
      </c>
      <c r="F1035" s="31">
        <f t="shared" si="75"/>
        <v>4</v>
      </c>
      <c r="G1035" s="137" t="s">
        <v>2816</v>
      </c>
      <c r="H1035" s="138">
        <v>23</v>
      </c>
      <c r="I1035" s="158">
        <f t="shared" si="76"/>
        <v>0.30566626401154262</v>
      </c>
      <c r="J1035" s="95">
        <v>2.3554953001171299E-2</v>
      </c>
      <c r="K1035" s="137">
        <v>0.58777757502191397</v>
      </c>
      <c r="L1035" s="137">
        <v>0.68181818181818199</v>
      </c>
      <c r="M1035" s="137">
        <v>0.44671666482751199</v>
      </c>
      <c r="N1035" s="136">
        <v>1</v>
      </c>
      <c r="O1035" s="32">
        <v>42663</v>
      </c>
      <c r="P1035" s="98">
        <f t="shared" si="77"/>
        <v>1</v>
      </c>
      <c r="Q1035">
        <v>0</v>
      </c>
      <c r="R1035">
        <v>1.65</v>
      </c>
      <c r="S1035">
        <v>0</v>
      </c>
      <c r="T1035" s="112" t="s">
        <v>73</v>
      </c>
      <c r="U1035" s="137" t="s">
        <v>2816</v>
      </c>
      <c r="V1035" s="137" t="s">
        <v>2817</v>
      </c>
      <c r="W1035" s="69">
        <v>158</v>
      </c>
      <c r="X1035" s="136">
        <v>4</v>
      </c>
      <c r="Y1035" s="136">
        <v>15</v>
      </c>
      <c r="Z1035" s="314"/>
      <c r="AA1035" s="319">
        <v>0.5</v>
      </c>
      <c r="AB1035" s="315" t="s">
        <v>5165</v>
      </c>
      <c r="AC1035" s="319">
        <v>3</v>
      </c>
      <c r="AD1035" s="320">
        <v>3.3333333333333298E-2</v>
      </c>
      <c r="AE1035" s="319">
        <v>0</v>
      </c>
      <c r="AF1035" s="320">
        <v>0</v>
      </c>
      <c r="AG1035" s="319">
        <v>0</v>
      </c>
      <c r="AH1035" s="320">
        <v>0</v>
      </c>
      <c r="AI1035" s="319">
        <v>0</v>
      </c>
      <c r="AJ1035" s="320">
        <v>0</v>
      </c>
      <c r="AK1035" s="320">
        <v>1.111111111111111E-2</v>
      </c>
      <c r="AL1035" s="319">
        <v>5</v>
      </c>
      <c r="AM1035" s="319">
        <v>5</v>
      </c>
      <c r="AN1035" s="319">
        <v>3.5</v>
      </c>
      <c r="AO1035" s="319">
        <v>0.45</v>
      </c>
      <c r="AP1035">
        <v>15</v>
      </c>
      <c r="AR1035" s="136">
        <v>15</v>
      </c>
      <c r="AT1035" s="69">
        <v>2.3148</v>
      </c>
      <c r="AU1035" s="69">
        <v>2.3148</v>
      </c>
      <c r="AV1035" s="69">
        <v>5.7443999999999997</v>
      </c>
      <c r="AW1035" s="69">
        <v>0.3458</v>
      </c>
      <c r="BB1035" s="69"/>
    </row>
    <row r="1036" spans="1:54" customFormat="1" ht="40" customHeight="1">
      <c r="A1036" s="313">
        <v>1035</v>
      </c>
      <c r="B1036" s="136" t="s">
        <v>2752</v>
      </c>
      <c r="C1036" s="136" t="s">
        <v>45</v>
      </c>
      <c r="D1036" s="31">
        <f t="shared" si="74"/>
        <v>4</v>
      </c>
      <c r="E1036" s="137" t="s">
        <v>46</v>
      </c>
      <c r="F1036" s="31">
        <f t="shared" si="75"/>
        <v>6</v>
      </c>
      <c r="G1036" s="137" t="s">
        <v>2818</v>
      </c>
      <c r="H1036" s="138">
        <v>297</v>
      </c>
      <c r="I1036" s="158">
        <f t="shared" si="76"/>
        <v>0.47090368886274292</v>
      </c>
      <c r="J1036" s="95">
        <v>2.3486834288544201E-7</v>
      </c>
      <c r="K1036" s="137">
        <v>0.94180714285714295</v>
      </c>
      <c r="L1036" s="137">
        <v>0.99824999999999997</v>
      </c>
      <c r="M1036" s="137">
        <v>0.85714285714285698</v>
      </c>
      <c r="N1036" s="136">
        <v>0</v>
      </c>
      <c r="O1036" s="32">
        <v>42535</v>
      </c>
      <c r="P1036" s="98">
        <f t="shared" si="77"/>
        <v>0</v>
      </c>
      <c r="Q1036">
        <v>2.5499999999999998</v>
      </c>
      <c r="R1036">
        <v>1.65</v>
      </c>
      <c r="S1036">
        <v>0</v>
      </c>
      <c r="T1036" s="112" t="s">
        <v>48</v>
      </c>
      <c r="U1036" s="137" t="s">
        <v>2819</v>
      </c>
      <c r="V1036" s="137" t="s">
        <v>2820</v>
      </c>
      <c r="W1036" s="69">
        <v>111</v>
      </c>
      <c r="X1036" s="136">
        <v>1</v>
      </c>
      <c r="Y1036" s="136">
        <v>1</v>
      </c>
      <c r="Z1036" s="314"/>
      <c r="AA1036" s="319">
        <v>0.59450000000000003</v>
      </c>
      <c r="AB1036" s="315" t="s">
        <v>5165</v>
      </c>
      <c r="AC1036" s="319">
        <v>1</v>
      </c>
      <c r="AD1036" s="320">
        <v>1.4925373134328301E-2</v>
      </c>
      <c r="AE1036" s="319">
        <v>0</v>
      </c>
      <c r="AF1036" s="320">
        <v>0</v>
      </c>
      <c r="AG1036" s="319">
        <v>0</v>
      </c>
      <c r="AH1036" s="320">
        <v>0</v>
      </c>
      <c r="AI1036" s="319">
        <v>0</v>
      </c>
      <c r="AJ1036" s="320">
        <v>0</v>
      </c>
      <c r="AK1036" s="320">
        <v>0</v>
      </c>
      <c r="AL1036" s="319">
        <v>5</v>
      </c>
      <c r="AM1036" s="319">
        <v>7.4</v>
      </c>
      <c r="AN1036" s="319">
        <v>6.1666666666666599</v>
      </c>
      <c r="AO1036" s="319">
        <v>0.61888888888888804</v>
      </c>
      <c r="AP1036">
        <v>1</v>
      </c>
      <c r="AR1036" s="136">
        <v>1</v>
      </c>
      <c r="AT1036" s="69">
        <v>2.3148</v>
      </c>
      <c r="AU1036" s="69">
        <v>7.6852</v>
      </c>
      <c r="AV1036" s="69">
        <v>9.5120000000000005</v>
      </c>
      <c r="AW1036" s="69">
        <v>0.65039999999999998</v>
      </c>
      <c r="BB1036" s="69"/>
    </row>
    <row r="1037" spans="1:54" customFormat="1" ht="40" customHeight="1">
      <c r="A1037" s="313">
        <v>1036</v>
      </c>
      <c r="B1037" s="136" t="s">
        <v>2752</v>
      </c>
      <c r="C1037" s="136" t="s">
        <v>59</v>
      </c>
      <c r="D1037" s="31">
        <f t="shared" si="74"/>
        <v>5</v>
      </c>
      <c r="E1037" s="137" t="s">
        <v>46</v>
      </c>
      <c r="F1037" s="31">
        <f t="shared" si="75"/>
        <v>6</v>
      </c>
      <c r="G1037" s="137" t="s">
        <v>2821</v>
      </c>
      <c r="H1037" s="138">
        <v>18</v>
      </c>
      <c r="I1037" s="158">
        <f t="shared" si="76"/>
        <v>0.79934573342238846</v>
      </c>
      <c r="J1037" s="95">
        <v>0.97030213833491796</v>
      </c>
      <c r="K1037" s="137">
        <v>0.62838932850985896</v>
      </c>
      <c r="L1037" s="137">
        <v>0.68181818181818199</v>
      </c>
      <c r="M1037" s="137">
        <v>0.54824604854737402</v>
      </c>
      <c r="N1037" s="136">
        <v>1</v>
      </c>
      <c r="O1037" s="32">
        <v>42503</v>
      </c>
      <c r="P1037" s="98">
        <f t="shared" si="77"/>
        <v>1</v>
      </c>
      <c r="Q1037">
        <v>0</v>
      </c>
      <c r="R1037">
        <v>0</v>
      </c>
      <c r="S1037">
        <v>0</v>
      </c>
      <c r="T1037" s="112" t="s">
        <v>73</v>
      </c>
      <c r="U1037" s="137" t="s">
        <v>2822</v>
      </c>
      <c r="V1037" s="137" t="s">
        <v>2823</v>
      </c>
      <c r="W1037" s="69">
        <v>75</v>
      </c>
      <c r="X1037" s="136">
        <v>2</v>
      </c>
      <c r="Y1037" s="136">
        <v>10</v>
      </c>
      <c r="Z1037" s="314"/>
      <c r="AA1037" s="319">
        <v>0.5</v>
      </c>
      <c r="AB1037" s="315" t="s">
        <v>5168</v>
      </c>
      <c r="AC1037" s="319">
        <v>0</v>
      </c>
      <c r="AD1037" s="320">
        <v>0</v>
      </c>
      <c r="AE1037" s="319">
        <v>0</v>
      </c>
      <c r="AF1037" s="320">
        <v>0</v>
      </c>
      <c r="AG1037" s="319">
        <v>1</v>
      </c>
      <c r="AH1037" s="320">
        <v>2.7027027027027001E-2</v>
      </c>
      <c r="AI1037" s="319">
        <v>0</v>
      </c>
      <c r="AJ1037" s="320">
        <v>0</v>
      </c>
      <c r="AK1037" s="320">
        <v>0</v>
      </c>
      <c r="AL1037" s="319">
        <v>5</v>
      </c>
      <c r="AM1037" s="319">
        <v>5</v>
      </c>
      <c r="AN1037" s="319">
        <v>3.5</v>
      </c>
      <c r="AO1037" s="319">
        <v>0.45</v>
      </c>
      <c r="AP1037">
        <v>10</v>
      </c>
      <c r="AQ1037" s="136">
        <v>10</v>
      </c>
      <c r="AT1037" s="69">
        <v>2.3148</v>
      </c>
      <c r="AU1037" s="69">
        <v>2.3148</v>
      </c>
      <c r="AV1037" s="69">
        <v>5.7443999999999997</v>
      </c>
      <c r="AW1037" s="69">
        <v>0.3458</v>
      </c>
      <c r="BB1037" s="69"/>
    </row>
    <row r="1038" spans="1:54" customFormat="1" ht="40" customHeight="1">
      <c r="A1038" s="313">
        <v>1037</v>
      </c>
      <c r="B1038" s="136" t="s">
        <v>2752</v>
      </c>
      <c r="C1038" s="136" t="s">
        <v>59</v>
      </c>
      <c r="D1038" s="31">
        <f t="shared" si="74"/>
        <v>5</v>
      </c>
      <c r="E1038" s="137" t="s">
        <v>46</v>
      </c>
      <c r="F1038" s="31">
        <f t="shared" si="75"/>
        <v>6</v>
      </c>
      <c r="G1038" s="137" t="s">
        <v>2824</v>
      </c>
      <c r="H1038" s="138">
        <v>37</v>
      </c>
      <c r="I1038" s="158">
        <f t="shared" si="76"/>
        <v>0.61159616621067903</v>
      </c>
      <c r="J1038" s="95">
        <v>0.48747804670707201</v>
      </c>
      <c r="K1038" s="137">
        <v>0.73571428571428599</v>
      </c>
      <c r="L1038" s="137">
        <v>0.75</v>
      </c>
      <c r="M1038" s="137">
        <v>0.71428571428571397</v>
      </c>
      <c r="N1038" s="136">
        <v>1</v>
      </c>
      <c r="O1038" s="32">
        <v>42503</v>
      </c>
      <c r="P1038" s="98">
        <f t="shared" si="77"/>
        <v>1</v>
      </c>
      <c r="Q1038">
        <v>0</v>
      </c>
      <c r="R1038">
        <v>0</v>
      </c>
      <c r="S1038">
        <v>0</v>
      </c>
      <c r="T1038" s="112" t="s">
        <v>73</v>
      </c>
      <c r="U1038" s="137" t="s">
        <v>2825</v>
      </c>
      <c r="V1038" s="137" t="s">
        <v>2826</v>
      </c>
      <c r="W1038" s="69">
        <v>113</v>
      </c>
      <c r="X1038" s="136">
        <v>1</v>
      </c>
      <c r="Y1038" s="136">
        <v>4</v>
      </c>
      <c r="Z1038" s="314"/>
      <c r="AA1038" s="319">
        <v>0.54500000000000004</v>
      </c>
      <c r="AB1038" s="315" t="s">
        <v>5165</v>
      </c>
      <c r="AC1038" s="319">
        <v>2</v>
      </c>
      <c r="AD1038" s="320">
        <v>2.8985507246376802E-2</v>
      </c>
      <c r="AE1038" s="319">
        <v>0</v>
      </c>
      <c r="AF1038" s="320">
        <v>0</v>
      </c>
      <c r="AG1038" s="319">
        <v>0</v>
      </c>
      <c r="AH1038" s="320">
        <v>0</v>
      </c>
      <c r="AI1038" s="319">
        <v>0</v>
      </c>
      <c r="AJ1038" s="320">
        <v>0</v>
      </c>
      <c r="AK1038" s="320">
        <v>0</v>
      </c>
      <c r="AL1038" s="319">
        <v>5</v>
      </c>
      <c r="AM1038" s="319">
        <v>6.2</v>
      </c>
      <c r="AN1038" s="319">
        <v>2</v>
      </c>
      <c r="AO1038" s="319">
        <v>0.44</v>
      </c>
      <c r="AP1038">
        <v>4</v>
      </c>
      <c r="AR1038" s="136">
        <v>4</v>
      </c>
      <c r="AT1038" s="69">
        <v>2.3148</v>
      </c>
      <c r="AU1038" s="69">
        <v>5</v>
      </c>
      <c r="AV1038" s="69">
        <v>2.3148</v>
      </c>
      <c r="AW1038" s="69">
        <v>0.32100000000000001</v>
      </c>
      <c r="BB1038" s="69"/>
    </row>
    <row r="1039" spans="1:54" customFormat="1" ht="40" customHeight="1">
      <c r="A1039" s="313">
        <v>1038</v>
      </c>
      <c r="B1039" s="136" t="s">
        <v>2752</v>
      </c>
      <c r="C1039" s="136" t="s">
        <v>59</v>
      </c>
      <c r="D1039" s="31">
        <f t="shared" si="74"/>
        <v>5</v>
      </c>
      <c r="E1039" s="137" t="s">
        <v>80</v>
      </c>
      <c r="F1039" s="31">
        <f t="shared" si="75"/>
        <v>4</v>
      </c>
      <c r="G1039" s="137" t="s">
        <v>2827</v>
      </c>
      <c r="H1039" s="138">
        <v>46</v>
      </c>
      <c r="I1039" s="158">
        <f t="shared" si="76"/>
        <v>0.4399719117286805</v>
      </c>
      <c r="J1039" s="95">
        <v>0.18513862865216599</v>
      </c>
      <c r="K1039" s="137">
        <v>0.69480519480519498</v>
      </c>
      <c r="L1039" s="137">
        <v>0.68181818181818199</v>
      </c>
      <c r="M1039" s="137">
        <v>0.71428571428571397</v>
      </c>
      <c r="N1039" s="136">
        <v>1</v>
      </c>
      <c r="O1039" s="32">
        <v>42497</v>
      </c>
      <c r="P1039" s="98">
        <f t="shared" si="77"/>
        <v>1</v>
      </c>
      <c r="Q1039">
        <v>0</v>
      </c>
      <c r="R1039">
        <v>1.65</v>
      </c>
      <c r="S1039">
        <v>0</v>
      </c>
      <c r="T1039" s="112" t="s">
        <v>73</v>
      </c>
      <c r="U1039" s="137" t="s">
        <v>2828</v>
      </c>
      <c r="V1039" s="137" t="s">
        <v>2829</v>
      </c>
      <c r="W1039" s="69">
        <v>112</v>
      </c>
      <c r="X1039" s="136">
        <v>2</v>
      </c>
      <c r="Y1039" s="136">
        <v>4</v>
      </c>
      <c r="Z1039" s="314"/>
      <c r="AA1039" s="319">
        <v>0.54500000000000004</v>
      </c>
      <c r="AB1039" s="315" t="s">
        <v>5165</v>
      </c>
      <c r="AC1039" s="319">
        <v>1</v>
      </c>
      <c r="AD1039" s="320">
        <v>1.47058823529411E-2</v>
      </c>
      <c r="AE1039" s="319">
        <v>0</v>
      </c>
      <c r="AF1039" s="320">
        <v>0</v>
      </c>
      <c r="AG1039" s="319">
        <v>0</v>
      </c>
      <c r="AH1039" s="320">
        <v>0</v>
      </c>
      <c r="AI1039" s="319">
        <v>0</v>
      </c>
      <c r="AJ1039" s="320">
        <v>0</v>
      </c>
      <c r="AK1039" s="320">
        <v>0</v>
      </c>
      <c r="AL1039" s="319">
        <v>5</v>
      </c>
      <c r="AM1039" s="319">
        <v>5</v>
      </c>
      <c r="AN1039" s="319">
        <v>5</v>
      </c>
      <c r="AO1039" s="319">
        <v>0.5</v>
      </c>
      <c r="AP1039">
        <v>4</v>
      </c>
      <c r="AR1039" s="136">
        <v>4</v>
      </c>
      <c r="AT1039" s="69">
        <v>2.3148</v>
      </c>
      <c r="AU1039" s="69">
        <v>2.3148</v>
      </c>
      <c r="AV1039" s="69">
        <v>8.5815000000000001</v>
      </c>
      <c r="AW1039" s="69">
        <v>0.44040000000000001</v>
      </c>
      <c r="BB1039" s="69"/>
    </row>
    <row r="1040" spans="1:54" customFormat="1" ht="40" customHeight="1">
      <c r="A1040" s="313">
        <v>1039</v>
      </c>
      <c r="B1040" s="136" t="s">
        <v>2752</v>
      </c>
      <c r="C1040" s="136" t="s">
        <v>45</v>
      </c>
      <c r="D1040" s="31">
        <f t="shared" si="74"/>
        <v>4</v>
      </c>
      <c r="E1040" s="137" t="s">
        <v>46</v>
      </c>
      <c r="F1040" s="31">
        <f t="shared" si="75"/>
        <v>6</v>
      </c>
      <c r="G1040" s="137" t="s">
        <v>2830</v>
      </c>
      <c r="H1040" s="138">
        <v>183</v>
      </c>
      <c r="I1040" s="158">
        <f t="shared" si="76"/>
        <v>0.85439532481864644</v>
      </c>
      <c r="J1040" s="95">
        <v>0.99876149208204601</v>
      </c>
      <c r="K1040" s="137">
        <v>0.71002915755524698</v>
      </c>
      <c r="L1040" s="137">
        <v>0.75</v>
      </c>
      <c r="M1040" s="137">
        <v>0.65007289388811795</v>
      </c>
      <c r="N1040" s="136">
        <v>1</v>
      </c>
      <c r="O1040" s="32">
        <v>42472</v>
      </c>
      <c r="P1040" s="98">
        <f t="shared" si="77"/>
        <v>0</v>
      </c>
      <c r="Q1040">
        <v>2.5499999999999998</v>
      </c>
      <c r="R1040">
        <v>3.3</v>
      </c>
      <c r="S1040">
        <v>0</v>
      </c>
      <c r="T1040" s="112" t="s">
        <v>48</v>
      </c>
      <c r="U1040" s="137" t="s">
        <v>2831</v>
      </c>
      <c r="V1040" s="137" t="s">
        <v>2832</v>
      </c>
      <c r="W1040" s="69">
        <v>119</v>
      </c>
      <c r="X1040" s="136">
        <v>2</v>
      </c>
      <c r="Y1040" s="136">
        <v>6</v>
      </c>
      <c r="Z1040" s="314"/>
      <c r="AA1040" s="319">
        <v>0.45909090909090899</v>
      </c>
      <c r="AB1040" s="315" t="s">
        <v>5176</v>
      </c>
      <c r="AC1040" s="319">
        <v>1</v>
      </c>
      <c r="AD1040" s="320">
        <v>1.3698630136986301E-2</v>
      </c>
      <c r="AE1040" s="319">
        <v>2</v>
      </c>
      <c r="AF1040" s="320">
        <v>2.7397260273972601E-2</v>
      </c>
      <c r="AG1040" s="319">
        <v>0</v>
      </c>
      <c r="AH1040" s="320">
        <v>0</v>
      </c>
      <c r="AI1040" s="319">
        <v>0</v>
      </c>
      <c r="AJ1040" s="320">
        <v>0</v>
      </c>
      <c r="AK1040" s="320">
        <v>2.7397260273972601E-2</v>
      </c>
      <c r="AL1040" s="319">
        <v>5</v>
      </c>
      <c r="AM1040" s="319">
        <v>8.3333333333333304</v>
      </c>
      <c r="AN1040" s="319">
        <v>2</v>
      </c>
      <c r="AO1040" s="319">
        <v>0.51111111111111096</v>
      </c>
      <c r="AP1040">
        <v>6</v>
      </c>
      <c r="AR1040" s="136">
        <v>6</v>
      </c>
      <c r="AT1040" s="69">
        <v>2.3148</v>
      </c>
      <c r="AU1040" s="69">
        <v>8.9379000000000008</v>
      </c>
      <c r="AV1040" s="69">
        <v>2.3148</v>
      </c>
      <c r="AW1040" s="69">
        <v>0.45219999999999999</v>
      </c>
      <c r="BB1040" s="69"/>
    </row>
    <row r="1041" spans="1:54" customFormat="1" ht="40" customHeight="1">
      <c r="A1041" s="313">
        <v>1040</v>
      </c>
      <c r="B1041" s="136" t="s">
        <v>2833</v>
      </c>
      <c r="C1041" s="136" t="s">
        <v>45</v>
      </c>
      <c r="D1041" s="31">
        <f t="shared" si="74"/>
        <v>4</v>
      </c>
      <c r="E1041" s="137" t="s">
        <v>80</v>
      </c>
      <c r="F1041" s="31">
        <f t="shared" si="75"/>
        <v>4</v>
      </c>
      <c r="G1041" s="137" t="s">
        <v>2834</v>
      </c>
      <c r="H1041" s="138">
        <v>29</v>
      </c>
      <c r="I1041" s="158">
        <f t="shared" si="76"/>
        <v>0.39829707802228359</v>
      </c>
      <c r="J1041" s="95">
        <v>5.6848790564623098E-4</v>
      </c>
      <c r="K1041" s="137">
        <v>0.79602566813892095</v>
      </c>
      <c r="L1041" s="137">
        <v>0.82499999999999996</v>
      </c>
      <c r="M1041" s="137">
        <v>0.75256417034730305</v>
      </c>
      <c r="N1041" s="136">
        <v>1</v>
      </c>
      <c r="O1041" s="32">
        <v>43980</v>
      </c>
      <c r="P1041" s="98">
        <f t="shared" si="77"/>
        <v>1</v>
      </c>
      <c r="Q1041">
        <v>0</v>
      </c>
      <c r="R1041">
        <v>1.65</v>
      </c>
      <c r="S1041">
        <v>0</v>
      </c>
      <c r="T1041" s="112" t="s">
        <v>73</v>
      </c>
      <c r="U1041" s="137" t="s">
        <v>2835</v>
      </c>
      <c r="V1041" s="137" t="s">
        <v>2836</v>
      </c>
      <c r="W1041" s="69">
        <v>108</v>
      </c>
      <c r="X1041" s="136">
        <v>1</v>
      </c>
      <c r="Y1041" s="136">
        <v>3</v>
      </c>
      <c r="Z1041" s="314"/>
      <c r="AA1041" s="319">
        <v>0.54500000000000004</v>
      </c>
      <c r="AB1041" s="331" t="s">
        <v>5164</v>
      </c>
      <c r="AC1041" s="319">
        <v>0</v>
      </c>
      <c r="AD1041" s="320">
        <v>0</v>
      </c>
      <c r="AE1041" s="319">
        <v>0</v>
      </c>
      <c r="AF1041" s="320">
        <v>0</v>
      </c>
      <c r="AG1041" s="319">
        <v>0</v>
      </c>
      <c r="AH1041" s="320">
        <v>0</v>
      </c>
      <c r="AI1041" s="319">
        <v>0</v>
      </c>
      <c r="AJ1041" s="320">
        <v>0</v>
      </c>
      <c r="AK1041" s="320">
        <v>0</v>
      </c>
      <c r="AL1041" s="319">
        <v>5</v>
      </c>
      <c r="AM1041" s="319">
        <v>5</v>
      </c>
      <c r="AN1041" s="319">
        <v>4.6666666666666599</v>
      </c>
      <c r="AO1041" s="319">
        <v>0.48888888888888798</v>
      </c>
      <c r="AP1041">
        <v>3</v>
      </c>
      <c r="AR1041" s="136">
        <v>3</v>
      </c>
      <c r="AT1041" s="69">
        <v>2.3148</v>
      </c>
      <c r="AU1041" s="69">
        <v>2.3148</v>
      </c>
      <c r="AV1041" s="69">
        <v>8.1305999999999994</v>
      </c>
      <c r="AW1041" s="69">
        <v>0.42530000000000001</v>
      </c>
      <c r="BB1041" s="69"/>
    </row>
    <row r="1042" spans="1:54" customFormat="1" ht="40" customHeight="1">
      <c r="A1042" s="313">
        <v>1041</v>
      </c>
      <c r="B1042" s="136" t="s">
        <v>2833</v>
      </c>
      <c r="C1042" s="136" t="s">
        <v>45</v>
      </c>
      <c r="D1042" s="31">
        <f t="shared" si="74"/>
        <v>4</v>
      </c>
      <c r="E1042" s="137" t="s">
        <v>221</v>
      </c>
      <c r="F1042" s="31">
        <f t="shared" si="75"/>
        <v>2</v>
      </c>
      <c r="G1042" s="137" t="s">
        <v>2837</v>
      </c>
      <c r="H1042" s="138">
        <v>62</v>
      </c>
      <c r="I1042" s="158">
        <f t="shared" si="76"/>
        <v>0.37952501431623797</v>
      </c>
      <c r="J1042" s="95">
        <v>0.18509786590835201</v>
      </c>
      <c r="K1042" s="137">
        <v>0.57395216272412397</v>
      </c>
      <c r="L1042" s="137">
        <v>0.61983471074380203</v>
      </c>
      <c r="M1042" s="137">
        <v>0.50512834069460699</v>
      </c>
      <c r="N1042" s="136">
        <v>1</v>
      </c>
      <c r="O1042" s="32">
        <v>43971</v>
      </c>
      <c r="P1042" s="98">
        <f t="shared" si="77"/>
        <v>2</v>
      </c>
      <c r="Q1042">
        <v>0</v>
      </c>
      <c r="R1042">
        <v>0</v>
      </c>
      <c r="S1042">
        <v>1.87</v>
      </c>
      <c r="T1042" s="112" t="s">
        <v>64</v>
      </c>
      <c r="U1042" s="137" t="s">
        <v>2838</v>
      </c>
      <c r="V1042" s="137" t="s">
        <v>2839</v>
      </c>
      <c r="W1042" s="69">
        <v>99</v>
      </c>
      <c r="X1042" s="136">
        <v>1</v>
      </c>
      <c r="Y1042" s="136">
        <v>12</v>
      </c>
      <c r="Z1042" s="314"/>
      <c r="AA1042" s="319">
        <v>0.5</v>
      </c>
      <c r="AB1042" s="315" t="s">
        <v>5176</v>
      </c>
      <c r="AC1042" s="319">
        <v>0</v>
      </c>
      <c r="AD1042" s="320">
        <v>0</v>
      </c>
      <c r="AE1042" s="319">
        <v>4</v>
      </c>
      <c r="AF1042" s="320">
        <v>7.4074074074074001E-2</v>
      </c>
      <c r="AG1042" s="319">
        <v>0</v>
      </c>
      <c r="AH1042" s="320">
        <v>0</v>
      </c>
      <c r="AI1042" s="319">
        <v>1</v>
      </c>
      <c r="AJ1042" s="320">
        <v>1.85185185185185E-2</v>
      </c>
      <c r="AK1042" s="320">
        <v>3.7037037037037028E-2</v>
      </c>
      <c r="AL1042" s="319">
        <v>5</v>
      </c>
      <c r="AM1042" s="319">
        <v>5</v>
      </c>
      <c r="AN1042" s="319">
        <v>2</v>
      </c>
      <c r="AO1042" s="319">
        <v>0.4</v>
      </c>
      <c r="AP1042">
        <v>12</v>
      </c>
      <c r="AR1042" s="136">
        <v>12</v>
      </c>
      <c r="AT1042" s="69">
        <v>2.3148</v>
      </c>
      <c r="AU1042" s="69">
        <v>2.3148</v>
      </c>
      <c r="AV1042" s="69">
        <v>2.3148</v>
      </c>
      <c r="AW1042" s="69">
        <v>0.23150000000000001</v>
      </c>
      <c r="BB1042" s="69"/>
    </row>
    <row r="1043" spans="1:54" customFormat="1" ht="40" customHeight="1">
      <c r="A1043" s="313">
        <v>1042</v>
      </c>
      <c r="B1043" s="136" t="s">
        <v>2833</v>
      </c>
      <c r="C1043" s="136" t="s">
        <v>45</v>
      </c>
      <c r="D1043" s="31">
        <f t="shared" si="74"/>
        <v>4</v>
      </c>
      <c r="E1043" s="137" t="s">
        <v>80</v>
      </c>
      <c r="F1043" s="31">
        <f t="shared" si="75"/>
        <v>4</v>
      </c>
      <c r="G1043" s="137" t="s">
        <v>2840</v>
      </c>
      <c r="H1043" s="138">
        <v>68</v>
      </c>
      <c r="I1043" s="158">
        <f t="shared" si="76"/>
        <v>0.39816463893120468</v>
      </c>
      <c r="J1043" s="95">
        <v>3.0360972348841798E-4</v>
      </c>
      <c r="K1043" s="137">
        <v>0.79602566813892095</v>
      </c>
      <c r="L1043" s="137">
        <v>0.82499999999999996</v>
      </c>
      <c r="M1043" s="137">
        <v>0.75256417034730305</v>
      </c>
      <c r="N1043" s="136">
        <v>1</v>
      </c>
      <c r="O1043" s="32">
        <v>43910</v>
      </c>
      <c r="P1043" s="98">
        <f t="shared" si="77"/>
        <v>0</v>
      </c>
      <c r="Q1043">
        <v>5.0999999999999996</v>
      </c>
      <c r="R1043">
        <v>0</v>
      </c>
      <c r="S1043">
        <v>0</v>
      </c>
      <c r="T1043" s="112" t="s">
        <v>48</v>
      </c>
      <c r="U1043" s="137" t="s">
        <v>2841</v>
      </c>
      <c r="V1043" s="137" t="s">
        <v>2842</v>
      </c>
      <c r="W1043" s="69">
        <v>43</v>
      </c>
      <c r="X1043" s="136">
        <v>1</v>
      </c>
      <c r="Y1043" s="136">
        <v>3</v>
      </c>
      <c r="Z1043" s="314"/>
      <c r="AA1043" s="319">
        <v>0.59450000000000003</v>
      </c>
      <c r="AB1043" s="315" t="s">
        <v>5176</v>
      </c>
      <c r="AC1043" s="319">
        <v>1</v>
      </c>
      <c r="AD1043" s="320">
        <v>3.8461538461538401E-2</v>
      </c>
      <c r="AE1043" s="319">
        <v>2</v>
      </c>
      <c r="AF1043" s="320">
        <v>7.69230769230769E-2</v>
      </c>
      <c r="AG1043" s="319">
        <v>0</v>
      </c>
      <c r="AH1043" s="320">
        <v>0</v>
      </c>
      <c r="AI1043" s="319">
        <v>0</v>
      </c>
      <c r="AJ1043" s="320">
        <v>0</v>
      </c>
      <c r="AK1043" s="320">
        <v>3.8461538461538457E-2</v>
      </c>
      <c r="AL1043" s="319">
        <v>5</v>
      </c>
      <c r="AM1043" s="319">
        <v>5</v>
      </c>
      <c r="AN1043" s="319">
        <v>7.3333333333333304</v>
      </c>
      <c r="AO1043" s="319">
        <v>0.57777777777777695</v>
      </c>
      <c r="AP1043">
        <v>3</v>
      </c>
      <c r="AR1043" s="136">
        <v>3</v>
      </c>
      <c r="AT1043" s="69">
        <v>2.3148</v>
      </c>
      <c r="AU1043" s="69">
        <v>2.3148</v>
      </c>
      <c r="AV1043" s="69">
        <v>9.8416999999999994</v>
      </c>
      <c r="AW1043" s="69">
        <v>0.4824</v>
      </c>
      <c r="BB1043" s="69"/>
    </row>
    <row r="1044" spans="1:54" customFormat="1" ht="40" customHeight="1">
      <c r="A1044" s="313">
        <v>1043</v>
      </c>
      <c r="B1044" s="136" t="s">
        <v>2833</v>
      </c>
      <c r="C1044" s="136" t="s">
        <v>45</v>
      </c>
      <c r="D1044" s="31">
        <f t="shared" si="74"/>
        <v>4</v>
      </c>
      <c r="E1044" s="137" t="s">
        <v>664</v>
      </c>
      <c r="F1044" s="31">
        <f t="shared" si="75"/>
        <v>1</v>
      </c>
      <c r="G1044" s="137" t="s">
        <v>2843</v>
      </c>
      <c r="H1044" s="138">
        <v>92</v>
      </c>
      <c r="I1044" s="158">
        <f t="shared" si="76"/>
        <v>0.50210946959197456</v>
      </c>
      <c r="J1044" s="95">
        <v>0.26850465346966301</v>
      </c>
      <c r="K1044" s="137">
        <v>0.73571428571428599</v>
      </c>
      <c r="L1044" s="137">
        <v>0.75</v>
      </c>
      <c r="M1044" s="137">
        <v>0.71428571428571397</v>
      </c>
      <c r="N1044" s="136">
        <v>1</v>
      </c>
      <c r="O1044" s="32">
        <v>43763</v>
      </c>
      <c r="P1044" s="98">
        <f t="shared" si="77"/>
        <v>1</v>
      </c>
      <c r="Q1044">
        <v>0</v>
      </c>
      <c r="R1044">
        <v>0</v>
      </c>
      <c r="S1044">
        <v>0</v>
      </c>
      <c r="T1044" s="112" t="s">
        <v>73</v>
      </c>
      <c r="U1044" s="137" t="s">
        <v>2844</v>
      </c>
      <c r="V1044" s="137" t="s">
        <v>2845</v>
      </c>
      <c r="W1044" s="69">
        <v>66</v>
      </c>
      <c r="X1044" s="136">
        <v>4</v>
      </c>
      <c r="Y1044" s="136">
        <v>4</v>
      </c>
      <c r="Z1044" s="314"/>
      <c r="AA1044" s="319">
        <v>0.5</v>
      </c>
      <c r="AB1044" s="315" t="s">
        <v>5176</v>
      </c>
      <c r="AC1044" s="319">
        <v>0</v>
      </c>
      <c r="AD1044" s="320">
        <v>0</v>
      </c>
      <c r="AE1044" s="319">
        <v>3</v>
      </c>
      <c r="AF1044" s="320">
        <v>7.69230769230769E-2</v>
      </c>
      <c r="AG1044" s="319">
        <v>0</v>
      </c>
      <c r="AH1044" s="320">
        <v>0</v>
      </c>
      <c r="AI1044" s="319">
        <v>0</v>
      </c>
      <c r="AJ1044" s="320">
        <v>0</v>
      </c>
      <c r="AK1044" s="320">
        <v>5.128205128205128E-2</v>
      </c>
      <c r="AL1044" s="319">
        <v>7.2857142857142803</v>
      </c>
      <c r="AM1044" s="319">
        <v>5</v>
      </c>
      <c r="AN1044" s="319">
        <v>2</v>
      </c>
      <c r="AO1044" s="319">
        <v>0.476190476190476</v>
      </c>
      <c r="AP1044">
        <v>4</v>
      </c>
      <c r="AR1044" s="136">
        <v>4</v>
      </c>
      <c r="AT1044" s="69">
        <v>7.4837999999999996</v>
      </c>
      <c r="AU1044" s="69">
        <v>2.3148</v>
      </c>
      <c r="AV1044" s="69">
        <v>2.3148</v>
      </c>
      <c r="AW1044" s="69">
        <v>0.40379999999999999</v>
      </c>
      <c r="BB1044" s="69"/>
    </row>
    <row r="1045" spans="1:54" customFormat="1" ht="40" customHeight="1">
      <c r="A1045" s="313">
        <v>1044</v>
      </c>
      <c r="B1045" s="136" t="s">
        <v>2833</v>
      </c>
      <c r="C1045" s="136" t="s">
        <v>45</v>
      </c>
      <c r="D1045" s="31">
        <f t="shared" si="74"/>
        <v>4</v>
      </c>
      <c r="E1045" s="137" t="s">
        <v>664</v>
      </c>
      <c r="F1045" s="31">
        <f t="shared" si="75"/>
        <v>1</v>
      </c>
      <c r="G1045" s="137" t="s">
        <v>2846</v>
      </c>
      <c r="H1045" s="138">
        <v>119</v>
      </c>
      <c r="I1045" s="158">
        <f t="shared" si="76"/>
        <v>0.3159566031560237</v>
      </c>
      <c r="J1045" s="95">
        <v>7.8836201895283398E-2</v>
      </c>
      <c r="K1045" s="137">
        <v>0.553077004416764</v>
      </c>
      <c r="L1045" s="137">
        <v>0.75</v>
      </c>
      <c r="M1045" s="137">
        <v>0.25769251104190999</v>
      </c>
      <c r="N1045" s="136">
        <v>1</v>
      </c>
      <c r="O1045" s="32">
        <v>43762</v>
      </c>
      <c r="P1045" s="98">
        <f t="shared" si="77"/>
        <v>1</v>
      </c>
      <c r="Q1045">
        <v>0</v>
      </c>
      <c r="R1045">
        <v>0</v>
      </c>
      <c r="S1045">
        <v>0</v>
      </c>
      <c r="T1045" s="112" t="s">
        <v>73</v>
      </c>
      <c r="U1045" s="137" t="s">
        <v>2847</v>
      </c>
      <c r="V1045" s="137" t="s">
        <v>2848</v>
      </c>
      <c r="W1045" s="69">
        <v>118</v>
      </c>
      <c r="X1045" s="136">
        <v>6</v>
      </c>
      <c r="Y1045" s="136">
        <v>27</v>
      </c>
      <c r="Z1045" s="314"/>
      <c r="AA1045" s="319">
        <v>0.5</v>
      </c>
      <c r="AB1045" s="315" t="s">
        <v>5178</v>
      </c>
      <c r="AC1045" s="319">
        <v>1</v>
      </c>
      <c r="AD1045" s="320">
        <v>1.42857142857142E-2</v>
      </c>
      <c r="AE1045" s="319">
        <v>1</v>
      </c>
      <c r="AF1045" s="320">
        <v>1.42857142857142E-2</v>
      </c>
      <c r="AG1045" s="319">
        <v>0</v>
      </c>
      <c r="AH1045" s="320">
        <v>0</v>
      </c>
      <c r="AI1045" s="319">
        <v>0</v>
      </c>
      <c r="AJ1045" s="320">
        <v>0</v>
      </c>
      <c r="AK1045" s="320">
        <v>0</v>
      </c>
      <c r="AL1045" s="319">
        <v>5</v>
      </c>
      <c r="AM1045" s="319">
        <v>5</v>
      </c>
      <c r="AN1045" s="319">
        <v>3.5</v>
      </c>
      <c r="AO1045" s="319">
        <v>0.45</v>
      </c>
      <c r="AP1045">
        <v>27</v>
      </c>
      <c r="AS1045" s="136">
        <v>27</v>
      </c>
      <c r="AT1045" s="69">
        <v>2.3148</v>
      </c>
      <c r="AU1045" s="69">
        <v>2.3148</v>
      </c>
      <c r="AV1045" s="69">
        <v>5.7443999999999997</v>
      </c>
      <c r="AW1045" s="69">
        <v>0.3458</v>
      </c>
      <c r="BB1045" s="69"/>
    </row>
    <row r="1046" spans="1:54" customFormat="1" ht="40" customHeight="1">
      <c r="A1046" s="313">
        <v>1045</v>
      </c>
      <c r="B1046" s="136" t="s">
        <v>2833</v>
      </c>
      <c r="C1046" s="136" t="s">
        <v>45</v>
      </c>
      <c r="D1046" s="31">
        <f t="shared" si="74"/>
        <v>4</v>
      </c>
      <c r="E1046" s="137" t="s">
        <v>80</v>
      </c>
      <c r="F1046" s="31">
        <f t="shared" si="75"/>
        <v>4</v>
      </c>
      <c r="G1046" s="137" t="s">
        <v>2849</v>
      </c>
      <c r="H1046" s="138">
        <v>30</v>
      </c>
      <c r="I1046" s="158">
        <f t="shared" si="76"/>
        <v>0.37230031097749133</v>
      </c>
      <c r="J1046" s="95">
        <v>7.8641115867361699E-4</v>
      </c>
      <c r="K1046" s="137">
        <v>0.74381421079630905</v>
      </c>
      <c r="L1046" s="137">
        <v>0.82499999999999996</v>
      </c>
      <c r="M1046" s="137">
        <v>0.62203552699077302</v>
      </c>
      <c r="N1046" s="136">
        <v>1</v>
      </c>
      <c r="O1046" s="32">
        <v>43731</v>
      </c>
      <c r="P1046" s="98">
        <f t="shared" si="77"/>
        <v>0</v>
      </c>
      <c r="Q1046">
        <v>2.5499999999999998</v>
      </c>
      <c r="R1046">
        <v>0</v>
      </c>
      <c r="S1046">
        <v>0</v>
      </c>
      <c r="T1046" s="112" t="s">
        <v>48</v>
      </c>
      <c r="U1046" s="137" t="s">
        <v>2850</v>
      </c>
      <c r="V1046" s="137" t="s">
        <v>2851</v>
      </c>
      <c r="W1046" s="69">
        <v>84</v>
      </c>
      <c r="X1046" s="136">
        <v>3</v>
      </c>
      <c r="Y1046" s="136">
        <v>7</v>
      </c>
      <c r="Z1046" s="314"/>
      <c r="AA1046" s="319">
        <v>0.54500000000000004</v>
      </c>
      <c r="AB1046" s="315" t="s">
        <v>5178</v>
      </c>
      <c r="AC1046" s="319">
        <v>2</v>
      </c>
      <c r="AD1046" s="320">
        <v>3.8461538461538401E-2</v>
      </c>
      <c r="AE1046" s="319">
        <v>2</v>
      </c>
      <c r="AF1046" s="320">
        <v>3.8461538461538401E-2</v>
      </c>
      <c r="AG1046" s="319">
        <v>0</v>
      </c>
      <c r="AH1046" s="320">
        <v>0</v>
      </c>
      <c r="AI1046" s="319">
        <v>0</v>
      </c>
      <c r="AJ1046" s="320">
        <v>0</v>
      </c>
      <c r="AK1046" s="320">
        <v>1.9230769230769228E-2</v>
      </c>
      <c r="AL1046" s="319">
        <v>5</v>
      </c>
      <c r="AM1046" s="319">
        <v>5</v>
      </c>
      <c r="AN1046" s="319">
        <v>4.6666666666666599</v>
      </c>
      <c r="AO1046" s="319">
        <v>0.48888888888888798</v>
      </c>
      <c r="AP1046">
        <v>7</v>
      </c>
      <c r="AR1046" s="136">
        <v>7</v>
      </c>
      <c r="AT1046" s="69">
        <v>2.3148</v>
      </c>
      <c r="AU1046" s="69">
        <v>2.3148</v>
      </c>
      <c r="AV1046" s="69">
        <v>8.1305999999999994</v>
      </c>
      <c r="AW1046" s="69">
        <v>0.42530000000000001</v>
      </c>
      <c r="BB1046" s="69"/>
    </row>
    <row r="1047" spans="1:54" customFormat="1" ht="40" customHeight="1">
      <c r="A1047" s="313">
        <v>1046</v>
      </c>
      <c r="B1047" s="136" t="s">
        <v>2833</v>
      </c>
      <c r="C1047" s="136" t="s">
        <v>59</v>
      </c>
      <c r="D1047" s="31">
        <f t="shared" si="74"/>
        <v>5</v>
      </c>
      <c r="E1047" s="137" t="s">
        <v>664</v>
      </c>
      <c r="F1047" s="31">
        <f t="shared" si="75"/>
        <v>1</v>
      </c>
      <c r="G1047" s="137" t="s">
        <v>2852</v>
      </c>
      <c r="H1047" s="138">
        <v>48</v>
      </c>
      <c r="I1047" s="158">
        <f t="shared" si="76"/>
        <v>0.86401487427424595</v>
      </c>
      <c r="J1047" s="95">
        <v>0.99975104302175999</v>
      </c>
      <c r="K1047" s="137">
        <v>0.72827870552673202</v>
      </c>
      <c r="L1047" s="137">
        <v>0.68181818181818199</v>
      </c>
      <c r="M1047" s="137">
        <v>0.79796949108955795</v>
      </c>
      <c r="N1047" s="136">
        <v>1</v>
      </c>
      <c r="O1047" s="32">
        <v>43718</v>
      </c>
      <c r="P1047" s="98">
        <f t="shared" si="77"/>
        <v>1</v>
      </c>
      <c r="Q1047">
        <v>0</v>
      </c>
      <c r="R1047">
        <v>0</v>
      </c>
      <c r="S1047">
        <v>0</v>
      </c>
      <c r="T1047" s="112" t="s">
        <v>73</v>
      </c>
      <c r="U1047" s="137" t="s">
        <v>2853</v>
      </c>
      <c r="V1047" s="137" t="s">
        <v>2854</v>
      </c>
      <c r="W1047" s="69">
        <v>15</v>
      </c>
      <c r="X1047" s="136">
        <v>1</v>
      </c>
      <c r="Y1047" s="136">
        <v>2</v>
      </c>
      <c r="Z1047" s="314"/>
      <c r="AA1047" s="319">
        <v>0.45454545454545398</v>
      </c>
      <c r="AB1047" s="315" t="s">
        <v>5165</v>
      </c>
      <c r="AC1047" s="319">
        <v>1</v>
      </c>
      <c r="AD1047" s="320">
        <v>0.11111111111111099</v>
      </c>
      <c r="AE1047" s="319">
        <v>0</v>
      </c>
      <c r="AF1047" s="320">
        <v>0</v>
      </c>
      <c r="AG1047" s="319">
        <v>0</v>
      </c>
      <c r="AH1047" s="320">
        <v>0</v>
      </c>
      <c r="AI1047" s="319">
        <v>0</v>
      </c>
      <c r="AJ1047" s="320">
        <v>0</v>
      </c>
      <c r="AK1047" s="320">
        <v>0</v>
      </c>
      <c r="AL1047" s="319">
        <v>5</v>
      </c>
      <c r="AM1047" s="319">
        <v>5</v>
      </c>
      <c r="AN1047" s="319">
        <v>2</v>
      </c>
      <c r="AO1047" s="319">
        <v>0.4</v>
      </c>
      <c r="AP1047">
        <v>2</v>
      </c>
      <c r="AR1047" s="136">
        <v>2</v>
      </c>
      <c r="AT1047" s="69">
        <v>2.3148</v>
      </c>
      <c r="AU1047" s="69">
        <v>2.3148</v>
      </c>
      <c r="AV1047" s="69">
        <v>2.3148</v>
      </c>
      <c r="AW1047" s="69">
        <v>0.23150000000000001</v>
      </c>
      <c r="BB1047" s="69"/>
    </row>
    <row r="1048" spans="1:54" customFormat="1" ht="40" customHeight="1">
      <c r="A1048" s="313">
        <v>1047</v>
      </c>
      <c r="B1048" s="136" t="s">
        <v>2833</v>
      </c>
      <c r="C1048" s="136" t="s">
        <v>45</v>
      </c>
      <c r="D1048" s="31">
        <f t="shared" si="74"/>
        <v>4</v>
      </c>
      <c r="E1048" s="137" t="s">
        <v>664</v>
      </c>
      <c r="F1048" s="31">
        <f t="shared" si="75"/>
        <v>1</v>
      </c>
      <c r="G1048" s="137" t="s">
        <v>2855</v>
      </c>
      <c r="H1048" s="138">
        <v>67</v>
      </c>
      <c r="I1048" s="158">
        <f t="shared" si="76"/>
        <v>0.30625707010732106</v>
      </c>
      <c r="J1048" s="95">
        <v>2.23772089671515E-3</v>
      </c>
      <c r="K1048" s="137">
        <v>0.61027641931792698</v>
      </c>
      <c r="L1048" s="137">
        <v>0.61983471074380203</v>
      </c>
      <c r="M1048" s="137">
        <v>0.59593898217911601</v>
      </c>
      <c r="N1048" s="136">
        <v>1</v>
      </c>
      <c r="O1048" s="32">
        <v>43717</v>
      </c>
      <c r="P1048" s="98">
        <f t="shared" si="77"/>
        <v>2</v>
      </c>
      <c r="Q1048">
        <v>0</v>
      </c>
      <c r="R1048">
        <v>0</v>
      </c>
      <c r="S1048">
        <v>0</v>
      </c>
      <c r="T1048" s="112" t="s">
        <v>64</v>
      </c>
      <c r="U1048" s="137" t="s">
        <v>2856</v>
      </c>
      <c r="V1048" s="137" t="s">
        <v>2857</v>
      </c>
      <c r="W1048" s="69">
        <v>140</v>
      </c>
      <c r="X1048" s="136">
        <v>2</v>
      </c>
      <c r="Y1048" s="136">
        <v>8</v>
      </c>
      <c r="Z1048" s="314"/>
      <c r="AA1048" s="319">
        <v>0.55000000000000004</v>
      </c>
      <c r="AB1048" s="315" t="s">
        <v>5165</v>
      </c>
      <c r="AC1048" s="319">
        <v>2</v>
      </c>
      <c r="AD1048" s="320">
        <v>2.27272727272727E-2</v>
      </c>
      <c r="AE1048" s="319">
        <v>1</v>
      </c>
      <c r="AF1048" s="320">
        <v>1.13636363636363E-2</v>
      </c>
      <c r="AG1048" s="319">
        <v>0</v>
      </c>
      <c r="AH1048" s="320">
        <v>0</v>
      </c>
      <c r="AI1048" s="319">
        <v>1</v>
      </c>
      <c r="AJ1048" s="320">
        <v>1.13636363636363E-2</v>
      </c>
      <c r="AK1048" s="320">
        <v>0</v>
      </c>
      <c r="AL1048" s="319">
        <v>5</v>
      </c>
      <c r="AM1048" s="319">
        <v>5</v>
      </c>
      <c r="AN1048" s="319">
        <v>3.5</v>
      </c>
      <c r="AO1048" s="319">
        <v>0.45</v>
      </c>
      <c r="AP1048">
        <v>8</v>
      </c>
      <c r="AR1048" s="136">
        <v>8</v>
      </c>
      <c r="AT1048" s="69">
        <v>2.3148</v>
      </c>
      <c r="AU1048" s="69">
        <v>2.3148</v>
      </c>
      <c r="AV1048" s="69">
        <v>5.7443999999999997</v>
      </c>
      <c r="AW1048" s="69">
        <v>0.3458</v>
      </c>
      <c r="BB1048" s="69"/>
    </row>
    <row r="1049" spans="1:54" customFormat="1" ht="40" customHeight="1">
      <c r="A1049" s="313">
        <v>1048</v>
      </c>
      <c r="B1049" s="136" t="s">
        <v>2833</v>
      </c>
      <c r="C1049" s="136" t="s">
        <v>45</v>
      </c>
      <c r="D1049" s="31">
        <f t="shared" si="74"/>
        <v>4</v>
      </c>
      <c r="E1049" s="137" t="s">
        <v>80</v>
      </c>
      <c r="F1049" s="31">
        <f t="shared" si="75"/>
        <v>4</v>
      </c>
      <c r="G1049" s="137" t="s">
        <v>2858</v>
      </c>
      <c r="H1049" s="138">
        <v>35</v>
      </c>
      <c r="I1049" s="158">
        <f t="shared" si="76"/>
        <v>0.39331090006694219</v>
      </c>
      <c r="J1049" s="95">
        <v>6.3050371562455396E-2</v>
      </c>
      <c r="K1049" s="137">
        <v>0.72357142857142898</v>
      </c>
      <c r="L1049" s="137">
        <v>0.82499999999999996</v>
      </c>
      <c r="M1049" s="137">
        <v>0.57142857142857095</v>
      </c>
      <c r="N1049" s="136">
        <v>1</v>
      </c>
      <c r="O1049" s="32">
        <v>43710</v>
      </c>
      <c r="P1049" s="98">
        <f t="shared" si="77"/>
        <v>2</v>
      </c>
      <c r="Q1049">
        <v>0</v>
      </c>
      <c r="R1049">
        <v>0</v>
      </c>
      <c r="S1049">
        <v>0</v>
      </c>
      <c r="T1049" s="112" t="s">
        <v>64</v>
      </c>
      <c r="U1049" s="137" t="s">
        <v>2859</v>
      </c>
      <c r="V1049" s="137" t="s">
        <v>2860</v>
      </c>
      <c r="W1049" s="69">
        <v>44</v>
      </c>
      <c r="X1049" s="136">
        <v>3</v>
      </c>
      <c r="Y1049" s="136">
        <v>9</v>
      </c>
      <c r="Z1049" s="314"/>
      <c r="AA1049" s="319">
        <v>0.54500000000000004</v>
      </c>
      <c r="AB1049" s="315" t="s">
        <v>5166</v>
      </c>
      <c r="AC1049" s="319">
        <v>1</v>
      </c>
      <c r="AD1049" s="320">
        <v>0.04</v>
      </c>
      <c r="AE1049" s="319">
        <v>0</v>
      </c>
      <c r="AF1049" s="320">
        <v>0</v>
      </c>
      <c r="AG1049" s="319">
        <v>0</v>
      </c>
      <c r="AH1049" s="320">
        <v>0</v>
      </c>
      <c r="AI1049" s="319">
        <v>1</v>
      </c>
      <c r="AJ1049" s="320">
        <v>0.04</v>
      </c>
      <c r="AK1049" s="320">
        <v>0</v>
      </c>
      <c r="AL1049" s="319">
        <v>5</v>
      </c>
      <c r="AM1049" s="319">
        <v>5</v>
      </c>
      <c r="AN1049" s="319">
        <v>4.6666666666666599</v>
      </c>
      <c r="AO1049" s="319">
        <v>0.48888888888888798</v>
      </c>
      <c r="AP1049">
        <v>9</v>
      </c>
      <c r="AR1049" s="136">
        <v>9</v>
      </c>
      <c r="AT1049" s="69">
        <v>2.3148</v>
      </c>
      <c r="AU1049" s="69">
        <v>2.3148</v>
      </c>
      <c r="AV1049" s="69">
        <v>8.1305999999999994</v>
      </c>
      <c r="AW1049" s="69">
        <v>0.42530000000000001</v>
      </c>
      <c r="BB1049" s="69"/>
    </row>
    <row r="1050" spans="1:54" customFormat="1" ht="40" customHeight="1">
      <c r="A1050" s="313">
        <v>1049</v>
      </c>
      <c r="B1050" s="136" t="s">
        <v>2833</v>
      </c>
      <c r="C1050" s="136" t="s">
        <v>45</v>
      </c>
      <c r="D1050" s="31">
        <f t="shared" si="74"/>
        <v>4</v>
      </c>
      <c r="E1050" s="137" t="s">
        <v>664</v>
      </c>
      <c r="F1050" s="31">
        <f t="shared" si="75"/>
        <v>1</v>
      </c>
      <c r="G1050" s="137" t="s">
        <v>2861</v>
      </c>
      <c r="H1050" s="138">
        <v>26</v>
      </c>
      <c r="I1050" s="158">
        <f t="shared" si="76"/>
        <v>0.34840020516131126</v>
      </c>
      <c r="J1050" s="95">
        <v>1.8228981751194501E-2</v>
      </c>
      <c r="K1050" s="137">
        <v>0.67857142857142805</v>
      </c>
      <c r="L1050" s="137">
        <v>0.75</v>
      </c>
      <c r="M1050" s="137">
        <v>0.57142857142857095</v>
      </c>
      <c r="N1050" s="136">
        <v>1</v>
      </c>
      <c r="O1050" s="32">
        <v>43704</v>
      </c>
      <c r="P1050" s="98">
        <f t="shared" si="77"/>
        <v>0</v>
      </c>
      <c r="Q1050">
        <v>2.5499999999999998</v>
      </c>
      <c r="R1050">
        <v>0</v>
      </c>
      <c r="S1050">
        <v>0</v>
      </c>
      <c r="T1050" s="112" t="s">
        <v>48</v>
      </c>
      <c r="U1050" s="137" t="s">
        <v>2862</v>
      </c>
      <c r="V1050" s="137" t="s">
        <v>2863</v>
      </c>
      <c r="W1050" s="69">
        <v>133</v>
      </c>
      <c r="X1050" s="136">
        <v>2</v>
      </c>
      <c r="Y1050" s="136">
        <v>9</v>
      </c>
      <c r="Z1050" s="314"/>
      <c r="AA1050" s="319">
        <v>0.5</v>
      </c>
      <c r="AB1050" s="315" t="s">
        <v>5178</v>
      </c>
      <c r="AC1050" s="319">
        <v>1</v>
      </c>
      <c r="AD1050" s="320">
        <v>1.26582278481012E-2</v>
      </c>
      <c r="AE1050" s="319">
        <v>1</v>
      </c>
      <c r="AF1050" s="320">
        <v>1.26582278481012E-2</v>
      </c>
      <c r="AG1050" s="319">
        <v>0</v>
      </c>
      <c r="AH1050" s="320">
        <v>0</v>
      </c>
      <c r="AI1050" s="319">
        <v>0</v>
      </c>
      <c r="AJ1050" s="320">
        <v>0</v>
      </c>
      <c r="AK1050" s="320">
        <v>0</v>
      </c>
      <c r="AL1050" s="319">
        <v>5</v>
      </c>
      <c r="AM1050" s="319">
        <v>5</v>
      </c>
      <c r="AN1050" s="319">
        <v>2</v>
      </c>
      <c r="AO1050" s="319">
        <v>0.4</v>
      </c>
      <c r="AP1050">
        <v>9</v>
      </c>
      <c r="AR1050" s="136">
        <v>9</v>
      </c>
      <c r="AT1050" s="69">
        <v>2.3148</v>
      </c>
      <c r="AU1050" s="69">
        <v>2.3148</v>
      </c>
      <c r="AV1050" s="69">
        <v>2.3148</v>
      </c>
      <c r="AW1050" s="69">
        <v>0.23150000000000001</v>
      </c>
      <c r="BB1050" s="69"/>
    </row>
    <row r="1051" spans="1:54" customFormat="1" ht="40" customHeight="1">
      <c r="A1051" s="313">
        <v>1050</v>
      </c>
      <c r="B1051" s="136" t="s">
        <v>2833</v>
      </c>
      <c r="C1051" s="136" t="s">
        <v>45</v>
      </c>
      <c r="D1051" s="31">
        <f t="shared" si="74"/>
        <v>4</v>
      </c>
      <c r="E1051" s="137" t="s">
        <v>664</v>
      </c>
      <c r="F1051" s="31">
        <f t="shared" si="75"/>
        <v>1</v>
      </c>
      <c r="G1051" s="137" t="s">
        <v>2864</v>
      </c>
      <c r="H1051" s="138">
        <v>49</v>
      </c>
      <c r="I1051" s="158">
        <f t="shared" si="76"/>
        <v>0.31735717092113575</v>
      </c>
      <c r="J1051" s="95">
        <v>6.3250133324125298E-3</v>
      </c>
      <c r="K1051" s="137">
        <v>0.62838932850985896</v>
      </c>
      <c r="L1051" s="137">
        <v>0.68181818181818199</v>
      </c>
      <c r="M1051" s="137">
        <v>0.54824604854737402</v>
      </c>
      <c r="N1051" s="136">
        <v>1</v>
      </c>
      <c r="O1051" s="32">
        <v>43702</v>
      </c>
      <c r="P1051" s="98">
        <f t="shared" si="77"/>
        <v>2</v>
      </c>
      <c r="Q1051">
        <v>0</v>
      </c>
      <c r="R1051">
        <v>0</v>
      </c>
      <c r="S1051">
        <v>1.87</v>
      </c>
      <c r="T1051" s="112" t="s">
        <v>64</v>
      </c>
      <c r="U1051" s="137" t="s">
        <v>2865</v>
      </c>
      <c r="V1051" s="137" t="s">
        <v>2866</v>
      </c>
      <c r="W1051" s="69">
        <v>162</v>
      </c>
      <c r="X1051" s="136">
        <v>3</v>
      </c>
      <c r="Y1051" s="136">
        <v>10</v>
      </c>
      <c r="Z1051" s="314"/>
      <c r="AA1051" s="319">
        <v>0.55000000000000004</v>
      </c>
      <c r="AB1051" s="315" t="s">
        <v>5178</v>
      </c>
      <c r="AC1051" s="319">
        <v>1</v>
      </c>
      <c r="AD1051" s="320">
        <v>1.0204081632653E-2</v>
      </c>
      <c r="AE1051" s="319">
        <v>1</v>
      </c>
      <c r="AF1051" s="320">
        <v>1.0204081632653E-2</v>
      </c>
      <c r="AG1051" s="319">
        <v>0</v>
      </c>
      <c r="AH1051" s="320">
        <v>0</v>
      </c>
      <c r="AI1051" s="319">
        <v>0</v>
      </c>
      <c r="AJ1051" s="320">
        <v>0</v>
      </c>
      <c r="AK1051" s="320">
        <v>0</v>
      </c>
      <c r="AL1051" s="319">
        <v>5</v>
      </c>
      <c r="AM1051" s="319">
        <v>5</v>
      </c>
      <c r="AN1051" s="319">
        <v>2</v>
      </c>
      <c r="AO1051" s="319">
        <v>0.4</v>
      </c>
      <c r="AP1051">
        <v>10</v>
      </c>
      <c r="AR1051" s="136">
        <v>10</v>
      </c>
      <c r="AT1051" s="69">
        <v>2.3148</v>
      </c>
      <c r="AU1051" s="69">
        <v>2.3148</v>
      </c>
      <c r="AV1051" s="69">
        <v>2.3148</v>
      </c>
      <c r="AW1051" s="69">
        <v>0.23150000000000001</v>
      </c>
      <c r="BB1051" s="69"/>
    </row>
    <row r="1052" spans="1:54" customFormat="1" ht="40" customHeight="1">
      <c r="A1052" s="313">
        <v>1051</v>
      </c>
      <c r="B1052" s="136" t="s">
        <v>2833</v>
      </c>
      <c r="C1052" s="136" t="s">
        <v>45</v>
      </c>
      <c r="D1052" s="31">
        <f t="shared" si="74"/>
        <v>4</v>
      </c>
      <c r="E1052" s="137" t="s">
        <v>221</v>
      </c>
      <c r="F1052" s="31">
        <f t="shared" si="75"/>
        <v>2</v>
      </c>
      <c r="G1052" s="137" t="s">
        <v>2867</v>
      </c>
      <c r="H1052" s="138">
        <v>23</v>
      </c>
      <c r="I1052" s="158">
        <f t="shared" si="76"/>
        <v>0.37899521375263978</v>
      </c>
      <c r="J1052" s="95">
        <v>2.22761417909936E-2</v>
      </c>
      <c r="K1052" s="137">
        <v>0.73571428571428599</v>
      </c>
      <c r="L1052" s="137">
        <v>0.75</v>
      </c>
      <c r="M1052" s="137">
        <v>0.71428571428571397</v>
      </c>
      <c r="N1052" s="136">
        <v>1</v>
      </c>
      <c r="O1052" s="32">
        <v>43694</v>
      </c>
      <c r="P1052" s="98">
        <f t="shared" si="77"/>
        <v>0</v>
      </c>
      <c r="Q1052">
        <v>0</v>
      </c>
      <c r="R1052">
        <v>0</v>
      </c>
      <c r="S1052">
        <v>0</v>
      </c>
      <c r="T1052" s="112" t="s">
        <v>48</v>
      </c>
      <c r="U1052" s="137" t="s">
        <v>2868</v>
      </c>
      <c r="V1052" s="137" t="s">
        <v>2869</v>
      </c>
      <c r="W1052" s="69">
        <v>98</v>
      </c>
      <c r="X1052" s="136">
        <v>1</v>
      </c>
      <c r="Y1052" s="136">
        <v>4</v>
      </c>
      <c r="Z1052" s="314"/>
      <c r="AA1052" s="319">
        <v>0.5</v>
      </c>
      <c r="AB1052" s="315" t="s">
        <v>5165</v>
      </c>
      <c r="AC1052" s="319">
        <v>5</v>
      </c>
      <c r="AD1052" s="320">
        <v>8.6206896551724102E-2</v>
      </c>
      <c r="AE1052" s="319">
        <v>1</v>
      </c>
      <c r="AF1052" s="320">
        <v>1.72413793103448E-2</v>
      </c>
      <c r="AG1052" s="319">
        <v>1</v>
      </c>
      <c r="AH1052" s="320">
        <v>1.72413793103448E-2</v>
      </c>
      <c r="AI1052" s="319">
        <v>0</v>
      </c>
      <c r="AJ1052" s="320">
        <v>0</v>
      </c>
      <c r="AK1052" s="320">
        <v>0</v>
      </c>
      <c r="AL1052" s="319">
        <v>5</v>
      </c>
      <c r="AM1052" s="319">
        <v>5</v>
      </c>
      <c r="AN1052" s="319">
        <v>2</v>
      </c>
      <c r="AO1052" s="319">
        <v>0.4</v>
      </c>
      <c r="AP1052">
        <v>4</v>
      </c>
      <c r="AR1052" s="136">
        <v>4</v>
      </c>
      <c r="AT1052" s="69">
        <v>2.3148</v>
      </c>
      <c r="AU1052" s="69">
        <v>2.3148</v>
      </c>
      <c r="AV1052" s="69">
        <v>2.3148</v>
      </c>
      <c r="AW1052" s="69">
        <v>0.23150000000000001</v>
      </c>
      <c r="BB1052" s="69"/>
    </row>
    <row r="1053" spans="1:54" customFormat="1" ht="40" customHeight="1">
      <c r="A1053" s="313">
        <v>1052</v>
      </c>
      <c r="B1053" s="136" t="s">
        <v>2833</v>
      </c>
      <c r="C1053" s="136" t="s">
        <v>59</v>
      </c>
      <c r="D1053" s="31">
        <f t="shared" si="74"/>
        <v>5</v>
      </c>
      <c r="E1053" s="137" t="s">
        <v>664</v>
      </c>
      <c r="F1053" s="31">
        <f t="shared" si="75"/>
        <v>1</v>
      </c>
      <c r="G1053" s="137" t="s">
        <v>2870</v>
      </c>
      <c r="H1053" s="138">
        <v>34</v>
      </c>
      <c r="I1053" s="158">
        <f t="shared" si="76"/>
        <v>0.40649730450321614</v>
      </c>
      <c r="J1053" s="95">
        <v>8.4715903479700302E-2</v>
      </c>
      <c r="K1053" s="137">
        <v>0.72827870552673202</v>
      </c>
      <c r="L1053" s="137">
        <v>0.68181818181818199</v>
      </c>
      <c r="M1053" s="137">
        <v>0.79796949108955795</v>
      </c>
      <c r="N1053" s="136">
        <v>1</v>
      </c>
      <c r="O1053" s="32">
        <v>43619</v>
      </c>
      <c r="P1053" s="98">
        <f t="shared" si="77"/>
        <v>1</v>
      </c>
      <c r="Q1053">
        <v>0</v>
      </c>
      <c r="R1053">
        <v>1.65</v>
      </c>
      <c r="S1053">
        <v>0</v>
      </c>
      <c r="T1053" s="112" t="s">
        <v>73</v>
      </c>
      <c r="U1053" s="137" t="s">
        <v>2871</v>
      </c>
      <c r="V1053" s="137" t="s">
        <v>2872</v>
      </c>
      <c r="W1053" s="69">
        <v>38</v>
      </c>
      <c r="X1053" s="136">
        <v>1</v>
      </c>
      <c r="Y1053" s="136">
        <v>2</v>
      </c>
      <c r="Z1053" s="314"/>
      <c r="AA1053" s="319">
        <v>0.55000000000000004</v>
      </c>
      <c r="AB1053" s="315" t="s">
        <v>5176</v>
      </c>
      <c r="AC1053" s="319">
        <v>1</v>
      </c>
      <c r="AD1053" s="320">
        <v>0.04</v>
      </c>
      <c r="AE1053" s="319">
        <v>3</v>
      </c>
      <c r="AF1053" s="320">
        <v>0.12</v>
      </c>
      <c r="AG1053" s="319">
        <v>0</v>
      </c>
      <c r="AH1053" s="320">
        <v>0</v>
      </c>
      <c r="AI1053" s="319">
        <v>0</v>
      </c>
      <c r="AJ1053" s="320">
        <v>0</v>
      </c>
      <c r="AK1053" s="320">
        <v>0.04</v>
      </c>
      <c r="AL1053" s="319">
        <v>5</v>
      </c>
      <c r="AM1053" s="319">
        <v>5</v>
      </c>
      <c r="AN1053" s="319">
        <v>5</v>
      </c>
      <c r="AO1053" s="319">
        <v>0.5</v>
      </c>
      <c r="AP1053">
        <v>2</v>
      </c>
      <c r="AR1053" s="136">
        <v>2</v>
      </c>
      <c r="AT1053" s="69">
        <v>2.3148</v>
      </c>
      <c r="AU1053" s="69">
        <v>2.3148</v>
      </c>
      <c r="AV1053" s="69">
        <v>8.5815000000000001</v>
      </c>
      <c r="AW1053" s="69">
        <v>0.44040000000000001</v>
      </c>
      <c r="BB1053" s="69"/>
    </row>
    <row r="1054" spans="1:54" customFormat="1" ht="40" customHeight="1">
      <c r="A1054" s="313">
        <v>1053</v>
      </c>
      <c r="B1054" s="136" t="s">
        <v>2833</v>
      </c>
      <c r="C1054" s="136" t="s">
        <v>59</v>
      </c>
      <c r="D1054" s="31">
        <f t="shared" si="74"/>
        <v>5</v>
      </c>
      <c r="E1054" s="137" t="s">
        <v>664</v>
      </c>
      <c r="F1054" s="31">
        <f t="shared" si="75"/>
        <v>1</v>
      </c>
      <c r="G1054" s="137" t="s">
        <v>2873</v>
      </c>
      <c r="H1054" s="138">
        <v>150</v>
      </c>
      <c r="I1054" s="158">
        <f t="shared" si="76"/>
        <v>0.84740259641432791</v>
      </c>
      <c r="J1054" s="95">
        <v>0.99999999802346096</v>
      </c>
      <c r="K1054" s="137">
        <v>0.69480519480519498</v>
      </c>
      <c r="L1054" s="137">
        <v>0.68181818181818199</v>
      </c>
      <c r="M1054" s="137">
        <v>0.71428571428571397</v>
      </c>
      <c r="N1054" s="136">
        <v>1</v>
      </c>
      <c r="O1054" s="32">
        <v>43567</v>
      </c>
      <c r="P1054" s="98">
        <f t="shared" si="77"/>
        <v>1</v>
      </c>
      <c r="Q1054">
        <v>0</v>
      </c>
      <c r="R1054">
        <v>1.65</v>
      </c>
      <c r="S1054">
        <v>0</v>
      </c>
      <c r="T1054" s="112" t="s">
        <v>73</v>
      </c>
      <c r="U1054" s="137" t="s">
        <v>2874</v>
      </c>
      <c r="V1054" s="137" t="s">
        <v>2875</v>
      </c>
      <c r="W1054" s="69">
        <v>44</v>
      </c>
      <c r="X1054" s="136">
        <v>1</v>
      </c>
      <c r="Y1054" s="136">
        <v>4</v>
      </c>
      <c r="Z1054" s="314"/>
      <c r="AA1054" s="319">
        <v>0.45454545454545398</v>
      </c>
      <c r="AB1054" s="331" t="s">
        <v>5162</v>
      </c>
      <c r="AC1054" s="319">
        <v>0</v>
      </c>
      <c r="AD1054" s="320">
        <v>0</v>
      </c>
      <c r="AE1054" s="319">
        <v>0</v>
      </c>
      <c r="AF1054" s="320">
        <v>0</v>
      </c>
      <c r="AG1054" s="319">
        <v>0</v>
      </c>
      <c r="AH1054" s="320">
        <v>0</v>
      </c>
      <c r="AI1054" s="319">
        <v>0</v>
      </c>
      <c r="AJ1054" s="320">
        <v>0</v>
      </c>
      <c r="AK1054" s="320">
        <v>0</v>
      </c>
      <c r="AL1054" s="319">
        <v>5</v>
      </c>
      <c r="AM1054" s="319">
        <v>5</v>
      </c>
      <c r="AN1054" s="319">
        <v>3.5</v>
      </c>
      <c r="AO1054" s="319">
        <v>0.45</v>
      </c>
      <c r="AP1054">
        <v>4</v>
      </c>
      <c r="AQ1054" s="136">
        <v>4</v>
      </c>
      <c r="AT1054" s="69">
        <v>2.3148</v>
      </c>
      <c r="AU1054" s="69">
        <v>2.3148</v>
      </c>
      <c r="AV1054" s="69">
        <v>5.7443999999999997</v>
      </c>
      <c r="AW1054" s="69">
        <v>0.3458</v>
      </c>
      <c r="BB1054" s="69"/>
    </row>
    <row r="1055" spans="1:54" customFormat="1" ht="40" customHeight="1">
      <c r="A1055" s="313">
        <v>1054</v>
      </c>
      <c r="B1055" s="136" t="s">
        <v>2833</v>
      </c>
      <c r="C1055" s="136" t="s">
        <v>59</v>
      </c>
      <c r="D1055" s="31">
        <f t="shared" si="74"/>
        <v>5</v>
      </c>
      <c r="E1055" s="137" t="s">
        <v>664</v>
      </c>
      <c r="F1055" s="31">
        <f t="shared" si="75"/>
        <v>1</v>
      </c>
      <c r="G1055" s="137" t="s">
        <v>2876</v>
      </c>
      <c r="H1055" s="138">
        <v>93</v>
      </c>
      <c r="I1055" s="158">
        <f t="shared" si="76"/>
        <v>0.78628213706469996</v>
      </c>
      <c r="J1055" s="95">
        <v>0.99018486427485597</v>
      </c>
      <c r="K1055" s="137">
        <v>0.58237940985454395</v>
      </c>
      <c r="L1055" s="137">
        <v>0.61983471074380203</v>
      </c>
      <c r="M1055" s="137">
        <v>0.526196458520657</v>
      </c>
      <c r="N1055" s="136">
        <v>1</v>
      </c>
      <c r="O1055" s="32">
        <v>43559</v>
      </c>
      <c r="P1055" s="98">
        <f t="shared" si="77"/>
        <v>1</v>
      </c>
      <c r="Q1055">
        <v>0</v>
      </c>
      <c r="R1055">
        <v>3.3</v>
      </c>
      <c r="S1055">
        <v>0</v>
      </c>
      <c r="T1055" s="112" t="s">
        <v>73</v>
      </c>
      <c r="U1055" s="137" t="s">
        <v>2877</v>
      </c>
      <c r="V1055" s="137" t="s">
        <v>2875</v>
      </c>
      <c r="W1055" s="69">
        <v>44</v>
      </c>
      <c r="X1055" s="136">
        <v>3</v>
      </c>
      <c r="Y1055" s="136">
        <v>11</v>
      </c>
      <c r="Z1055" s="314"/>
      <c r="AA1055" s="319">
        <v>0.55000000000000004</v>
      </c>
      <c r="AB1055" s="331" t="s">
        <v>5162</v>
      </c>
      <c r="AC1055" s="319">
        <v>0</v>
      </c>
      <c r="AD1055" s="320">
        <v>0</v>
      </c>
      <c r="AE1055" s="319">
        <v>0</v>
      </c>
      <c r="AF1055" s="320">
        <v>0</v>
      </c>
      <c r="AG1055" s="319">
        <v>0</v>
      </c>
      <c r="AH1055" s="320">
        <v>0</v>
      </c>
      <c r="AI1055" s="319">
        <v>0</v>
      </c>
      <c r="AJ1055" s="320">
        <v>0</v>
      </c>
      <c r="AK1055" s="320">
        <v>0</v>
      </c>
      <c r="AL1055" s="319">
        <v>5</v>
      </c>
      <c r="AM1055" s="319">
        <v>5</v>
      </c>
      <c r="AN1055" s="319">
        <v>3.5</v>
      </c>
      <c r="AO1055" s="319">
        <v>0.45</v>
      </c>
      <c r="AP1055">
        <v>11</v>
      </c>
      <c r="AQ1055" s="136">
        <v>11</v>
      </c>
      <c r="AT1055" s="69">
        <v>2.3148</v>
      </c>
      <c r="AU1055" s="69">
        <v>2.3148</v>
      </c>
      <c r="AV1055" s="69">
        <v>5.7443999999999997</v>
      </c>
      <c r="AW1055" s="69">
        <v>0.3458</v>
      </c>
      <c r="BB1055" s="69"/>
    </row>
    <row r="1056" spans="1:54" customFormat="1" ht="40" customHeight="1">
      <c r="A1056" s="313">
        <v>1055</v>
      </c>
      <c r="B1056" s="136" t="s">
        <v>2833</v>
      </c>
      <c r="C1056" s="136" t="s">
        <v>59</v>
      </c>
      <c r="D1056" s="31">
        <f t="shared" si="74"/>
        <v>5</v>
      </c>
      <c r="E1056" s="137" t="s">
        <v>80</v>
      </c>
      <c r="F1056" s="31">
        <f t="shared" si="75"/>
        <v>4</v>
      </c>
      <c r="G1056" s="137" t="s">
        <v>2878</v>
      </c>
      <c r="H1056" s="138">
        <v>52</v>
      </c>
      <c r="I1056" s="158">
        <f t="shared" si="76"/>
        <v>0.40833922243490173</v>
      </c>
      <c r="J1056" s="95">
        <v>9.4453757869791502E-2</v>
      </c>
      <c r="K1056" s="137">
        <v>0.72222468700001197</v>
      </c>
      <c r="L1056" s="137">
        <v>0.75</v>
      </c>
      <c r="M1056" s="137">
        <v>0.68056171750003003</v>
      </c>
      <c r="N1056" s="136">
        <v>1</v>
      </c>
      <c r="O1056" s="32">
        <v>43448</v>
      </c>
      <c r="P1056" s="98">
        <f t="shared" si="77"/>
        <v>0</v>
      </c>
      <c r="Q1056">
        <v>2.5499999999999998</v>
      </c>
      <c r="R1056">
        <v>0</v>
      </c>
      <c r="S1056">
        <v>0</v>
      </c>
      <c r="T1056" s="112" t="s">
        <v>48</v>
      </c>
      <c r="U1056" s="137" t="s">
        <v>2879</v>
      </c>
      <c r="V1056" s="137" t="s">
        <v>2880</v>
      </c>
      <c r="W1056" s="69">
        <v>71</v>
      </c>
      <c r="X1056" s="136">
        <v>1</v>
      </c>
      <c r="Y1056" s="136">
        <v>5</v>
      </c>
      <c r="Z1056" s="314"/>
      <c r="AA1056" s="319">
        <v>0.5</v>
      </c>
      <c r="AB1056" s="315" t="s">
        <v>5176</v>
      </c>
      <c r="AC1056" s="319">
        <v>2</v>
      </c>
      <c r="AD1056" s="320">
        <v>0.05</v>
      </c>
      <c r="AE1056" s="319">
        <v>3</v>
      </c>
      <c r="AF1056" s="320">
        <v>7.4999999999999997E-2</v>
      </c>
      <c r="AG1056" s="319">
        <v>1</v>
      </c>
      <c r="AH1056" s="320">
        <v>2.5000000000000001E-2</v>
      </c>
      <c r="AI1056" s="319">
        <v>0</v>
      </c>
      <c r="AJ1056" s="320">
        <v>0</v>
      </c>
      <c r="AK1056" s="320">
        <v>0.05</v>
      </c>
      <c r="AL1056" s="319">
        <v>5</v>
      </c>
      <c r="AM1056" s="319">
        <v>6.2</v>
      </c>
      <c r="AN1056" s="319">
        <v>4.6666666666666599</v>
      </c>
      <c r="AO1056" s="319">
        <v>0.52888888888888796</v>
      </c>
      <c r="AP1056">
        <v>5</v>
      </c>
      <c r="AR1056" s="136">
        <v>5</v>
      </c>
      <c r="AT1056" s="69">
        <v>2.3148</v>
      </c>
      <c r="AU1056" s="69">
        <v>5</v>
      </c>
      <c r="AV1056" s="69">
        <v>8.1305999999999994</v>
      </c>
      <c r="AW1056" s="69">
        <v>0.51480000000000004</v>
      </c>
      <c r="BB1056" s="69"/>
    </row>
    <row r="1057" spans="1:54" customFormat="1" ht="40" customHeight="1">
      <c r="A1057" s="313">
        <v>1056</v>
      </c>
      <c r="B1057" s="136" t="s">
        <v>2833</v>
      </c>
      <c r="C1057" s="136" t="s">
        <v>59</v>
      </c>
      <c r="D1057" s="31">
        <f t="shared" si="74"/>
        <v>5</v>
      </c>
      <c r="E1057" s="137" t="s">
        <v>664</v>
      </c>
      <c r="F1057" s="31">
        <f t="shared" si="75"/>
        <v>1</v>
      </c>
      <c r="G1057" s="137" t="s">
        <v>2881</v>
      </c>
      <c r="H1057" s="138">
        <v>20</v>
      </c>
      <c r="I1057" s="158">
        <f t="shared" si="76"/>
        <v>0.60051393446506096</v>
      </c>
      <c r="J1057" s="95">
        <v>0.47274916340339002</v>
      </c>
      <c r="K1057" s="137">
        <v>0.72827870552673202</v>
      </c>
      <c r="L1057" s="137">
        <v>0.68181818181818199</v>
      </c>
      <c r="M1057" s="137">
        <v>0.79796949108955795</v>
      </c>
      <c r="N1057" s="136">
        <v>1</v>
      </c>
      <c r="O1057" s="32">
        <v>43402</v>
      </c>
      <c r="P1057" s="98">
        <f t="shared" si="77"/>
        <v>0</v>
      </c>
      <c r="Q1057">
        <v>0</v>
      </c>
      <c r="R1057">
        <v>1.65</v>
      </c>
      <c r="S1057">
        <v>0</v>
      </c>
      <c r="T1057" s="112" t="s">
        <v>48</v>
      </c>
      <c r="U1057" s="137" t="s">
        <v>2881</v>
      </c>
      <c r="V1057" s="137" t="s">
        <v>2882</v>
      </c>
      <c r="W1057" s="69">
        <v>28</v>
      </c>
      <c r="X1057" s="136">
        <v>1</v>
      </c>
      <c r="Y1057" s="136">
        <v>2</v>
      </c>
      <c r="Z1057" s="314"/>
      <c r="AA1057" s="319">
        <v>0.5</v>
      </c>
      <c r="AB1057" s="315" t="s">
        <v>5176</v>
      </c>
      <c r="AC1057" s="319">
        <v>1</v>
      </c>
      <c r="AD1057" s="320">
        <v>6.25E-2</v>
      </c>
      <c r="AE1057" s="319">
        <v>3</v>
      </c>
      <c r="AF1057" s="320">
        <v>0.1875</v>
      </c>
      <c r="AG1057" s="319">
        <v>0</v>
      </c>
      <c r="AH1057" s="320">
        <v>0</v>
      </c>
      <c r="AI1057" s="319">
        <v>0</v>
      </c>
      <c r="AJ1057" s="320">
        <v>0</v>
      </c>
      <c r="AK1057" s="320">
        <v>6.25E-2</v>
      </c>
      <c r="AL1057" s="319">
        <v>5</v>
      </c>
      <c r="AM1057" s="319">
        <v>5</v>
      </c>
      <c r="AN1057" s="319">
        <v>3.5</v>
      </c>
      <c r="AO1057" s="319">
        <v>0.45</v>
      </c>
      <c r="AP1057">
        <v>2</v>
      </c>
      <c r="AR1057" s="136">
        <v>2</v>
      </c>
      <c r="AT1057" s="69">
        <v>2.3148</v>
      </c>
      <c r="AU1057" s="69">
        <v>2.3148</v>
      </c>
      <c r="AV1057" s="69">
        <v>5.7443999999999997</v>
      </c>
      <c r="AW1057" s="69">
        <v>0.3458</v>
      </c>
      <c r="BB1057" s="69"/>
    </row>
    <row r="1058" spans="1:54" customFormat="1" ht="40" customHeight="1">
      <c r="A1058" s="313">
        <v>1057</v>
      </c>
      <c r="B1058" s="136" t="s">
        <v>2833</v>
      </c>
      <c r="C1058" s="136" t="s">
        <v>45</v>
      </c>
      <c r="D1058" s="31">
        <f t="shared" si="74"/>
        <v>4</v>
      </c>
      <c r="E1058" s="137" t="s">
        <v>80</v>
      </c>
      <c r="F1058" s="31">
        <f t="shared" si="75"/>
        <v>4</v>
      </c>
      <c r="G1058" s="137" t="s">
        <v>159</v>
      </c>
      <c r="H1058" s="138">
        <v>53</v>
      </c>
      <c r="I1058" s="158">
        <f t="shared" si="76"/>
        <v>0.42415677692992354</v>
      </c>
      <c r="J1058" s="95">
        <v>3.41257574240241E-2</v>
      </c>
      <c r="K1058" s="137">
        <v>0.81418779643582295</v>
      </c>
      <c r="L1058" s="137">
        <v>0.82499999999999996</v>
      </c>
      <c r="M1058" s="137">
        <v>0.79796949108955795</v>
      </c>
      <c r="N1058" s="136">
        <v>1</v>
      </c>
      <c r="O1058" s="32">
        <v>43388</v>
      </c>
      <c r="P1058" s="98">
        <f t="shared" si="77"/>
        <v>0</v>
      </c>
      <c r="Q1058">
        <v>5.0999999999999996</v>
      </c>
      <c r="R1058">
        <v>1.65</v>
      </c>
      <c r="S1058">
        <v>0</v>
      </c>
      <c r="T1058" s="112" t="s">
        <v>48</v>
      </c>
      <c r="U1058" s="137" t="s">
        <v>2883</v>
      </c>
      <c r="V1058" s="137" t="s">
        <v>2884</v>
      </c>
      <c r="W1058" s="69">
        <v>115</v>
      </c>
      <c r="X1058" s="136">
        <v>1</v>
      </c>
      <c r="Y1058" s="136">
        <v>2</v>
      </c>
      <c r="Z1058" s="314"/>
      <c r="AA1058" s="319">
        <v>0.54500000000000004</v>
      </c>
      <c r="AB1058" s="315" t="s">
        <v>5165</v>
      </c>
      <c r="AC1058" s="319">
        <v>3</v>
      </c>
      <c r="AD1058" s="320">
        <v>4.6875E-2</v>
      </c>
      <c r="AE1058" s="319">
        <v>1</v>
      </c>
      <c r="AF1058" s="320">
        <v>1.5625E-2</v>
      </c>
      <c r="AG1058" s="319">
        <v>1</v>
      </c>
      <c r="AH1058" s="320">
        <v>1.5625E-2</v>
      </c>
      <c r="AI1058" s="319">
        <v>2</v>
      </c>
      <c r="AJ1058" s="320">
        <v>3.125E-2</v>
      </c>
      <c r="AK1058" s="320">
        <v>0</v>
      </c>
      <c r="AL1058" s="319">
        <v>6.75</v>
      </c>
      <c r="AM1058" s="319">
        <v>5</v>
      </c>
      <c r="AN1058" s="319">
        <v>4.6666666666666599</v>
      </c>
      <c r="AO1058" s="319">
        <v>0.54722222222222205</v>
      </c>
      <c r="AP1058">
        <v>2</v>
      </c>
      <c r="AQ1058" s="136">
        <v>2</v>
      </c>
      <c r="AT1058" s="69">
        <v>6.3414000000000001</v>
      </c>
      <c r="AU1058" s="69">
        <v>2.3148</v>
      </c>
      <c r="AV1058" s="69">
        <v>8.1305999999999994</v>
      </c>
      <c r="AW1058" s="69">
        <v>0.55959999999999999</v>
      </c>
      <c r="BB1058" s="69"/>
    </row>
    <row r="1059" spans="1:54" customFormat="1" ht="40" customHeight="1">
      <c r="A1059" s="313">
        <v>1058</v>
      </c>
      <c r="B1059" s="136" t="s">
        <v>2833</v>
      </c>
      <c r="C1059" s="136" t="s">
        <v>59</v>
      </c>
      <c r="D1059" s="31">
        <f t="shared" si="74"/>
        <v>5</v>
      </c>
      <c r="E1059" s="137" t="s">
        <v>664</v>
      </c>
      <c r="F1059" s="31">
        <f t="shared" si="75"/>
        <v>1</v>
      </c>
      <c r="G1059" s="137" t="s">
        <v>2885</v>
      </c>
      <c r="H1059" s="138">
        <v>42</v>
      </c>
      <c r="I1059" s="158">
        <f t="shared" si="76"/>
        <v>0.50599712766361848</v>
      </c>
      <c r="J1059" s="95">
        <v>0.32090563244513298</v>
      </c>
      <c r="K1059" s="137">
        <v>0.69108862288210404</v>
      </c>
      <c r="L1059" s="137">
        <v>0.61983471074380203</v>
      </c>
      <c r="M1059" s="137">
        <v>0.79796949108955795</v>
      </c>
      <c r="N1059" s="136">
        <v>1</v>
      </c>
      <c r="O1059" s="32">
        <v>43290</v>
      </c>
      <c r="P1059" s="98">
        <f t="shared" si="77"/>
        <v>2</v>
      </c>
      <c r="Q1059">
        <v>0</v>
      </c>
      <c r="R1059">
        <v>0</v>
      </c>
      <c r="S1059">
        <v>0</v>
      </c>
      <c r="T1059" s="112" t="s">
        <v>64</v>
      </c>
      <c r="U1059" s="137" t="s">
        <v>2886</v>
      </c>
      <c r="V1059" s="137" t="s">
        <v>2887</v>
      </c>
      <c r="W1059" s="69">
        <v>103</v>
      </c>
      <c r="X1059" s="136">
        <v>1</v>
      </c>
      <c r="Y1059" s="136">
        <v>2</v>
      </c>
      <c r="Z1059" s="314"/>
      <c r="AA1059" s="319">
        <v>0.55000000000000004</v>
      </c>
      <c r="AB1059" s="331" t="s">
        <v>5172</v>
      </c>
      <c r="AC1059" s="319">
        <v>0</v>
      </c>
      <c r="AD1059" s="320">
        <v>0</v>
      </c>
      <c r="AE1059" s="319">
        <v>0</v>
      </c>
      <c r="AF1059" s="320">
        <v>0</v>
      </c>
      <c r="AG1059" s="319">
        <v>0</v>
      </c>
      <c r="AH1059" s="320">
        <v>0</v>
      </c>
      <c r="AI1059" s="319">
        <v>0</v>
      </c>
      <c r="AJ1059" s="320">
        <v>0</v>
      </c>
      <c r="AK1059" s="320">
        <v>0</v>
      </c>
      <c r="AL1059" s="319">
        <v>6.75</v>
      </c>
      <c r="AM1059" s="319">
        <v>6.2</v>
      </c>
      <c r="AN1059" s="319">
        <v>2</v>
      </c>
      <c r="AO1059" s="319">
        <v>0.49833333333333302</v>
      </c>
      <c r="AP1059">
        <v>2</v>
      </c>
      <c r="AR1059" s="136">
        <v>2</v>
      </c>
      <c r="AT1059" s="69">
        <v>6.3414000000000001</v>
      </c>
      <c r="AU1059" s="69">
        <v>5</v>
      </c>
      <c r="AV1059" s="69">
        <v>2.3148</v>
      </c>
      <c r="AW1059" s="69">
        <v>0.45519999999999999</v>
      </c>
      <c r="BB1059" s="69"/>
    </row>
    <row r="1060" spans="1:54" customFormat="1" ht="40" customHeight="1">
      <c r="A1060" s="313">
        <v>1059</v>
      </c>
      <c r="B1060" s="136" t="s">
        <v>2833</v>
      </c>
      <c r="C1060" s="136" t="s">
        <v>45</v>
      </c>
      <c r="D1060" s="31">
        <f t="shared" si="74"/>
        <v>4</v>
      </c>
      <c r="E1060" s="137" t="s">
        <v>664</v>
      </c>
      <c r="F1060" s="31">
        <f t="shared" si="75"/>
        <v>1</v>
      </c>
      <c r="G1060" s="137" t="s">
        <v>2888</v>
      </c>
      <c r="H1060" s="138">
        <v>68</v>
      </c>
      <c r="I1060" s="158">
        <f t="shared" si="76"/>
        <v>0.68741725568713297</v>
      </c>
      <c r="J1060" s="95">
        <v>0.764518163968544</v>
      </c>
      <c r="K1060" s="137">
        <v>0.61031634740572205</v>
      </c>
      <c r="L1060" s="137">
        <v>0.56348610067618299</v>
      </c>
      <c r="M1060" s="137">
        <v>0.68056171750003003</v>
      </c>
      <c r="N1060" s="136">
        <v>1</v>
      </c>
      <c r="O1060" s="32">
        <v>43271</v>
      </c>
      <c r="P1060" s="98">
        <f t="shared" si="77"/>
        <v>2</v>
      </c>
      <c r="Q1060">
        <v>0</v>
      </c>
      <c r="R1060">
        <v>0</v>
      </c>
      <c r="S1060">
        <v>0</v>
      </c>
      <c r="T1060" s="112" t="s">
        <v>64</v>
      </c>
      <c r="U1060" s="137" t="s">
        <v>2889</v>
      </c>
      <c r="V1060" s="137" t="s">
        <v>2890</v>
      </c>
      <c r="W1060" s="69">
        <v>41</v>
      </c>
      <c r="X1060" s="136">
        <v>2</v>
      </c>
      <c r="Y1060" s="136">
        <v>5</v>
      </c>
      <c r="Z1060" s="314"/>
      <c r="AA1060" s="319">
        <v>0.55000000000000004</v>
      </c>
      <c r="AB1060" s="315" t="s">
        <v>5176</v>
      </c>
      <c r="AC1060" s="319">
        <v>0</v>
      </c>
      <c r="AD1060" s="320">
        <v>0</v>
      </c>
      <c r="AE1060" s="319">
        <v>2</v>
      </c>
      <c r="AF1060" s="320">
        <v>7.69230769230769E-2</v>
      </c>
      <c r="AG1060" s="319">
        <v>0</v>
      </c>
      <c r="AH1060" s="320">
        <v>0</v>
      </c>
      <c r="AI1060" s="319">
        <v>0</v>
      </c>
      <c r="AJ1060" s="320">
        <v>0</v>
      </c>
      <c r="AK1060" s="320">
        <v>3.8461538461538457E-2</v>
      </c>
      <c r="AL1060" s="319">
        <v>6.75</v>
      </c>
      <c r="AM1060" s="319">
        <v>6.2</v>
      </c>
      <c r="AN1060" s="319">
        <v>2</v>
      </c>
      <c r="AO1060" s="319">
        <v>0.49833333333333302</v>
      </c>
      <c r="AP1060">
        <v>5</v>
      </c>
      <c r="AR1060" s="136">
        <v>5</v>
      </c>
      <c r="AT1060" s="69">
        <v>6.3414000000000001</v>
      </c>
      <c r="AU1060" s="69">
        <v>5</v>
      </c>
      <c r="AV1060" s="69">
        <v>2.3148</v>
      </c>
      <c r="AW1060" s="69">
        <v>0.45519999999999999</v>
      </c>
      <c r="BB1060" s="69"/>
    </row>
    <row r="1061" spans="1:54" customFormat="1" ht="40" customHeight="1">
      <c r="A1061" s="313">
        <v>1060</v>
      </c>
      <c r="B1061" s="136" t="s">
        <v>2833</v>
      </c>
      <c r="C1061" s="136" t="s">
        <v>45</v>
      </c>
      <c r="D1061" s="31">
        <f t="shared" si="74"/>
        <v>4</v>
      </c>
      <c r="E1061" s="137" t="s">
        <v>80</v>
      </c>
      <c r="F1061" s="31">
        <f t="shared" si="75"/>
        <v>4</v>
      </c>
      <c r="G1061" s="137" t="s">
        <v>2891</v>
      </c>
      <c r="H1061" s="138">
        <v>47</v>
      </c>
      <c r="I1061" s="158">
        <f t="shared" si="76"/>
        <v>0.42639875801523214</v>
      </c>
      <c r="J1061" s="95">
        <v>5.6771847891543298E-2</v>
      </c>
      <c r="K1061" s="137">
        <v>0.79602566813892095</v>
      </c>
      <c r="L1061" s="137">
        <v>0.82499999999999996</v>
      </c>
      <c r="M1061" s="137">
        <v>0.75256417034730305</v>
      </c>
      <c r="N1061" s="136">
        <v>1</v>
      </c>
      <c r="O1061" s="32">
        <v>43225</v>
      </c>
      <c r="P1061" s="98">
        <f t="shared" si="77"/>
        <v>0</v>
      </c>
      <c r="Q1061">
        <v>2.5499999999999998</v>
      </c>
      <c r="R1061">
        <v>0</v>
      </c>
      <c r="S1061">
        <v>0</v>
      </c>
      <c r="T1061" s="112" t="s">
        <v>48</v>
      </c>
      <c r="U1061" s="137" t="s">
        <v>2892</v>
      </c>
      <c r="V1061" s="137" t="s">
        <v>2893</v>
      </c>
      <c r="W1061" s="69">
        <v>116</v>
      </c>
      <c r="X1061" s="136">
        <v>1</v>
      </c>
      <c r="Y1061" s="136">
        <v>3</v>
      </c>
      <c r="Z1061" s="314"/>
      <c r="AA1061" s="319">
        <v>0.45909090909090899</v>
      </c>
      <c r="AB1061" s="315" t="s">
        <v>5165</v>
      </c>
      <c r="AC1061" s="319">
        <v>3</v>
      </c>
      <c r="AD1061" s="320">
        <v>4.6153846153846101E-2</v>
      </c>
      <c r="AE1061" s="319">
        <v>1</v>
      </c>
      <c r="AF1061" s="320">
        <v>1.53846153846153E-2</v>
      </c>
      <c r="AG1061" s="319">
        <v>1</v>
      </c>
      <c r="AH1061" s="320">
        <v>1.53846153846153E-2</v>
      </c>
      <c r="AI1061" s="319">
        <v>2</v>
      </c>
      <c r="AJ1061" s="320">
        <v>3.0769230769230702E-2</v>
      </c>
      <c r="AK1061" s="320">
        <v>0</v>
      </c>
      <c r="AL1061" s="319">
        <v>6.75</v>
      </c>
      <c r="AM1061" s="319">
        <v>5</v>
      </c>
      <c r="AN1061" s="319">
        <v>4.6666666666666599</v>
      </c>
      <c r="AO1061" s="319">
        <v>0.54722222222222205</v>
      </c>
      <c r="AP1061">
        <v>3</v>
      </c>
      <c r="AQ1061" s="136">
        <v>3</v>
      </c>
      <c r="AT1061" s="69">
        <v>6.3414000000000001</v>
      </c>
      <c r="AU1061" s="69">
        <v>2.3148</v>
      </c>
      <c r="AV1061" s="69">
        <v>8.1305999999999994</v>
      </c>
      <c r="AW1061" s="69">
        <v>0.55959999999999999</v>
      </c>
      <c r="BB1061" s="69"/>
    </row>
    <row r="1062" spans="1:54" customFormat="1" ht="40" customHeight="1">
      <c r="A1062" s="313">
        <v>1061</v>
      </c>
      <c r="B1062" s="136" t="s">
        <v>2833</v>
      </c>
      <c r="C1062" s="136" t="s">
        <v>45</v>
      </c>
      <c r="D1062" s="31">
        <f t="shared" si="74"/>
        <v>4</v>
      </c>
      <c r="E1062" s="137" t="s">
        <v>46</v>
      </c>
      <c r="F1062" s="31">
        <f t="shared" si="75"/>
        <v>6</v>
      </c>
      <c r="G1062" s="137" t="s">
        <v>2894</v>
      </c>
      <c r="H1062" s="138">
        <v>46</v>
      </c>
      <c r="I1062" s="158">
        <f t="shared" si="76"/>
        <v>0.33154611298974185</v>
      </c>
      <c r="J1062" s="95">
        <v>5.4771138189166901E-3</v>
      </c>
      <c r="K1062" s="137">
        <v>0.65761511216056701</v>
      </c>
      <c r="L1062" s="137">
        <v>0.61983471074380203</v>
      </c>
      <c r="M1062" s="137">
        <v>0.71428571428571397</v>
      </c>
      <c r="N1062" s="136">
        <v>0</v>
      </c>
      <c r="O1062" s="32">
        <v>43135</v>
      </c>
      <c r="P1062" s="98">
        <f t="shared" si="77"/>
        <v>1</v>
      </c>
      <c r="Q1062">
        <v>0</v>
      </c>
      <c r="R1062">
        <v>0</v>
      </c>
      <c r="S1062">
        <v>0</v>
      </c>
      <c r="T1062" s="112" t="s">
        <v>73</v>
      </c>
      <c r="U1062" s="137" t="s">
        <v>2895</v>
      </c>
      <c r="V1062" s="137" t="s">
        <v>2896</v>
      </c>
      <c r="W1062" s="69">
        <v>145</v>
      </c>
      <c r="X1062" s="136">
        <v>2</v>
      </c>
      <c r="Y1062" s="136">
        <v>4</v>
      </c>
      <c r="Z1062" s="314"/>
      <c r="AA1062" s="319">
        <v>0.55000000000000004</v>
      </c>
      <c r="AB1062" s="315" t="s">
        <v>5178</v>
      </c>
      <c r="AC1062" s="319">
        <v>3</v>
      </c>
      <c r="AD1062" s="320">
        <v>3.4883720930232502E-2</v>
      </c>
      <c r="AE1062" s="319">
        <v>3</v>
      </c>
      <c r="AF1062" s="320">
        <v>3.4883720930232502E-2</v>
      </c>
      <c r="AG1062" s="319">
        <v>1</v>
      </c>
      <c r="AH1062" s="320">
        <v>1.1627906976744099E-2</v>
      </c>
      <c r="AI1062" s="319">
        <v>0</v>
      </c>
      <c r="AJ1062" s="320">
        <v>0</v>
      </c>
      <c r="AK1062" s="320">
        <v>1.1627906976744189E-2</v>
      </c>
      <c r="AL1062" s="319">
        <v>5</v>
      </c>
      <c r="AM1062" s="319">
        <v>5</v>
      </c>
      <c r="AN1062" s="319">
        <v>3.5</v>
      </c>
      <c r="AO1062" s="319">
        <v>0.45</v>
      </c>
      <c r="AP1062">
        <v>4</v>
      </c>
      <c r="AR1062" s="136">
        <v>4</v>
      </c>
      <c r="AT1062" s="69">
        <v>2.3148</v>
      </c>
      <c r="AU1062" s="69">
        <v>2.3148</v>
      </c>
      <c r="AV1062" s="69">
        <v>5.7443999999999997</v>
      </c>
      <c r="AW1062" s="69">
        <v>0.3458</v>
      </c>
      <c r="BB1062" s="69"/>
    </row>
    <row r="1063" spans="1:54" customFormat="1" ht="40" customHeight="1">
      <c r="A1063" s="313">
        <v>1062</v>
      </c>
      <c r="B1063" s="136" t="s">
        <v>2833</v>
      </c>
      <c r="C1063" s="136" t="s">
        <v>45</v>
      </c>
      <c r="D1063" s="31">
        <f t="shared" si="74"/>
        <v>4</v>
      </c>
      <c r="E1063" s="137" t="s">
        <v>46</v>
      </c>
      <c r="F1063" s="31">
        <f t="shared" si="75"/>
        <v>6</v>
      </c>
      <c r="G1063" s="137" t="s">
        <v>2897</v>
      </c>
      <c r="H1063" s="138">
        <v>87</v>
      </c>
      <c r="I1063" s="158">
        <f t="shared" si="76"/>
        <v>0.2265412643717282</v>
      </c>
      <c r="J1063" s="95">
        <v>7.0515405203241998E-4</v>
      </c>
      <c r="K1063" s="137">
        <v>0.45237737469142397</v>
      </c>
      <c r="L1063" s="137">
        <v>0.56348610067618299</v>
      </c>
      <c r="M1063" s="137">
        <v>0.28571428571428598</v>
      </c>
      <c r="N1063" s="136">
        <v>0</v>
      </c>
      <c r="O1063" s="32">
        <v>43104</v>
      </c>
      <c r="P1063" s="98">
        <f t="shared" si="77"/>
        <v>1</v>
      </c>
      <c r="Q1063">
        <v>0</v>
      </c>
      <c r="R1063">
        <v>0</v>
      </c>
      <c r="S1063">
        <v>0</v>
      </c>
      <c r="T1063" s="112" t="s">
        <v>73</v>
      </c>
      <c r="U1063" s="137" t="s">
        <v>2898</v>
      </c>
      <c r="V1063" s="137" t="s">
        <v>2899</v>
      </c>
      <c r="W1063" s="69">
        <v>134</v>
      </c>
      <c r="X1063" s="136">
        <v>2</v>
      </c>
      <c r="Y1063" s="136">
        <v>25</v>
      </c>
      <c r="Z1063" s="314"/>
      <c r="AA1063" s="319">
        <v>0.5</v>
      </c>
      <c r="AB1063" s="315" t="s">
        <v>5176</v>
      </c>
      <c r="AC1063" s="319">
        <v>2</v>
      </c>
      <c r="AD1063" s="320">
        <v>2.5000000000000001E-2</v>
      </c>
      <c r="AE1063" s="319">
        <v>3</v>
      </c>
      <c r="AF1063" s="320">
        <v>3.7499999999999999E-2</v>
      </c>
      <c r="AG1063" s="319">
        <v>1</v>
      </c>
      <c r="AH1063" s="320">
        <v>1.2500000000000001E-2</v>
      </c>
      <c r="AI1063" s="319">
        <v>0</v>
      </c>
      <c r="AJ1063" s="320">
        <v>0</v>
      </c>
      <c r="AK1063" s="320">
        <v>1.2500000000000001E-2</v>
      </c>
      <c r="AL1063" s="319">
        <v>5</v>
      </c>
      <c r="AM1063" s="319">
        <v>5</v>
      </c>
      <c r="AN1063" s="319">
        <v>2</v>
      </c>
      <c r="AO1063" s="319">
        <v>0.4</v>
      </c>
      <c r="AP1063">
        <v>25</v>
      </c>
      <c r="AR1063" s="136">
        <v>25</v>
      </c>
      <c r="AT1063" s="69">
        <v>2.3148</v>
      </c>
      <c r="AU1063" s="69">
        <v>2.3148</v>
      </c>
      <c r="AV1063" s="69">
        <v>2.3148</v>
      </c>
      <c r="AW1063" s="69">
        <v>0.23150000000000001</v>
      </c>
      <c r="BB1063" s="69"/>
    </row>
    <row r="1064" spans="1:54" customFormat="1" ht="40" customHeight="1">
      <c r="A1064" s="313">
        <v>1063</v>
      </c>
      <c r="B1064" s="136" t="s">
        <v>2833</v>
      </c>
      <c r="C1064" s="136" t="s">
        <v>45</v>
      </c>
      <c r="D1064" s="31">
        <f t="shared" si="74"/>
        <v>4</v>
      </c>
      <c r="E1064" s="137" t="s">
        <v>80</v>
      </c>
      <c r="F1064" s="31">
        <f t="shared" si="75"/>
        <v>4</v>
      </c>
      <c r="G1064" s="137" t="s">
        <v>2900</v>
      </c>
      <c r="H1064" s="138">
        <v>57</v>
      </c>
      <c r="I1064" s="158">
        <f t="shared" si="76"/>
        <v>0.57983423691386804</v>
      </c>
      <c r="J1064" s="95">
        <v>0.42395418811344998</v>
      </c>
      <c r="K1064" s="137">
        <v>0.73571428571428599</v>
      </c>
      <c r="L1064" s="137">
        <v>0.75</v>
      </c>
      <c r="M1064" s="137">
        <v>0.71428571428571397</v>
      </c>
      <c r="N1064" s="136">
        <v>1</v>
      </c>
      <c r="O1064" s="32">
        <v>43063</v>
      </c>
      <c r="P1064" s="98">
        <f t="shared" si="77"/>
        <v>0</v>
      </c>
      <c r="Q1064">
        <v>2.5499999999999998</v>
      </c>
      <c r="R1064">
        <v>0</v>
      </c>
      <c r="S1064">
        <v>0</v>
      </c>
      <c r="T1064" s="112" t="s">
        <v>48</v>
      </c>
      <c r="U1064" s="137" t="s">
        <v>2901</v>
      </c>
      <c r="V1064" s="137" t="s">
        <v>2902</v>
      </c>
      <c r="W1064" s="69">
        <v>52</v>
      </c>
      <c r="X1064" s="136">
        <v>1</v>
      </c>
      <c r="Y1064" s="136">
        <v>4</v>
      </c>
      <c r="Z1064" s="314"/>
      <c r="AA1064" s="319">
        <v>0.54500000000000004</v>
      </c>
      <c r="AB1064" s="315" t="s">
        <v>5165</v>
      </c>
      <c r="AC1064" s="319">
        <v>2</v>
      </c>
      <c r="AD1064" s="320">
        <v>6.8965517241379296E-2</v>
      </c>
      <c r="AE1064" s="319">
        <v>0</v>
      </c>
      <c r="AF1064" s="320">
        <v>0</v>
      </c>
      <c r="AG1064" s="319">
        <v>0</v>
      </c>
      <c r="AH1064" s="320">
        <v>0</v>
      </c>
      <c r="AI1064" s="319">
        <v>0</v>
      </c>
      <c r="AJ1064" s="320">
        <v>0</v>
      </c>
      <c r="AK1064" s="320">
        <v>0</v>
      </c>
      <c r="AL1064" s="319">
        <v>5</v>
      </c>
      <c r="AM1064" s="319">
        <v>5</v>
      </c>
      <c r="AN1064" s="319">
        <v>7.3333333333333304</v>
      </c>
      <c r="AO1064" s="319">
        <v>0.57777777777777695</v>
      </c>
      <c r="AP1064">
        <v>4</v>
      </c>
      <c r="AR1064" s="136">
        <v>4</v>
      </c>
      <c r="AT1064" s="69">
        <v>2.3148</v>
      </c>
      <c r="AU1064" s="69">
        <v>2.3148</v>
      </c>
      <c r="AV1064" s="69">
        <v>9.8416999999999994</v>
      </c>
      <c r="AW1064" s="69">
        <v>0.4824</v>
      </c>
      <c r="BB1064" s="69"/>
    </row>
    <row r="1065" spans="1:54" customFormat="1" ht="40" customHeight="1">
      <c r="A1065" s="313">
        <v>1064</v>
      </c>
      <c r="B1065" s="136" t="s">
        <v>2833</v>
      </c>
      <c r="C1065" s="136" t="s">
        <v>45</v>
      </c>
      <c r="D1065" s="31">
        <f t="shared" si="74"/>
        <v>4</v>
      </c>
      <c r="E1065" s="137" t="s">
        <v>80</v>
      </c>
      <c r="F1065" s="31">
        <f t="shared" si="75"/>
        <v>4</v>
      </c>
      <c r="G1065" s="137" t="s">
        <v>2903</v>
      </c>
      <c r="H1065" s="138">
        <v>62</v>
      </c>
      <c r="I1065" s="158">
        <f t="shared" si="76"/>
        <v>0.37730129293832437</v>
      </c>
      <c r="J1065" s="95">
        <v>3.5769177377277298E-3</v>
      </c>
      <c r="K1065" s="137">
        <v>0.75102566813892102</v>
      </c>
      <c r="L1065" s="137">
        <v>0.75</v>
      </c>
      <c r="M1065" s="137">
        <v>0.75256417034730305</v>
      </c>
      <c r="N1065" s="136">
        <v>1</v>
      </c>
      <c r="O1065" s="32">
        <v>43025</v>
      </c>
      <c r="P1065" s="98">
        <f t="shared" si="77"/>
        <v>1</v>
      </c>
      <c r="Q1065">
        <v>0</v>
      </c>
      <c r="R1065">
        <v>1.65</v>
      </c>
      <c r="S1065">
        <v>0</v>
      </c>
      <c r="T1065" s="112" t="s">
        <v>73</v>
      </c>
      <c r="U1065" s="137" t="s">
        <v>2904</v>
      </c>
      <c r="V1065" s="137" t="s">
        <v>2905</v>
      </c>
      <c r="W1065" s="69">
        <v>198</v>
      </c>
      <c r="X1065" s="136">
        <v>1</v>
      </c>
      <c r="Y1065" s="136">
        <v>3</v>
      </c>
      <c r="Z1065" s="314"/>
      <c r="AA1065" s="319">
        <v>0.59450000000000003</v>
      </c>
      <c r="AB1065" s="315" t="s">
        <v>5165</v>
      </c>
      <c r="AC1065" s="319">
        <v>3</v>
      </c>
      <c r="AD1065" s="320">
        <v>2.6785714285714201E-2</v>
      </c>
      <c r="AE1065" s="319">
        <v>1</v>
      </c>
      <c r="AF1065" s="320">
        <v>8.9285714285714194E-3</v>
      </c>
      <c r="AG1065" s="319">
        <v>0</v>
      </c>
      <c r="AH1065" s="320">
        <v>0</v>
      </c>
      <c r="AI1065" s="319">
        <v>0</v>
      </c>
      <c r="AJ1065" s="320">
        <v>0</v>
      </c>
      <c r="AK1065" s="320">
        <v>1.785714285714286E-2</v>
      </c>
      <c r="AL1065" s="319">
        <v>5</v>
      </c>
      <c r="AM1065" s="319">
        <v>6.2</v>
      </c>
      <c r="AN1065" s="319">
        <v>4.6666666666666599</v>
      </c>
      <c r="AO1065" s="319">
        <v>0.52888888888888796</v>
      </c>
      <c r="AP1065">
        <v>3</v>
      </c>
      <c r="AR1065" s="136">
        <v>3</v>
      </c>
      <c r="AT1065" s="69">
        <v>2.3148</v>
      </c>
      <c r="AU1065" s="69">
        <v>5</v>
      </c>
      <c r="AV1065" s="69">
        <v>8.1305999999999994</v>
      </c>
      <c r="AW1065" s="69">
        <v>0.51480000000000004</v>
      </c>
      <c r="BB1065" s="69"/>
    </row>
    <row r="1066" spans="1:54" customFormat="1" ht="40" customHeight="1">
      <c r="A1066" s="313">
        <v>1065</v>
      </c>
      <c r="B1066" s="136" t="s">
        <v>2833</v>
      </c>
      <c r="C1066" s="136" t="s">
        <v>59</v>
      </c>
      <c r="D1066" s="31">
        <f t="shared" si="74"/>
        <v>5</v>
      </c>
      <c r="E1066" s="137" t="s">
        <v>46</v>
      </c>
      <c r="F1066" s="31">
        <f t="shared" si="75"/>
        <v>6</v>
      </c>
      <c r="G1066" s="137" t="s">
        <v>2833</v>
      </c>
      <c r="H1066" s="138">
        <v>28</v>
      </c>
      <c r="I1066" s="158">
        <f t="shared" si="76"/>
        <v>0.66966624684373155</v>
      </c>
      <c r="J1066" s="95">
        <v>0.61105378816073097</v>
      </c>
      <c r="K1066" s="137">
        <v>0.72827870552673202</v>
      </c>
      <c r="L1066" s="137">
        <v>0.68181818181818199</v>
      </c>
      <c r="M1066" s="137">
        <v>0.79796949108955795</v>
      </c>
      <c r="N1066" s="136">
        <v>1</v>
      </c>
      <c r="O1066" s="32">
        <v>42969</v>
      </c>
      <c r="P1066" s="98">
        <f t="shared" si="77"/>
        <v>1</v>
      </c>
      <c r="Q1066">
        <v>0</v>
      </c>
      <c r="R1066">
        <v>3.3</v>
      </c>
      <c r="S1066">
        <v>0</v>
      </c>
      <c r="T1066" s="112" t="s">
        <v>73</v>
      </c>
      <c r="U1066" s="137" t="s">
        <v>2906</v>
      </c>
      <c r="V1066" s="137" t="s">
        <v>2907</v>
      </c>
      <c r="W1066" s="69">
        <v>45</v>
      </c>
      <c r="X1066" s="136">
        <v>3</v>
      </c>
      <c r="Y1066" s="136">
        <v>2</v>
      </c>
      <c r="Z1066" s="314"/>
      <c r="AA1066" s="319">
        <v>0.5</v>
      </c>
      <c r="AB1066" s="315" t="s">
        <v>5178</v>
      </c>
      <c r="AC1066" s="319">
        <v>1</v>
      </c>
      <c r="AD1066" s="320">
        <v>3.8461538461538401E-2</v>
      </c>
      <c r="AE1066" s="319">
        <v>1</v>
      </c>
      <c r="AF1066" s="320">
        <v>3.8461538461538401E-2</v>
      </c>
      <c r="AG1066" s="319">
        <v>0</v>
      </c>
      <c r="AH1066" s="320">
        <v>0</v>
      </c>
      <c r="AI1066" s="319">
        <v>0</v>
      </c>
      <c r="AJ1066" s="320">
        <v>0</v>
      </c>
      <c r="AK1066" s="320">
        <v>0</v>
      </c>
      <c r="AL1066" s="319">
        <v>5</v>
      </c>
      <c r="AM1066" s="319">
        <v>5</v>
      </c>
      <c r="AN1066" s="319">
        <v>2</v>
      </c>
      <c r="AO1066" s="319">
        <v>0.4</v>
      </c>
      <c r="AP1066">
        <v>2</v>
      </c>
      <c r="AR1066" s="136">
        <v>2</v>
      </c>
      <c r="AT1066" s="69">
        <v>2.3148</v>
      </c>
      <c r="AU1066" s="69">
        <v>2.3148</v>
      </c>
      <c r="AV1066" s="69">
        <v>2.3148</v>
      </c>
      <c r="AW1066" s="69">
        <v>0.23150000000000001</v>
      </c>
      <c r="BB1066" s="69"/>
    </row>
    <row r="1067" spans="1:54" customFormat="1" ht="40" customHeight="1">
      <c r="A1067" s="313">
        <v>1066</v>
      </c>
      <c r="B1067" s="136" t="s">
        <v>2833</v>
      </c>
      <c r="C1067" s="136" t="s">
        <v>59</v>
      </c>
      <c r="D1067" s="31">
        <f t="shared" si="74"/>
        <v>5</v>
      </c>
      <c r="E1067" s="137" t="s">
        <v>46</v>
      </c>
      <c r="F1067" s="31">
        <f t="shared" si="75"/>
        <v>6</v>
      </c>
      <c r="G1067" s="137" t="s">
        <v>59</v>
      </c>
      <c r="H1067" s="138">
        <v>82</v>
      </c>
      <c r="I1067" s="158">
        <f t="shared" si="76"/>
        <v>0.55905492434378257</v>
      </c>
      <c r="J1067" s="95">
        <v>0.552240523696369</v>
      </c>
      <c r="K1067" s="137">
        <v>0.56586932499119602</v>
      </c>
      <c r="L1067" s="137">
        <v>0.61983471074380203</v>
      </c>
      <c r="M1067" s="137">
        <v>0.48492124636228701</v>
      </c>
      <c r="N1067" s="136">
        <v>0</v>
      </c>
      <c r="O1067" s="32">
        <v>42865</v>
      </c>
      <c r="P1067" s="98">
        <f t="shared" si="77"/>
        <v>2</v>
      </c>
      <c r="Q1067">
        <v>0</v>
      </c>
      <c r="R1067">
        <v>0</v>
      </c>
      <c r="S1067">
        <v>1.87</v>
      </c>
      <c r="T1067" s="112" t="s">
        <v>64</v>
      </c>
      <c r="U1067" s="137" t="s">
        <v>2908</v>
      </c>
      <c r="V1067" s="137" t="s">
        <v>2909</v>
      </c>
      <c r="W1067" s="69">
        <v>30</v>
      </c>
      <c r="X1067" s="136">
        <v>3</v>
      </c>
      <c r="Y1067" s="136">
        <v>13</v>
      </c>
      <c r="Z1067" s="314"/>
      <c r="AA1067" s="319">
        <v>0.45909090909090899</v>
      </c>
      <c r="AB1067" s="331" t="s">
        <v>5172</v>
      </c>
      <c r="AC1067" s="319">
        <v>0</v>
      </c>
      <c r="AD1067" s="320">
        <v>0</v>
      </c>
      <c r="AE1067" s="319">
        <v>0</v>
      </c>
      <c r="AF1067" s="320">
        <v>0</v>
      </c>
      <c r="AG1067" s="319">
        <v>0</v>
      </c>
      <c r="AH1067" s="320">
        <v>0</v>
      </c>
      <c r="AI1067" s="319">
        <v>0</v>
      </c>
      <c r="AJ1067" s="320">
        <v>0</v>
      </c>
      <c r="AK1067" s="320">
        <v>0</v>
      </c>
      <c r="AL1067" s="319">
        <v>5</v>
      </c>
      <c r="AM1067" s="319">
        <v>6.2</v>
      </c>
      <c r="AN1067" s="319">
        <v>5</v>
      </c>
      <c r="AO1067" s="319">
        <v>0.53999999999999904</v>
      </c>
      <c r="AP1067">
        <v>13</v>
      </c>
      <c r="AR1067" s="136">
        <v>13</v>
      </c>
      <c r="AT1067" s="69">
        <v>2.3148</v>
      </c>
      <c r="AU1067" s="69">
        <v>5</v>
      </c>
      <c r="AV1067" s="69">
        <v>8.5815000000000001</v>
      </c>
      <c r="AW1067" s="69">
        <v>0.52990000000000004</v>
      </c>
      <c r="BB1067" s="69"/>
    </row>
    <row r="1068" spans="1:54" customFormat="1" ht="40" customHeight="1">
      <c r="A1068" s="313">
        <v>1067</v>
      </c>
      <c r="B1068" s="136" t="s">
        <v>2833</v>
      </c>
      <c r="C1068" s="136" t="s">
        <v>45</v>
      </c>
      <c r="D1068" s="31">
        <f t="shared" si="74"/>
        <v>4</v>
      </c>
      <c r="E1068" s="137" t="s">
        <v>80</v>
      </c>
      <c r="F1068" s="31">
        <f t="shared" si="75"/>
        <v>4</v>
      </c>
      <c r="G1068" s="137" t="s">
        <v>2910</v>
      </c>
      <c r="H1068" s="138">
        <v>84</v>
      </c>
      <c r="I1068" s="158">
        <f t="shared" si="76"/>
        <v>0.73376609957537053</v>
      </c>
      <c r="J1068" s="95">
        <v>0.81995519473397704</v>
      </c>
      <c r="K1068" s="137">
        <v>0.64757700441676402</v>
      </c>
      <c r="L1068" s="137">
        <v>0.90749999999999997</v>
      </c>
      <c r="M1068" s="137">
        <v>0.25769251104190999</v>
      </c>
      <c r="N1068" s="136">
        <v>1</v>
      </c>
      <c r="O1068" s="32">
        <v>42719</v>
      </c>
      <c r="P1068" s="98">
        <f t="shared" si="77"/>
        <v>0</v>
      </c>
      <c r="Q1068">
        <v>2.5499999999999998</v>
      </c>
      <c r="R1068">
        <v>0</v>
      </c>
      <c r="S1068">
        <v>0</v>
      </c>
      <c r="T1068" s="112" t="s">
        <v>48</v>
      </c>
      <c r="U1068" s="137" t="s">
        <v>2911</v>
      </c>
      <c r="V1068" s="137" t="s">
        <v>2912</v>
      </c>
      <c r="W1068" s="69">
        <v>81</v>
      </c>
      <c r="X1068" s="136">
        <v>3</v>
      </c>
      <c r="Y1068" s="136">
        <v>27</v>
      </c>
      <c r="Z1068" s="314"/>
      <c r="AA1068" s="319">
        <v>0.55000000000000004</v>
      </c>
      <c r="AB1068" s="315" t="s">
        <v>5165</v>
      </c>
      <c r="AC1068" s="319">
        <v>2</v>
      </c>
      <c r="AD1068" s="320">
        <v>4.2553191489361701E-2</v>
      </c>
      <c r="AE1068" s="319">
        <v>1</v>
      </c>
      <c r="AF1068" s="320">
        <v>2.1276595744680799E-2</v>
      </c>
      <c r="AG1068" s="319">
        <v>0</v>
      </c>
      <c r="AH1068" s="320">
        <v>0</v>
      </c>
      <c r="AI1068" s="319">
        <v>1</v>
      </c>
      <c r="AJ1068" s="320">
        <v>2.1276595744680799E-2</v>
      </c>
      <c r="AK1068" s="320">
        <v>0</v>
      </c>
      <c r="AL1068" s="319">
        <v>5</v>
      </c>
      <c r="AM1068" s="319">
        <v>5</v>
      </c>
      <c r="AN1068" s="319">
        <v>2</v>
      </c>
      <c r="AO1068" s="319">
        <v>0.4</v>
      </c>
      <c r="AP1068">
        <v>27</v>
      </c>
      <c r="AQ1068" s="136">
        <v>27</v>
      </c>
      <c r="AT1068" s="69">
        <v>2.3148</v>
      </c>
      <c r="AU1068" s="69">
        <v>2.3148</v>
      </c>
      <c r="AV1068" s="69">
        <v>2.3148</v>
      </c>
      <c r="AW1068" s="69">
        <v>0.23150000000000001</v>
      </c>
      <c r="BB1068" s="69"/>
    </row>
    <row r="1069" spans="1:54" customFormat="1" ht="40" customHeight="1">
      <c r="A1069" s="313">
        <v>1068</v>
      </c>
      <c r="B1069" s="136" t="s">
        <v>2833</v>
      </c>
      <c r="C1069" s="136" t="s">
        <v>45</v>
      </c>
      <c r="D1069" s="31">
        <f t="shared" si="74"/>
        <v>4</v>
      </c>
      <c r="E1069" s="137" t="s">
        <v>46</v>
      </c>
      <c r="F1069" s="31">
        <f t="shared" si="75"/>
        <v>6</v>
      </c>
      <c r="G1069" s="137" t="s">
        <v>2913</v>
      </c>
      <c r="H1069" s="138">
        <v>127</v>
      </c>
      <c r="I1069" s="158">
        <f t="shared" si="76"/>
        <v>0.30592337748360349</v>
      </c>
      <c r="J1069" s="95">
        <v>4.2833656597379699E-3</v>
      </c>
      <c r="K1069" s="137">
        <v>0.607563389307469</v>
      </c>
      <c r="L1069" s="137">
        <v>0.75</v>
      </c>
      <c r="M1069" s="137">
        <v>0.39390847326867401</v>
      </c>
      <c r="N1069" s="136">
        <v>1</v>
      </c>
      <c r="O1069" s="32">
        <v>42461</v>
      </c>
      <c r="P1069" s="98">
        <f t="shared" si="77"/>
        <v>1</v>
      </c>
      <c r="Q1069">
        <v>0</v>
      </c>
      <c r="R1069">
        <v>1.65</v>
      </c>
      <c r="S1069">
        <v>0</v>
      </c>
      <c r="T1069" s="112" t="s">
        <v>73</v>
      </c>
      <c r="U1069" s="137" t="s">
        <v>2914</v>
      </c>
      <c r="V1069" s="137" t="s">
        <v>2915</v>
      </c>
      <c r="W1069" s="69">
        <v>47</v>
      </c>
      <c r="X1069" s="136">
        <v>1</v>
      </c>
      <c r="Y1069" s="136">
        <v>18</v>
      </c>
      <c r="Z1069" s="314"/>
      <c r="AA1069" s="319">
        <v>0.5</v>
      </c>
      <c r="AB1069" s="315" t="s">
        <v>5165</v>
      </c>
      <c r="AC1069" s="319">
        <v>1</v>
      </c>
      <c r="AD1069" s="320">
        <v>3.5714285714285698E-2</v>
      </c>
      <c r="AE1069" s="319">
        <v>0</v>
      </c>
      <c r="AF1069" s="320">
        <v>0</v>
      </c>
      <c r="AG1069" s="319">
        <v>0</v>
      </c>
      <c r="AH1069" s="320">
        <v>0</v>
      </c>
      <c r="AI1069" s="319">
        <v>0</v>
      </c>
      <c r="AJ1069" s="320">
        <v>0</v>
      </c>
      <c r="AK1069" s="320">
        <v>0</v>
      </c>
      <c r="AL1069" s="319">
        <v>5</v>
      </c>
      <c r="AM1069" s="319">
        <v>5</v>
      </c>
      <c r="AN1069" s="319">
        <v>4.6666666666666599</v>
      </c>
      <c r="AO1069" s="319">
        <v>0.48888888888888798</v>
      </c>
      <c r="AP1069">
        <v>18</v>
      </c>
      <c r="AR1069" s="136">
        <v>18</v>
      </c>
      <c r="AT1069" s="69">
        <v>2.3148</v>
      </c>
      <c r="AU1069" s="69">
        <v>2.3148</v>
      </c>
      <c r="AV1069" s="69">
        <v>8.1305999999999994</v>
      </c>
      <c r="AW1069" s="69">
        <v>0.42530000000000001</v>
      </c>
      <c r="BB1069" s="69"/>
    </row>
    <row r="1070" spans="1:54" customFormat="1" ht="40" customHeight="1">
      <c r="A1070" s="313">
        <v>1069</v>
      </c>
      <c r="B1070" s="136" t="s">
        <v>2916</v>
      </c>
      <c r="C1070" s="136" t="s">
        <v>45</v>
      </c>
      <c r="D1070" s="31">
        <f t="shared" si="74"/>
        <v>4</v>
      </c>
      <c r="E1070" s="137" t="s">
        <v>80</v>
      </c>
      <c r="F1070" s="31">
        <f t="shared" si="75"/>
        <v>4</v>
      </c>
      <c r="G1070" s="137" t="s">
        <v>2917</v>
      </c>
      <c r="H1070" s="138">
        <f>LEN(U1070)</f>
        <v>61</v>
      </c>
      <c r="I1070" s="158">
        <f t="shared" si="76"/>
        <v>0.90030355635234649</v>
      </c>
      <c r="J1070" s="95">
        <v>0.96274996984755001</v>
      </c>
      <c r="K1070" s="137">
        <v>0.83785714285714297</v>
      </c>
      <c r="L1070" s="137">
        <v>0.82499999999999996</v>
      </c>
      <c r="M1070" s="137">
        <v>0.85714285714285698</v>
      </c>
      <c r="N1070" s="136">
        <v>1</v>
      </c>
      <c r="O1070" s="32">
        <v>44115</v>
      </c>
      <c r="P1070" s="98">
        <f t="shared" si="77"/>
        <v>1</v>
      </c>
      <c r="Q1070">
        <v>2.5499999999999998</v>
      </c>
      <c r="R1070">
        <v>0</v>
      </c>
      <c r="S1070">
        <v>0</v>
      </c>
      <c r="T1070" s="112" t="s">
        <v>73</v>
      </c>
      <c r="U1070" s="137" t="s">
        <v>2918</v>
      </c>
      <c r="V1070" s="137" t="s">
        <v>2919</v>
      </c>
      <c r="W1070" s="69">
        <f>LEN(V1070)</f>
        <v>82</v>
      </c>
      <c r="X1070" s="136">
        <v>0</v>
      </c>
      <c r="Y1070" s="136">
        <v>1</v>
      </c>
      <c r="Z1070" s="314"/>
      <c r="AA1070" s="319">
        <v>0.64895000000000003</v>
      </c>
      <c r="AB1070" s="315" t="s">
        <v>5176</v>
      </c>
      <c r="AC1070" s="319">
        <v>0</v>
      </c>
      <c r="AD1070" s="320">
        <v>0</v>
      </c>
      <c r="AE1070" s="319">
        <v>2</v>
      </c>
      <c r="AF1070" s="320">
        <v>4.08163265306122E-2</v>
      </c>
      <c r="AG1070" s="319">
        <v>1</v>
      </c>
      <c r="AH1070" s="320">
        <v>2.04081632653061E-2</v>
      </c>
      <c r="AI1070" s="319">
        <v>0</v>
      </c>
      <c r="AJ1070" s="320">
        <v>0</v>
      </c>
      <c r="AK1070" s="320">
        <v>4.0816326530612242E-2</v>
      </c>
      <c r="AL1070" s="319">
        <v>5</v>
      </c>
      <c r="AM1070" s="319">
        <v>7.4</v>
      </c>
      <c r="AN1070" s="319">
        <v>4.6666666666666599</v>
      </c>
      <c r="AO1070" s="319">
        <v>0.568888888888888</v>
      </c>
      <c r="AR1070" s="136">
        <v>1</v>
      </c>
      <c r="AT1070" s="69">
        <v>2.3148</v>
      </c>
      <c r="AU1070" s="69">
        <v>7.6852</v>
      </c>
      <c r="AV1070" s="69">
        <v>8.1305999999999994</v>
      </c>
      <c r="AW1070" s="69">
        <v>0.60440000000000005</v>
      </c>
      <c r="BB1070" s="69"/>
    </row>
    <row r="1071" spans="1:54" customFormat="1" ht="40" customHeight="1">
      <c r="A1071" s="313">
        <v>1070</v>
      </c>
      <c r="B1071" s="136" t="s">
        <v>2916</v>
      </c>
      <c r="C1071" s="136" t="s">
        <v>45</v>
      </c>
      <c r="D1071" s="31">
        <f t="shared" si="74"/>
        <v>4</v>
      </c>
      <c r="E1071" s="137" t="s">
        <v>664</v>
      </c>
      <c r="F1071" s="31">
        <f t="shared" si="75"/>
        <v>1</v>
      </c>
      <c r="G1071" s="137" t="s">
        <v>2920</v>
      </c>
      <c r="H1071" s="138">
        <v>65</v>
      </c>
      <c r="I1071" s="158">
        <f t="shared" si="76"/>
        <v>0.4475007247253579</v>
      </c>
      <c r="J1071" s="95">
        <v>1.44945071578473E-6</v>
      </c>
      <c r="K1071" s="137">
        <v>0.89500000000000002</v>
      </c>
      <c r="L1071" s="137">
        <v>0.82499999999999996</v>
      </c>
      <c r="M1071" s="137">
        <v>1</v>
      </c>
      <c r="N1071" s="136">
        <v>1</v>
      </c>
      <c r="O1071" s="32">
        <v>43949</v>
      </c>
      <c r="P1071" s="98">
        <f t="shared" si="77"/>
        <v>0</v>
      </c>
      <c r="Q1071">
        <v>2.5499999999999998</v>
      </c>
      <c r="R1071">
        <v>1.65</v>
      </c>
      <c r="S1071">
        <v>1.87</v>
      </c>
      <c r="T1071" s="112" t="s">
        <v>48</v>
      </c>
      <c r="U1071" s="137" t="s">
        <v>2921</v>
      </c>
      <c r="V1071" s="137" t="s">
        <v>2922</v>
      </c>
      <c r="W1071" s="69">
        <v>125</v>
      </c>
      <c r="X1071" s="136">
        <v>1</v>
      </c>
      <c r="Y1071" s="136">
        <v>0</v>
      </c>
      <c r="Z1071" s="314"/>
      <c r="AA1071" s="319">
        <v>0.55000000000000004</v>
      </c>
      <c r="AB1071" s="315" t="s">
        <v>5176</v>
      </c>
      <c r="AC1071" s="319">
        <v>1</v>
      </c>
      <c r="AD1071" s="320">
        <v>1.38888888888888E-2</v>
      </c>
      <c r="AE1071" s="319">
        <v>2</v>
      </c>
      <c r="AF1071" s="320">
        <v>2.77777777777777E-2</v>
      </c>
      <c r="AG1071" s="319">
        <v>0</v>
      </c>
      <c r="AH1071" s="320">
        <v>0</v>
      </c>
      <c r="AI1071" s="319">
        <v>0</v>
      </c>
      <c r="AJ1071" s="320">
        <v>0</v>
      </c>
      <c r="AK1071" s="320">
        <v>1.388888888888889E-2</v>
      </c>
      <c r="AL1071" s="319">
        <v>5</v>
      </c>
      <c r="AM1071" s="319">
        <v>5</v>
      </c>
      <c r="AN1071" s="319">
        <v>2</v>
      </c>
      <c r="AO1071" s="319">
        <v>0.4</v>
      </c>
      <c r="AP1071">
        <v>0</v>
      </c>
      <c r="AS1071" s="136">
        <v>0</v>
      </c>
      <c r="AT1071" s="69">
        <v>2.3148</v>
      </c>
      <c r="AU1071" s="69">
        <v>2.3148</v>
      </c>
      <c r="AV1071" s="69">
        <v>2.3148</v>
      </c>
      <c r="AW1071" s="69">
        <v>0.23150000000000001</v>
      </c>
      <c r="BB1071" s="69"/>
    </row>
    <row r="1072" spans="1:54" customFormat="1" ht="40" customHeight="1">
      <c r="A1072" s="313">
        <v>1071</v>
      </c>
      <c r="B1072" s="136" t="s">
        <v>2916</v>
      </c>
      <c r="C1072" s="136" t="s">
        <v>45</v>
      </c>
      <c r="D1072" s="31">
        <f t="shared" si="74"/>
        <v>4</v>
      </c>
      <c r="E1072" s="137" t="s">
        <v>221</v>
      </c>
      <c r="F1072" s="31">
        <f t="shared" si="75"/>
        <v>2</v>
      </c>
      <c r="G1072" s="137" t="s">
        <v>2765</v>
      </c>
      <c r="H1072" s="138">
        <v>21</v>
      </c>
      <c r="I1072" s="158">
        <f t="shared" si="76"/>
        <v>0.35997110899008755</v>
      </c>
      <c r="J1072" s="95">
        <v>5.9463634571912102E-2</v>
      </c>
      <c r="K1072" s="137">
        <v>0.66047858340826304</v>
      </c>
      <c r="L1072" s="137">
        <v>0.75</v>
      </c>
      <c r="M1072" s="137">
        <v>0.526196458520657</v>
      </c>
      <c r="N1072" s="136">
        <v>1</v>
      </c>
      <c r="O1072" s="32">
        <v>43786</v>
      </c>
      <c r="P1072" s="98">
        <f t="shared" si="77"/>
        <v>0</v>
      </c>
      <c r="Q1072">
        <v>0</v>
      </c>
      <c r="R1072">
        <v>0</v>
      </c>
      <c r="S1072">
        <v>0</v>
      </c>
      <c r="T1072" s="112" t="s">
        <v>48</v>
      </c>
      <c r="U1072" s="137" t="s">
        <v>2766</v>
      </c>
      <c r="V1072" s="137" t="s">
        <v>2767</v>
      </c>
      <c r="W1072" s="69">
        <v>78</v>
      </c>
      <c r="X1072" s="136">
        <v>2</v>
      </c>
      <c r="Y1072" s="136">
        <v>11</v>
      </c>
      <c r="Z1072" s="314"/>
      <c r="AA1072" s="319">
        <v>0.5</v>
      </c>
      <c r="AB1072" s="315" t="s">
        <v>5176</v>
      </c>
      <c r="AC1072" s="319">
        <v>0</v>
      </c>
      <c r="AD1072" s="320">
        <v>0</v>
      </c>
      <c r="AE1072" s="319">
        <v>3</v>
      </c>
      <c r="AF1072" s="320">
        <v>6.1224489795918297E-2</v>
      </c>
      <c r="AG1072" s="319">
        <v>0</v>
      </c>
      <c r="AH1072" s="320">
        <v>0</v>
      </c>
      <c r="AI1072" s="319">
        <v>0</v>
      </c>
      <c r="AJ1072" s="320">
        <v>0</v>
      </c>
      <c r="AK1072" s="320">
        <v>2.0408163265306121E-2</v>
      </c>
      <c r="AL1072" s="319">
        <v>5</v>
      </c>
      <c r="AM1072" s="319">
        <v>5</v>
      </c>
      <c r="AN1072" s="319">
        <v>4.6666666666666599</v>
      </c>
      <c r="AO1072" s="319">
        <v>0.48888888888888798</v>
      </c>
      <c r="AP1072">
        <v>11</v>
      </c>
      <c r="AR1072" s="136">
        <v>11</v>
      </c>
      <c r="AT1072" s="69">
        <v>2.3148</v>
      </c>
      <c r="AU1072" s="69">
        <v>2.3148</v>
      </c>
      <c r="AV1072" s="69">
        <v>8.1305999999999994</v>
      </c>
      <c r="AW1072" s="69">
        <v>0.42530000000000001</v>
      </c>
      <c r="BB1072" s="69"/>
    </row>
    <row r="1073" spans="1:54" customFormat="1" ht="40" customHeight="1">
      <c r="A1073" s="313">
        <v>1072</v>
      </c>
      <c r="B1073" s="136" t="s">
        <v>2916</v>
      </c>
      <c r="C1073" s="136" t="s">
        <v>45</v>
      </c>
      <c r="D1073" s="31">
        <f t="shared" si="74"/>
        <v>4</v>
      </c>
      <c r="E1073" s="137" t="s">
        <v>46</v>
      </c>
      <c r="F1073" s="31">
        <f t="shared" si="75"/>
        <v>6</v>
      </c>
      <c r="G1073" s="137" t="s">
        <v>2923</v>
      </c>
      <c r="H1073" s="138">
        <v>77</v>
      </c>
      <c r="I1073" s="158">
        <f t="shared" si="76"/>
        <v>0.31867753501563972</v>
      </c>
      <c r="J1073" s="95">
        <v>8.6684041002744704E-3</v>
      </c>
      <c r="K1073" s="137">
        <v>0.62868666593100497</v>
      </c>
      <c r="L1073" s="137">
        <v>0.75</v>
      </c>
      <c r="M1073" s="137">
        <v>0.44671666482751199</v>
      </c>
      <c r="N1073" s="136">
        <v>1</v>
      </c>
      <c r="O1073" s="32">
        <v>43537</v>
      </c>
      <c r="P1073" s="98">
        <f t="shared" si="77"/>
        <v>0</v>
      </c>
      <c r="Q1073">
        <v>2.5499999999999998</v>
      </c>
      <c r="R1073">
        <v>0</v>
      </c>
      <c r="S1073">
        <v>0</v>
      </c>
      <c r="T1073" s="112" t="s">
        <v>48</v>
      </c>
      <c r="U1073" s="137" t="s">
        <v>2924</v>
      </c>
      <c r="V1073" s="137" t="s">
        <v>2925</v>
      </c>
      <c r="W1073" s="69">
        <v>94</v>
      </c>
      <c r="X1073" s="136">
        <v>2</v>
      </c>
      <c r="Y1073" s="136">
        <v>15</v>
      </c>
      <c r="Z1073" s="314"/>
      <c r="AA1073" s="319">
        <v>0.5</v>
      </c>
      <c r="AB1073" s="315" t="s">
        <v>5176</v>
      </c>
      <c r="AC1073" s="319">
        <v>2</v>
      </c>
      <c r="AD1073" s="320">
        <v>3.5087719298245598E-2</v>
      </c>
      <c r="AE1073" s="319">
        <v>6</v>
      </c>
      <c r="AF1073" s="320">
        <v>0.105263157894736</v>
      </c>
      <c r="AG1073" s="319">
        <v>0</v>
      </c>
      <c r="AH1073" s="320">
        <v>0</v>
      </c>
      <c r="AI1073" s="319">
        <v>0</v>
      </c>
      <c r="AJ1073" s="320">
        <v>0</v>
      </c>
      <c r="AK1073" s="320">
        <v>3.5087719298245612E-2</v>
      </c>
      <c r="AL1073" s="319">
        <v>5</v>
      </c>
      <c r="AM1073" s="319">
        <v>5</v>
      </c>
      <c r="AN1073" s="319">
        <v>4.6666666666666599</v>
      </c>
      <c r="AO1073" s="319">
        <v>0.48888888888888798</v>
      </c>
      <c r="AP1073">
        <v>15</v>
      </c>
      <c r="AR1073" s="136">
        <v>15</v>
      </c>
      <c r="AT1073" s="69">
        <v>2.3148</v>
      </c>
      <c r="AU1073" s="69">
        <v>2.3148</v>
      </c>
      <c r="AV1073" s="69">
        <v>8.1305999999999994</v>
      </c>
      <c r="AW1073" s="69">
        <v>0.42530000000000001</v>
      </c>
      <c r="BB1073" s="69"/>
    </row>
    <row r="1074" spans="1:54" customFormat="1" ht="40" customHeight="1">
      <c r="A1074" s="313">
        <v>1073</v>
      </c>
      <c r="B1074" s="136" t="s">
        <v>2916</v>
      </c>
      <c r="C1074" s="136" t="s">
        <v>45</v>
      </c>
      <c r="D1074" s="31">
        <f t="shared" si="74"/>
        <v>4</v>
      </c>
      <c r="E1074" s="137" t="s">
        <v>46</v>
      </c>
      <c r="F1074" s="31">
        <f t="shared" si="75"/>
        <v>6</v>
      </c>
      <c r="G1074" s="137" t="s">
        <v>2926</v>
      </c>
      <c r="H1074" s="138">
        <v>77</v>
      </c>
      <c r="I1074" s="158">
        <f t="shared" si="76"/>
        <v>0.76946615716273303</v>
      </c>
      <c r="J1074" s="95">
        <v>0.891465812362911</v>
      </c>
      <c r="K1074" s="137">
        <v>0.64746650196255495</v>
      </c>
      <c r="L1074" s="137">
        <v>0.68181818181818199</v>
      </c>
      <c r="M1074" s="137">
        <v>0.59593898217911601</v>
      </c>
      <c r="N1074" s="136">
        <v>1</v>
      </c>
      <c r="O1074" s="32">
        <v>43123</v>
      </c>
      <c r="P1074" s="98">
        <f t="shared" si="77"/>
        <v>1</v>
      </c>
      <c r="Q1074">
        <v>0</v>
      </c>
      <c r="R1074">
        <v>1.65</v>
      </c>
      <c r="S1074">
        <v>0</v>
      </c>
      <c r="T1074" s="112" t="s">
        <v>73</v>
      </c>
      <c r="U1074" s="137" t="s">
        <v>2927</v>
      </c>
      <c r="V1074" s="137" t="s">
        <v>2928</v>
      </c>
      <c r="W1074" s="69">
        <v>94</v>
      </c>
      <c r="X1074" s="136">
        <v>2</v>
      </c>
      <c r="Y1074" s="136">
        <v>8</v>
      </c>
      <c r="Z1074" s="314"/>
      <c r="AA1074" s="319">
        <v>0.66549999999999998</v>
      </c>
      <c r="AB1074" s="315" t="s">
        <v>5176</v>
      </c>
      <c r="AC1074" s="319">
        <v>2</v>
      </c>
      <c r="AD1074" s="320">
        <v>3.5087719298245598E-2</v>
      </c>
      <c r="AE1074" s="319">
        <v>6</v>
      </c>
      <c r="AF1074" s="320">
        <v>0.105263157894736</v>
      </c>
      <c r="AG1074" s="319">
        <v>0</v>
      </c>
      <c r="AH1074" s="320">
        <v>0</v>
      </c>
      <c r="AI1074" s="319">
        <v>0</v>
      </c>
      <c r="AJ1074" s="320">
        <v>0</v>
      </c>
      <c r="AK1074" s="320">
        <v>3.5087719298245612E-2</v>
      </c>
      <c r="AL1074" s="319">
        <v>5</v>
      </c>
      <c r="AM1074" s="319">
        <v>6.2</v>
      </c>
      <c r="AN1074" s="319">
        <v>3.5</v>
      </c>
      <c r="AO1074" s="319">
        <v>0.49</v>
      </c>
      <c r="AP1074">
        <v>8</v>
      </c>
      <c r="AR1074" s="136">
        <v>8</v>
      </c>
      <c r="AT1074" s="69">
        <v>2.3148</v>
      </c>
      <c r="AU1074" s="69">
        <v>5</v>
      </c>
      <c r="AV1074" s="69">
        <v>5.7443999999999997</v>
      </c>
      <c r="AW1074" s="69">
        <v>0.43530000000000002</v>
      </c>
      <c r="BB1074" s="69"/>
    </row>
    <row r="1075" spans="1:54" customFormat="1" ht="40" customHeight="1">
      <c r="A1075" s="313">
        <v>1074</v>
      </c>
      <c r="B1075" s="136" t="s">
        <v>2916</v>
      </c>
      <c r="C1075" s="136" t="s">
        <v>59</v>
      </c>
      <c r="D1075" s="31">
        <f t="shared" si="74"/>
        <v>5</v>
      </c>
      <c r="E1075" s="137" t="s">
        <v>46</v>
      </c>
      <c r="F1075" s="31">
        <f t="shared" si="75"/>
        <v>6</v>
      </c>
      <c r="G1075" s="137" t="s">
        <v>2929</v>
      </c>
      <c r="H1075" s="138">
        <v>276</v>
      </c>
      <c r="I1075" s="158">
        <f t="shared" si="76"/>
        <v>0.39642857142857174</v>
      </c>
      <c r="J1075" s="95">
        <v>4.4408920985006301E-16</v>
      </c>
      <c r="K1075" s="137">
        <v>0.79285714285714304</v>
      </c>
      <c r="L1075" s="137">
        <v>0.75</v>
      </c>
      <c r="M1075" s="137">
        <v>0.85714285714285698</v>
      </c>
      <c r="N1075" s="136">
        <v>1</v>
      </c>
      <c r="O1075" s="32">
        <v>42651</v>
      </c>
      <c r="P1075" s="98">
        <f t="shared" si="77"/>
        <v>0</v>
      </c>
      <c r="Q1075">
        <v>5.0999999999999996</v>
      </c>
      <c r="R1075">
        <v>1.65</v>
      </c>
      <c r="S1075">
        <v>0</v>
      </c>
      <c r="T1075" s="112" t="s">
        <v>48</v>
      </c>
      <c r="U1075" s="137" t="s">
        <v>2930</v>
      </c>
      <c r="V1075" s="137" t="s">
        <v>2931</v>
      </c>
      <c r="W1075" s="69">
        <v>207</v>
      </c>
      <c r="X1075" s="136">
        <v>1</v>
      </c>
      <c r="Y1075" s="136">
        <v>1</v>
      </c>
      <c r="Z1075" s="314"/>
      <c r="AA1075" s="319">
        <v>0.45454545454545398</v>
      </c>
      <c r="AB1075" s="315" t="s">
        <v>5165</v>
      </c>
      <c r="AC1075" s="319">
        <v>1</v>
      </c>
      <c r="AD1075" s="320">
        <v>7.9365079365079309E-3</v>
      </c>
      <c r="AE1075" s="319">
        <v>0</v>
      </c>
      <c r="AF1075" s="320">
        <v>0</v>
      </c>
      <c r="AG1075" s="319">
        <v>0</v>
      </c>
      <c r="AH1075" s="320">
        <v>0</v>
      </c>
      <c r="AI1075" s="319">
        <v>0</v>
      </c>
      <c r="AJ1075" s="320">
        <v>0</v>
      </c>
      <c r="AK1075" s="320">
        <v>0</v>
      </c>
      <c r="AL1075" s="319">
        <v>5</v>
      </c>
      <c r="AM1075" s="319">
        <v>5</v>
      </c>
      <c r="AN1075" s="319">
        <v>2</v>
      </c>
      <c r="AO1075" s="319">
        <v>0.4</v>
      </c>
      <c r="AP1075">
        <v>1</v>
      </c>
      <c r="AS1075" s="136">
        <v>1</v>
      </c>
      <c r="AT1075" s="69">
        <v>2.3148</v>
      </c>
      <c r="AU1075" s="69">
        <v>2.3148</v>
      </c>
      <c r="AV1075" s="69">
        <v>2.3148</v>
      </c>
      <c r="AW1075" s="69">
        <v>0.23150000000000001</v>
      </c>
      <c r="BB1075" s="69"/>
    </row>
    <row r="1076" spans="1:54" customFormat="1" ht="40" customHeight="1">
      <c r="A1076" s="313">
        <v>1075</v>
      </c>
      <c r="B1076" s="136" t="s">
        <v>2916</v>
      </c>
      <c r="C1076" s="136" t="s">
        <v>45</v>
      </c>
      <c r="D1076" s="31">
        <f t="shared" si="74"/>
        <v>4</v>
      </c>
      <c r="E1076" s="137" t="s">
        <v>46</v>
      </c>
      <c r="F1076" s="31">
        <f t="shared" si="75"/>
        <v>6</v>
      </c>
      <c r="G1076" s="137" t="s">
        <v>2932</v>
      </c>
      <c r="H1076" s="138">
        <v>194</v>
      </c>
      <c r="I1076" s="158">
        <f t="shared" si="76"/>
        <v>0.38361234350000756</v>
      </c>
      <c r="J1076" s="95">
        <v>3.1086244689504399E-15</v>
      </c>
      <c r="K1076" s="137">
        <v>0.76722468700001201</v>
      </c>
      <c r="L1076" s="137">
        <v>0.82499999999999996</v>
      </c>
      <c r="M1076" s="137">
        <v>0.68056171750003003</v>
      </c>
      <c r="N1076" s="136">
        <v>1</v>
      </c>
      <c r="O1076" s="32">
        <v>42631</v>
      </c>
      <c r="P1076" s="98">
        <f t="shared" si="77"/>
        <v>0</v>
      </c>
      <c r="Q1076">
        <v>5.0999999999999996</v>
      </c>
      <c r="R1076">
        <v>1.65</v>
      </c>
      <c r="S1076">
        <v>0</v>
      </c>
      <c r="T1076" s="112" t="s">
        <v>48</v>
      </c>
      <c r="U1076" s="137" t="s">
        <v>2933</v>
      </c>
      <c r="V1076" s="137" t="s">
        <v>2934</v>
      </c>
      <c r="W1076" s="69">
        <v>175</v>
      </c>
      <c r="X1076" s="136">
        <v>2</v>
      </c>
      <c r="Y1076" s="136">
        <v>5</v>
      </c>
      <c r="Z1076" s="314"/>
      <c r="AA1076" s="319">
        <v>0.54500000000000004</v>
      </c>
      <c r="AB1076" s="315" t="s">
        <v>5165</v>
      </c>
      <c r="AC1076" s="319">
        <v>1</v>
      </c>
      <c r="AD1076" s="320">
        <v>9.7087378640776708E-3</v>
      </c>
      <c r="AE1076" s="319">
        <v>0</v>
      </c>
      <c r="AF1076" s="320">
        <v>0</v>
      </c>
      <c r="AG1076" s="319">
        <v>0</v>
      </c>
      <c r="AH1076" s="320">
        <v>0</v>
      </c>
      <c r="AI1076" s="319">
        <v>0</v>
      </c>
      <c r="AJ1076" s="320">
        <v>0</v>
      </c>
      <c r="AK1076" s="320">
        <v>0</v>
      </c>
      <c r="AL1076" s="319">
        <v>5</v>
      </c>
      <c r="AM1076" s="319">
        <v>5</v>
      </c>
      <c r="AN1076" s="319">
        <v>6.1666666666666599</v>
      </c>
      <c r="AO1076" s="319">
        <v>0.53888888888888797</v>
      </c>
      <c r="AP1076">
        <v>5</v>
      </c>
      <c r="AS1076" s="136">
        <v>5</v>
      </c>
      <c r="AT1076" s="69">
        <v>2.3148</v>
      </c>
      <c r="AU1076" s="69">
        <v>2.3148</v>
      </c>
      <c r="AV1076" s="69">
        <v>9.5120000000000005</v>
      </c>
      <c r="AW1076" s="69">
        <v>0.47139999999999999</v>
      </c>
      <c r="BB1076" s="69"/>
    </row>
    <row r="1077" spans="1:54" customFormat="1" ht="40" customHeight="1">
      <c r="A1077" s="313">
        <v>1076</v>
      </c>
      <c r="B1077" s="136" t="s">
        <v>2916</v>
      </c>
      <c r="C1077" s="136" t="s">
        <v>45</v>
      </c>
      <c r="D1077" s="31">
        <f t="shared" si="74"/>
        <v>4</v>
      </c>
      <c r="E1077" s="137" t="s">
        <v>46</v>
      </c>
      <c r="F1077" s="31">
        <f t="shared" si="75"/>
        <v>6</v>
      </c>
      <c r="G1077" s="137" t="s">
        <v>2935</v>
      </c>
      <c r="H1077" s="138">
        <v>83</v>
      </c>
      <c r="I1077" s="158">
        <f t="shared" si="76"/>
        <v>0.37551488256433596</v>
      </c>
      <c r="J1077" s="95">
        <v>4.0969897509013398E-6</v>
      </c>
      <c r="K1077" s="137">
        <v>0.75102566813892102</v>
      </c>
      <c r="L1077" s="137">
        <v>0.75</v>
      </c>
      <c r="M1077" s="137">
        <v>0.75256417034730305</v>
      </c>
      <c r="N1077" s="136">
        <v>1</v>
      </c>
      <c r="O1077" s="32">
        <v>42514</v>
      </c>
      <c r="P1077" s="98">
        <f t="shared" si="77"/>
        <v>0</v>
      </c>
      <c r="Q1077">
        <v>2.5499999999999998</v>
      </c>
      <c r="R1077">
        <v>0</v>
      </c>
      <c r="S1077">
        <v>0</v>
      </c>
      <c r="T1077" s="112" t="s">
        <v>48</v>
      </c>
      <c r="U1077" s="137" t="s">
        <v>2936</v>
      </c>
      <c r="V1077" s="137" t="s">
        <v>2937</v>
      </c>
      <c r="W1077" s="69">
        <v>162</v>
      </c>
      <c r="X1077" s="136">
        <v>1</v>
      </c>
      <c r="Y1077" s="136">
        <v>3</v>
      </c>
      <c r="Z1077" s="314"/>
      <c r="AA1077" s="319">
        <v>0.54500000000000004</v>
      </c>
      <c r="AB1077" s="315" t="s">
        <v>5167</v>
      </c>
      <c r="AC1077" s="319">
        <v>0</v>
      </c>
      <c r="AD1077" s="320">
        <v>0</v>
      </c>
      <c r="AE1077" s="319">
        <v>0</v>
      </c>
      <c r="AF1077" s="320">
        <v>0</v>
      </c>
      <c r="AG1077" s="319">
        <v>0</v>
      </c>
      <c r="AH1077" s="320">
        <v>0</v>
      </c>
      <c r="AI1077" s="319">
        <v>1</v>
      </c>
      <c r="AJ1077" s="320">
        <v>1.04166666666666E-2</v>
      </c>
      <c r="AK1077" s="320">
        <v>0</v>
      </c>
      <c r="AL1077" s="319">
        <v>5</v>
      </c>
      <c r="AM1077" s="319">
        <v>6.2</v>
      </c>
      <c r="AN1077" s="319">
        <v>4.6666666666666599</v>
      </c>
      <c r="AO1077" s="319">
        <v>0.52888888888888796</v>
      </c>
      <c r="AP1077">
        <v>3</v>
      </c>
      <c r="AQ1077" s="136">
        <v>3</v>
      </c>
      <c r="AT1077" s="69">
        <v>2.3148</v>
      </c>
      <c r="AU1077" s="69">
        <v>5</v>
      </c>
      <c r="AV1077" s="69">
        <v>8.1305999999999994</v>
      </c>
      <c r="AW1077" s="69">
        <v>0.51480000000000004</v>
      </c>
      <c r="BB1077" s="69"/>
    </row>
    <row r="1078" spans="1:54" customFormat="1" ht="40" customHeight="1">
      <c r="A1078" s="313">
        <v>1077</v>
      </c>
      <c r="B1078" s="136" t="s">
        <v>2938</v>
      </c>
      <c r="C1078" s="136" t="s">
        <v>45</v>
      </c>
      <c r="D1078" s="31">
        <f t="shared" si="74"/>
        <v>4</v>
      </c>
      <c r="E1078" s="137" t="s">
        <v>46</v>
      </c>
      <c r="F1078" s="31">
        <f t="shared" si="75"/>
        <v>6</v>
      </c>
      <c r="G1078" s="137" t="s">
        <v>2939</v>
      </c>
      <c r="H1078" s="138">
        <v>147</v>
      </c>
      <c r="I1078" s="158">
        <f t="shared" si="76"/>
        <v>0.38529086708363958</v>
      </c>
      <c r="J1078" s="95">
        <v>1.3939377314561301E-3</v>
      </c>
      <c r="K1078" s="137">
        <v>0.76918779643582302</v>
      </c>
      <c r="L1078" s="137">
        <v>0.75</v>
      </c>
      <c r="M1078" s="137">
        <v>0.79796949108955795</v>
      </c>
      <c r="N1078" s="136">
        <v>1</v>
      </c>
      <c r="O1078" s="32">
        <v>43751</v>
      </c>
      <c r="P1078" s="98">
        <f t="shared" si="77"/>
        <v>2</v>
      </c>
      <c r="Q1078">
        <v>0</v>
      </c>
      <c r="R1078">
        <v>0</v>
      </c>
      <c r="S1078">
        <v>0</v>
      </c>
      <c r="T1078" s="112" t="s">
        <v>64</v>
      </c>
      <c r="U1078" s="137" t="s">
        <v>2940</v>
      </c>
      <c r="V1078" s="137" t="s">
        <v>2941</v>
      </c>
      <c r="W1078" s="69">
        <v>104</v>
      </c>
      <c r="X1078" s="136">
        <v>1</v>
      </c>
      <c r="Y1078" s="136">
        <v>2</v>
      </c>
      <c r="Z1078" s="314"/>
      <c r="AA1078" s="319">
        <v>0.5</v>
      </c>
      <c r="AB1078" s="315" t="s">
        <v>5176</v>
      </c>
      <c r="AC1078" s="319">
        <v>2</v>
      </c>
      <c r="AD1078" s="320">
        <v>3.2786885245901599E-2</v>
      </c>
      <c r="AE1078" s="319">
        <v>3</v>
      </c>
      <c r="AF1078" s="320">
        <v>4.9180327868852403E-2</v>
      </c>
      <c r="AG1078" s="319">
        <v>1</v>
      </c>
      <c r="AH1078" s="320">
        <v>1.63934426229508E-2</v>
      </c>
      <c r="AI1078" s="319">
        <v>0</v>
      </c>
      <c r="AJ1078" s="320">
        <v>0</v>
      </c>
      <c r="AK1078" s="320">
        <v>1.6393442622950821E-2</v>
      </c>
      <c r="AL1078" s="319">
        <v>5</v>
      </c>
      <c r="AM1078" s="319">
        <v>5</v>
      </c>
      <c r="AN1078" s="319">
        <v>4.6666666666666599</v>
      </c>
      <c r="AO1078" s="319">
        <v>0.48888888888888798</v>
      </c>
      <c r="AP1078">
        <v>2</v>
      </c>
      <c r="AR1078" s="136">
        <v>2</v>
      </c>
      <c r="AT1078" s="69">
        <v>2.3148</v>
      </c>
      <c r="AU1078" s="69">
        <v>2.3148</v>
      </c>
      <c r="AV1078" s="69">
        <v>8.1305999999999994</v>
      </c>
      <c r="AW1078" s="69">
        <v>0.42530000000000001</v>
      </c>
      <c r="BB1078" s="69"/>
    </row>
    <row r="1079" spans="1:54" customFormat="1" ht="40" customHeight="1">
      <c r="A1079" s="313">
        <v>1078</v>
      </c>
      <c r="B1079" s="136" t="s">
        <v>2938</v>
      </c>
      <c r="C1079" s="136" t="s">
        <v>45</v>
      </c>
      <c r="D1079" s="31">
        <f t="shared" si="74"/>
        <v>4</v>
      </c>
      <c r="E1079" s="137" t="s">
        <v>46</v>
      </c>
      <c r="F1079" s="31">
        <f t="shared" si="75"/>
        <v>6</v>
      </c>
      <c r="G1079" s="137" t="s">
        <v>2942</v>
      </c>
      <c r="H1079" s="138">
        <v>52</v>
      </c>
      <c r="I1079" s="158">
        <f t="shared" si="76"/>
        <v>0.36728536850603583</v>
      </c>
      <c r="J1079" s="95">
        <v>6.2920314853396296E-3</v>
      </c>
      <c r="K1079" s="137">
        <v>0.72827870552673202</v>
      </c>
      <c r="L1079" s="137">
        <v>0.68181818181818199</v>
      </c>
      <c r="M1079" s="137">
        <v>0.79796949108955795</v>
      </c>
      <c r="N1079" s="136">
        <v>0</v>
      </c>
      <c r="O1079" s="32">
        <v>43705</v>
      </c>
      <c r="P1079" s="98">
        <f t="shared" si="77"/>
        <v>1</v>
      </c>
      <c r="Q1079">
        <v>0</v>
      </c>
      <c r="R1079">
        <v>1.65</v>
      </c>
      <c r="S1079">
        <v>0</v>
      </c>
      <c r="T1079" s="112" t="s">
        <v>73</v>
      </c>
      <c r="U1079" s="137" t="s">
        <v>2943</v>
      </c>
      <c r="V1079" s="137" t="s">
        <v>2944</v>
      </c>
      <c r="W1079" s="69">
        <v>79</v>
      </c>
      <c r="X1079" s="136">
        <v>1</v>
      </c>
      <c r="Y1079" s="136">
        <v>2</v>
      </c>
      <c r="Z1079" s="314"/>
      <c r="AA1079" s="319">
        <v>0.5</v>
      </c>
      <c r="AB1079" s="315" t="s">
        <v>5166</v>
      </c>
      <c r="AC1079" s="319">
        <v>2</v>
      </c>
      <c r="AD1079" s="320">
        <v>4.3478260869565202E-2</v>
      </c>
      <c r="AE1079" s="319">
        <v>1</v>
      </c>
      <c r="AF1079" s="320">
        <v>2.1739130434782601E-2</v>
      </c>
      <c r="AG1079" s="319">
        <v>1</v>
      </c>
      <c r="AH1079" s="320">
        <v>2.1739130434782601E-2</v>
      </c>
      <c r="AI1079" s="319">
        <v>2</v>
      </c>
      <c r="AJ1079" s="320">
        <v>4.3478260869565202E-2</v>
      </c>
      <c r="AK1079" s="320">
        <v>0</v>
      </c>
      <c r="AL1079" s="319">
        <v>5</v>
      </c>
      <c r="AM1079" s="319">
        <v>5</v>
      </c>
      <c r="AN1079" s="319">
        <v>2</v>
      </c>
      <c r="AO1079" s="319">
        <v>0.4</v>
      </c>
      <c r="AP1079">
        <v>2</v>
      </c>
      <c r="AQ1079" s="136">
        <v>2</v>
      </c>
      <c r="AR1079" s="136"/>
      <c r="AT1079" s="69">
        <v>2.3148</v>
      </c>
      <c r="AU1079" s="69">
        <v>2.3148</v>
      </c>
      <c r="AV1079" s="69">
        <v>2.3148</v>
      </c>
      <c r="AW1079" s="69">
        <v>0.23150000000000001</v>
      </c>
      <c r="BB1079" s="69"/>
    </row>
    <row r="1080" spans="1:54" customFormat="1" ht="40" customHeight="1">
      <c r="A1080" s="313">
        <v>1079</v>
      </c>
      <c r="B1080" s="136" t="s">
        <v>2938</v>
      </c>
      <c r="C1080" s="136" t="s">
        <v>45</v>
      </c>
      <c r="D1080" s="31">
        <f t="shared" si="74"/>
        <v>4</v>
      </c>
      <c r="E1080" s="137" t="s">
        <v>46</v>
      </c>
      <c r="F1080" s="31">
        <f t="shared" si="75"/>
        <v>6</v>
      </c>
      <c r="G1080" s="137" t="s">
        <v>2945</v>
      </c>
      <c r="H1080" s="138">
        <v>69</v>
      </c>
      <c r="I1080" s="158">
        <f t="shared" si="76"/>
        <v>0.88363276352488251</v>
      </c>
      <c r="J1080" s="95">
        <v>0.998077730613942</v>
      </c>
      <c r="K1080" s="137">
        <v>0.76918779643582302</v>
      </c>
      <c r="L1080" s="137">
        <v>0.75</v>
      </c>
      <c r="M1080" s="137">
        <v>0.79796949108955795</v>
      </c>
      <c r="N1080" s="136">
        <v>1</v>
      </c>
      <c r="O1080" s="32">
        <v>43082</v>
      </c>
      <c r="P1080" s="98">
        <f t="shared" si="77"/>
        <v>2</v>
      </c>
      <c r="Q1080">
        <v>0</v>
      </c>
      <c r="R1080">
        <v>0</v>
      </c>
      <c r="S1080">
        <v>0</v>
      </c>
      <c r="T1080" s="112" t="s">
        <v>64</v>
      </c>
      <c r="U1080" s="137" t="s">
        <v>2946</v>
      </c>
      <c r="V1080" s="137" t="s">
        <v>2947</v>
      </c>
      <c r="W1080" s="69">
        <v>53</v>
      </c>
      <c r="X1080" s="136">
        <v>1</v>
      </c>
      <c r="Y1080" s="136">
        <v>2</v>
      </c>
      <c r="Z1080" s="314"/>
      <c r="AA1080" s="319">
        <v>0.5</v>
      </c>
      <c r="AB1080" s="315" t="s">
        <v>5193</v>
      </c>
      <c r="AC1080" s="319">
        <v>1</v>
      </c>
      <c r="AD1080" s="320">
        <v>3.4482758620689599E-2</v>
      </c>
      <c r="AE1080" s="319">
        <v>1</v>
      </c>
      <c r="AF1080" s="320">
        <v>3.4482758620689599E-2</v>
      </c>
      <c r="AG1080" s="319">
        <v>0</v>
      </c>
      <c r="AH1080" s="320">
        <v>0</v>
      </c>
      <c r="AI1080" s="319">
        <v>1</v>
      </c>
      <c r="AJ1080" s="320">
        <v>3.4482758620689599E-2</v>
      </c>
      <c r="AK1080" s="320">
        <v>0</v>
      </c>
      <c r="AL1080" s="319">
        <v>5</v>
      </c>
      <c r="AM1080" s="319">
        <v>5</v>
      </c>
      <c r="AN1080" s="319">
        <v>3.5</v>
      </c>
      <c r="AO1080" s="319">
        <v>0.45</v>
      </c>
      <c r="AP1080">
        <v>2</v>
      </c>
      <c r="AR1080" s="136">
        <v>2</v>
      </c>
      <c r="AT1080" s="69">
        <v>2.3148</v>
      </c>
      <c r="AU1080" s="69">
        <v>2.3148</v>
      </c>
      <c r="AV1080" s="69">
        <v>5.7443999999999997</v>
      </c>
      <c r="AW1080" s="69">
        <v>0.3458</v>
      </c>
      <c r="BB1080" s="69"/>
    </row>
    <row r="1081" spans="1:54" customFormat="1" ht="40" customHeight="1">
      <c r="A1081" s="313">
        <v>1080</v>
      </c>
      <c r="B1081" s="136" t="s">
        <v>2948</v>
      </c>
      <c r="C1081" s="136" t="s">
        <v>45</v>
      </c>
      <c r="D1081" s="31">
        <f t="shared" si="74"/>
        <v>4</v>
      </c>
      <c r="E1081" s="137" t="s">
        <v>80</v>
      </c>
      <c r="F1081" s="31">
        <f t="shared" si="75"/>
        <v>4</v>
      </c>
      <c r="G1081" s="137" t="s">
        <v>2949</v>
      </c>
      <c r="H1081" s="138">
        <f>LEN(U1081)</f>
        <v>94</v>
      </c>
      <c r="I1081" s="158">
        <f t="shared" si="76"/>
        <v>0.30925934493222446</v>
      </c>
      <c r="J1081" s="95">
        <v>1.48912334983219E-2</v>
      </c>
      <c r="K1081" s="137">
        <v>0.60362745636612702</v>
      </c>
      <c r="L1081" s="137">
        <v>0.82499999999999996</v>
      </c>
      <c r="M1081" s="137">
        <v>0.27156864091531702</v>
      </c>
      <c r="N1081" s="136">
        <v>1</v>
      </c>
      <c r="O1081" s="32">
        <v>44150</v>
      </c>
      <c r="P1081" s="98">
        <f t="shared" si="77"/>
        <v>1</v>
      </c>
      <c r="Q1081">
        <v>2.5499999999999998</v>
      </c>
      <c r="R1081">
        <v>1.65</v>
      </c>
      <c r="S1081">
        <v>0</v>
      </c>
      <c r="T1081" s="112" t="s">
        <v>73</v>
      </c>
      <c r="U1081" s="137" t="s">
        <v>2950</v>
      </c>
      <c r="V1081" s="137" t="s">
        <v>2951</v>
      </c>
      <c r="W1081" s="69">
        <f>LEN(V1081)</f>
        <v>149</v>
      </c>
      <c r="X1081" s="136">
        <v>2</v>
      </c>
      <c r="Y1081" s="136">
        <v>26</v>
      </c>
      <c r="Z1081" s="314"/>
      <c r="AA1081" s="319">
        <v>0.5</v>
      </c>
      <c r="AB1081" s="315" t="s">
        <v>5177</v>
      </c>
      <c r="AC1081" s="319">
        <v>1</v>
      </c>
      <c r="AD1081" s="320">
        <v>1.2500000000000001E-2</v>
      </c>
      <c r="AE1081" s="319">
        <v>2</v>
      </c>
      <c r="AF1081" s="320">
        <v>2.5000000000000001E-2</v>
      </c>
      <c r="AG1081" s="319">
        <v>2</v>
      </c>
      <c r="AH1081" s="320">
        <v>2.5000000000000001E-2</v>
      </c>
      <c r="AI1081" s="319">
        <v>0</v>
      </c>
      <c r="AJ1081" s="320">
        <v>0</v>
      </c>
      <c r="AK1081" s="320">
        <v>1.2500000000000001E-2</v>
      </c>
      <c r="AL1081" s="319">
        <v>5</v>
      </c>
      <c r="AM1081" s="319">
        <v>5</v>
      </c>
      <c r="AN1081" s="319">
        <v>4.6666666666666599</v>
      </c>
      <c r="AO1081" s="319">
        <v>0.48888888888888798</v>
      </c>
      <c r="AP1081">
        <v>26</v>
      </c>
      <c r="AQ1081" s="136">
        <v>26</v>
      </c>
      <c r="AT1081" s="69">
        <v>2.3148</v>
      </c>
      <c r="AU1081" s="69">
        <v>2.3148</v>
      </c>
      <c r="AV1081" s="69">
        <v>8.1305999999999994</v>
      </c>
      <c r="AW1081" s="69">
        <v>0.42530000000000001</v>
      </c>
      <c r="BB1081" s="69"/>
    </row>
    <row r="1082" spans="1:54" customFormat="1" ht="40" customHeight="1">
      <c r="A1082" s="313">
        <v>1081</v>
      </c>
      <c r="B1082" s="136" t="s">
        <v>2948</v>
      </c>
      <c r="C1082" s="136" t="s">
        <v>45</v>
      </c>
      <c r="D1082" s="31">
        <f t="shared" si="74"/>
        <v>4</v>
      </c>
      <c r="E1082" s="137" t="s">
        <v>46</v>
      </c>
      <c r="F1082" s="31">
        <f t="shared" si="75"/>
        <v>6</v>
      </c>
      <c r="G1082" s="137" t="s">
        <v>2952</v>
      </c>
      <c r="H1082" s="138">
        <v>17</v>
      </c>
      <c r="I1082" s="158">
        <f t="shared" si="76"/>
        <v>0.42009318168418369</v>
      </c>
      <c r="J1082" s="95">
        <v>8.9160695229446404E-2</v>
      </c>
      <c r="K1082" s="137">
        <v>0.75102566813892102</v>
      </c>
      <c r="L1082" s="137">
        <v>0.75</v>
      </c>
      <c r="M1082" s="137">
        <v>0.75256417034730305</v>
      </c>
      <c r="N1082" s="136">
        <v>0</v>
      </c>
      <c r="O1082" s="32">
        <v>44002</v>
      </c>
      <c r="P1082" s="98">
        <f t="shared" si="77"/>
        <v>1</v>
      </c>
      <c r="Q1082">
        <v>0</v>
      </c>
      <c r="R1082">
        <v>1.65</v>
      </c>
      <c r="S1082">
        <v>0</v>
      </c>
      <c r="T1082" s="112" t="s">
        <v>73</v>
      </c>
      <c r="U1082" s="137" t="s">
        <v>2953</v>
      </c>
      <c r="V1082" s="137" t="s">
        <v>2954</v>
      </c>
      <c r="W1082" s="69">
        <v>80</v>
      </c>
      <c r="X1082" s="136">
        <v>1</v>
      </c>
      <c r="Y1082" s="136">
        <v>3</v>
      </c>
      <c r="Z1082" s="314"/>
      <c r="AA1082" s="319">
        <v>0.5</v>
      </c>
      <c r="AB1082" s="315" t="s">
        <v>5176</v>
      </c>
      <c r="AC1082" s="319">
        <v>1</v>
      </c>
      <c r="AD1082" s="320">
        <v>2.0833333333333301E-2</v>
      </c>
      <c r="AE1082" s="319">
        <v>5</v>
      </c>
      <c r="AF1082" s="320">
        <v>0.10416666666666601</v>
      </c>
      <c r="AG1082" s="319">
        <v>1</v>
      </c>
      <c r="AH1082" s="320">
        <v>2.0833333333333301E-2</v>
      </c>
      <c r="AI1082" s="319">
        <v>0</v>
      </c>
      <c r="AJ1082" s="320">
        <v>0</v>
      </c>
      <c r="AK1082" s="320">
        <v>4.1666666666666657E-2</v>
      </c>
      <c r="AL1082" s="319">
        <v>5</v>
      </c>
      <c r="AM1082" s="319">
        <v>5</v>
      </c>
      <c r="AN1082" s="319">
        <v>2</v>
      </c>
      <c r="AO1082" s="319">
        <v>0.4</v>
      </c>
      <c r="AP1082">
        <v>3</v>
      </c>
      <c r="AQ1082" s="136">
        <v>3</v>
      </c>
      <c r="AT1082" s="69">
        <v>2.3148</v>
      </c>
      <c r="AU1082" s="69">
        <v>2.3148</v>
      </c>
      <c r="AV1082" s="69">
        <v>2.3148</v>
      </c>
      <c r="AW1082" s="69">
        <v>0.23150000000000001</v>
      </c>
      <c r="BB1082" s="69"/>
    </row>
    <row r="1083" spans="1:54" customFormat="1" ht="40" customHeight="1">
      <c r="A1083" s="313">
        <v>1082</v>
      </c>
      <c r="B1083" s="136" t="s">
        <v>2948</v>
      </c>
      <c r="C1083" s="136" t="s">
        <v>45</v>
      </c>
      <c r="D1083" s="31">
        <f t="shared" si="74"/>
        <v>4</v>
      </c>
      <c r="E1083" s="137" t="s">
        <v>80</v>
      </c>
      <c r="F1083" s="31">
        <f t="shared" si="75"/>
        <v>4</v>
      </c>
      <c r="G1083" s="137" t="s">
        <v>2900</v>
      </c>
      <c r="H1083" s="138">
        <v>48</v>
      </c>
      <c r="I1083" s="158">
        <f t="shared" si="76"/>
        <v>0.79192299110042996</v>
      </c>
      <c r="J1083" s="95">
        <v>0.80313169648657401</v>
      </c>
      <c r="K1083" s="137">
        <v>0.78071428571428603</v>
      </c>
      <c r="L1083" s="137">
        <v>0.82499999999999996</v>
      </c>
      <c r="M1083" s="137">
        <v>0.71428571428571397</v>
      </c>
      <c r="N1083" s="136">
        <v>1</v>
      </c>
      <c r="O1083" s="32">
        <v>43798</v>
      </c>
      <c r="P1083" s="98">
        <f t="shared" si="77"/>
        <v>0</v>
      </c>
      <c r="Q1083">
        <v>2.5499999999999998</v>
      </c>
      <c r="R1083">
        <v>1.65</v>
      </c>
      <c r="S1083">
        <v>0</v>
      </c>
      <c r="T1083" s="112" t="s">
        <v>48</v>
      </c>
      <c r="U1083" s="137" t="s">
        <v>2955</v>
      </c>
      <c r="V1083" s="137" t="s">
        <v>2956</v>
      </c>
      <c r="W1083" s="69">
        <v>58</v>
      </c>
      <c r="X1083" s="136">
        <v>1</v>
      </c>
      <c r="Y1083" s="136">
        <v>4</v>
      </c>
      <c r="Z1083" s="314"/>
      <c r="AA1083" s="319">
        <v>0.54500000000000004</v>
      </c>
      <c r="AB1083" s="315" t="s">
        <v>5176</v>
      </c>
      <c r="AC1083" s="319">
        <v>0</v>
      </c>
      <c r="AD1083" s="320">
        <v>0</v>
      </c>
      <c r="AE1083" s="319">
        <v>3</v>
      </c>
      <c r="AF1083" s="320">
        <v>8.8235294117646995E-2</v>
      </c>
      <c r="AG1083" s="319">
        <v>0</v>
      </c>
      <c r="AH1083" s="320">
        <v>0</v>
      </c>
      <c r="AI1083" s="319">
        <v>0</v>
      </c>
      <c r="AJ1083" s="320">
        <v>0</v>
      </c>
      <c r="AK1083" s="320">
        <v>2.9411764705882349E-2</v>
      </c>
      <c r="AL1083" s="319">
        <v>5</v>
      </c>
      <c r="AM1083" s="319">
        <v>5</v>
      </c>
      <c r="AN1083" s="319">
        <v>4.6666666666666599</v>
      </c>
      <c r="AO1083" s="319">
        <v>0.48888888888888798</v>
      </c>
      <c r="AP1083">
        <v>4</v>
      </c>
      <c r="AR1083" s="136">
        <v>4</v>
      </c>
      <c r="AT1083" s="69">
        <v>2.3148</v>
      </c>
      <c r="AU1083" s="69">
        <v>2.3148</v>
      </c>
      <c r="AV1083" s="69">
        <v>8.1305999999999994</v>
      </c>
      <c r="AW1083" s="69">
        <v>0.42530000000000001</v>
      </c>
      <c r="BB1083" s="69"/>
    </row>
    <row r="1084" spans="1:54" customFormat="1" ht="40" customHeight="1">
      <c r="A1084" s="313">
        <v>1083</v>
      </c>
      <c r="B1084" s="136" t="s">
        <v>2948</v>
      </c>
      <c r="C1084" s="136" t="s">
        <v>45</v>
      </c>
      <c r="D1084" s="31">
        <f t="shared" si="74"/>
        <v>4</v>
      </c>
      <c r="E1084" s="137" t="s">
        <v>80</v>
      </c>
      <c r="F1084" s="31">
        <f t="shared" si="75"/>
        <v>4</v>
      </c>
      <c r="G1084" s="137" t="s">
        <v>2957</v>
      </c>
      <c r="H1084" s="138">
        <v>74</v>
      </c>
      <c r="I1084" s="158">
        <f t="shared" si="76"/>
        <v>0.38361566319854118</v>
      </c>
      <c r="J1084" s="95">
        <v>6.6393970703515501E-6</v>
      </c>
      <c r="K1084" s="137">
        <v>0.76722468700001201</v>
      </c>
      <c r="L1084" s="137">
        <v>0.82499999999999996</v>
      </c>
      <c r="M1084" s="137">
        <v>0.68056171750003003</v>
      </c>
      <c r="N1084" s="136">
        <v>1</v>
      </c>
      <c r="O1084" s="32">
        <v>43699</v>
      </c>
      <c r="P1084" s="98">
        <f t="shared" si="77"/>
        <v>0</v>
      </c>
      <c r="Q1084">
        <v>5.0999999999999996</v>
      </c>
      <c r="R1084">
        <v>1.65</v>
      </c>
      <c r="S1084">
        <v>0</v>
      </c>
      <c r="T1084" s="112" t="s">
        <v>48</v>
      </c>
      <c r="U1084" s="137" t="s">
        <v>2958</v>
      </c>
      <c r="V1084" s="137" t="s">
        <v>2959</v>
      </c>
      <c r="W1084" s="69">
        <v>85</v>
      </c>
      <c r="X1084" s="136">
        <v>1</v>
      </c>
      <c r="Y1084" s="136">
        <v>5</v>
      </c>
      <c r="Z1084" s="314"/>
      <c r="AA1084" s="319">
        <v>0.54500000000000004</v>
      </c>
      <c r="AB1084" s="315" t="s">
        <v>5176</v>
      </c>
      <c r="AC1084" s="319">
        <v>0</v>
      </c>
      <c r="AD1084" s="320">
        <v>0</v>
      </c>
      <c r="AE1084" s="319">
        <v>3</v>
      </c>
      <c r="AF1084" s="320">
        <v>5.8823529411764698E-2</v>
      </c>
      <c r="AG1084" s="319">
        <v>2</v>
      </c>
      <c r="AH1084" s="320">
        <v>3.9215686274509803E-2</v>
      </c>
      <c r="AI1084" s="319">
        <v>0</v>
      </c>
      <c r="AJ1084" s="320">
        <v>0</v>
      </c>
      <c r="AK1084" s="320">
        <v>3.9215686274509803E-2</v>
      </c>
      <c r="AL1084" s="319">
        <v>5</v>
      </c>
      <c r="AM1084" s="319">
        <v>5</v>
      </c>
      <c r="AN1084" s="319">
        <v>4.6666666666666599</v>
      </c>
      <c r="AO1084" s="319">
        <v>0.48888888888888798</v>
      </c>
      <c r="AP1084">
        <v>5</v>
      </c>
      <c r="AR1084" s="136">
        <v>5</v>
      </c>
      <c r="AT1084" s="69">
        <v>2.3148</v>
      </c>
      <c r="AU1084" s="69">
        <v>2.3148</v>
      </c>
      <c r="AV1084" s="69">
        <v>8.1305999999999994</v>
      </c>
      <c r="AW1084" s="69">
        <v>0.42530000000000001</v>
      </c>
      <c r="BB1084" s="69"/>
    </row>
    <row r="1085" spans="1:54" customFormat="1" ht="40" customHeight="1">
      <c r="A1085" s="313">
        <v>1084</v>
      </c>
      <c r="B1085" s="136" t="s">
        <v>2948</v>
      </c>
      <c r="C1085" s="136" t="s">
        <v>45</v>
      </c>
      <c r="D1085" s="31">
        <f t="shared" si="74"/>
        <v>4</v>
      </c>
      <c r="E1085" s="137" t="s">
        <v>80</v>
      </c>
      <c r="F1085" s="31">
        <f t="shared" si="75"/>
        <v>4</v>
      </c>
      <c r="G1085" s="137" t="s">
        <v>159</v>
      </c>
      <c r="H1085" s="138">
        <v>106</v>
      </c>
      <c r="I1085" s="158">
        <f t="shared" si="76"/>
        <v>0.460473730353196</v>
      </c>
      <c r="J1085" s="95">
        <v>0.140233174992106</v>
      </c>
      <c r="K1085" s="137">
        <v>0.78071428571428603</v>
      </c>
      <c r="L1085" s="137">
        <v>0.82499999999999996</v>
      </c>
      <c r="M1085" s="137">
        <v>0.71428571428571397</v>
      </c>
      <c r="N1085" s="136">
        <v>1</v>
      </c>
      <c r="O1085" s="32">
        <v>43441</v>
      </c>
      <c r="P1085" s="98">
        <f t="shared" si="77"/>
        <v>0</v>
      </c>
      <c r="Q1085">
        <v>2.5499999999999998</v>
      </c>
      <c r="R1085">
        <v>0</v>
      </c>
      <c r="S1085">
        <v>0</v>
      </c>
      <c r="T1085" s="112" t="s">
        <v>48</v>
      </c>
      <c r="U1085" s="137" t="s">
        <v>2960</v>
      </c>
      <c r="V1085" s="137" t="s">
        <v>2961</v>
      </c>
      <c r="W1085" s="69">
        <v>274</v>
      </c>
      <c r="X1085" s="136">
        <v>1</v>
      </c>
      <c r="Y1085" s="136">
        <v>4</v>
      </c>
      <c r="Z1085" s="314"/>
      <c r="AA1085" s="319">
        <v>0.54500000000000004</v>
      </c>
      <c r="AB1085" s="315" t="s">
        <v>5176</v>
      </c>
      <c r="AC1085" s="319">
        <v>1</v>
      </c>
      <c r="AD1085" s="320">
        <v>6.7567567567567502E-3</v>
      </c>
      <c r="AE1085" s="319">
        <v>4</v>
      </c>
      <c r="AF1085" s="320">
        <v>2.7027027027027001E-2</v>
      </c>
      <c r="AG1085" s="319">
        <v>2</v>
      </c>
      <c r="AH1085" s="320">
        <v>1.35135135135135E-2</v>
      </c>
      <c r="AI1085" s="319">
        <v>2</v>
      </c>
      <c r="AJ1085" s="320">
        <v>1.35135135135135E-2</v>
      </c>
      <c r="AK1085" s="320">
        <v>0</v>
      </c>
      <c r="AL1085" s="319">
        <v>5</v>
      </c>
      <c r="AM1085" s="319">
        <v>5</v>
      </c>
      <c r="AN1085" s="319">
        <v>7.3333333333333304</v>
      </c>
      <c r="AO1085" s="319">
        <v>0.57777777777777695</v>
      </c>
      <c r="AP1085">
        <v>4</v>
      </c>
      <c r="AR1085" s="136">
        <v>4</v>
      </c>
      <c r="AT1085" s="69">
        <v>2.3148</v>
      </c>
      <c r="AU1085" s="69">
        <v>2.3148</v>
      </c>
      <c r="AV1085" s="69">
        <v>9.8416999999999994</v>
      </c>
      <c r="AW1085" s="69">
        <v>0.4824</v>
      </c>
      <c r="BB1085" s="69"/>
    </row>
    <row r="1086" spans="1:54" customFormat="1" ht="40" customHeight="1">
      <c r="A1086" s="313">
        <v>1085</v>
      </c>
      <c r="B1086" s="136" t="s">
        <v>2948</v>
      </c>
      <c r="C1086" s="136" t="s">
        <v>45</v>
      </c>
      <c r="D1086" s="31">
        <f t="shared" si="74"/>
        <v>4</v>
      </c>
      <c r="E1086" s="137" t="s">
        <v>80</v>
      </c>
      <c r="F1086" s="31">
        <f t="shared" si="75"/>
        <v>4</v>
      </c>
      <c r="G1086" s="137" t="s">
        <v>2036</v>
      </c>
      <c r="H1086" s="138">
        <v>66</v>
      </c>
      <c r="I1086" s="158">
        <f t="shared" si="76"/>
        <v>0.32029748545080372</v>
      </c>
      <c r="J1086" s="95">
        <v>1.1455969015834501E-3</v>
      </c>
      <c r="K1086" s="137">
        <v>0.639449374000024</v>
      </c>
      <c r="L1086" s="137">
        <v>0.82499999999999996</v>
      </c>
      <c r="M1086" s="137">
        <v>0.36112343500006</v>
      </c>
      <c r="N1086" s="136">
        <v>1</v>
      </c>
      <c r="O1086" s="32">
        <v>43368</v>
      </c>
      <c r="P1086" s="98">
        <f t="shared" si="77"/>
        <v>0</v>
      </c>
      <c r="Q1086">
        <v>5.0999999999999996</v>
      </c>
      <c r="R1086">
        <v>0</v>
      </c>
      <c r="S1086">
        <v>0</v>
      </c>
      <c r="T1086" s="112" t="s">
        <v>48</v>
      </c>
      <c r="U1086" s="137" t="s">
        <v>2962</v>
      </c>
      <c r="V1086" s="137" t="s">
        <v>2963</v>
      </c>
      <c r="W1086" s="69">
        <v>72</v>
      </c>
      <c r="X1086" s="136">
        <v>3</v>
      </c>
      <c r="Y1086" s="136">
        <v>20</v>
      </c>
      <c r="Z1086" s="314"/>
      <c r="AA1086" s="319">
        <v>0.54500000000000004</v>
      </c>
      <c r="AB1086" s="315" t="s">
        <v>5178</v>
      </c>
      <c r="AC1086" s="319">
        <v>2</v>
      </c>
      <c r="AD1086" s="320">
        <v>4.8780487804878002E-2</v>
      </c>
      <c r="AE1086" s="319">
        <v>2</v>
      </c>
      <c r="AF1086" s="320">
        <v>4.8780487804878002E-2</v>
      </c>
      <c r="AG1086" s="319">
        <v>1</v>
      </c>
      <c r="AH1086" s="320">
        <v>2.4390243902439001E-2</v>
      </c>
      <c r="AI1086" s="319">
        <v>0</v>
      </c>
      <c r="AJ1086" s="320">
        <v>0</v>
      </c>
      <c r="AK1086" s="320">
        <v>2.4390243902439029E-2</v>
      </c>
      <c r="AL1086" s="319">
        <v>5</v>
      </c>
      <c r="AM1086" s="319">
        <v>5</v>
      </c>
      <c r="AN1086" s="319">
        <v>4.6666666666666599</v>
      </c>
      <c r="AO1086" s="319">
        <v>0.48888888888888798</v>
      </c>
      <c r="AP1086">
        <v>20</v>
      </c>
      <c r="AR1086" s="136">
        <v>20</v>
      </c>
      <c r="AT1086" s="69">
        <v>2.3148</v>
      </c>
      <c r="AU1086" s="69">
        <v>2.3148</v>
      </c>
      <c r="AV1086" s="69">
        <v>8.1305999999999994</v>
      </c>
      <c r="AW1086" s="69">
        <v>0.42530000000000001</v>
      </c>
      <c r="BB1086" s="69"/>
    </row>
    <row r="1087" spans="1:54" customFormat="1" ht="40" customHeight="1">
      <c r="A1087" s="313">
        <v>1086</v>
      </c>
      <c r="B1087" s="136" t="s">
        <v>2948</v>
      </c>
      <c r="C1087" s="136" t="s">
        <v>45</v>
      </c>
      <c r="D1087" s="31">
        <f t="shared" si="74"/>
        <v>4</v>
      </c>
      <c r="E1087" s="137" t="s">
        <v>80</v>
      </c>
      <c r="F1087" s="31">
        <f t="shared" si="75"/>
        <v>4</v>
      </c>
      <c r="G1087" s="137" t="s">
        <v>159</v>
      </c>
      <c r="H1087" s="138">
        <v>71</v>
      </c>
      <c r="I1087" s="158">
        <f t="shared" si="76"/>
        <v>0.33773205410550983</v>
      </c>
      <c r="J1087" s="95">
        <v>2.3412771933176701E-2</v>
      </c>
      <c r="K1087" s="137">
        <v>0.65205133627784295</v>
      </c>
      <c r="L1087" s="137">
        <v>0.75</v>
      </c>
      <c r="M1087" s="137">
        <v>0.50512834069460699</v>
      </c>
      <c r="N1087" s="136">
        <v>1</v>
      </c>
      <c r="O1087" s="32">
        <v>43359</v>
      </c>
      <c r="P1087" s="98">
        <f t="shared" si="77"/>
        <v>0</v>
      </c>
      <c r="Q1087">
        <v>5.0999999999999996</v>
      </c>
      <c r="R1087">
        <v>1.65</v>
      </c>
      <c r="S1087">
        <v>0</v>
      </c>
      <c r="T1087" s="112" t="s">
        <v>48</v>
      </c>
      <c r="U1087" s="137" t="s">
        <v>2964</v>
      </c>
      <c r="V1087" s="137" t="s">
        <v>2965</v>
      </c>
      <c r="W1087" s="69">
        <v>150</v>
      </c>
      <c r="X1087" s="136">
        <v>3</v>
      </c>
      <c r="Y1087" s="136">
        <v>12</v>
      </c>
      <c r="Z1087" s="314"/>
      <c r="AA1087" s="319">
        <v>0.59450000000000003</v>
      </c>
      <c r="AB1087" s="315" t="s">
        <v>5176</v>
      </c>
      <c r="AC1087" s="319">
        <v>1</v>
      </c>
      <c r="AD1087" s="320">
        <v>1.1627906976744099E-2</v>
      </c>
      <c r="AE1087" s="319">
        <v>3</v>
      </c>
      <c r="AF1087" s="320">
        <v>3.4883720930232502E-2</v>
      </c>
      <c r="AG1087" s="319">
        <v>2</v>
      </c>
      <c r="AH1087" s="320">
        <v>2.3255813953488299E-2</v>
      </c>
      <c r="AI1087" s="319">
        <v>0</v>
      </c>
      <c r="AJ1087" s="320">
        <v>0</v>
      </c>
      <c r="AK1087" s="320">
        <v>2.3255813953488368E-2</v>
      </c>
      <c r="AL1087" s="319">
        <v>6.75</v>
      </c>
      <c r="AM1087" s="319">
        <v>6.2</v>
      </c>
      <c r="AN1087" s="319">
        <v>7.3333333333333304</v>
      </c>
      <c r="AO1087" s="319">
        <v>0.676111111111111</v>
      </c>
      <c r="AP1087">
        <v>12</v>
      </c>
      <c r="AQ1087" s="136">
        <v>12</v>
      </c>
      <c r="AT1087" s="69">
        <v>6.3414000000000001</v>
      </c>
      <c r="AU1087" s="69">
        <v>5</v>
      </c>
      <c r="AV1087" s="69">
        <v>9.8416999999999994</v>
      </c>
      <c r="AW1087" s="69">
        <v>0.70609999999999995</v>
      </c>
      <c r="BB1087" s="69"/>
    </row>
    <row r="1088" spans="1:54" customFormat="1" ht="40" customHeight="1">
      <c r="A1088" s="313">
        <v>1087</v>
      </c>
      <c r="B1088" s="136" t="s">
        <v>2948</v>
      </c>
      <c r="C1088" s="136" t="s">
        <v>45</v>
      </c>
      <c r="D1088" s="31">
        <f t="shared" si="74"/>
        <v>4</v>
      </c>
      <c r="E1088" s="137" t="s">
        <v>80</v>
      </c>
      <c r="F1088" s="31">
        <f t="shared" si="75"/>
        <v>4</v>
      </c>
      <c r="G1088" s="137" t="s">
        <v>2966</v>
      </c>
      <c r="H1088" s="138">
        <v>85</v>
      </c>
      <c r="I1088" s="158">
        <f t="shared" si="76"/>
        <v>0.55088241204385446</v>
      </c>
      <c r="J1088" s="95">
        <v>0.41338923121606302</v>
      </c>
      <c r="K1088" s="137">
        <v>0.68837559287164596</v>
      </c>
      <c r="L1088" s="137">
        <v>0.75</v>
      </c>
      <c r="M1088" s="137">
        <v>0.59593898217911601</v>
      </c>
      <c r="N1088" s="136">
        <v>1</v>
      </c>
      <c r="O1088" s="32">
        <v>43244</v>
      </c>
      <c r="P1088" s="98">
        <f t="shared" si="77"/>
        <v>0</v>
      </c>
      <c r="Q1088">
        <v>2.5499999999999998</v>
      </c>
      <c r="R1088">
        <v>0</v>
      </c>
      <c r="S1088">
        <v>0</v>
      </c>
      <c r="T1088" s="112" t="s">
        <v>48</v>
      </c>
      <c r="U1088" s="137" t="s">
        <v>2967</v>
      </c>
      <c r="V1088" s="137" t="s">
        <v>2968</v>
      </c>
      <c r="W1088" s="69">
        <v>51</v>
      </c>
      <c r="X1088" s="136">
        <v>3</v>
      </c>
      <c r="Y1088" s="136">
        <v>8</v>
      </c>
      <c r="Z1088" s="314"/>
      <c r="AA1088" s="319">
        <v>0.5</v>
      </c>
      <c r="AB1088" s="315" t="s">
        <v>5176</v>
      </c>
      <c r="AC1088" s="319">
        <v>0</v>
      </c>
      <c r="AD1088" s="320">
        <v>0</v>
      </c>
      <c r="AE1088" s="319">
        <v>2</v>
      </c>
      <c r="AF1088" s="320">
        <v>6.6666666666666596E-2</v>
      </c>
      <c r="AG1088" s="319">
        <v>1</v>
      </c>
      <c r="AH1088" s="320">
        <v>3.3333333333333298E-2</v>
      </c>
      <c r="AI1088" s="319">
        <v>0</v>
      </c>
      <c r="AJ1088" s="320">
        <v>0</v>
      </c>
      <c r="AK1088" s="320">
        <v>3.3333333333333333E-2</v>
      </c>
      <c r="AL1088" s="319">
        <v>5</v>
      </c>
      <c r="AM1088" s="319">
        <v>6.2</v>
      </c>
      <c r="AN1088" s="319">
        <v>2</v>
      </c>
      <c r="AO1088" s="319">
        <v>0.44</v>
      </c>
      <c r="AP1088">
        <v>8</v>
      </c>
      <c r="AQ1088" s="136">
        <v>8</v>
      </c>
      <c r="AR1088" s="136"/>
      <c r="AT1088" s="69">
        <v>2.3148</v>
      </c>
      <c r="AU1088" s="69">
        <v>5</v>
      </c>
      <c r="AV1088" s="69">
        <v>2.3148</v>
      </c>
      <c r="AW1088" s="69">
        <v>0.32100000000000001</v>
      </c>
      <c r="BB1088" s="69"/>
    </row>
    <row r="1089" spans="1:54" customFormat="1" ht="40" customHeight="1">
      <c r="A1089" s="313">
        <v>1088</v>
      </c>
      <c r="B1089" s="136" t="s">
        <v>2948</v>
      </c>
      <c r="C1089" s="136" t="s">
        <v>45</v>
      </c>
      <c r="D1089" s="31">
        <f t="shared" si="74"/>
        <v>4</v>
      </c>
      <c r="E1089" s="137" t="s">
        <v>80</v>
      </c>
      <c r="F1089" s="31">
        <f t="shared" si="75"/>
        <v>4</v>
      </c>
      <c r="G1089" s="137" t="s">
        <v>778</v>
      </c>
      <c r="H1089" s="138">
        <v>51</v>
      </c>
      <c r="I1089" s="158">
        <f t="shared" si="76"/>
        <v>0.39035948078194532</v>
      </c>
      <c r="J1089" s="95">
        <v>4.6758496046184197E-6</v>
      </c>
      <c r="K1089" s="137">
        <v>0.78071428571428603</v>
      </c>
      <c r="L1089" s="137">
        <v>0.82499999999999996</v>
      </c>
      <c r="M1089" s="137">
        <v>0.71428571428571397</v>
      </c>
      <c r="N1089" s="136">
        <v>1</v>
      </c>
      <c r="O1089" s="32">
        <v>43232</v>
      </c>
      <c r="P1089" s="98">
        <f t="shared" si="77"/>
        <v>0</v>
      </c>
      <c r="Q1089">
        <v>5.0999999999999996</v>
      </c>
      <c r="R1089">
        <v>0</v>
      </c>
      <c r="S1089">
        <v>0</v>
      </c>
      <c r="T1089" s="112" t="s">
        <v>48</v>
      </c>
      <c r="U1089" s="137" t="s">
        <v>2969</v>
      </c>
      <c r="V1089" s="137" t="s">
        <v>2970</v>
      </c>
      <c r="W1089" s="69">
        <v>136</v>
      </c>
      <c r="X1089" s="136">
        <v>1</v>
      </c>
      <c r="Y1089" s="136">
        <v>4</v>
      </c>
      <c r="Z1089" s="314"/>
      <c r="AA1089" s="319">
        <v>0.54500000000000004</v>
      </c>
      <c r="AB1089" s="315" t="s">
        <v>5176</v>
      </c>
      <c r="AC1089" s="319">
        <v>1</v>
      </c>
      <c r="AD1089" s="320">
        <v>1.3333333333333299E-2</v>
      </c>
      <c r="AE1089" s="319">
        <v>3</v>
      </c>
      <c r="AF1089" s="320">
        <v>0.04</v>
      </c>
      <c r="AG1089" s="319">
        <v>1</v>
      </c>
      <c r="AH1089" s="320">
        <v>1.3333333333333299E-2</v>
      </c>
      <c r="AI1089" s="319">
        <v>2</v>
      </c>
      <c r="AJ1089" s="320">
        <v>2.6666666666666599E-2</v>
      </c>
      <c r="AK1089" s="320">
        <v>0</v>
      </c>
      <c r="AL1089" s="319">
        <v>6.75</v>
      </c>
      <c r="AM1089" s="319">
        <v>5</v>
      </c>
      <c r="AN1089" s="319">
        <v>7.3333333333333304</v>
      </c>
      <c r="AO1089" s="319">
        <v>0.63611111111111096</v>
      </c>
      <c r="AP1089">
        <v>4</v>
      </c>
      <c r="AR1089" s="136">
        <v>4</v>
      </c>
      <c r="AT1089" s="69">
        <v>6.3414000000000001</v>
      </c>
      <c r="AU1089" s="69">
        <v>2.3148</v>
      </c>
      <c r="AV1089" s="69">
        <v>9.8416999999999994</v>
      </c>
      <c r="AW1089" s="69">
        <v>0.61660000000000004</v>
      </c>
      <c r="BB1089" s="69"/>
    </row>
    <row r="1090" spans="1:54" customFormat="1" ht="40" customHeight="1">
      <c r="A1090" s="313">
        <v>1089</v>
      </c>
      <c r="B1090" s="136" t="s">
        <v>2948</v>
      </c>
      <c r="C1090" s="136" t="s">
        <v>45</v>
      </c>
      <c r="D1090" s="31">
        <f t="shared" ref="D1090:D1153" si="78">IF(C1090="投诉",4,IF(C1090="建议",1,IF(C1090="举报",2,IF(C1090="求助",3,5))))</f>
        <v>4</v>
      </c>
      <c r="E1090" s="137" t="s">
        <v>80</v>
      </c>
      <c r="F1090" s="31">
        <f t="shared" ref="F1090:F1153" si="79">IF(E1090="12345app",1,IF(E1090="e福州app",2,IF(E1090="qq",3,IF(E1090="电话",4,IF(E1090="短信",5,IF(E1090="网站",6,IF(E1090="微博",7,IF(E1090="微信",8,9))))))))</f>
        <v>4</v>
      </c>
      <c r="G1090" s="137" t="s">
        <v>2971</v>
      </c>
      <c r="H1090" s="138">
        <v>67</v>
      </c>
      <c r="I1090" s="158">
        <f t="shared" ref="I1090:I1153" si="80">(J1090+K1090)/2</f>
        <v>0.82036178662665904</v>
      </c>
      <c r="J1090" s="95">
        <v>0.99675507470840297</v>
      </c>
      <c r="K1090" s="137">
        <v>0.643968498544915</v>
      </c>
      <c r="L1090" s="137">
        <v>0.75</v>
      </c>
      <c r="M1090" s="137">
        <v>0.48492124636228701</v>
      </c>
      <c r="N1090" s="136">
        <v>1</v>
      </c>
      <c r="O1090" s="32">
        <v>43231</v>
      </c>
      <c r="P1090" s="98">
        <f t="shared" ref="P1090:P1153" si="81">IF(T1090="利己",0,IF(T1090="生态",2,1))</f>
        <v>0</v>
      </c>
      <c r="Q1090">
        <v>2.5499999999999998</v>
      </c>
      <c r="R1090">
        <v>0</v>
      </c>
      <c r="S1090">
        <v>0</v>
      </c>
      <c r="T1090" s="112" t="s">
        <v>48</v>
      </c>
      <c r="U1090" s="137" t="s">
        <v>2972</v>
      </c>
      <c r="V1090" s="137" t="s">
        <v>2973</v>
      </c>
      <c r="W1090" s="69">
        <v>72</v>
      </c>
      <c r="X1090" s="136">
        <v>1</v>
      </c>
      <c r="Y1090" s="136">
        <v>13</v>
      </c>
      <c r="Z1090" s="314"/>
      <c r="AA1090" s="319">
        <v>0.64895000000000003</v>
      </c>
      <c r="AB1090" s="315" t="s">
        <v>5165</v>
      </c>
      <c r="AC1090" s="319">
        <v>1</v>
      </c>
      <c r="AD1090" s="320">
        <v>2.3255813953488299E-2</v>
      </c>
      <c r="AE1090" s="319">
        <v>0</v>
      </c>
      <c r="AF1090" s="320">
        <v>0</v>
      </c>
      <c r="AG1090" s="319">
        <v>0</v>
      </c>
      <c r="AH1090" s="320">
        <v>0</v>
      </c>
      <c r="AI1090" s="319">
        <v>0</v>
      </c>
      <c r="AJ1090" s="320">
        <v>0</v>
      </c>
      <c r="AK1090" s="320">
        <v>0</v>
      </c>
      <c r="AL1090" s="319">
        <v>5</v>
      </c>
      <c r="AM1090" s="319">
        <v>6.2</v>
      </c>
      <c r="AN1090" s="319">
        <v>7.3333333333333304</v>
      </c>
      <c r="AO1090" s="319">
        <v>0.61777777777777698</v>
      </c>
      <c r="AP1090">
        <v>13</v>
      </c>
      <c r="AR1090" s="136">
        <v>13</v>
      </c>
      <c r="AT1090" s="69">
        <v>2.3148</v>
      </c>
      <c r="AU1090" s="69">
        <v>5</v>
      </c>
      <c r="AV1090" s="69">
        <v>9.8416999999999994</v>
      </c>
      <c r="AW1090" s="69">
        <v>0.57189999999999996</v>
      </c>
      <c r="BB1090" s="69"/>
    </row>
    <row r="1091" spans="1:54" customFormat="1" ht="40" customHeight="1">
      <c r="A1091" s="313">
        <v>1090</v>
      </c>
      <c r="B1091" s="136" t="s">
        <v>2948</v>
      </c>
      <c r="C1091" s="136" t="s">
        <v>45</v>
      </c>
      <c r="D1091" s="31">
        <f t="shared" si="78"/>
        <v>4</v>
      </c>
      <c r="E1091" s="137" t="s">
        <v>80</v>
      </c>
      <c r="F1091" s="31">
        <f t="shared" si="79"/>
        <v>4</v>
      </c>
      <c r="G1091" s="137" t="s">
        <v>2704</v>
      </c>
      <c r="H1091" s="138">
        <v>81</v>
      </c>
      <c r="I1091" s="158">
        <f t="shared" si="80"/>
        <v>0.43058195498377516</v>
      </c>
      <c r="J1091" s="95">
        <v>6.8306767110407299E-2</v>
      </c>
      <c r="K1091" s="137">
        <v>0.79285714285714304</v>
      </c>
      <c r="L1091" s="137">
        <v>0.75</v>
      </c>
      <c r="M1091" s="137">
        <v>0.85714285714285698</v>
      </c>
      <c r="N1091" s="136">
        <v>1</v>
      </c>
      <c r="O1091" s="32">
        <v>43217</v>
      </c>
      <c r="P1091" s="98">
        <f t="shared" si="81"/>
        <v>1</v>
      </c>
      <c r="Q1091">
        <v>0</v>
      </c>
      <c r="R1091">
        <v>0</v>
      </c>
      <c r="S1091">
        <v>0</v>
      </c>
      <c r="T1091" s="112" t="s">
        <v>73</v>
      </c>
      <c r="U1091" s="137" t="s">
        <v>2974</v>
      </c>
      <c r="V1091" s="137" t="s">
        <v>2975</v>
      </c>
      <c r="W1091" s="69">
        <v>44</v>
      </c>
      <c r="X1091" s="136">
        <v>1</v>
      </c>
      <c r="Y1091" s="136">
        <v>1</v>
      </c>
      <c r="Z1091" s="314"/>
      <c r="AA1091" s="319">
        <v>0.60499999999999998</v>
      </c>
      <c r="AB1091" s="315" t="s">
        <v>5165</v>
      </c>
      <c r="AC1091" s="319">
        <v>2</v>
      </c>
      <c r="AD1091" s="320">
        <v>8.3333333333333301E-2</v>
      </c>
      <c r="AE1091" s="319">
        <v>0</v>
      </c>
      <c r="AF1091" s="320">
        <v>0</v>
      </c>
      <c r="AG1091" s="319">
        <v>0</v>
      </c>
      <c r="AH1091" s="320">
        <v>0</v>
      </c>
      <c r="AI1091" s="319">
        <v>0</v>
      </c>
      <c r="AJ1091" s="320">
        <v>0</v>
      </c>
      <c r="AK1091" s="320">
        <v>0</v>
      </c>
      <c r="AL1091" s="319">
        <v>5</v>
      </c>
      <c r="AM1091" s="319">
        <v>6.2</v>
      </c>
      <c r="AN1091" s="319">
        <v>5</v>
      </c>
      <c r="AO1091" s="319">
        <v>0.53999999999999904</v>
      </c>
      <c r="AP1091">
        <v>1</v>
      </c>
      <c r="AR1091" s="136">
        <v>1</v>
      </c>
      <c r="AT1091" s="69">
        <v>2.3148</v>
      </c>
      <c r="AU1091" s="69">
        <v>5</v>
      </c>
      <c r="AV1091" s="69">
        <v>8.5815000000000001</v>
      </c>
      <c r="AW1091" s="69">
        <v>0.52990000000000004</v>
      </c>
      <c r="BB1091" s="69"/>
    </row>
    <row r="1092" spans="1:54" customFormat="1" ht="40" customHeight="1">
      <c r="A1092" s="313">
        <v>1091</v>
      </c>
      <c r="B1092" s="136" t="s">
        <v>2948</v>
      </c>
      <c r="C1092" s="136" t="s">
        <v>45</v>
      </c>
      <c r="D1092" s="31">
        <f t="shared" si="78"/>
        <v>4</v>
      </c>
      <c r="E1092" s="137" t="s">
        <v>80</v>
      </c>
      <c r="F1092" s="31">
        <f t="shared" si="79"/>
        <v>4</v>
      </c>
      <c r="G1092" s="137" t="s">
        <v>2976</v>
      </c>
      <c r="H1092" s="138">
        <v>37</v>
      </c>
      <c r="I1092" s="158">
        <f t="shared" si="80"/>
        <v>0.33006122345880101</v>
      </c>
      <c r="J1092" s="95">
        <v>2.2173270303840198E-3</v>
      </c>
      <c r="K1092" s="137">
        <v>0.657905119887218</v>
      </c>
      <c r="L1092" s="137">
        <v>0.68181818181818199</v>
      </c>
      <c r="M1092" s="137">
        <v>0.62203552699077302</v>
      </c>
      <c r="N1092" s="136">
        <v>1</v>
      </c>
      <c r="O1092" s="32">
        <v>43201</v>
      </c>
      <c r="P1092" s="98">
        <f t="shared" si="81"/>
        <v>0</v>
      </c>
      <c r="Q1092">
        <v>2.5499999999999998</v>
      </c>
      <c r="R1092">
        <v>0</v>
      </c>
      <c r="S1092">
        <v>0</v>
      </c>
      <c r="T1092" s="112" t="s">
        <v>48</v>
      </c>
      <c r="U1092" s="137" t="s">
        <v>2977</v>
      </c>
      <c r="V1092" s="137" t="s">
        <v>2978</v>
      </c>
      <c r="W1092" s="69">
        <v>40</v>
      </c>
      <c r="X1092" s="136">
        <v>3</v>
      </c>
      <c r="Y1092" s="136">
        <v>7</v>
      </c>
      <c r="Z1092" s="314"/>
      <c r="AA1092" s="319">
        <v>0.5</v>
      </c>
      <c r="AB1092" s="315" t="s">
        <v>5176</v>
      </c>
      <c r="AC1092" s="319">
        <v>2</v>
      </c>
      <c r="AD1092" s="320">
        <v>8.3333333333333301E-2</v>
      </c>
      <c r="AE1092" s="319">
        <v>3</v>
      </c>
      <c r="AF1092" s="320">
        <v>0.125</v>
      </c>
      <c r="AG1092" s="319">
        <v>0</v>
      </c>
      <c r="AH1092" s="320">
        <v>0</v>
      </c>
      <c r="AI1092" s="319">
        <v>0</v>
      </c>
      <c r="AJ1092" s="320">
        <v>0</v>
      </c>
      <c r="AK1092" s="320">
        <v>4.1666666666666657E-2</v>
      </c>
      <c r="AL1092" s="319">
        <v>5</v>
      </c>
      <c r="AM1092" s="319">
        <v>5</v>
      </c>
      <c r="AN1092" s="319">
        <v>4.6666666666666599</v>
      </c>
      <c r="AO1092" s="319">
        <v>0.48888888888888798</v>
      </c>
      <c r="AP1092">
        <v>7</v>
      </c>
      <c r="AR1092" s="136">
        <v>7</v>
      </c>
      <c r="AT1092" s="69">
        <v>2.3148</v>
      </c>
      <c r="AU1092" s="69">
        <v>2.3148</v>
      </c>
      <c r="AV1092" s="69">
        <v>8.1305999999999994</v>
      </c>
      <c r="AW1092" s="69">
        <v>0.42530000000000001</v>
      </c>
      <c r="BB1092" s="69"/>
    </row>
    <row r="1093" spans="1:54" customFormat="1" ht="40" customHeight="1">
      <c r="A1093" s="313">
        <v>1092</v>
      </c>
      <c r="B1093" s="136" t="s">
        <v>2948</v>
      </c>
      <c r="C1093" s="136" t="s">
        <v>45</v>
      </c>
      <c r="D1093" s="31">
        <f t="shared" si="78"/>
        <v>4</v>
      </c>
      <c r="E1093" s="137" t="s">
        <v>80</v>
      </c>
      <c r="F1093" s="31">
        <f t="shared" si="79"/>
        <v>4</v>
      </c>
      <c r="G1093" s="137" t="s">
        <v>2979</v>
      </c>
      <c r="H1093" s="138">
        <v>56</v>
      </c>
      <c r="I1093" s="158">
        <f t="shared" si="80"/>
        <v>0.39009488042801871</v>
      </c>
      <c r="J1093" s="95">
        <v>7.1183322846084503E-3</v>
      </c>
      <c r="K1093" s="137">
        <v>0.77307142857142896</v>
      </c>
      <c r="L1093" s="137">
        <v>0.90749999999999997</v>
      </c>
      <c r="M1093" s="137">
        <v>0.57142857142857095</v>
      </c>
      <c r="N1093" s="136">
        <v>1</v>
      </c>
      <c r="O1093" s="32">
        <v>43106</v>
      </c>
      <c r="P1093" s="98">
        <f t="shared" si="81"/>
        <v>0</v>
      </c>
      <c r="Q1093">
        <v>5.0999999999999996</v>
      </c>
      <c r="R1093">
        <v>1.65</v>
      </c>
      <c r="S1093">
        <v>0</v>
      </c>
      <c r="T1093" s="112" t="s">
        <v>48</v>
      </c>
      <c r="U1093" s="137" t="s">
        <v>2980</v>
      </c>
      <c r="V1093" s="137" t="s">
        <v>2981</v>
      </c>
      <c r="W1093" s="69">
        <v>25</v>
      </c>
      <c r="X1093" s="136">
        <v>2</v>
      </c>
      <c r="Y1093" s="136">
        <v>9</v>
      </c>
      <c r="Z1093" s="314"/>
      <c r="AA1093" s="319">
        <v>0.55000000000000004</v>
      </c>
      <c r="AB1093" s="315" t="s">
        <v>5165</v>
      </c>
      <c r="AC1093" s="319">
        <v>2</v>
      </c>
      <c r="AD1093" s="320">
        <v>0.15384615384615299</v>
      </c>
      <c r="AE1093" s="319">
        <v>0</v>
      </c>
      <c r="AF1093" s="320">
        <v>0</v>
      </c>
      <c r="AG1093" s="319">
        <v>0</v>
      </c>
      <c r="AH1093" s="320">
        <v>0</v>
      </c>
      <c r="AI1093" s="319">
        <v>0</v>
      </c>
      <c r="AJ1093" s="320">
        <v>0</v>
      </c>
      <c r="AK1093" s="320">
        <v>0</v>
      </c>
      <c r="AL1093" s="319">
        <v>8.5</v>
      </c>
      <c r="AM1093" s="319">
        <v>5</v>
      </c>
      <c r="AN1093" s="319">
        <v>4.6666666666666599</v>
      </c>
      <c r="AO1093" s="319">
        <v>0.60555555555555496</v>
      </c>
      <c r="AP1093">
        <v>9</v>
      </c>
      <c r="AR1093" s="136">
        <v>9</v>
      </c>
      <c r="AT1093" s="69">
        <v>9.0888000000000009</v>
      </c>
      <c r="AU1093" s="69">
        <v>2.3148</v>
      </c>
      <c r="AV1093" s="69">
        <v>8.1305999999999994</v>
      </c>
      <c r="AW1093" s="69">
        <v>0.65110000000000001</v>
      </c>
      <c r="BB1093" s="69"/>
    </row>
    <row r="1094" spans="1:54" customFormat="1" ht="40" customHeight="1">
      <c r="A1094" s="313">
        <v>1093</v>
      </c>
      <c r="B1094" s="136" t="s">
        <v>2948</v>
      </c>
      <c r="C1094" s="136" t="s">
        <v>45</v>
      </c>
      <c r="D1094" s="31">
        <f t="shared" si="78"/>
        <v>4</v>
      </c>
      <c r="E1094" s="137" t="s">
        <v>46</v>
      </c>
      <c r="F1094" s="31">
        <f t="shared" si="79"/>
        <v>6</v>
      </c>
      <c r="G1094" s="137" t="s">
        <v>2948</v>
      </c>
      <c r="H1094" s="138">
        <v>146</v>
      </c>
      <c r="I1094" s="158">
        <f t="shared" si="80"/>
        <v>0.36910930634225703</v>
      </c>
      <c r="J1094" s="95">
        <v>1.4647184113085099E-2</v>
      </c>
      <c r="K1094" s="137">
        <v>0.72357142857142898</v>
      </c>
      <c r="L1094" s="137">
        <v>0.82499999999999996</v>
      </c>
      <c r="M1094" s="137">
        <v>0.57142857142857095</v>
      </c>
      <c r="N1094" s="136">
        <v>0</v>
      </c>
      <c r="O1094" s="32">
        <v>43102</v>
      </c>
      <c r="P1094" s="98">
        <f t="shared" si="81"/>
        <v>0</v>
      </c>
      <c r="Q1094">
        <v>5.0999999999999996</v>
      </c>
      <c r="R1094">
        <v>1.65</v>
      </c>
      <c r="S1094">
        <v>0</v>
      </c>
      <c r="T1094" s="112" t="s">
        <v>48</v>
      </c>
      <c r="U1094" s="137" t="s">
        <v>2982</v>
      </c>
      <c r="V1094" s="137" t="s">
        <v>2983</v>
      </c>
      <c r="W1094" s="69">
        <v>23</v>
      </c>
      <c r="X1094" s="136">
        <v>2</v>
      </c>
      <c r="Y1094" s="136">
        <v>9</v>
      </c>
      <c r="Z1094" s="314"/>
      <c r="AA1094" s="319">
        <v>0.54500000000000004</v>
      </c>
      <c r="AB1094" s="315" t="s">
        <v>5165</v>
      </c>
      <c r="AC1094" s="319">
        <v>2</v>
      </c>
      <c r="AD1094" s="320">
        <v>0.16666666666666599</v>
      </c>
      <c r="AE1094" s="319">
        <v>0</v>
      </c>
      <c r="AF1094" s="320">
        <v>0</v>
      </c>
      <c r="AG1094" s="319">
        <v>0</v>
      </c>
      <c r="AH1094" s="320">
        <v>0</v>
      </c>
      <c r="AI1094" s="319">
        <v>0</v>
      </c>
      <c r="AJ1094" s="320">
        <v>0</v>
      </c>
      <c r="AK1094" s="320">
        <v>0</v>
      </c>
      <c r="AL1094" s="319">
        <v>5</v>
      </c>
      <c r="AM1094" s="319">
        <v>6.2</v>
      </c>
      <c r="AN1094" s="319">
        <v>3.5</v>
      </c>
      <c r="AO1094" s="319">
        <v>0.49</v>
      </c>
      <c r="AP1094">
        <v>9</v>
      </c>
      <c r="AR1094" s="136">
        <v>9</v>
      </c>
      <c r="AT1094" s="69">
        <v>2.3148</v>
      </c>
      <c r="AU1094" s="69">
        <v>5</v>
      </c>
      <c r="AV1094" s="69">
        <v>5.7443999999999997</v>
      </c>
      <c r="AW1094" s="69">
        <v>0.43530000000000002</v>
      </c>
      <c r="BB1094" s="69"/>
    </row>
    <row r="1095" spans="1:54" customFormat="1" ht="40" customHeight="1">
      <c r="A1095" s="313">
        <v>1094</v>
      </c>
      <c r="B1095" s="136" t="s">
        <v>2948</v>
      </c>
      <c r="C1095" s="136" t="s">
        <v>45</v>
      </c>
      <c r="D1095" s="31">
        <f t="shared" si="78"/>
        <v>4</v>
      </c>
      <c r="E1095" s="137" t="s">
        <v>80</v>
      </c>
      <c r="F1095" s="31">
        <f t="shared" si="79"/>
        <v>4</v>
      </c>
      <c r="G1095" s="137" t="s">
        <v>2984</v>
      </c>
      <c r="H1095" s="138">
        <v>43</v>
      </c>
      <c r="I1095" s="158">
        <f t="shared" si="80"/>
        <v>0.39158682597807654</v>
      </c>
      <c r="J1095" s="95">
        <v>2.45936624186705E-3</v>
      </c>
      <c r="K1095" s="137">
        <v>0.78071428571428603</v>
      </c>
      <c r="L1095" s="137">
        <v>0.82499999999999996</v>
      </c>
      <c r="M1095" s="137">
        <v>0.71428571428571397</v>
      </c>
      <c r="N1095" s="136">
        <v>1</v>
      </c>
      <c r="O1095" s="32">
        <v>43050</v>
      </c>
      <c r="P1095" s="98">
        <f t="shared" si="81"/>
        <v>0</v>
      </c>
      <c r="Q1095">
        <v>5.0999999999999996</v>
      </c>
      <c r="R1095">
        <v>0</v>
      </c>
      <c r="S1095">
        <v>0</v>
      </c>
      <c r="T1095" s="112" t="s">
        <v>48</v>
      </c>
      <c r="U1095" s="137" t="s">
        <v>2985</v>
      </c>
      <c r="V1095" s="137" t="s">
        <v>2986</v>
      </c>
      <c r="W1095" s="69">
        <v>133</v>
      </c>
      <c r="X1095" s="136">
        <v>1</v>
      </c>
      <c r="Y1095" s="136">
        <v>4</v>
      </c>
      <c r="Z1095" s="314"/>
      <c r="AA1095" s="319">
        <v>0.66549999999999998</v>
      </c>
      <c r="AB1095" s="315" t="s">
        <v>5181</v>
      </c>
      <c r="AC1095" s="319">
        <v>2</v>
      </c>
      <c r="AD1095" s="320">
        <v>2.7397260273972601E-2</v>
      </c>
      <c r="AE1095" s="319">
        <v>2</v>
      </c>
      <c r="AF1095" s="320">
        <v>2.7397260273972601E-2</v>
      </c>
      <c r="AG1095" s="319">
        <v>2</v>
      </c>
      <c r="AH1095" s="320">
        <v>2.7397260273972601E-2</v>
      </c>
      <c r="AI1095" s="319">
        <v>2</v>
      </c>
      <c r="AJ1095" s="320">
        <v>2.7397260273972601E-2</v>
      </c>
      <c r="AK1095" s="320">
        <v>0</v>
      </c>
      <c r="AL1095" s="319">
        <v>5</v>
      </c>
      <c r="AM1095" s="319">
        <v>6.2</v>
      </c>
      <c r="AN1095" s="319">
        <v>4.6666666666666599</v>
      </c>
      <c r="AO1095" s="319">
        <v>0.52888888888888796</v>
      </c>
      <c r="AP1095">
        <v>4</v>
      </c>
      <c r="AQ1095" s="136">
        <v>4</v>
      </c>
      <c r="AT1095" s="69">
        <v>2.3148</v>
      </c>
      <c r="AU1095" s="69">
        <v>5</v>
      </c>
      <c r="AV1095" s="69">
        <v>8.1305999999999994</v>
      </c>
      <c r="AW1095" s="69">
        <v>0.51480000000000004</v>
      </c>
      <c r="BB1095" s="69"/>
    </row>
    <row r="1096" spans="1:54" customFormat="1" ht="40" customHeight="1">
      <c r="A1096" s="313">
        <v>1095</v>
      </c>
      <c r="B1096" s="136" t="s">
        <v>2948</v>
      </c>
      <c r="C1096" s="136" t="s">
        <v>45</v>
      </c>
      <c r="D1096" s="31">
        <f t="shared" si="78"/>
        <v>4</v>
      </c>
      <c r="E1096" s="137" t="s">
        <v>80</v>
      </c>
      <c r="F1096" s="31">
        <f t="shared" si="79"/>
        <v>4</v>
      </c>
      <c r="G1096" s="137" t="s">
        <v>2987</v>
      </c>
      <c r="H1096" s="138">
        <v>46</v>
      </c>
      <c r="I1096" s="158">
        <f t="shared" si="80"/>
        <v>0.758418278985871</v>
      </c>
      <c r="J1096" s="95">
        <v>0.880645551501682</v>
      </c>
      <c r="K1096" s="137">
        <v>0.63619100647005999</v>
      </c>
      <c r="L1096" s="137">
        <v>0.75</v>
      </c>
      <c r="M1096" s="137">
        <v>0.46547751617515098</v>
      </c>
      <c r="N1096" s="136">
        <v>1</v>
      </c>
      <c r="O1096" s="32">
        <v>43046</v>
      </c>
      <c r="P1096" s="98">
        <f t="shared" si="81"/>
        <v>0</v>
      </c>
      <c r="Q1096">
        <v>7.65</v>
      </c>
      <c r="R1096">
        <v>0</v>
      </c>
      <c r="S1096">
        <v>0</v>
      </c>
      <c r="T1096" s="112" t="s">
        <v>48</v>
      </c>
      <c r="U1096" s="137" t="s">
        <v>2988</v>
      </c>
      <c r="V1096" s="137" t="s">
        <v>2989</v>
      </c>
      <c r="W1096" s="69">
        <v>131</v>
      </c>
      <c r="X1096" s="136">
        <v>1</v>
      </c>
      <c r="Y1096" s="136">
        <v>14</v>
      </c>
      <c r="Z1096" s="314"/>
      <c r="AA1096" s="319">
        <v>0.66549999999999998</v>
      </c>
      <c r="AB1096" s="315" t="s">
        <v>5181</v>
      </c>
      <c r="AC1096" s="319">
        <v>2</v>
      </c>
      <c r="AD1096" s="320">
        <v>2.8169014084507001E-2</v>
      </c>
      <c r="AE1096" s="319">
        <v>2</v>
      </c>
      <c r="AF1096" s="320">
        <v>2.8169014084507001E-2</v>
      </c>
      <c r="AG1096" s="319">
        <v>2</v>
      </c>
      <c r="AH1096" s="320">
        <v>2.8169014084507001E-2</v>
      </c>
      <c r="AI1096" s="319">
        <v>2</v>
      </c>
      <c r="AJ1096" s="320">
        <v>2.8169014084507001E-2</v>
      </c>
      <c r="AK1096" s="320">
        <v>0</v>
      </c>
      <c r="AL1096" s="319">
        <v>6.75</v>
      </c>
      <c r="AM1096" s="319">
        <v>7.4</v>
      </c>
      <c r="AN1096" s="319">
        <v>4.6666666666666599</v>
      </c>
      <c r="AO1096" s="319">
        <v>0.62722222222222201</v>
      </c>
      <c r="AP1096">
        <v>14</v>
      </c>
      <c r="AQ1096" s="136">
        <v>14</v>
      </c>
      <c r="AT1096" s="69">
        <v>6.3414000000000001</v>
      </c>
      <c r="AU1096" s="69">
        <v>7.6852</v>
      </c>
      <c r="AV1096" s="69">
        <v>8.1305999999999994</v>
      </c>
      <c r="AW1096" s="69">
        <v>0.73860000000000003</v>
      </c>
      <c r="BB1096" s="69"/>
    </row>
    <row r="1097" spans="1:54" customFormat="1" ht="40" customHeight="1">
      <c r="A1097" s="313">
        <v>1096</v>
      </c>
      <c r="B1097" s="136" t="s">
        <v>2948</v>
      </c>
      <c r="C1097" s="136" t="s">
        <v>45</v>
      </c>
      <c r="D1097" s="31">
        <f t="shared" si="78"/>
        <v>4</v>
      </c>
      <c r="E1097" s="137" t="s">
        <v>80</v>
      </c>
      <c r="F1097" s="31">
        <f t="shared" si="79"/>
        <v>4</v>
      </c>
      <c r="G1097" s="137" t="s">
        <v>359</v>
      </c>
      <c r="H1097" s="138">
        <v>39</v>
      </c>
      <c r="I1097" s="158">
        <f t="shared" si="80"/>
        <v>0.37616025418294169</v>
      </c>
      <c r="J1097" s="95">
        <v>1.2948402269623599E-3</v>
      </c>
      <c r="K1097" s="137">
        <v>0.75102566813892102</v>
      </c>
      <c r="L1097" s="137">
        <v>0.75</v>
      </c>
      <c r="M1097" s="137">
        <v>0.75256417034730305</v>
      </c>
      <c r="N1097" s="136">
        <v>1</v>
      </c>
      <c r="O1097" s="32">
        <v>43044</v>
      </c>
      <c r="P1097" s="98">
        <f t="shared" si="81"/>
        <v>0</v>
      </c>
      <c r="Q1097">
        <v>2.5499999999999998</v>
      </c>
      <c r="R1097">
        <v>0</v>
      </c>
      <c r="S1097">
        <v>0</v>
      </c>
      <c r="T1097" s="112" t="s">
        <v>48</v>
      </c>
      <c r="U1097" s="137" t="s">
        <v>2990</v>
      </c>
      <c r="V1097" s="137" t="s">
        <v>2991</v>
      </c>
      <c r="W1097" s="69">
        <v>91</v>
      </c>
      <c r="X1097" s="136">
        <v>1</v>
      </c>
      <c r="Y1097" s="136">
        <v>3</v>
      </c>
      <c r="Z1097" s="314"/>
      <c r="AA1097" s="319">
        <v>0.5</v>
      </c>
      <c r="AB1097" s="315" t="s">
        <v>5176</v>
      </c>
      <c r="AC1097" s="319">
        <v>1</v>
      </c>
      <c r="AD1097" s="320">
        <v>2.0833333333333301E-2</v>
      </c>
      <c r="AE1097" s="319">
        <v>2</v>
      </c>
      <c r="AF1097" s="320">
        <v>4.1666666666666602E-2</v>
      </c>
      <c r="AG1097" s="319">
        <v>0</v>
      </c>
      <c r="AH1097" s="320">
        <v>0</v>
      </c>
      <c r="AI1097" s="319">
        <v>1</v>
      </c>
      <c r="AJ1097" s="320">
        <v>2.0833333333333301E-2</v>
      </c>
      <c r="AK1097" s="320">
        <v>0</v>
      </c>
      <c r="AL1097" s="319">
        <v>5</v>
      </c>
      <c r="AM1097" s="319">
        <v>5</v>
      </c>
      <c r="AN1097" s="319">
        <v>4.6666666666666599</v>
      </c>
      <c r="AO1097" s="319">
        <v>0.48888888888888798</v>
      </c>
      <c r="AP1097">
        <v>3</v>
      </c>
      <c r="AQ1097" s="136">
        <v>3</v>
      </c>
      <c r="AT1097" s="69">
        <v>2.3148</v>
      </c>
      <c r="AU1097" s="69">
        <v>2.3148</v>
      </c>
      <c r="AV1097" s="69">
        <v>8.1305999999999994</v>
      </c>
      <c r="AW1097" s="69">
        <v>0.42530000000000001</v>
      </c>
      <c r="BB1097" s="69"/>
    </row>
    <row r="1098" spans="1:54" customFormat="1" ht="40" customHeight="1">
      <c r="A1098" s="313">
        <v>1097</v>
      </c>
      <c r="B1098" s="136" t="s">
        <v>2948</v>
      </c>
      <c r="C1098" s="136" t="s">
        <v>45</v>
      </c>
      <c r="D1098" s="31">
        <f t="shared" si="78"/>
        <v>4</v>
      </c>
      <c r="E1098" s="137" t="s">
        <v>80</v>
      </c>
      <c r="F1098" s="31">
        <f t="shared" si="79"/>
        <v>4</v>
      </c>
      <c r="G1098" s="137" t="s">
        <v>359</v>
      </c>
      <c r="H1098" s="138">
        <v>76</v>
      </c>
      <c r="I1098" s="158">
        <f t="shared" si="80"/>
        <v>0.33879987037630832</v>
      </c>
      <c r="J1098" s="95">
        <v>4.6732461674146002E-3</v>
      </c>
      <c r="K1098" s="137">
        <v>0.67292649458520204</v>
      </c>
      <c r="L1098" s="137">
        <v>0.61983471074380203</v>
      </c>
      <c r="M1098" s="137">
        <v>0.75256417034730305</v>
      </c>
      <c r="N1098" s="136">
        <v>1</v>
      </c>
      <c r="O1098" s="32">
        <v>42997</v>
      </c>
      <c r="P1098" s="98">
        <f t="shared" si="81"/>
        <v>0</v>
      </c>
      <c r="Q1098">
        <v>5.0999999999999996</v>
      </c>
      <c r="R1098">
        <v>0</v>
      </c>
      <c r="S1098">
        <v>0</v>
      </c>
      <c r="T1098" s="112" t="s">
        <v>48</v>
      </c>
      <c r="U1098" s="137" t="s">
        <v>2992</v>
      </c>
      <c r="V1098" s="137" t="s">
        <v>2993</v>
      </c>
      <c r="W1098" s="69">
        <v>100</v>
      </c>
      <c r="X1098" s="136">
        <v>1</v>
      </c>
      <c r="Y1098" s="136">
        <v>3</v>
      </c>
      <c r="Z1098" s="314"/>
      <c r="AA1098" s="319">
        <v>0.5</v>
      </c>
      <c r="AB1098" s="315" t="s">
        <v>5178</v>
      </c>
      <c r="AC1098" s="319">
        <v>2</v>
      </c>
      <c r="AD1098" s="320">
        <v>3.7037037037037E-2</v>
      </c>
      <c r="AE1098" s="319">
        <v>2</v>
      </c>
      <c r="AF1098" s="320">
        <v>3.7037037037037E-2</v>
      </c>
      <c r="AG1098" s="319">
        <v>0</v>
      </c>
      <c r="AH1098" s="320">
        <v>0</v>
      </c>
      <c r="AI1098" s="319">
        <v>1</v>
      </c>
      <c r="AJ1098" s="320">
        <v>1.85185185185185E-2</v>
      </c>
      <c r="AK1098" s="320">
        <v>0</v>
      </c>
      <c r="AL1098" s="319">
        <v>8.5</v>
      </c>
      <c r="AM1098" s="319">
        <v>5</v>
      </c>
      <c r="AN1098" s="319">
        <v>4.6666666666666599</v>
      </c>
      <c r="AO1098" s="319">
        <v>0.60555555555555496</v>
      </c>
      <c r="AP1098">
        <v>3</v>
      </c>
      <c r="AQ1098" s="136">
        <v>3</v>
      </c>
      <c r="AT1098" s="69">
        <v>9.0888000000000009</v>
      </c>
      <c r="AU1098" s="69">
        <v>2.3148</v>
      </c>
      <c r="AV1098" s="69">
        <v>8.1305999999999994</v>
      </c>
      <c r="AW1098" s="69">
        <v>0.65110000000000001</v>
      </c>
      <c r="BB1098" s="69"/>
    </row>
    <row r="1099" spans="1:54" customFormat="1" ht="40" customHeight="1">
      <c r="A1099" s="313">
        <v>1098</v>
      </c>
      <c r="B1099" s="136" t="s">
        <v>2948</v>
      </c>
      <c r="C1099" s="136" t="s">
        <v>45</v>
      </c>
      <c r="D1099" s="31">
        <f t="shared" si="78"/>
        <v>4</v>
      </c>
      <c r="E1099" s="137" t="s">
        <v>80</v>
      </c>
      <c r="F1099" s="31">
        <f t="shared" si="79"/>
        <v>4</v>
      </c>
      <c r="G1099" s="137" t="s">
        <v>159</v>
      </c>
      <c r="H1099" s="138">
        <v>37</v>
      </c>
      <c r="I1099" s="158">
        <f t="shared" si="80"/>
        <v>0.36870088764572523</v>
      </c>
      <c r="J1099" s="95">
        <v>5.6210768821390401E-2</v>
      </c>
      <c r="K1099" s="137">
        <v>0.68119100647006003</v>
      </c>
      <c r="L1099" s="137">
        <v>0.82499999999999996</v>
      </c>
      <c r="M1099" s="137">
        <v>0.46547751617515098</v>
      </c>
      <c r="N1099" s="136">
        <v>1</v>
      </c>
      <c r="O1099" s="32">
        <v>42975</v>
      </c>
      <c r="P1099" s="98">
        <f t="shared" si="81"/>
        <v>0</v>
      </c>
      <c r="Q1099">
        <v>7.65</v>
      </c>
      <c r="R1099">
        <v>0</v>
      </c>
      <c r="S1099">
        <v>0</v>
      </c>
      <c r="T1099" s="112" t="s">
        <v>48</v>
      </c>
      <c r="U1099" s="137" t="s">
        <v>2994</v>
      </c>
      <c r="V1099" s="137" t="s">
        <v>2995</v>
      </c>
      <c r="W1099" s="69">
        <v>106</v>
      </c>
      <c r="X1099" s="136">
        <v>1</v>
      </c>
      <c r="Y1099" s="136">
        <v>14</v>
      </c>
      <c r="Z1099" s="314"/>
      <c r="AA1099" s="319">
        <v>0.60499999999999998</v>
      </c>
      <c r="AB1099" s="315" t="s">
        <v>5178</v>
      </c>
      <c r="AC1099" s="319">
        <v>2</v>
      </c>
      <c r="AD1099" s="320">
        <v>3.5087719298245598E-2</v>
      </c>
      <c r="AE1099" s="319">
        <v>2</v>
      </c>
      <c r="AF1099" s="320">
        <v>3.5087719298245598E-2</v>
      </c>
      <c r="AG1099" s="319">
        <v>0</v>
      </c>
      <c r="AH1099" s="320">
        <v>0</v>
      </c>
      <c r="AI1099" s="319">
        <v>1</v>
      </c>
      <c r="AJ1099" s="320">
        <v>1.7543859649122799E-2</v>
      </c>
      <c r="AK1099" s="320">
        <v>0</v>
      </c>
      <c r="AL1099" s="319">
        <v>5</v>
      </c>
      <c r="AM1099" s="319">
        <v>5</v>
      </c>
      <c r="AN1099" s="319">
        <v>2</v>
      </c>
      <c r="AO1099" s="319">
        <v>0.4</v>
      </c>
      <c r="AP1099">
        <v>14</v>
      </c>
      <c r="AQ1099" s="136">
        <v>14</v>
      </c>
      <c r="AT1099" s="69">
        <v>2.3148</v>
      </c>
      <c r="AU1099" s="69">
        <v>2.3148</v>
      </c>
      <c r="AV1099" s="69">
        <v>2.3148</v>
      </c>
      <c r="AW1099" s="69">
        <v>0.23150000000000001</v>
      </c>
      <c r="BB1099" s="69"/>
    </row>
    <row r="1100" spans="1:54" customFormat="1" ht="40" customHeight="1">
      <c r="A1100" s="313">
        <v>1099</v>
      </c>
      <c r="B1100" s="136" t="s">
        <v>2948</v>
      </c>
      <c r="C1100" s="136" t="s">
        <v>45</v>
      </c>
      <c r="D1100" s="31">
        <f t="shared" si="78"/>
        <v>4</v>
      </c>
      <c r="E1100" s="137" t="s">
        <v>80</v>
      </c>
      <c r="F1100" s="31">
        <f t="shared" si="79"/>
        <v>4</v>
      </c>
      <c r="G1100" s="137" t="s">
        <v>2996</v>
      </c>
      <c r="H1100" s="138">
        <v>94</v>
      </c>
      <c r="I1100" s="158">
        <f t="shared" si="80"/>
        <v>0.37618789089618121</v>
      </c>
      <c r="J1100" s="95">
        <v>1.3501136534414E-3</v>
      </c>
      <c r="K1100" s="137">
        <v>0.75102566813892102</v>
      </c>
      <c r="L1100" s="137">
        <v>0.75</v>
      </c>
      <c r="M1100" s="137">
        <v>0.75256417034730305</v>
      </c>
      <c r="N1100" s="136">
        <v>1</v>
      </c>
      <c r="O1100" s="32">
        <v>42968</v>
      </c>
      <c r="P1100" s="98">
        <f t="shared" si="81"/>
        <v>0</v>
      </c>
      <c r="Q1100">
        <v>7.65</v>
      </c>
      <c r="R1100">
        <v>0</v>
      </c>
      <c r="S1100">
        <v>0</v>
      </c>
      <c r="T1100" s="112" t="s">
        <v>48</v>
      </c>
      <c r="U1100" s="137" t="s">
        <v>2997</v>
      </c>
      <c r="V1100" s="137" t="s">
        <v>2998</v>
      </c>
      <c r="W1100" s="69">
        <v>125</v>
      </c>
      <c r="X1100" s="136">
        <v>1</v>
      </c>
      <c r="Y1100" s="136">
        <v>3</v>
      </c>
      <c r="Z1100" s="314"/>
      <c r="AA1100" s="319">
        <v>0.54500000000000004</v>
      </c>
      <c r="AB1100" s="315" t="s">
        <v>5178</v>
      </c>
      <c r="AC1100" s="319">
        <v>2</v>
      </c>
      <c r="AD1100" s="320">
        <v>2.8985507246376802E-2</v>
      </c>
      <c r="AE1100" s="319">
        <v>2</v>
      </c>
      <c r="AF1100" s="320">
        <v>2.8985507246376802E-2</v>
      </c>
      <c r="AG1100" s="319">
        <v>0</v>
      </c>
      <c r="AH1100" s="320">
        <v>0</v>
      </c>
      <c r="AI1100" s="319">
        <v>1</v>
      </c>
      <c r="AJ1100" s="320">
        <v>1.4492753623188401E-2</v>
      </c>
      <c r="AK1100" s="320">
        <v>0</v>
      </c>
      <c r="AL1100" s="319">
        <v>6.75</v>
      </c>
      <c r="AM1100" s="319">
        <v>6.2</v>
      </c>
      <c r="AN1100" s="319">
        <v>4.6666666666666599</v>
      </c>
      <c r="AO1100" s="319">
        <v>0.58722222222222198</v>
      </c>
      <c r="AP1100">
        <v>3</v>
      </c>
      <c r="AQ1100" s="136">
        <v>3</v>
      </c>
      <c r="AT1100" s="69">
        <v>6.3414000000000001</v>
      </c>
      <c r="AU1100" s="69">
        <v>5</v>
      </c>
      <c r="AV1100" s="69">
        <v>8.1305999999999994</v>
      </c>
      <c r="AW1100" s="69">
        <v>0.64910000000000001</v>
      </c>
      <c r="BB1100" s="69"/>
    </row>
    <row r="1101" spans="1:54" customFormat="1" ht="40" customHeight="1">
      <c r="A1101" s="313">
        <v>1100</v>
      </c>
      <c r="B1101" s="136" t="s">
        <v>2948</v>
      </c>
      <c r="C1101" s="136" t="s">
        <v>45</v>
      </c>
      <c r="D1101" s="31">
        <f t="shared" si="78"/>
        <v>4</v>
      </c>
      <c r="E1101" s="137" t="s">
        <v>46</v>
      </c>
      <c r="F1101" s="31">
        <f t="shared" si="79"/>
        <v>6</v>
      </c>
      <c r="G1101" s="137" t="s">
        <v>359</v>
      </c>
      <c r="H1101" s="138">
        <v>338</v>
      </c>
      <c r="I1101" s="158">
        <f t="shared" si="80"/>
        <v>0.36111234350000598</v>
      </c>
      <c r="J1101" s="95">
        <v>0</v>
      </c>
      <c r="K1101" s="137">
        <v>0.72222468700001197</v>
      </c>
      <c r="L1101" s="137">
        <v>0.75</v>
      </c>
      <c r="M1101" s="137">
        <v>0.68056171750003003</v>
      </c>
      <c r="N1101" s="136">
        <v>1</v>
      </c>
      <c r="O1101" s="32">
        <v>42942</v>
      </c>
      <c r="P1101" s="98">
        <f t="shared" si="81"/>
        <v>0</v>
      </c>
      <c r="Q1101">
        <v>5.0999999999999996</v>
      </c>
      <c r="R1101">
        <v>0</v>
      </c>
      <c r="S1101">
        <v>0</v>
      </c>
      <c r="T1101" s="112" t="s">
        <v>48</v>
      </c>
      <c r="U1101" s="137" t="s">
        <v>2999</v>
      </c>
      <c r="V1101" s="137" t="s">
        <v>3000</v>
      </c>
      <c r="W1101" s="69">
        <v>169</v>
      </c>
      <c r="X1101" s="136">
        <v>1</v>
      </c>
      <c r="Y1101" s="136">
        <v>5</v>
      </c>
      <c r="Z1101" s="314"/>
      <c r="AA1101" s="319">
        <v>0.58399999999999996</v>
      </c>
      <c r="AB1101" s="315" t="s">
        <v>5176</v>
      </c>
      <c r="AC1101" s="319">
        <v>2</v>
      </c>
      <c r="AD1101" s="320">
        <v>2.1276595744680799E-2</v>
      </c>
      <c r="AE1101" s="319">
        <v>3</v>
      </c>
      <c r="AF1101" s="320">
        <v>3.1914893617021198E-2</v>
      </c>
      <c r="AG1101" s="319">
        <v>2</v>
      </c>
      <c r="AH1101" s="320">
        <v>2.1276595744680799E-2</v>
      </c>
      <c r="AI1101" s="319">
        <v>2</v>
      </c>
      <c r="AJ1101" s="320">
        <v>2.1276595744680799E-2</v>
      </c>
      <c r="AK1101" s="320">
        <v>0</v>
      </c>
      <c r="AL1101" s="319">
        <v>5</v>
      </c>
      <c r="AM1101" s="319">
        <v>10</v>
      </c>
      <c r="AN1101" s="319">
        <v>6.1666666666666599</v>
      </c>
      <c r="AO1101" s="319">
        <v>0.70555555555555505</v>
      </c>
      <c r="AP1101">
        <v>5</v>
      </c>
      <c r="AQ1101" s="136">
        <v>5</v>
      </c>
      <c r="AT1101" s="69">
        <v>2.3148</v>
      </c>
      <c r="AU1101" s="69">
        <v>9.8933</v>
      </c>
      <c r="AV1101" s="69">
        <v>9.5120000000000005</v>
      </c>
      <c r="AW1101" s="69">
        <v>0.72399999999999998</v>
      </c>
      <c r="BB1101" s="69"/>
    </row>
    <row r="1102" spans="1:54" customFormat="1" ht="40" customHeight="1">
      <c r="A1102" s="313">
        <v>1101</v>
      </c>
      <c r="B1102" s="136" t="s">
        <v>3001</v>
      </c>
      <c r="C1102" s="136" t="s">
        <v>45</v>
      </c>
      <c r="D1102" s="31">
        <f t="shared" si="78"/>
        <v>4</v>
      </c>
      <c r="E1102" s="137" t="s">
        <v>46</v>
      </c>
      <c r="F1102" s="31">
        <f t="shared" si="79"/>
        <v>6</v>
      </c>
      <c r="G1102" s="137" t="s">
        <v>3002</v>
      </c>
      <c r="H1102" s="138">
        <v>48</v>
      </c>
      <c r="I1102" s="158">
        <f t="shared" si="80"/>
        <v>0.32658385031857018</v>
      </c>
      <c r="J1102" s="95">
        <v>1.1163643592974101E-3</v>
      </c>
      <c r="K1102" s="137">
        <v>0.65205133627784295</v>
      </c>
      <c r="L1102" s="137">
        <v>0.75</v>
      </c>
      <c r="M1102" s="137">
        <v>0.50512834069460699</v>
      </c>
      <c r="N1102" s="136">
        <v>1</v>
      </c>
      <c r="O1102" s="32">
        <v>43852</v>
      </c>
      <c r="P1102" s="98">
        <f t="shared" si="81"/>
        <v>0</v>
      </c>
      <c r="Q1102">
        <v>0</v>
      </c>
      <c r="R1102">
        <v>0</v>
      </c>
      <c r="S1102">
        <v>0</v>
      </c>
      <c r="T1102" s="112" t="s">
        <v>48</v>
      </c>
      <c r="U1102" s="137" t="s">
        <v>3003</v>
      </c>
      <c r="V1102" s="137" t="s">
        <v>3004</v>
      </c>
      <c r="W1102" s="69">
        <v>205</v>
      </c>
      <c r="X1102" s="136">
        <v>1</v>
      </c>
      <c r="Y1102" s="136">
        <v>12</v>
      </c>
      <c r="Z1102" s="314"/>
      <c r="AA1102" s="319">
        <v>0.45909090909090899</v>
      </c>
      <c r="AB1102" s="315" t="s">
        <v>5176</v>
      </c>
      <c r="AC1102" s="319">
        <v>2</v>
      </c>
      <c r="AD1102" s="320">
        <v>1.7391304347826E-2</v>
      </c>
      <c r="AE1102" s="319">
        <v>3</v>
      </c>
      <c r="AF1102" s="320">
        <v>2.6086956521739101E-2</v>
      </c>
      <c r="AG1102" s="319">
        <v>1</v>
      </c>
      <c r="AH1102" s="320">
        <v>8.6956521739130401E-3</v>
      </c>
      <c r="AI1102" s="319">
        <v>0</v>
      </c>
      <c r="AJ1102" s="320">
        <v>0</v>
      </c>
      <c r="AK1102" s="320">
        <v>1.7391304347826091E-2</v>
      </c>
      <c r="AL1102" s="319">
        <v>5</v>
      </c>
      <c r="AM1102" s="319">
        <v>5</v>
      </c>
      <c r="AN1102" s="319">
        <v>7.3333333333333304</v>
      </c>
      <c r="AO1102" s="319">
        <v>0.57777777777777695</v>
      </c>
      <c r="AP1102">
        <v>12</v>
      </c>
      <c r="AR1102" s="136">
        <v>12</v>
      </c>
      <c r="AT1102" s="69">
        <v>2.3148</v>
      </c>
      <c r="AU1102" s="69">
        <v>2.3148</v>
      </c>
      <c r="AV1102" s="69">
        <v>9.8416999999999994</v>
      </c>
      <c r="AW1102" s="69">
        <v>0.4824</v>
      </c>
      <c r="BB1102" s="69"/>
    </row>
    <row r="1103" spans="1:54" customFormat="1" ht="40" customHeight="1">
      <c r="A1103" s="313">
        <v>1102</v>
      </c>
      <c r="B1103" s="136" t="s">
        <v>3001</v>
      </c>
      <c r="C1103" s="136" t="s">
        <v>45</v>
      </c>
      <c r="D1103" s="31">
        <f t="shared" si="78"/>
        <v>4</v>
      </c>
      <c r="E1103" s="137" t="s">
        <v>46</v>
      </c>
      <c r="F1103" s="31">
        <f t="shared" si="79"/>
        <v>6</v>
      </c>
      <c r="G1103" s="137" t="s">
        <v>3005</v>
      </c>
      <c r="H1103" s="138">
        <v>19</v>
      </c>
      <c r="I1103" s="158">
        <f t="shared" si="80"/>
        <v>0.4864673816767815</v>
      </c>
      <c r="J1103" s="95">
        <v>0.23722047763927701</v>
      </c>
      <c r="K1103" s="137">
        <v>0.73571428571428599</v>
      </c>
      <c r="L1103" s="137">
        <v>0.75</v>
      </c>
      <c r="M1103" s="137">
        <v>0.71428571428571397</v>
      </c>
      <c r="N1103" s="136">
        <v>1</v>
      </c>
      <c r="O1103" s="32">
        <v>43787</v>
      </c>
      <c r="P1103" s="98">
        <f t="shared" si="81"/>
        <v>0</v>
      </c>
      <c r="Q1103">
        <v>0</v>
      </c>
      <c r="R1103">
        <v>0</v>
      </c>
      <c r="S1103">
        <v>0</v>
      </c>
      <c r="T1103" s="112" t="s">
        <v>48</v>
      </c>
      <c r="U1103" s="137" t="s">
        <v>3006</v>
      </c>
      <c r="V1103" s="137" t="s">
        <v>3007</v>
      </c>
      <c r="W1103" s="69">
        <v>287</v>
      </c>
      <c r="X1103" s="136">
        <v>2</v>
      </c>
      <c r="Y1103" s="136">
        <v>4</v>
      </c>
      <c r="Z1103" s="314"/>
      <c r="AA1103" s="319">
        <v>0.45454545454545398</v>
      </c>
      <c r="AB1103" s="315" t="s">
        <v>5176</v>
      </c>
      <c r="AC1103" s="319">
        <v>3</v>
      </c>
      <c r="AD1103" s="320">
        <v>1.84049079754601E-2</v>
      </c>
      <c r="AE1103" s="319">
        <v>4</v>
      </c>
      <c r="AF1103" s="320">
        <v>2.45398773006134E-2</v>
      </c>
      <c r="AG1103" s="319">
        <v>2</v>
      </c>
      <c r="AH1103" s="320">
        <v>1.22699386503067E-2</v>
      </c>
      <c r="AI1103" s="319">
        <v>0</v>
      </c>
      <c r="AJ1103" s="320">
        <v>0</v>
      </c>
      <c r="AK1103" s="320">
        <v>1.226993865030675E-2</v>
      </c>
      <c r="AL1103" s="319">
        <v>5</v>
      </c>
      <c r="AM1103" s="319">
        <v>5</v>
      </c>
      <c r="AN1103" s="319">
        <v>4.6666666666666599</v>
      </c>
      <c r="AO1103" s="319">
        <v>0.48888888888888798</v>
      </c>
      <c r="AP1103">
        <v>4</v>
      </c>
      <c r="AR1103" s="136">
        <v>4</v>
      </c>
      <c r="AT1103" s="69">
        <v>2.3148</v>
      </c>
      <c r="AU1103" s="69">
        <v>2.3148</v>
      </c>
      <c r="AV1103" s="69">
        <v>8.1305999999999994</v>
      </c>
      <c r="AW1103" s="69">
        <v>0.42530000000000001</v>
      </c>
      <c r="BB1103" s="69"/>
    </row>
    <row r="1104" spans="1:54" customFormat="1" ht="40" customHeight="1">
      <c r="A1104" s="313">
        <v>1103</v>
      </c>
      <c r="B1104" s="136" t="s">
        <v>3001</v>
      </c>
      <c r="C1104" s="136" t="s">
        <v>45</v>
      </c>
      <c r="D1104" s="31">
        <f t="shared" si="78"/>
        <v>4</v>
      </c>
      <c r="E1104" s="137" t="s">
        <v>46</v>
      </c>
      <c r="F1104" s="31">
        <f t="shared" si="79"/>
        <v>6</v>
      </c>
      <c r="G1104" s="137" t="s">
        <v>3008</v>
      </c>
      <c r="H1104" s="138">
        <v>37</v>
      </c>
      <c r="I1104" s="158">
        <f t="shared" si="80"/>
        <v>0.36862446225144513</v>
      </c>
      <c r="J1104" s="95">
        <v>1.5346387886042701E-3</v>
      </c>
      <c r="K1104" s="137">
        <v>0.73571428571428599</v>
      </c>
      <c r="L1104" s="137">
        <v>0.75</v>
      </c>
      <c r="M1104" s="137">
        <v>0.71428571428571397</v>
      </c>
      <c r="N1104" s="136">
        <v>1</v>
      </c>
      <c r="O1104" s="32">
        <v>43746</v>
      </c>
      <c r="P1104" s="98">
        <f t="shared" si="81"/>
        <v>0</v>
      </c>
      <c r="Q1104">
        <v>0</v>
      </c>
      <c r="R1104">
        <v>0</v>
      </c>
      <c r="S1104">
        <v>0</v>
      </c>
      <c r="T1104" s="112" t="s">
        <v>48</v>
      </c>
      <c r="U1104" s="137" t="s">
        <v>3009</v>
      </c>
      <c r="V1104" s="137" t="s">
        <v>3010</v>
      </c>
      <c r="W1104" s="69">
        <v>262</v>
      </c>
      <c r="X1104" s="136">
        <v>3</v>
      </c>
      <c r="Y1104" s="136">
        <v>4</v>
      </c>
      <c r="Z1104" s="314"/>
      <c r="AA1104" s="319">
        <v>0.5</v>
      </c>
      <c r="AB1104" s="315" t="s">
        <v>5176</v>
      </c>
      <c r="AC1104" s="319">
        <v>0</v>
      </c>
      <c r="AD1104" s="320">
        <v>0</v>
      </c>
      <c r="AE1104" s="319">
        <v>3</v>
      </c>
      <c r="AF1104" s="320">
        <v>1.9230769230769201E-2</v>
      </c>
      <c r="AG1104" s="319">
        <v>0</v>
      </c>
      <c r="AH1104" s="320">
        <v>0</v>
      </c>
      <c r="AI1104" s="319">
        <v>0</v>
      </c>
      <c r="AJ1104" s="320">
        <v>0</v>
      </c>
      <c r="AK1104" s="320">
        <v>6.41025641025641E-3</v>
      </c>
      <c r="AL1104" s="319">
        <v>5</v>
      </c>
      <c r="AM1104" s="319">
        <v>5</v>
      </c>
      <c r="AN1104" s="319">
        <v>7.3333333333333304</v>
      </c>
      <c r="AO1104" s="319">
        <v>0.57777777777777695</v>
      </c>
      <c r="AP1104">
        <v>4</v>
      </c>
      <c r="AR1104" s="136">
        <v>4</v>
      </c>
      <c r="AT1104" s="69">
        <v>2.3148</v>
      </c>
      <c r="AU1104" s="69">
        <v>2.3148</v>
      </c>
      <c r="AV1104" s="69">
        <v>9.8416999999999994</v>
      </c>
      <c r="AW1104" s="69">
        <v>0.4824</v>
      </c>
      <c r="BB1104" s="69"/>
    </row>
    <row r="1105" spans="1:54" customFormat="1" ht="40" customHeight="1">
      <c r="A1105" s="313">
        <v>1104</v>
      </c>
      <c r="B1105" s="136" t="s">
        <v>3001</v>
      </c>
      <c r="C1105" s="136" t="s">
        <v>45</v>
      </c>
      <c r="D1105" s="31">
        <f t="shared" si="78"/>
        <v>4</v>
      </c>
      <c r="E1105" s="137" t="s">
        <v>46</v>
      </c>
      <c r="F1105" s="31">
        <f t="shared" si="79"/>
        <v>6</v>
      </c>
      <c r="G1105" s="137" t="s">
        <v>3011</v>
      </c>
      <c r="H1105" s="138">
        <v>71</v>
      </c>
      <c r="I1105" s="158">
        <f t="shared" si="80"/>
        <v>0.39713197393946847</v>
      </c>
      <c r="J1105" s="95">
        <v>0.112948351788016</v>
      </c>
      <c r="K1105" s="137">
        <v>0.68131559609092096</v>
      </c>
      <c r="L1105" s="137">
        <v>0.68181818181818199</v>
      </c>
      <c r="M1105" s="137">
        <v>0.68056171750003003</v>
      </c>
      <c r="N1105" s="136">
        <v>1</v>
      </c>
      <c r="O1105" s="32">
        <v>43685</v>
      </c>
      <c r="P1105" s="98">
        <f t="shared" si="81"/>
        <v>2</v>
      </c>
      <c r="Q1105">
        <v>0</v>
      </c>
      <c r="R1105">
        <v>0</v>
      </c>
      <c r="S1105">
        <v>1.87</v>
      </c>
      <c r="T1105" s="112" t="s">
        <v>64</v>
      </c>
      <c r="U1105" s="137" t="s">
        <v>3012</v>
      </c>
      <c r="V1105" s="137" t="s">
        <v>3013</v>
      </c>
      <c r="W1105" s="69">
        <v>251</v>
      </c>
      <c r="X1105" s="136">
        <v>1</v>
      </c>
      <c r="Y1105" s="136">
        <v>5</v>
      </c>
      <c r="Z1105" s="314"/>
      <c r="AA1105" s="319">
        <v>0.5</v>
      </c>
      <c r="AB1105" s="315" t="s">
        <v>5176</v>
      </c>
      <c r="AC1105" s="319">
        <v>1</v>
      </c>
      <c r="AD1105" s="320">
        <v>6.7567567567567502E-3</v>
      </c>
      <c r="AE1105" s="319">
        <v>3</v>
      </c>
      <c r="AF1105" s="320">
        <v>2.0270270270270199E-2</v>
      </c>
      <c r="AG1105" s="319">
        <v>0</v>
      </c>
      <c r="AH1105" s="320">
        <v>0</v>
      </c>
      <c r="AI1105" s="319">
        <v>0</v>
      </c>
      <c r="AJ1105" s="320">
        <v>0</v>
      </c>
      <c r="AK1105" s="320">
        <v>6.7567567567567571E-3</v>
      </c>
      <c r="AL1105" s="319">
        <v>5</v>
      </c>
      <c r="AM1105" s="319">
        <v>5</v>
      </c>
      <c r="AN1105" s="319">
        <v>4.6666666666666599</v>
      </c>
      <c r="AO1105" s="319">
        <v>0.48888888888888798</v>
      </c>
      <c r="AP1105">
        <v>5</v>
      </c>
      <c r="AR1105" s="136">
        <v>5</v>
      </c>
      <c r="AT1105" s="69">
        <v>2.3148</v>
      </c>
      <c r="AU1105" s="69">
        <v>2.3148</v>
      </c>
      <c r="AV1105" s="69">
        <v>8.1305999999999994</v>
      </c>
      <c r="AW1105" s="69">
        <v>0.42530000000000001</v>
      </c>
      <c r="BB1105" s="69"/>
    </row>
    <row r="1106" spans="1:54" customFormat="1" ht="40" customHeight="1">
      <c r="A1106" s="313">
        <v>1105</v>
      </c>
      <c r="B1106" s="136" t="s">
        <v>3001</v>
      </c>
      <c r="C1106" s="136" t="s">
        <v>45</v>
      </c>
      <c r="D1106" s="31">
        <f t="shared" si="78"/>
        <v>4</v>
      </c>
      <c r="E1106" s="137" t="s">
        <v>80</v>
      </c>
      <c r="F1106" s="31">
        <f t="shared" si="79"/>
        <v>4</v>
      </c>
      <c r="G1106" s="137" t="s">
        <v>180</v>
      </c>
      <c r="H1106" s="138">
        <v>39</v>
      </c>
      <c r="I1106" s="158">
        <f t="shared" si="80"/>
        <v>0.41366763735413586</v>
      </c>
      <c r="J1106" s="95">
        <v>4.6620988993985701E-2</v>
      </c>
      <c r="K1106" s="137">
        <v>0.78071428571428603</v>
      </c>
      <c r="L1106" s="137">
        <v>0.82499999999999996</v>
      </c>
      <c r="M1106" s="137">
        <v>0.71428571428571397</v>
      </c>
      <c r="N1106" s="136">
        <v>1</v>
      </c>
      <c r="O1106" s="32">
        <v>43638</v>
      </c>
      <c r="P1106" s="98">
        <f t="shared" si="81"/>
        <v>0</v>
      </c>
      <c r="Q1106">
        <v>2.5499999999999998</v>
      </c>
      <c r="R1106">
        <v>0</v>
      </c>
      <c r="S1106">
        <v>0</v>
      </c>
      <c r="T1106" s="112" t="s">
        <v>48</v>
      </c>
      <c r="U1106" s="137" t="s">
        <v>3014</v>
      </c>
      <c r="V1106" s="137" t="s">
        <v>3015</v>
      </c>
      <c r="W1106" s="69">
        <v>129</v>
      </c>
      <c r="X1106" s="136">
        <v>1</v>
      </c>
      <c r="Y1106" s="136">
        <v>4</v>
      </c>
      <c r="Z1106" s="314"/>
      <c r="AA1106" s="319">
        <v>0.60499999999999998</v>
      </c>
      <c r="AB1106" s="315" t="s">
        <v>5167</v>
      </c>
      <c r="AC1106" s="319">
        <v>2</v>
      </c>
      <c r="AD1106" s="320">
        <v>2.94117647058823E-2</v>
      </c>
      <c r="AE1106" s="319">
        <v>1</v>
      </c>
      <c r="AF1106" s="320">
        <v>1.47058823529411E-2</v>
      </c>
      <c r="AG1106" s="319">
        <v>1</v>
      </c>
      <c r="AH1106" s="320">
        <v>1.47058823529411E-2</v>
      </c>
      <c r="AI1106" s="319">
        <v>3</v>
      </c>
      <c r="AJ1106" s="320">
        <v>4.4117647058823498E-2</v>
      </c>
      <c r="AK1106" s="320">
        <v>0</v>
      </c>
      <c r="AL1106" s="319">
        <v>6.75</v>
      </c>
      <c r="AM1106" s="319">
        <v>6.2</v>
      </c>
      <c r="AN1106" s="319">
        <v>2</v>
      </c>
      <c r="AO1106" s="319">
        <v>0.49833333333333302</v>
      </c>
      <c r="AP1106">
        <v>4</v>
      </c>
      <c r="AQ1106" s="136">
        <v>4</v>
      </c>
      <c r="AT1106" s="69">
        <v>6.3414000000000001</v>
      </c>
      <c r="AU1106" s="69">
        <v>5</v>
      </c>
      <c r="AV1106" s="69">
        <v>2.3148</v>
      </c>
      <c r="AW1106" s="69">
        <v>0.45519999999999999</v>
      </c>
      <c r="BB1106" s="69"/>
    </row>
    <row r="1107" spans="1:54" customFormat="1" ht="40" customHeight="1">
      <c r="A1107" s="313">
        <v>1106</v>
      </c>
      <c r="B1107" s="136" t="s">
        <v>3001</v>
      </c>
      <c r="C1107" s="136" t="s">
        <v>45</v>
      </c>
      <c r="D1107" s="31">
        <f t="shared" si="78"/>
        <v>4</v>
      </c>
      <c r="E1107" s="137" t="s">
        <v>80</v>
      </c>
      <c r="F1107" s="31">
        <f t="shared" si="79"/>
        <v>4</v>
      </c>
      <c r="G1107" s="137" t="s">
        <v>778</v>
      </c>
      <c r="H1107" s="138">
        <v>46</v>
      </c>
      <c r="I1107" s="158">
        <f t="shared" si="80"/>
        <v>0.41212283563810176</v>
      </c>
      <c r="J1107" s="95">
        <v>2.8220003137282599E-2</v>
      </c>
      <c r="K1107" s="137">
        <v>0.79602566813892095</v>
      </c>
      <c r="L1107" s="137">
        <v>0.82499999999999996</v>
      </c>
      <c r="M1107" s="137">
        <v>0.75256417034730305</v>
      </c>
      <c r="N1107" s="136">
        <v>1</v>
      </c>
      <c r="O1107" s="32">
        <v>43408</v>
      </c>
      <c r="P1107" s="98">
        <f t="shared" si="81"/>
        <v>0</v>
      </c>
      <c r="Q1107">
        <v>5.0999999999999996</v>
      </c>
      <c r="R1107">
        <v>0</v>
      </c>
      <c r="S1107">
        <v>0</v>
      </c>
      <c r="T1107" s="112" t="s">
        <v>48</v>
      </c>
      <c r="U1107" s="137" t="s">
        <v>3016</v>
      </c>
      <c r="V1107" s="137" t="s">
        <v>3017</v>
      </c>
      <c r="W1107" s="69">
        <v>126</v>
      </c>
      <c r="X1107" s="136">
        <v>1</v>
      </c>
      <c r="Y1107" s="136">
        <v>3</v>
      </c>
      <c r="Z1107" s="314"/>
      <c r="AA1107" s="319">
        <v>0.54500000000000004</v>
      </c>
      <c r="AB1107" s="315" t="s">
        <v>5166</v>
      </c>
      <c r="AC1107" s="319">
        <v>3</v>
      </c>
      <c r="AD1107" s="320">
        <v>4.6153846153846101E-2</v>
      </c>
      <c r="AE1107" s="319">
        <v>1</v>
      </c>
      <c r="AF1107" s="320">
        <v>1.53846153846153E-2</v>
      </c>
      <c r="AG1107" s="319">
        <v>1</v>
      </c>
      <c r="AH1107" s="320">
        <v>1.53846153846153E-2</v>
      </c>
      <c r="AI1107" s="319">
        <v>3</v>
      </c>
      <c r="AJ1107" s="320">
        <v>4.6153846153846101E-2</v>
      </c>
      <c r="AK1107" s="320">
        <v>0</v>
      </c>
      <c r="AL1107" s="319">
        <v>6.75</v>
      </c>
      <c r="AM1107" s="319">
        <v>5</v>
      </c>
      <c r="AN1107" s="319">
        <v>7.3333333333333304</v>
      </c>
      <c r="AO1107" s="319">
        <v>0.63611111111111096</v>
      </c>
      <c r="AP1107">
        <v>3</v>
      </c>
      <c r="AQ1107" s="136">
        <v>3</v>
      </c>
      <c r="AT1107" s="69">
        <v>6.3414000000000001</v>
      </c>
      <c r="AU1107" s="69">
        <v>2.3148</v>
      </c>
      <c r="AV1107" s="69">
        <v>9.8416999999999994</v>
      </c>
      <c r="AW1107" s="69">
        <v>0.61660000000000004</v>
      </c>
      <c r="BB1107" s="69"/>
    </row>
    <row r="1108" spans="1:54" customFormat="1" ht="40" customHeight="1">
      <c r="A1108" s="313">
        <v>1107</v>
      </c>
      <c r="B1108" s="136" t="s">
        <v>3001</v>
      </c>
      <c r="C1108" s="136" t="s">
        <v>45</v>
      </c>
      <c r="D1108" s="31">
        <f t="shared" si="78"/>
        <v>4</v>
      </c>
      <c r="E1108" s="137" t="s">
        <v>46</v>
      </c>
      <c r="F1108" s="31">
        <f t="shared" si="79"/>
        <v>6</v>
      </c>
      <c r="G1108" s="137" t="s">
        <v>3018</v>
      </c>
      <c r="H1108" s="138">
        <v>125</v>
      </c>
      <c r="I1108" s="158">
        <f t="shared" si="80"/>
        <v>0.40713079899912802</v>
      </c>
      <c r="J1108" s="95">
        <v>7.3801562433084596E-5</v>
      </c>
      <c r="K1108" s="137">
        <v>0.81418779643582295</v>
      </c>
      <c r="L1108" s="137">
        <v>0.82499999999999996</v>
      </c>
      <c r="M1108" s="137">
        <v>0.79796949108955795</v>
      </c>
      <c r="N1108" s="136">
        <v>1</v>
      </c>
      <c r="O1108" s="32">
        <v>43351</v>
      </c>
      <c r="P1108" s="98">
        <f t="shared" si="81"/>
        <v>0</v>
      </c>
      <c r="Q1108">
        <v>5.0999999999999996</v>
      </c>
      <c r="R1108">
        <v>0</v>
      </c>
      <c r="S1108">
        <v>1.87</v>
      </c>
      <c r="T1108" s="112" t="s">
        <v>48</v>
      </c>
      <c r="U1108" s="137" t="s">
        <v>3019</v>
      </c>
      <c r="V1108" s="137" t="s">
        <v>3020</v>
      </c>
      <c r="W1108" s="69">
        <v>64</v>
      </c>
      <c r="X1108" s="136">
        <v>1</v>
      </c>
      <c r="Y1108" s="136">
        <v>2</v>
      </c>
      <c r="Z1108" s="314"/>
      <c r="AA1108" s="319">
        <v>0.66549999999999998</v>
      </c>
      <c r="AB1108" s="315" t="s">
        <v>5165</v>
      </c>
      <c r="AC1108" s="319">
        <v>5</v>
      </c>
      <c r="AD1108" s="320">
        <v>0.15151515151515099</v>
      </c>
      <c r="AE1108" s="319">
        <v>0</v>
      </c>
      <c r="AF1108" s="320">
        <v>0</v>
      </c>
      <c r="AG1108" s="319">
        <v>1</v>
      </c>
      <c r="AH1108" s="320">
        <v>3.03030303030303E-2</v>
      </c>
      <c r="AI1108" s="319">
        <v>0</v>
      </c>
      <c r="AJ1108" s="320">
        <v>0</v>
      </c>
      <c r="AK1108" s="320">
        <v>0</v>
      </c>
      <c r="AL1108" s="319">
        <v>5</v>
      </c>
      <c r="AM1108" s="319">
        <v>6.2</v>
      </c>
      <c r="AN1108" s="319">
        <v>4.6666666666666599</v>
      </c>
      <c r="AO1108" s="319">
        <v>0.52888888888888796</v>
      </c>
      <c r="AP1108">
        <v>2</v>
      </c>
      <c r="AR1108" s="136">
        <v>2</v>
      </c>
      <c r="AT1108" s="69">
        <v>2.3148</v>
      </c>
      <c r="AU1108" s="69">
        <v>5</v>
      </c>
      <c r="AV1108" s="69">
        <v>8.1305999999999994</v>
      </c>
      <c r="AW1108" s="69">
        <v>0.51480000000000004</v>
      </c>
      <c r="BB1108" s="69"/>
    </row>
    <row r="1109" spans="1:54" customFormat="1" ht="40" customHeight="1">
      <c r="A1109" s="313">
        <v>1108</v>
      </c>
      <c r="B1109" s="136" t="s">
        <v>3001</v>
      </c>
      <c r="C1109" s="136" t="s">
        <v>45</v>
      </c>
      <c r="D1109" s="31">
        <f t="shared" si="78"/>
        <v>4</v>
      </c>
      <c r="E1109" s="137" t="s">
        <v>46</v>
      </c>
      <c r="F1109" s="31">
        <f t="shared" si="79"/>
        <v>6</v>
      </c>
      <c r="G1109" s="137" t="s">
        <v>3021</v>
      </c>
      <c r="H1109" s="138">
        <v>59</v>
      </c>
      <c r="I1109" s="158">
        <f t="shared" si="80"/>
        <v>0.41620996169759744</v>
      </c>
      <c r="J1109" s="95">
        <v>7.7390765839947903E-2</v>
      </c>
      <c r="K1109" s="137">
        <v>0.75502915755524702</v>
      </c>
      <c r="L1109" s="137">
        <v>0.82499999999999996</v>
      </c>
      <c r="M1109" s="137">
        <v>0.65007289388811795</v>
      </c>
      <c r="N1109" s="136">
        <v>1</v>
      </c>
      <c r="O1109" s="32">
        <v>43403</v>
      </c>
      <c r="P1109" s="98">
        <f t="shared" si="81"/>
        <v>0</v>
      </c>
      <c r="Q1109">
        <v>5.0999999999999996</v>
      </c>
      <c r="R1109">
        <v>0</v>
      </c>
      <c r="S1109">
        <v>0</v>
      </c>
      <c r="T1109" s="112" t="s">
        <v>48</v>
      </c>
      <c r="U1109" s="137" t="s">
        <v>3022</v>
      </c>
      <c r="V1109" s="137" t="s">
        <v>3023</v>
      </c>
      <c r="W1109" s="69">
        <v>69</v>
      </c>
      <c r="X1109" s="136">
        <v>1</v>
      </c>
      <c r="Y1109" s="136">
        <v>6</v>
      </c>
      <c r="Z1109" s="314"/>
      <c r="AA1109" s="319">
        <v>0.5</v>
      </c>
      <c r="AB1109" s="315" t="s">
        <v>5176</v>
      </c>
      <c r="AC1109" s="319">
        <v>1</v>
      </c>
      <c r="AD1109" s="320">
        <v>2.3255813953488299E-2</v>
      </c>
      <c r="AE1109" s="319">
        <v>3</v>
      </c>
      <c r="AF1109" s="320">
        <v>6.9767441860465101E-2</v>
      </c>
      <c r="AG1109" s="319">
        <v>0</v>
      </c>
      <c r="AH1109" s="320">
        <v>0</v>
      </c>
      <c r="AI1109" s="319">
        <v>0</v>
      </c>
      <c r="AJ1109" s="320">
        <v>0</v>
      </c>
      <c r="AK1109" s="320">
        <v>4.6511627906976737E-2</v>
      </c>
      <c r="AL1109" s="319">
        <v>5</v>
      </c>
      <c r="AM1109" s="319">
        <v>6.2</v>
      </c>
      <c r="AN1109" s="319">
        <v>5</v>
      </c>
      <c r="AO1109" s="319">
        <v>0.53999999999999904</v>
      </c>
      <c r="AP1109">
        <v>6</v>
      </c>
      <c r="AR1109" s="136">
        <v>6</v>
      </c>
      <c r="AT1109" s="69">
        <v>2.3148</v>
      </c>
      <c r="AU1109" s="69">
        <v>5</v>
      </c>
      <c r="AV1109" s="69">
        <v>8.5815000000000001</v>
      </c>
      <c r="AW1109" s="69">
        <v>0.52990000000000004</v>
      </c>
      <c r="BB1109" s="69"/>
    </row>
    <row r="1110" spans="1:54" customFormat="1" ht="40" customHeight="1">
      <c r="A1110" s="313">
        <v>1109</v>
      </c>
      <c r="B1110" s="136" t="s">
        <v>3001</v>
      </c>
      <c r="C1110" s="136" t="s">
        <v>45</v>
      </c>
      <c r="D1110" s="31">
        <f t="shared" si="78"/>
        <v>4</v>
      </c>
      <c r="E1110" s="137" t="s">
        <v>80</v>
      </c>
      <c r="F1110" s="31">
        <f t="shared" si="79"/>
        <v>4</v>
      </c>
      <c r="G1110" s="137" t="s">
        <v>3024</v>
      </c>
      <c r="H1110" s="138">
        <v>78</v>
      </c>
      <c r="I1110" s="158">
        <f t="shared" si="80"/>
        <v>0.36686754651003228</v>
      </c>
      <c r="J1110" s="95">
        <v>5.4563874933325502E-3</v>
      </c>
      <c r="K1110" s="137">
        <v>0.72827870552673202</v>
      </c>
      <c r="L1110" s="137">
        <v>0.68181818181818199</v>
      </c>
      <c r="M1110" s="137">
        <v>0.79796949108955795</v>
      </c>
      <c r="N1110" s="136">
        <v>1</v>
      </c>
      <c r="O1110" s="32">
        <v>43348</v>
      </c>
      <c r="P1110" s="98">
        <f t="shared" si="81"/>
        <v>0</v>
      </c>
      <c r="Q1110">
        <v>2.5499999999999998</v>
      </c>
      <c r="R1110">
        <v>0</v>
      </c>
      <c r="S1110">
        <v>0</v>
      </c>
      <c r="T1110" s="112" t="s">
        <v>48</v>
      </c>
      <c r="U1110" s="137" t="s">
        <v>3025</v>
      </c>
      <c r="V1110" s="137" t="s">
        <v>3026</v>
      </c>
      <c r="W1110" s="69">
        <v>54</v>
      </c>
      <c r="X1110" s="136">
        <v>1</v>
      </c>
      <c r="Y1110" s="136">
        <v>2</v>
      </c>
      <c r="Z1110" s="314"/>
      <c r="AA1110" s="319">
        <v>0.5</v>
      </c>
      <c r="AB1110" s="315" t="s">
        <v>5176</v>
      </c>
      <c r="AC1110" s="319">
        <v>1</v>
      </c>
      <c r="AD1110" s="320">
        <v>3.125E-2</v>
      </c>
      <c r="AE1110" s="319">
        <v>3</v>
      </c>
      <c r="AF1110" s="320">
        <v>9.375E-2</v>
      </c>
      <c r="AG1110" s="319">
        <v>0</v>
      </c>
      <c r="AH1110" s="320">
        <v>0</v>
      </c>
      <c r="AI1110" s="319">
        <v>0</v>
      </c>
      <c r="AJ1110" s="320">
        <v>0</v>
      </c>
      <c r="AK1110" s="320">
        <v>3.125E-2</v>
      </c>
      <c r="AL1110" s="319">
        <v>5</v>
      </c>
      <c r="AM1110" s="319">
        <v>5</v>
      </c>
      <c r="AN1110" s="319">
        <v>4.6666666666666599</v>
      </c>
      <c r="AO1110" s="319">
        <v>0.48888888888888798</v>
      </c>
      <c r="AP1110">
        <v>2</v>
      </c>
      <c r="AR1110" s="136">
        <v>2</v>
      </c>
      <c r="AT1110" s="69">
        <v>2.3148</v>
      </c>
      <c r="AU1110" s="69">
        <v>2.3148</v>
      </c>
      <c r="AV1110" s="69">
        <v>8.1305999999999994</v>
      </c>
      <c r="AW1110" s="69">
        <v>0.42530000000000001</v>
      </c>
      <c r="BB1110" s="69"/>
    </row>
    <row r="1111" spans="1:54" customFormat="1" ht="40" customHeight="1">
      <c r="A1111" s="313">
        <v>1110</v>
      </c>
      <c r="B1111" s="136" t="s">
        <v>3001</v>
      </c>
      <c r="C1111" s="136" t="s">
        <v>45</v>
      </c>
      <c r="D1111" s="31">
        <f t="shared" si="78"/>
        <v>4</v>
      </c>
      <c r="E1111" s="137" t="s">
        <v>46</v>
      </c>
      <c r="F1111" s="31">
        <f t="shared" si="79"/>
        <v>6</v>
      </c>
      <c r="G1111" s="137" t="s">
        <v>3027</v>
      </c>
      <c r="H1111" s="138">
        <v>59</v>
      </c>
      <c r="I1111" s="158">
        <f t="shared" si="80"/>
        <v>0.37466930223777944</v>
      </c>
      <c r="J1111" s="95">
        <v>2.10598989488269E-2</v>
      </c>
      <c r="K1111" s="137">
        <v>0.72827870552673202</v>
      </c>
      <c r="L1111" s="137">
        <v>0.68181818181818199</v>
      </c>
      <c r="M1111" s="137">
        <v>0.79796949108955795</v>
      </c>
      <c r="N1111" s="136">
        <v>1</v>
      </c>
      <c r="O1111" s="32">
        <v>42982</v>
      </c>
      <c r="P1111" s="98">
        <f t="shared" si="81"/>
        <v>1</v>
      </c>
      <c r="Q1111">
        <v>0</v>
      </c>
      <c r="R1111">
        <v>0</v>
      </c>
      <c r="S1111">
        <v>0</v>
      </c>
      <c r="T1111" s="112" t="s">
        <v>73</v>
      </c>
      <c r="U1111" s="137" t="s">
        <v>3028</v>
      </c>
      <c r="V1111" s="137" t="s">
        <v>3029</v>
      </c>
      <c r="W1111" s="69">
        <v>57</v>
      </c>
      <c r="X1111" s="136">
        <v>1</v>
      </c>
      <c r="Y1111" s="136">
        <v>2</v>
      </c>
      <c r="Z1111" s="314"/>
      <c r="AA1111" s="319">
        <v>0.5</v>
      </c>
      <c r="AB1111" s="315" t="s">
        <v>5176</v>
      </c>
      <c r="AC1111" s="319">
        <v>0</v>
      </c>
      <c r="AD1111" s="320">
        <v>0</v>
      </c>
      <c r="AE1111" s="319">
        <v>2</v>
      </c>
      <c r="AF1111" s="320">
        <v>5.8823529411764698E-2</v>
      </c>
      <c r="AG1111" s="319">
        <v>0</v>
      </c>
      <c r="AH1111" s="320">
        <v>0</v>
      </c>
      <c r="AI1111" s="319">
        <v>0</v>
      </c>
      <c r="AJ1111" s="320">
        <v>0</v>
      </c>
      <c r="AK1111" s="320">
        <v>0</v>
      </c>
      <c r="AL1111" s="319">
        <v>5</v>
      </c>
      <c r="AM1111" s="319">
        <v>5</v>
      </c>
      <c r="AN1111" s="319">
        <v>4.6666666666666599</v>
      </c>
      <c r="AO1111" s="319">
        <v>0.48888888888888798</v>
      </c>
      <c r="AP1111">
        <v>2</v>
      </c>
      <c r="AR1111" s="136">
        <v>2</v>
      </c>
      <c r="AT1111" s="69">
        <v>2.3148</v>
      </c>
      <c r="AU1111" s="69">
        <v>2.3148</v>
      </c>
      <c r="AV1111" s="69">
        <v>8.1305999999999994</v>
      </c>
      <c r="AW1111" s="69">
        <v>0.42530000000000001</v>
      </c>
      <c r="BB1111" s="69"/>
    </row>
    <row r="1112" spans="1:54" customFormat="1" ht="40" customHeight="1">
      <c r="A1112" s="313">
        <v>1111</v>
      </c>
      <c r="B1112" s="136" t="s">
        <v>3030</v>
      </c>
      <c r="C1112" s="136" t="s">
        <v>45</v>
      </c>
      <c r="D1112" s="31">
        <f t="shared" si="78"/>
        <v>4</v>
      </c>
      <c r="E1112" s="137" t="s">
        <v>80</v>
      </c>
      <c r="F1112" s="31">
        <f t="shared" si="79"/>
        <v>4</v>
      </c>
      <c r="G1112" s="137" t="s">
        <v>3031</v>
      </c>
      <c r="H1112" s="138">
        <f>LEN(U1112)</f>
        <v>53</v>
      </c>
      <c r="I1112" s="158">
        <f t="shared" si="80"/>
        <v>0.40441426682038356</v>
      </c>
      <c r="J1112" s="95">
        <v>1.5971390783624102E-2</v>
      </c>
      <c r="K1112" s="137">
        <v>0.79285714285714304</v>
      </c>
      <c r="L1112" s="137">
        <v>0.75</v>
      </c>
      <c r="M1112" s="137">
        <v>0.85714285714285698</v>
      </c>
      <c r="N1112" s="136">
        <v>1</v>
      </c>
      <c r="O1112" s="32">
        <v>44166</v>
      </c>
      <c r="P1112" s="98">
        <f t="shared" si="81"/>
        <v>0</v>
      </c>
      <c r="Q1112">
        <v>2.5499999999999998</v>
      </c>
      <c r="R1112">
        <v>0</v>
      </c>
      <c r="S1112">
        <v>0</v>
      </c>
      <c r="T1112" s="112" t="s">
        <v>48</v>
      </c>
      <c r="U1112" s="137" t="s">
        <v>3032</v>
      </c>
      <c r="V1112" s="137" t="s">
        <v>3033</v>
      </c>
      <c r="W1112" s="69">
        <f>LEN(V1112)</f>
        <v>67</v>
      </c>
      <c r="X1112" s="136">
        <v>0</v>
      </c>
      <c r="Y1112" s="136">
        <v>1</v>
      </c>
      <c r="Z1112" s="314"/>
      <c r="AA1112" s="319">
        <v>0.59450000000000003</v>
      </c>
      <c r="AB1112" s="331" t="s">
        <v>5172</v>
      </c>
      <c r="AC1112" s="319">
        <v>0</v>
      </c>
      <c r="AD1112" s="320">
        <v>0</v>
      </c>
      <c r="AE1112" s="319">
        <v>0</v>
      </c>
      <c r="AF1112" s="320">
        <v>0</v>
      </c>
      <c r="AG1112" s="319">
        <v>0</v>
      </c>
      <c r="AH1112" s="320">
        <v>0</v>
      </c>
      <c r="AI1112" s="319">
        <v>0</v>
      </c>
      <c r="AJ1112" s="320">
        <v>0</v>
      </c>
      <c r="AK1112" s="320">
        <v>0</v>
      </c>
      <c r="AL1112" s="319">
        <v>5</v>
      </c>
      <c r="AM1112" s="319">
        <v>5</v>
      </c>
      <c r="AN1112" s="319">
        <v>7.3333333333333304</v>
      </c>
      <c r="AO1112" s="319">
        <v>0.57777777777777695</v>
      </c>
      <c r="AR1112" s="136">
        <v>1</v>
      </c>
      <c r="AT1112" s="69">
        <v>2.3148</v>
      </c>
      <c r="AU1112" s="69">
        <v>2.3148</v>
      </c>
      <c r="AV1112" s="69">
        <v>9.8416999999999994</v>
      </c>
      <c r="AW1112" s="69">
        <v>0.4824</v>
      </c>
      <c r="BB1112" s="69"/>
    </row>
    <row r="1113" spans="1:54" customFormat="1" ht="40" customHeight="1">
      <c r="A1113" s="313">
        <v>1112</v>
      </c>
      <c r="B1113" s="136" t="s">
        <v>3030</v>
      </c>
      <c r="C1113" s="136" t="s">
        <v>45</v>
      </c>
      <c r="D1113" s="31">
        <f t="shared" si="78"/>
        <v>4</v>
      </c>
      <c r="E1113" s="137" t="s">
        <v>80</v>
      </c>
      <c r="F1113" s="31">
        <f t="shared" si="79"/>
        <v>4</v>
      </c>
      <c r="G1113" s="137" t="s">
        <v>3034</v>
      </c>
      <c r="H1113" s="138">
        <v>49</v>
      </c>
      <c r="I1113" s="158">
        <f t="shared" si="80"/>
        <v>0.50705180902194047</v>
      </c>
      <c r="J1113" s="95">
        <v>0.24687893104386899</v>
      </c>
      <c r="K1113" s="137">
        <v>0.76722468700001201</v>
      </c>
      <c r="L1113" s="137">
        <v>0.82499999999999996</v>
      </c>
      <c r="M1113" s="137">
        <v>0.68056171750003003</v>
      </c>
      <c r="N1113" s="136">
        <v>1</v>
      </c>
      <c r="O1113" s="32">
        <v>44013</v>
      </c>
      <c r="P1113" s="98">
        <f t="shared" si="81"/>
        <v>0</v>
      </c>
      <c r="Q1113">
        <v>2.5499999999999998</v>
      </c>
      <c r="R1113">
        <v>0</v>
      </c>
      <c r="S1113">
        <v>0</v>
      </c>
      <c r="T1113" s="112" t="s">
        <v>48</v>
      </c>
      <c r="U1113" s="137" t="s">
        <v>3035</v>
      </c>
      <c r="V1113" s="137" t="s">
        <v>3036</v>
      </c>
      <c r="W1113" s="69">
        <v>89</v>
      </c>
      <c r="X1113" s="136">
        <v>1</v>
      </c>
      <c r="Y1113" s="136">
        <v>5</v>
      </c>
      <c r="Z1113" s="314"/>
      <c r="AA1113" s="319">
        <v>0.5</v>
      </c>
      <c r="AB1113" s="315" t="s">
        <v>5176</v>
      </c>
      <c r="AC1113" s="319">
        <v>0</v>
      </c>
      <c r="AD1113" s="320">
        <v>0</v>
      </c>
      <c r="AE1113" s="319">
        <v>3</v>
      </c>
      <c r="AF1113" s="320">
        <v>5.6603773584905599E-2</v>
      </c>
      <c r="AG1113" s="319">
        <v>1</v>
      </c>
      <c r="AH1113" s="320">
        <v>1.8867924528301799E-2</v>
      </c>
      <c r="AI1113" s="319">
        <v>0</v>
      </c>
      <c r="AJ1113" s="320">
        <v>0</v>
      </c>
      <c r="AK1113" s="320">
        <v>3.7735849056603772E-2</v>
      </c>
      <c r="AL1113" s="319">
        <v>6.75</v>
      </c>
      <c r="AM1113" s="319">
        <v>5</v>
      </c>
      <c r="AN1113" s="319">
        <v>10</v>
      </c>
      <c r="AO1113" s="319">
        <v>0.72499999999999998</v>
      </c>
      <c r="AP1113">
        <v>5</v>
      </c>
      <c r="AR1113" s="136">
        <v>5</v>
      </c>
      <c r="AT1113" s="69">
        <v>6.3414000000000001</v>
      </c>
      <c r="AU1113" s="69">
        <v>2.3148</v>
      </c>
      <c r="AV1113" s="69">
        <v>9.9888999999999992</v>
      </c>
      <c r="AW1113" s="69">
        <v>0.62150000000000005</v>
      </c>
      <c r="BB1113" s="69"/>
    </row>
    <row r="1114" spans="1:54" customFormat="1" ht="40" customHeight="1">
      <c r="A1114" s="313">
        <v>1113</v>
      </c>
      <c r="B1114" s="136" t="s">
        <v>3030</v>
      </c>
      <c r="C1114" s="136" t="s">
        <v>45</v>
      </c>
      <c r="D1114" s="31">
        <f t="shared" si="78"/>
        <v>4</v>
      </c>
      <c r="E1114" s="137" t="s">
        <v>80</v>
      </c>
      <c r="F1114" s="31">
        <f t="shared" si="79"/>
        <v>4</v>
      </c>
      <c r="G1114" s="137" t="s">
        <v>3037</v>
      </c>
      <c r="H1114" s="138">
        <v>35</v>
      </c>
      <c r="I1114" s="158">
        <f t="shared" si="80"/>
        <v>0.38833292722260182</v>
      </c>
      <c r="J1114" s="95">
        <v>3.2851643648894598E-2</v>
      </c>
      <c r="K1114" s="137">
        <v>0.74381421079630905</v>
      </c>
      <c r="L1114" s="137">
        <v>0.82499999999999996</v>
      </c>
      <c r="M1114" s="137">
        <v>0.62203552699077302</v>
      </c>
      <c r="N1114" s="136">
        <v>1</v>
      </c>
      <c r="O1114" s="32">
        <v>43724</v>
      </c>
      <c r="P1114" s="98">
        <f t="shared" si="81"/>
        <v>1</v>
      </c>
      <c r="Q1114">
        <v>0</v>
      </c>
      <c r="R1114">
        <v>0</v>
      </c>
      <c r="S1114">
        <v>0</v>
      </c>
      <c r="T1114" s="112" t="s">
        <v>73</v>
      </c>
      <c r="U1114" s="137" t="s">
        <v>3038</v>
      </c>
      <c r="V1114" s="137" t="s">
        <v>3039</v>
      </c>
      <c r="W1114" s="69">
        <v>60</v>
      </c>
      <c r="X1114" s="136">
        <v>4</v>
      </c>
      <c r="Y1114" s="136">
        <v>7</v>
      </c>
      <c r="Z1114" s="314"/>
      <c r="AA1114" s="319">
        <v>0.59450000000000003</v>
      </c>
      <c r="AB1114" s="315" t="s">
        <v>5176</v>
      </c>
      <c r="AC1114" s="319">
        <v>1</v>
      </c>
      <c r="AD1114" s="320">
        <v>2.8571428571428501E-2</v>
      </c>
      <c r="AE1114" s="319">
        <v>3</v>
      </c>
      <c r="AF1114" s="320">
        <v>8.5714285714285701E-2</v>
      </c>
      <c r="AG1114" s="319">
        <v>0</v>
      </c>
      <c r="AH1114" s="320">
        <v>0</v>
      </c>
      <c r="AI1114" s="319">
        <v>0</v>
      </c>
      <c r="AJ1114" s="320">
        <v>0</v>
      </c>
      <c r="AK1114" s="320">
        <v>2.8571428571428571E-2</v>
      </c>
      <c r="AL1114" s="319">
        <v>5</v>
      </c>
      <c r="AM1114" s="319">
        <v>5</v>
      </c>
      <c r="AN1114" s="319">
        <v>4.6666666666666599</v>
      </c>
      <c r="AO1114" s="319">
        <v>0.48888888888888798</v>
      </c>
      <c r="AP1114">
        <v>7</v>
      </c>
      <c r="AR1114" s="136">
        <v>7</v>
      </c>
      <c r="AT1114" s="69">
        <v>2.3148</v>
      </c>
      <c r="AU1114" s="69">
        <v>2.3148</v>
      </c>
      <c r="AV1114" s="69">
        <v>8.1305999999999994</v>
      </c>
      <c r="AW1114" s="69">
        <v>0.42530000000000001</v>
      </c>
      <c r="BB1114" s="69"/>
    </row>
    <row r="1115" spans="1:54" customFormat="1" ht="40" customHeight="1">
      <c r="A1115" s="313">
        <v>1114</v>
      </c>
      <c r="B1115" s="136" t="s">
        <v>3030</v>
      </c>
      <c r="C1115" s="136" t="s">
        <v>59</v>
      </c>
      <c r="D1115" s="31">
        <f t="shared" si="78"/>
        <v>5</v>
      </c>
      <c r="E1115" s="137" t="s">
        <v>80</v>
      </c>
      <c r="F1115" s="31">
        <f t="shared" si="79"/>
        <v>4</v>
      </c>
      <c r="G1115" s="137" t="s">
        <v>3040</v>
      </c>
      <c r="H1115" s="138">
        <v>41</v>
      </c>
      <c r="I1115" s="158">
        <f t="shared" si="80"/>
        <v>0.36428780399413258</v>
      </c>
      <c r="J1115" s="95">
        <v>2.9690246153313298E-4</v>
      </c>
      <c r="K1115" s="137">
        <v>0.72827870552673202</v>
      </c>
      <c r="L1115" s="137">
        <v>0.68181818181818199</v>
      </c>
      <c r="M1115" s="137">
        <v>0.79796949108955795</v>
      </c>
      <c r="N1115" s="136">
        <v>1</v>
      </c>
      <c r="O1115" s="32">
        <v>43551</v>
      </c>
      <c r="P1115" s="98">
        <f t="shared" si="81"/>
        <v>1</v>
      </c>
      <c r="Q1115">
        <v>0</v>
      </c>
      <c r="R1115">
        <v>1.65</v>
      </c>
      <c r="S1115">
        <v>0</v>
      </c>
      <c r="T1115" s="112" t="s">
        <v>73</v>
      </c>
      <c r="U1115" s="137" t="s">
        <v>3041</v>
      </c>
      <c r="V1115" s="137" t="s">
        <v>3042</v>
      </c>
      <c r="W1115" s="69">
        <v>176</v>
      </c>
      <c r="X1115" s="136">
        <v>1</v>
      </c>
      <c r="Y1115" s="136">
        <v>2</v>
      </c>
      <c r="Z1115" s="314"/>
      <c r="AA1115" s="319">
        <v>0.54500000000000004</v>
      </c>
      <c r="AB1115" s="315" t="s">
        <v>5165</v>
      </c>
      <c r="AC1115" s="319">
        <v>3</v>
      </c>
      <c r="AD1115" s="320">
        <v>2.77777777777777E-2</v>
      </c>
      <c r="AE1115" s="319">
        <v>2</v>
      </c>
      <c r="AF1115" s="320">
        <v>1.85185185185185E-2</v>
      </c>
      <c r="AG1115" s="319">
        <v>0</v>
      </c>
      <c r="AH1115" s="320">
        <v>0</v>
      </c>
      <c r="AI1115" s="319">
        <v>0</v>
      </c>
      <c r="AJ1115" s="320">
        <v>0</v>
      </c>
      <c r="AK1115" s="320">
        <v>9.2592592592592587E-3</v>
      </c>
      <c r="AL1115" s="319">
        <v>5</v>
      </c>
      <c r="AM1115" s="319">
        <v>5</v>
      </c>
      <c r="AN1115" s="319">
        <v>6.1666666666666599</v>
      </c>
      <c r="AO1115" s="319">
        <v>0.53888888888888797</v>
      </c>
      <c r="AP1115">
        <v>2</v>
      </c>
      <c r="AR1115" s="136">
        <v>2</v>
      </c>
      <c r="AT1115" s="69">
        <v>2.3148</v>
      </c>
      <c r="AU1115" s="69">
        <v>2.3148</v>
      </c>
      <c r="AV1115" s="69">
        <v>9.5120000000000005</v>
      </c>
      <c r="AW1115" s="69">
        <v>0.47139999999999999</v>
      </c>
      <c r="BB1115" s="69"/>
    </row>
    <row r="1116" spans="1:54" customFormat="1" ht="40" customHeight="1">
      <c r="A1116" s="313">
        <v>1115</v>
      </c>
      <c r="B1116" s="136" t="s">
        <v>3030</v>
      </c>
      <c r="C1116" s="136" t="s">
        <v>59</v>
      </c>
      <c r="D1116" s="31">
        <f t="shared" si="78"/>
        <v>5</v>
      </c>
      <c r="E1116" s="137" t="s">
        <v>46</v>
      </c>
      <c r="F1116" s="31">
        <f t="shared" si="79"/>
        <v>6</v>
      </c>
      <c r="G1116" s="137" t="s">
        <v>3043</v>
      </c>
      <c r="H1116" s="138">
        <v>331</v>
      </c>
      <c r="I1116" s="158">
        <f t="shared" si="80"/>
        <v>0.81494477656672792</v>
      </c>
      <c r="J1116" s="95">
        <v>0.99795956913192796</v>
      </c>
      <c r="K1116" s="137">
        <v>0.631929984001528</v>
      </c>
      <c r="L1116" s="137">
        <v>0.61983471074380103</v>
      </c>
      <c r="M1116" s="137">
        <v>0.65007289388811795</v>
      </c>
      <c r="N1116" s="136">
        <v>1</v>
      </c>
      <c r="O1116" s="32">
        <v>43476</v>
      </c>
      <c r="P1116" s="98">
        <f t="shared" si="81"/>
        <v>2</v>
      </c>
      <c r="Q1116">
        <v>0</v>
      </c>
      <c r="R1116">
        <v>1.65</v>
      </c>
      <c r="S1116">
        <v>3.74</v>
      </c>
      <c r="T1116" s="112" t="s">
        <v>64</v>
      </c>
      <c r="U1116" s="137" t="s">
        <v>3044</v>
      </c>
      <c r="V1116" s="137" t="s">
        <v>3045</v>
      </c>
      <c r="W1116" s="69">
        <v>87</v>
      </c>
      <c r="X1116" s="136">
        <v>3</v>
      </c>
      <c r="Y1116" s="136">
        <v>6</v>
      </c>
      <c r="Z1116" s="314"/>
      <c r="AA1116" s="319">
        <v>0.5</v>
      </c>
      <c r="AB1116" s="315" t="s">
        <v>5178</v>
      </c>
      <c r="AC1116" s="319">
        <v>1</v>
      </c>
      <c r="AD1116" s="320">
        <v>2.1739130434782601E-2</v>
      </c>
      <c r="AE1116" s="319">
        <v>1</v>
      </c>
      <c r="AF1116" s="320">
        <v>2.1739130434782601E-2</v>
      </c>
      <c r="AG1116" s="319">
        <v>0</v>
      </c>
      <c r="AH1116" s="320">
        <v>0</v>
      </c>
      <c r="AI1116" s="319">
        <v>0</v>
      </c>
      <c r="AJ1116" s="320">
        <v>0</v>
      </c>
      <c r="AK1116" s="320">
        <v>0</v>
      </c>
      <c r="AL1116" s="319">
        <v>5</v>
      </c>
      <c r="AM1116" s="319">
        <v>6.2</v>
      </c>
      <c r="AN1116" s="319">
        <v>5</v>
      </c>
      <c r="AO1116" s="319">
        <v>0.53999999999999904</v>
      </c>
      <c r="AP1116">
        <v>6</v>
      </c>
      <c r="AR1116" s="136">
        <v>6</v>
      </c>
      <c r="AT1116" s="69">
        <v>2.3148</v>
      </c>
      <c r="AU1116" s="69">
        <v>5</v>
      </c>
      <c r="AV1116" s="69">
        <v>8.5815000000000001</v>
      </c>
      <c r="AW1116" s="69">
        <v>0.52990000000000004</v>
      </c>
      <c r="BB1116" s="69"/>
    </row>
    <row r="1117" spans="1:54" customFormat="1" ht="40" customHeight="1">
      <c r="A1117" s="313">
        <v>1116</v>
      </c>
      <c r="B1117" s="136" t="s">
        <v>3030</v>
      </c>
      <c r="C1117" s="136" t="s">
        <v>45</v>
      </c>
      <c r="D1117" s="31">
        <f t="shared" si="78"/>
        <v>4</v>
      </c>
      <c r="E1117" s="137" t="s">
        <v>46</v>
      </c>
      <c r="F1117" s="31">
        <f t="shared" si="79"/>
        <v>6</v>
      </c>
      <c r="G1117" s="137" t="s">
        <v>3046</v>
      </c>
      <c r="H1117" s="138">
        <v>99</v>
      </c>
      <c r="I1117" s="158">
        <f t="shared" si="80"/>
        <v>0.54159067535069849</v>
      </c>
      <c r="J1117" s="95">
        <v>0.31595666370138498</v>
      </c>
      <c r="K1117" s="137">
        <v>0.76722468700001201</v>
      </c>
      <c r="L1117" s="137">
        <v>0.82499999999999996</v>
      </c>
      <c r="M1117" s="137">
        <v>0.68056171750003003</v>
      </c>
      <c r="N1117" s="136">
        <v>1</v>
      </c>
      <c r="O1117" s="32">
        <v>43223</v>
      </c>
      <c r="P1117" s="98">
        <f t="shared" si="81"/>
        <v>0</v>
      </c>
      <c r="Q1117">
        <v>2.5499999999999998</v>
      </c>
      <c r="R1117">
        <v>1.65</v>
      </c>
      <c r="S1117">
        <v>1.87</v>
      </c>
      <c r="T1117" s="112" t="s">
        <v>48</v>
      </c>
      <c r="U1117" s="137" t="s">
        <v>3047</v>
      </c>
      <c r="V1117" s="137" t="s">
        <v>3048</v>
      </c>
      <c r="W1117" s="69">
        <v>16</v>
      </c>
      <c r="X1117" s="136">
        <v>1</v>
      </c>
      <c r="Y1117" s="136">
        <v>5</v>
      </c>
      <c r="Z1117" s="314"/>
      <c r="AA1117" s="319">
        <v>0.5</v>
      </c>
      <c r="AB1117" s="315" t="s">
        <v>5176</v>
      </c>
      <c r="AC1117" s="319">
        <v>0</v>
      </c>
      <c r="AD1117" s="320">
        <v>0</v>
      </c>
      <c r="AE1117" s="319">
        <v>1</v>
      </c>
      <c r="AF1117" s="320">
        <v>0.11111111111111099</v>
      </c>
      <c r="AG1117" s="319">
        <v>0</v>
      </c>
      <c r="AH1117" s="320">
        <v>0</v>
      </c>
      <c r="AI1117" s="319">
        <v>0</v>
      </c>
      <c r="AJ1117" s="320">
        <v>0</v>
      </c>
      <c r="AK1117" s="320">
        <v>0</v>
      </c>
      <c r="AL1117" s="319">
        <v>5</v>
      </c>
      <c r="AM1117" s="319">
        <v>5</v>
      </c>
      <c r="AN1117" s="319">
        <v>2</v>
      </c>
      <c r="AO1117" s="319">
        <v>0.4</v>
      </c>
      <c r="AP1117">
        <v>5</v>
      </c>
      <c r="AR1117" s="136">
        <v>5</v>
      </c>
      <c r="AT1117" s="69">
        <v>2.3148</v>
      </c>
      <c r="AU1117" s="69">
        <v>2.3148</v>
      </c>
      <c r="AV1117" s="69">
        <v>2.3148</v>
      </c>
      <c r="AW1117" s="69">
        <v>0.23150000000000001</v>
      </c>
      <c r="BB1117" s="69"/>
    </row>
    <row r="1118" spans="1:54" customFormat="1" ht="40" customHeight="1">
      <c r="A1118" s="313">
        <v>1117</v>
      </c>
      <c r="B1118" s="136" t="s">
        <v>3030</v>
      </c>
      <c r="C1118" s="136" t="s">
        <v>45</v>
      </c>
      <c r="D1118" s="31">
        <f t="shared" si="78"/>
        <v>4</v>
      </c>
      <c r="E1118" s="137" t="s">
        <v>80</v>
      </c>
      <c r="F1118" s="31">
        <f t="shared" si="79"/>
        <v>4</v>
      </c>
      <c r="G1118" s="137" t="s">
        <v>2704</v>
      </c>
      <c r="H1118" s="138">
        <v>81</v>
      </c>
      <c r="I1118" s="158">
        <f t="shared" si="80"/>
        <v>0.31346711173826713</v>
      </c>
      <c r="J1118" s="95">
        <v>6.8306767110407299E-2</v>
      </c>
      <c r="K1118" s="137">
        <v>0.55862745636612698</v>
      </c>
      <c r="L1118" s="137">
        <v>0.75</v>
      </c>
      <c r="M1118" s="137">
        <v>0.27156864091531702</v>
      </c>
      <c r="N1118" s="136">
        <v>1</v>
      </c>
      <c r="O1118" s="32">
        <v>43192</v>
      </c>
      <c r="P1118" s="98">
        <f t="shared" si="81"/>
        <v>1</v>
      </c>
      <c r="Q1118">
        <v>0</v>
      </c>
      <c r="R1118">
        <v>0</v>
      </c>
      <c r="S1118">
        <v>0</v>
      </c>
      <c r="T1118" s="112" t="s">
        <v>73</v>
      </c>
      <c r="U1118" s="137" t="s">
        <v>2974</v>
      </c>
      <c r="V1118" s="137" t="s">
        <v>2975</v>
      </c>
      <c r="W1118" s="69">
        <v>44</v>
      </c>
      <c r="X1118" s="136">
        <v>1</v>
      </c>
      <c r="Y1118" s="136">
        <v>26</v>
      </c>
      <c r="Z1118" s="314"/>
      <c r="AA1118" s="319">
        <v>0.60499999999999998</v>
      </c>
      <c r="AB1118" s="315" t="s">
        <v>5165</v>
      </c>
      <c r="AC1118" s="319">
        <v>2</v>
      </c>
      <c r="AD1118" s="320">
        <v>8.3333333333333301E-2</v>
      </c>
      <c r="AE1118" s="319">
        <v>0</v>
      </c>
      <c r="AF1118" s="320">
        <v>0</v>
      </c>
      <c r="AG1118" s="319">
        <v>0</v>
      </c>
      <c r="AH1118" s="320">
        <v>0</v>
      </c>
      <c r="AI1118" s="319">
        <v>0</v>
      </c>
      <c r="AJ1118" s="320">
        <v>0</v>
      </c>
      <c r="AK1118" s="320">
        <v>0</v>
      </c>
      <c r="AL1118" s="319">
        <v>5</v>
      </c>
      <c r="AM1118" s="319">
        <v>6.2</v>
      </c>
      <c r="AN1118" s="319">
        <v>5</v>
      </c>
      <c r="AO1118" s="319">
        <v>0.53999999999999904</v>
      </c>
      <c r="AP1118">
        <v>26</v>
      </c>
      <c r="AR1118" s="136">
        <v>26</v>
      </c>
      <c r="AT1118" s="69">
        <v>2.3148</v>
      </c>
      <c r="AU1118" s="69">
        <v>5</v>
      </c>
      <c r="AV1118" s="69">
        <v>8.5815000000000001</v>
      </c>
      <c r="AW1118" s="69">
        <v>0.52990000000000004</v>
      </c>
      <c r="BB1118" s="69"/>
    </row>
    <row r="1119" spans="1:54" customFormat="1" ht="40" customHeight="1">
      <c r="A1119" s="313">
        <v>1118</v>
      </c>
      <c r="B1119" s="136" t="s">
        <v>3030</v>
      </c>
      <c r="C1119" s="136" t="s">
        <v>45</v>
      </c>
      <c r="D1119" s="31">
        <f t="shared" si="78"/>
        <v>4</v>
      </c>
      <c r="E1119" s="137" t="s">
        <v>46</v>
      </c>
      <c r="F1119" s="31">
        <f t="shared" si="79"/>
        <v>6</v>
      </c>
      <c r="G1119" s="137" t="s">
        <v>3049</v>
      </c>
      <c r="H1119" s="138">
        <v>92</v>
      </c>
      <c r="I1119" s="158">
        <f t="shared" si="80"/>
        <v>0.29930121829758283</v>
      </c>
      <c r="J1119" s="95">
        <v>4.47827226413011E-8</v>
      </c>
      <c r="K1119" s="137">
        <v>0.59860239181244301</v>
      </c>
      <c r="L1119" s="137">
        <v>0.465690992294366</v>
      </c>
      <c r="M1119" s="137">
        <v>0.79796949108955795</v>
      </c>
      <c r="N1119" s="136">
        <v>1</v>
      </c>
      <c r="O1119" s="32">
        <v>43199</v>
      </c>
      <c r="P1119" s="98">
        <f t="shared" si="81"/>
        <v>0</v>
      </c>
      <c r="Q1119">
        <v>5.0999999999999996</v>
      </c>
      <c r="R1119">
        <v>0</v>
      </c>
      <c r="S1119">
        <v>0</v>
      </c>
      <c r="T1119" s="112" t="s">
        <v>48</v>
      </c>
      <c r="U1119" s="137" t="s">
        <v>3050</v>
      </c>
      <c r="V1119" s="137" t="s">
        <v>3051</v>
      </c>
      <c r="W1119" s="69">
        <v>176</v>
      </c>
      <c r="X1119" s="136">
        <v>1</v>
      </c>
      <c r="Y1119" s="136">
        <v>2</v>
      </c>
      <c r="Z1119" s="314"/>
      <c r="AA1119" s="319">
        <v>0.5</v>
      </c>
      <c r="AB1119" s="315" t="s">
        <v>5165</v>
      </c>
      <c r="AC1119" s="319">
        <v>6</v>
      </c>
      <c r="AD1119" s="320">
        <v>6.4516129032257993E-2</v>
      </c>
      <c r="AE1119" s="319">
        <v>2</v>
      </c>
      <c r="AF1119" s="320">
        <v>2.1505376344085999E-2</v>
      </c>
      <c r="AG1119" s="319">
        <v>0</v>
      </c>
      <c r="AH1119" s="320">
        <v>0</v>
      </c>
      <c r="AI1119" s="319">
        <v>0</v>
      </c>
      <c r="AJ1119" s="320">
        <v>0</v>
      </c>
      <c r="AK1119" s="320">
        <v>0</v>
      </c>
      <c r="AL1119" s="319">
        <v>9.0357142857142794</v>
      </c>
      <c r="AM1119" s="319">
        <v>5</v>
      </c>
      <c r="AN1119" s="319">
        <v>4.6666666666666599</v>
      </c>
      <c r="AO1119" s="319">
        <v>0.62341269841269797</v>
      </c>
      <c r="AP1119">
        <v>2</v>
      </c>
      <c r="AR1119" s="136">
        <v>2</v>
      </c>
      <c r="AT1119" s="69">
        <v>9.4480000000000004</v>
      </c>
      <c r="AU1119" s="69">
        <v>2.3148</v>
      </c>
      <c r="AV1119" s="69">
        <v>8.1305999999999994</v>
      </c>
      <c r="AW1119" s="69">
        <v>0.66310000000000002</v>
      </c>
      <c r="BB1119" s="69"/>
    </row>
    <row r="1120" spans="1:54" customFormat="1" ht="40" customHeight="1">
      <c r="A1120" s="313">
        <v>1119</v>
      </c>
      <c r="B1120" s="136" t="s">
        <v>3030</v>
      </c>
      <c r="C1120" s="136" t="s">
        <v>45</v>
      </c>
      <c r="D1120" s="31">
        <f t="shared" si="78"/>
        <v>4</v>
      </c>
      <c r="E1120" s="137" t="s">
        <v>46</v>
      </c>
      <c r="F1120" s="31">
        <f t="shared" si="79"/>
        <v>6</v>
      </c>
      <c r="G1120" s="137" t="s">
        <v>3052</v>
      </c>
      <c r="H1120" s="138">
        <v>144</v>
      </c>
      <c r="I1120" s="158">
        <f t="shared" si="80"/>
        <v>0.34623839239584547</v>
      </c>
      <c r="J1120" s="95">
        <v>0.174642146469146</v>
      </c>
      <c r="K1120" s="137">
        <v>0.51783463832254495</v>
      </c>
      <c r="L1120" s="137">
        <v>0.51226009152380303</v>
      </c>
      <c r="M1120" s="137">
        <v>0.526196458520657</v>
      </c>
      <c r="N1120" s="136">
        <v>1</v>
      </c>
      <c r="O1120" s="32">
        <v>43198</v>
      </c>
      <c r="P1120" s="98">
        <f t="shared" si="81"/>
        <v>1</v>
      </c>
      <c r="Q1120">
        <v>0</v>
      </c>
      <c r="R1120">
        <v>3.3</v>
      </c>
      <c r="S1120">
        <v>0</v>
      </c>
      <c r="T1120" s="112" t="s">
        <v>73</v>
      </c>
      <c r="U1120" s="137" t="s">
        <v>3053</v>
      </c>
      <c r="V1120" s="137" t="s">
        <v>3054</v>
      </c>
      <c r="W1120" s="69">
        <v>187</v>
      </c>
      <c r="X1120" s="136">
        <v>2</v>
      </c>
      <c r="Y1120" s="136">
        <v>11</v>
      </c>
      <c r="Z1120" s="314"/>
      <c r="AA1120" s="319">
        <v>8.4085433080097801E-3</v>
      </c>
      <c r="AB1120" s="315" t="s">
        <v>5176</v>
      </c>
      <c r="AC1120" s="319">
        <v>1</v>
      </c>
      <c r="AD1120" s="320">
        <v>8.6206896551724102E-3</v>
      </c>
      <c r="AE1120" s="319">
        <v>3</v>
      </c>
      <c r="AF1120" s="320">
        <v>2.5862068965517199E-2</v>
      </c>
      <c r="AG1120" s="319">
        <v>0</v>
      </c>
      <c r="AH1120" s="320">
        <v>0</v>
      </c>
      <c r="AI1120" s="319">
        <v>1</v>
      </c>
      <c r="AJ1120" s="320">
        <v>8.6206896551724102E-3</v>
      </c>
      <c r="AK1120" s="320">
        <v>8.6206896551724137E-3</v>
      </c>
      <c r="AL1120" s="319">
        <v>6.75</v>
      </c>
      <c r="AM1120" s="319">
        <v>5</v>
      </c>
      <c r="AN1120" s="319">
        <v>7.3333333333333304</v>
      </c>
      <c r="AO1120" s="319">
        <v>0.63611111111111096</v>
      </c>
      <c r="AP1120">
        <v>11</v>
      </c>
      <c r="AQ1120" s="136">
        <v>11</v>
      </c>
      <c r="AT1120" s="69">
        <v>6.3414000000000001</v>
      </c>
      <c r="AU1120" s="69">
        <v>2.3148</v>
      </c>
      <c r="AV1120" s="69">
        <v>9.8416999999999994</v>
      </c>
      <c r="AW1120" s="69">
        <v>0.61660000000000004</v>
      </c>
      <c r="BB1120" s="69"/>
    </row>
    <row r="1121" spans="1:54" customFormat="1" ht="40" customHeight="1">
      <c r="A1121" s="313">
        <v>1120</v>
      </c>
      <c r="B1121" s="136" t="s">
        <v>3030</v>
      </c>
      <c r="C1121" s="136" t="s">
        <v>45</v>
      </c>
      <c r="D1121" s="31">
        <f t="shared" si="78"/>
        <v>4</v>
      </c>
      <c r="E1121" s="137" t="s">
        <v>46</v>
      </c>
      <c r="F1121" s="31">
        <f t="shared" si="79"/>
        <v>6</v>
      </c>
      <c r="G1121" s="137" t="s">
        <v>3055</v>
      </c>
      <c r="H1121" s="138">
        <v>187</v>
      </c>
      <c r="I1121" s="158">
        <f t="shared" si="80"/>
        <v>0.72058322584607348</v>
      </c>
      <c r="J1121" s="95">
        <v>0.999997786869673</v>
      </c>
      <c r="K1121" s="137">
        <v>0.44116866482247402</v>
      </c>
      <c r="L1121" s="137">
        <v>0.56348610067618299</v>
      </c>
      <c r="M1121" s="137">
        <v>0.25769251104190999</v>
      </c>
      <c r="N1121" s="136">
        <v>1</v>
      </c>
      <c r="O1121" s="32">
        <v>43182</v>
      </c>
      <c r="P1121" s="98">
        <f t="shared" si="81"/>
        <v>2</v>
      </c>
      <c r="Q1121">
        <v>0</v>
      </c>
      <c r="R1121">
        <v>1.65</v>
      </c>
      <c r="S1121">
        <v>1.87</v>
      </c>
      <c r="T1121" s="112" t="s">
        <v>64</v>
      </c>
      <c r="U1121" s="137" t="s">
        <v>3056</v>
      </c>
      <c r="V1121" s="137" t="s">
        <v>3057</v>
      </c>
      <c r="W1121" s="69">
        <v>254</v>
      </c>
      <c r="X1121" s="136">
        <v>2</v>
      </c>
      <c r="Y1121" s="136">
        <v>27</v>
      </c>
      <c r="Z1121" s="314"/>
      <c r="AA1121" s="319">
        <v>2.7133952260485799E-2</v>
      </c>
      <c r="AB1121" s="315" t="s">
        <v>5168</v>
      </c>
      <c r="AC1121" s="319">
        <v>2</v>
      </c>
      <c r="AD1121" s="320">
        <v>1.4084507042253501E-2</v>
      </c>
      <c r="AE1121" s="319">
        <v>2</v>
      </c>
      <c r="AF1121" s="320">
        <v>1.4084507042253501E-2</v>
      </c>
      <c r="AG1121" s="319">
        <v>3</v>
      </c>
      <c r="AH1121" s="320">
        <v>2.1126760563380202E-2</v>
      </c>
      <c r="AI1121" s="319">
        <v>2</v>
      </c>
      <c r="AJ1121" s="320">
        <v>1.4084507042253501E-2</v>
      </c>
      <c r="AK1121" s="320">
        <v>7.0422535211267607E-3</v>
      </c>
      <c r="AL1121" s="319">
        <v>8.5</v>
      </c>
      <c r="AM1121" s="319">
        <v>8.3333333333333304</v>
      </c>
      <c r="AN1121" s="319">
        <v>2</v>
      </c>
      <c r="AO1121" s="319">
        <v>0.62777777777777699</v>
      </c>
      <c r="AP1121">
        <v>27</v>
      </c>
      <c r="AR1121" s="136">
        <v>27</v>
      </c>
      <c r="AT1121" s="69">
        <v>9.0888000000000009</v>
      </c>
      <c r="AU1121" s="69">
        <v>8.9379000000000008</v>
      </c>
      <c r="AV1121" s="69">
        <v>2.3148</v>
      </c>
      <c r="AW1121" s="69">
        <v>0.67810000000000004</v>
      </c>
      <c r="BB1121" s="69"/>
    </row>
    <row r="1122" spans="1:54" customFormat="1" ht="40" customHeight="1">
      <c r="A1122" s="313">
        <v>1121</v>
      </c>
      <c r="B1122" s="136" t="s">
        <v>3030</v>
      </c>
      <c r="C1122" s="136" t="s">
        <v>45</v>
      </c>
      <c r="D1122" s="31">
        <f t="shared" si="78"/>
        <v>4</v>
      </c>
      <c r="E1122" s="137" t="s">
        <v>46</v>
      </c>
      <c r="F1122" s="31">
        <f t="shared" si="79"/>
        <v>6</v>
      </c>
      <c r="G1122" s="137" t="s">
        <v>3058</v>
      </c>
      <c r="H1122" s="138">
        <v>108</v>
      </c>
      <c r="I1122" s="158">
        <f t="shared" si="80"/>
        <v>0.38432181616694661</v>
      </c>
      <c r="J1122" s="95">
        <v>1.41894533388121E-3</v>
      </c>
      <c r="K1122" s="137">
        <v>0.76722468700001201</v>
      </c>
      <c r="L1122" s="137">
        <v>0.82499999999999996</v>
      </c>
      <c r="M1122" s="137">
        <v>0.68056171750003003</v>
      </c>
      <c r="N1122" s="136">
        <v>1</v>
      </c>
      <c r="O1122" s="32">
        <v>43103</v>
      </c>
      <c r="P1122" s="98">
        <f t="shared" si="81"/>
        <v>0</v>
      </c>
      <c r="Q1122">
        <v>10.199999999999999</v>
      </c>
      <c r="R1122">
        <v>0</v>
      </c>
      <c r="S1122">
        <v>0</v>
      </c>
      <c r="T1122" s="112" t="s">
        <v>48</v>
      </c>
      <c r="U1122" s="137" t="s">
        <v>3059</v>
      </c>
      <c r="V1122" s="137" t="s">
        <v>3060</v>
      </c>
      <c r="W1122" s="69">
        <v>169</v>
      </c>
      <c r="X1122" s="136">
        <v>1</v>
      </c>
      <c r="Y1122" s="136">
        <v>5</v>
      </c>
      <c r="Z1122" s="314"/>
      <c r="AA1122" s="319">
        <v>0.73204999999999998</v>
      </c>
      <c r="AB1122" s="315" t="s">
        <v>5165</v>
      </c>
      <c r="AC1122" s="319">
        <v>6</v>
      </c>
      <c r="AD1122" s="320">
        <v>6.7415730337078594E-2</v>
      </c>
      <c r="AE1122" s="319">
        <v>2</v>
      </c>
      <c r="AF1122" s="320">
        <v>2.2471910112359501E-2</v>
      </c>
      <c r="AG1122" s="319">
        <v>0</v>
      </c>
      <c r="AH1122" s="320">
        <v>0</v>
      </c>
      <c r="AI1122" s="319">
        <v>0</v>
      </c>
      <c r="AJ1122" s="320">
        <v>0</v>
      </c>
      <c r="AK1122" s="320">
        <v>0</v>
      </c>
      <c r="AL1122" s="319">
        <v>5</v>
      </c>
      <c r="AM1122" s="319">
        <v>5</v>
      </c>
      <c r="AN1122" s="319">
        <v>4.6666666666666599</v>
      </c>
      <c r="AO1122" s="319">
        <v>0.48888888888888798</v>
      </c>
      <c r="AP1122">
        <v>5</v>
      </c>
      <c r="AR1122" s="136">
        <v>5</v>
      </c>
      <c r="AT1122" s="69">
        <v>2.3148</v>
      </c>
      <c r="AU1122" s="69">
        <v>2.3148</v>
      </c>
      <c r="AV1122" s="69">
        <v>8.1305999999999994</v>
      </c>
      <c r="AW1122" s="69">
        <v>0.42530000000000001</v>
      </c>
      <c r="BB1122" s="69"/>
    </row>
    <row r="1123" spans="1:54" customFormat="1" ht="40" customHeight="1">
      <c r="A1123" s="313">
        <v>1122</v>
      </c>
      <c r="B1123" s="136" t="s">
        <v>3030</v>
      </c>
      <c r="C1123" s="136" t="s">
        <v>45</v>
      </c>
      <c r="D1123" s="31">
        <f t="shared" si="78"/>
        <v>4</v>
      </c>
      <c r="E1123" s="137" t="s">
        <v>76</v>
      </c>
      <c r="F1123" s="31">
        <f t="shared" si="79"/>
        <v>7</v>
      </c>
      <c r="G1123" s="137" t="s">
        <v>3061</v>
      </c>
      <c r="H1123" s="138">
        <v>77</v>
      </c>
      <c r="I1123" s="158">
        <f t="shared" si="80"/>
        <v>0.3846128992324227</v>
      </c>
      <c r="J1123" s="95">
        <v>3.8002029022376997E-5</v>
      </c>
      <c r="K1123" s="137">
        <v>0.76918779643582302</v>
      </c>
      <c r="L1123" s="137">
        <v>0.75</v>
      </c>
      <c r="M1123" s="137">
        <v>0.79796949108955795</v>
      </c>
      <c r="N1123" s="136">
        <v>1</v>
      </c>
      <c r="O1123" s="32">
        <v>43096</v>
      </c>
      <c r="P1123" s="98">
        <f t="shared" si="81"/>
        <v>0</v>
      </c>
      <c r="Q1123">
        <v>2.5499999999999998</v>
      </c>
      <c r="R1123">
        <v>0</v>
      </c>
      <c r="S1123">
        <v>0</v>
      </c>
      <c r="T1123" s="112" t="s">
        <v>48</v>
      </c>
      <c r="U1123" s="137" t="s">
        <v>3062</v>
      </c>
      <c r="V1123" s="137" t="s">
        <v>3063</v>
      </c>
      <c r="W1123" s="69">
        <v>184</v>
      </c>
      <c r="X1123" s="136">
        <v>1</v>
      </c>
      <c r="Y1123" s="136">
        <v>2</v>
      </c>
      <c r="Z1123" s="314"/>
      <c r="AA1123" s="319">
        <v>0.45909090909090899</v>
      </c>
      <c r="AB1123" s="315" t="s">
        <v>5165</v>
      </c>
      <c r="AC1123" s="319">
        <v>5</v>
      </c>
      <c r="AD1123" s="320">
        <v>5.1546391752577303E-2</v>
      </c>
      <c r="AE1123" s="319">
        <v>1</v>
      </c>
      <c r="AF1123" s="320">
        <v>1.03092783505154E-2</v>
      </c>
      <c r="AG1123" s="319">
        <v>0</v>
      </c>
      <c r="AH1123" s="320">
        <v>0</v>
      </c>
      <c r="AI1123" s="319">
        <v>0</v>
      </c>
      <c r="AJ1123" s="320">
        <v>0</v>
      </c>
      <c r="AK1123" s="320">
        <v>0</v>
      </c>
      <c r="AL1123" s="319">
        <v>6.75</v>
      </c>
      <c r="AM1123" s="319">
        <v>5</v>
      </c>
      <c r="AN1123" s="319">
        <v>2</v>
      </c>
      <c r="AO1123" s="319">
        <v>0.45833333333333298</v>
      </c>
      <c r="AP1123">
        <v>2</v>
      </c>
      <c r="AR1123" s="136">
        <v>2</v>
      </c>
      <c r="AT1123" s="69">
        <v>6.3414000000000001</v>
      </c>
      <c r="AU1123" s="69">
        <v>2.3148</v>
      </c>
      <c r="AV1123" s="69">
        <v>2.3148</v>
      </c>
      <c r="AW1123" s="69">
        <v>0.36570000000000003</v>
      </c>
      <c r="BB1123" s="69"/>
    </row>
    <row r="1124" spans="1:54" customFormat="1" ht="40" customHeight="1">
      <c r="A1124" s="313">
        <v>1123</v>
      </c>
      <c r="B1124" s="136" t="s">
        <v>3030</v>
      </c>
      <c r="C1124" s="136" t="s">
        <v>45</v>
      </c>
      <c r="D1124" s="31">
        <f t="shared" si="78"/>
        <v>4</v>
      </c>
      <c r="E1124" s="137" t="s">
        <v>76</v>
      </c>
      <c r="F1124" s="31">
        <f t="shared" si="79"/>
        <v>7</v>
      </c>
      <c r="G1124" s="137" t="s">
        <v>3064</v>
      </c>
      <c r="H1124" s="138">
        <v>41</v>
      </c>
      <c r="I1124" s="158">
        <f t="shared" si="80"/>
        <v>0.67221693775244051</v>
      </c>
      <c r="J1124" s="95">
        <v>0.74915195994391104</v>
      </c>
      <c r="K1124" s="137">
        <v>0.59528191556096999</v>
      </c>
      <c r="L1124" s="137">
        <v>0.68181818181818199</v>
      </c>
      <c r="M1124" s="137">
        <v>0.46547751617515098</v>
      </c>
      <c r="N1124" s="136">
        <v>1</v>
      </c>
      <c r="O1124" s="32">
        <v>43094</v>
      </c>
      <c r="P1124" s="98">
        <f t="shared" si="81"/>
        <v>0</v>
      </c>
      <c r="Q1124">
        <v>7.65</v>
      </c>
      <c r="R1124">
        <v>0</v>
      </c>
      <c r="S1124">
        <v>0</v>
      </c>
      <c r="T1124" s="112" t="s">
        <v>48</v>
      </c>
      <c r="U1124" s="137" t="s">
        <v>3065</v>
      </c>
      <c r="V1124" s="137" t="s">
        <v>3066</v>
      </c>
      <c r="W1124" s="69">
        <v>118</v>
      </c>
      <c r="X1124" s="136">
        <v>1</v>
      </c>
      <c r="Y1124" s="136">
        <v>14</v>
      </c>
      <c r="Z1124" s="314"/>
      <c r="AA1124" s="319">
        <v>0.60499999999999998</v>
      </c>
      <c r="AB1124" s="315" t="s">
        <v>5165</v>
      </c>
      <c r="AC1124" s="319">
        <v>3</v>
      </c>
      <c r="AD1124" s="320">
        <v>4.2857142857142802E-2</v>
      </c>
      <c r="AE1124" s="319">
        <v>2</v>
      </c>
      <c r="AF1124" s="320">
        <v>2.8571428571428501E-2</v>
      </c>
      <c r="AG1124" s="319">
        <v>1</v>
      </c>
      <c r="AH1124" s="320">
        <v>1.42857142857142E-2</v>
      </c>
      <c r="AI1124" s="319">
        <v>1</v>
      </c>
      <c r="AJ1124" s="320">
        <v>1.42857142857142E-2</v>
      </c>
      <c r="AK1124" s="320">
        <v>0</v>
      </c>
      <c r="AL1124" s="319">
        <v>6.75</v>
      </c>
      <c r="AM1124" s="319">
        <v>6.2</v>
      </c>
      <c r="AN1124" s="319">
        <v>2</v>
      </c>
      <c r="AO1124" s="319">
        <v>0.49833333333333302</v>
      </c>
      <c r="AP1124">
        <v>14</v>
      </c>
      <c r="AR1124" s="136">
        <v>14</v>
      </c>
      <c r="AT1124" s="69">
        <v>6.3414000000000001</v>
      </c>
      <c r="AU1124" s="69">
        <v>5</v>
      </c>
      <c r="AV1124" s="69">
        <v>2.3148</v>
      </c>
      <c r="AW1124" s="69">
        <v>0.45519999999999999</v>
      </c>
      <c r="BB1124" s="69"/>
    </row>
    <row r="1125" spans="1:54" customFormat="1" ht="40" customHeight="1">
      <c r="A1125" s="313">
        <v>1124</v>
      </c>
      <c r="B1125" s="136" t="s">
        <v>3030</v>
      </c>
      <c r="C1125" s="136" t="s">
        <v>45</v>
      </c>
      <c r="D1125" s="31">
        <f t="shared" si="78"/>
        <v>4</v>
      </c>
      <c r="E1125" s="137" t="s">
        <v>80</v>
      </c>
      <c r="F1125" s="31">
        <f t="shared" si="79"/>
        <v>4</v>
      </c>
      <c r="G1125" s="137" t="s">
        <v>305</v>
      </c>
      <c r="H1125" s="138">
        <v>43</v>
      </c>
      <c r="I1125" s="158">
        <f t="shared" si="80"/>
        <v>0.39805020103069699</v>
      </c>
      <c r="J1125" s="95">
        <v>7.4733922473035896E-5</v>
      </c>
      <c r="K1125" s="137">
        <v>0.79602566813892095</v>
      </c>
      <c r="L1125" s="137">
        <v>0.82499999999999996</v>
      </c>
      <c r="M1125" s="137">
        <v>0.75256417034730305</v>
      </c>
      <c r="N1125" s="136">
        <v>1</v>
      </c>
      <c r="O1125" s="32">
        <v>43094</v>
      </c>
      <c r="P1125" s="98">
        <f t="shared" si="81"/>
        <v>0</v>
      </c>
      <c r="Q1125">
        <v>5.0999999999999996</v>
      </c>
      <c r="R1125">
        <v>1.65</v>
      </c>
      <c r="S1125">
        <v>0</v>
      </c>
      <c r="T1125" s="112" t="s">
        <v>48</v>
      </c>
      <c r="U1125" s="137" t="s">
        <v>3067</v>
      </c>
      <c r="V1125" s="137" t="s">
        <v>3068</v>
      </c>
      <c r="W1125" s="69">
        <v>171</v>
      </c>
      <c r="X1125" s="136">
        <v>1</v>
      </c>
      <c r="Y1125" s="136">
        <v>3</v>
      </c>
      <c r="Z1125" s="314"/>
      <c r="AA1125" s="319">
        <v>0.54500000000000004</v>
      </c>
      <c r="AB1125" s="315" t="s">
        <v>5165</v>
      </c>
      <c r="AC1125" s="319">
        <v>6</v>
      </c>
      <c r="AD1125" s="320">
        <v>6.7415730337078594E-2</v>
      </c>
      <c r="AE1125" s="319">
        <v>2</v>
      </c>
      <c r="AF1125" s="320">
        <v>2.2471910112359501E-2</v>
      </c>
      <c r="AG1125" s="319">
        <v>0</v>
      </c>
      <c r="AH1125" s="320">
        <v>0</v>
      </c>
      <c r="AI1125" s="319">
        <v>0</v>
      </c>
      <c r="AJ1125" s="320">
        <v>0</v>
      </c>
      <c r="AK1125" s="320">
        <v>0</v>
      </c>
      <c r="AL1125" s="319">
        <v>6.75</v>
      </c>
      <c r="AM1125" s="319">
        <v>5</v>
      </c>
      <c r="AN1125" s="319">
        <v>7.3333333333333304</v>
      </c>
      <c r="AO1125" s="319">
        <v>0.63611111111111096</v>
      </c>
      <c r="AP1125">
        <v>3</v>
      </c>
      <c r="AR1125" s="136">
        <v>3</v>
      </c>
      <c r="AT1125" s="69">
        <v>6.3414000000000001</v>
      </c>
      <c r="AU1125" s="69">
        <v>2.3148</v>
      </c>
      <c r="AV1125" s="69">
        <v>9.8416999999999994</v>
      </c>
      <c r="AW1125" s="69">
        <v>0.61660000000000004</v>
      </c>
      <c r="BB1125" s="69"/>
    </row>
    <row r="1126" spans="1:54" customFormat="1" ht="40" customHeight="1">
      <c r="A1126" s="313">
        <v>1125</v>
      </c>
      <c r="B1126" s="136" t="s">
        <v>3030</v>
      </c>
      <c r="C1126" s="136" t="s">
        <v>45</v>
      </c>
      <c r="D1126" s="31">
        <f t="shared" si="78"/>
        <v>4</v>
      </c>
      <c r="E1126" s="137" t="s">
        <v>46</v>
      </c>
      <c r="F1126" s="31">
        <f t="shared" si="79"/>
        <v>6</v>
      </c>
      <c r="G1126" s="137" t="s">
        <v>3069</v>
      </c>
      <c r="H1126" s="138">
        <v>37</v>
      </c>
      <c r="I1126" s="158">
        <f t="shared" si="80"/>
        <v>0.47334804743821951</v>
      </c>
      <c r="J1126" s="95">
        <v>0.177508298440616</v>
      </c>
      <c r="K1126" s="137">
        <v>0.76918779643582302</v>
      </c>
      <c r="L1126" s="137">
        <v>0.75</v>
      </c>
      <c r="M1126" s="137">
        <v>0.79796949108955795</v>
      </c>
      <c r="N1126" s="136">
        <v>0</v>
      </c>
      <c r="O1126" s="32">
        <v>43094</v>
      </c>
      <c r="P1126" s="98">
        <f t="shared" si="81"/>
        <v>0</v>
      </c>
      <c r="Q1126">
        <v>7.65</v>
      </c>
      <c r="R1126">
        <v>0</v>
      </c>
      <c r="S1126">
        <v>0</v>
      </c>
      <c r="T1126" s="112" t="s">
        <v>48</v>
      </c>
      <c r="U1126" s="137" t="s">
        <v>3070</v>
      </c>
      <c r="V1126" s="137" t="s">
        <v>3071</v>
      </c>
      <c r="W1126" s="69">
        <v>133</v>
      </c>
      <c r="X1126" s="136">
        <v>1</v>
      </c>
      <c r="Y1126" s="136">
        <v>2</v>
      </c>
      <c r="Z1126" s="314"/>
      <c r="AA1126" s="319">
        <v>0.5</v>
      </c>
      <c r="AB1126" s="315" t="s">
        <v>5176</v>
      </c>
      <c r="AC1126" s="319">
        <v>3</v>
      </c>
      <c r="AD1126" s="320">
        <v>3.8461538461538401E-2</v>
      </c>
      <c r="AE1126" s="319">
        <v>4</v>
      </c>
      <c r="AF1126" s="320">
        <v>5.1282051282051197E-2</v>
      </c>
      <c r="AG1126" s="319">
        <v>1</v>
      </c>
      <c r="AH1126" s="320">
        <v>1.2820512820512799E-2</v>
      </c>
      <c r="AI1126" s="319">
        <v>1</v>
      </c>
      <c r="AJ1126" s="320">
        <v>1.2820512820512799E-2</v>
      </c>
      <c r="AK1126" s="320">
        <v>1.282051282051282E-2</v>
      </c>
      <c r="AL1126" s="319">
        <v>6.75</v>
      </c>
      <c r="AM1126" s="319">
        <v>6.2</v>
      </c>
      <c r="AN1126" s="319">
        <v>3.5</v>
      </c>
      <c r="AO1126" s="319">
        <v>0.54833333333333301</v>
      </c>
      <c r="AP1126">
        <v>2</v>
      </c>
      <c r="AR1126" s="136">
        <v>2</v>
      </c>
      <c r="AT1126" s="69">
        <v>6.3414000000000001</v>
      </c>
      <c r="AU1126" s="69">
        <v>5</v>
      </c>
      <c r="AV1126" s="69">
        <v>5.7443999999999997</v>
      </c>
      <c r="AW1126" s="69">
        <v>0.56950000000000001</v>
      </c>
      <c r="BB1126" s="69"/>
    </row>
    <row r="1127" spans="1:54" customFormat="1" ht="40" customHeight="1">
      <c r="A1127" s="313">
        <v>1126</v>
      </c>
      <c r="B1127" s="136" t="s">
        <v>3030</v>
      </c>
      <c r="C1127" s="136" t="s">
        <v>45</v>
      </c>
      <c r="D1127" s="31">
        <f t="shared" si="78"/>
        <v>4</v>
      </c>
      <c r="E1127" s="137" t="s">
        <v>80</v>
      </c>
      <c r="F1127" s="31">
        <f t="shared" si="79"/>
        <v>4</v>
      </c>
      <c r="G1127" s="137" t="s">
        <v>159</v>
      </c>
      <c r="H1127" s="138">
        <v>45</v>
      </c>
      <c r="I1127" s="158">
        <f t="shared" si="80"/>
        <v>0.44090914500813499</v>
      </c>
      <c r="J1127" s="95">
        <v>0.25313162408526502</v>
      </c>
      <c r="K1127" s="137">
        <v>0.62868666593100497</v>
      </c>
      <c r="L1127" s="137">
        <v>0.75</v>
      </c>
      <c r="M1127" s="137">
        <v>0.44671666482751199</v>
      </c>
      <c r="N1127" s="136">
        <v>1</v>
      </c>
      <c r="O1127" s="32">
        <v>43093</v>
      </c>
      <c r="P1127" s="98">
        <f t="shared" si="81"/>
        <v>0</v>
      </c>
      <c r="Q1127">
        <v>7.65</v>
      </c>
      <c r="R1127">
        <v>1.65</v>
      </c>
      <c r="S1127">
        <v>0</v>
      </c>
      <c r="T1127" s="112" t="s">
        <v>48</v>
      </c>
      <c r="U1127" s="137" t="s">
        <v>3072</v>
      </c>
      <c r="V1127" s="137" t="s">
        <v>3068</v>
      </c>
      <c r="W1127" s="69">
        <v>171</v>
      </c>
      <c r="X1127" s="136">
        <v>1</v>
      </c>
      <c r="Y1127" s="136">
        <v>15</v>
      </c>
      <c r="Z1127" s="314"/>
      <c r="AA1127" s="319">
        <v>0.66549999999999998</v>
      </c>
      <c r="AB1127" s="315" t="s">
        <v>5165</v>
      </c>
      <c r="AC1127" s="319">
        <v>6</v>
      </c>
      <c r="AD1127" s="320">
        <v>6.7415730337078594E-2</v>
      </c>
      <c r="AE1127" s="319">
        <v>2</v>
      </c>
      <c r="AF1127" s="320">
        <v>2.2471910112359501E-2</v>
      </c>
      <c r="AG1127" s="319">
        <v>0</v>
      </c>
      <c r="AH1127" s="320">
        <v>0</v>
      </c>
      <c r="AI1127" s="319">
        <v>0</v>
      </c>
      <c r="AJ1127" s="320">
        <v>0</v>
      </c>
      <c r="AK1127" s="320">
        <v>0</v>
      </c>
      <c r="AL1127" s="319">
        <v>6.75</v>
      </c>
      <c r="AM1127" s="319">
        <v>7.4</v>
      </c>
      <c r="AN1127" s="319">
        <v>2</v>
      </c>
      <c r="AO1127" s="319">
        <v>0.538333333333333</v>
      </c>
      <c r="AP1127">
        <v>15</v>
      </c>
      <c r="AR1127" s="136">
        <v>15</v>
      </c>
      <c r="AT1127" s="69">
        <v>6.3414000000000001</v>
      </c>
      <c r="AU1127" s="69">
        <v>7.6852</v>
      </c>
      <c r="AV1127" s="69">
        <v>2.3148</v>
      </c>
      <c r="AW1127" s="69">
        <v>0.54469999999999996</v>
      </c>
      <c r="BB1127" s="69"/>
    </row>
    <row r="1128" spans="1:54" customFormat="1" ht="40" customHeight="1">
      <c r="A1128" s="313">
        <v>1127</v>
      </c>
      <c r="B1128" s="136" t="s">
        <v>3030</v>
      </c>
      <c r="C1128" s="136" t="s">
        <v>45</v>
      </c>
      <c r="D1128" s="31">
        <f t="shared" si="78"/>
        <v>4</v>
      </c>
      <c r="E1128" s="137" t="s">
        <v>46</v>
      </c>
      <c r="F1128" s="31">
        <f t="shared" si="79"/>
        <v>6</v>
      </c>
      <c r="G1128" s="137" t="s">
        <v>3073</v>
      </c>
      <c r="H1128" s="138">
        <v>290</v>
      </c>
      <c r="I1128" s="158">
        <f t="shared" si="80"/>
        <v>0.34448485695015968</v>
      </c>
      <c r="J1128" s="95">
        <v>1.21535540431594E-6</v>
      </c>
      <c r="K1128" s="137">
        <v>0.68896849854491504</v>
      </c>
      <c r="L1128" s="137">
        <v>0.82499999999999996</v>
      </c>
      <c r="M1128" s="137">
        <v>0.48492124636228701</v>
      </c>
      <c r="N1128" s="136">
        <v>1</v>
      </c>
      <c r="O1128" s="32">
        <v>43013</v>
      </c>
      <c r="P1128" s="98">
        <f t="shared" si="81"/>
        <v>0</v>
      </c>
      <c r="Q1128">
        <v>7.65</v>
      </c>
      <c r="R1128">
        <v>1.65</v>
      </c>
      <c r="S1128">
        <v>0</v>
      </c>
      <c r="T1128" s="112" t="s">
        <v>48</v>
      </c>
      <c r="U1128" s="137" t="s">
        <v>3074</v>
      </c>
      <c r="V1128" s="137" t="s">
        <v>3075</v>
      </c>
      <c r="W1128" s="69">
        <v>125</v>
      </c>
      <c r="X1128" s="136">
        <v>1</v>
      </c>
      <c r="Y1128" s="136">
        <v>13</v>
      </c>
      <c r="Z1128" s="314"/>
      <c r="AA1128" s="319">
        <v>0.45454545454545398</v>
      </c>
      <c r="AB1128" s="315" t="s">
        <v>5179</v>
      </c>
      <c r="AC1128" s="319">
        <v>1</v>
      </c>
      <c r="AD1128" s="320">
        <v>1.4925373134328301E-2</v>
      </c>
      <c r="AE1128" s="319">
        <v>1</v>
      </c>
      <c r="AF1128" s="320">
        <v>1.4925373134328301E-2</v>
      </c>
      <c r="AG1128" s="319">
        <v>1</v>
      </c>
      <c r="AH1128" s="320">
        <v>1.4925373134328301E-2</v>
      </c>
      <c r="AI1128" s="319">
        <v>0</v>
      </c>
      <c r="AJ1128" s="320">
        <v>0</v>
      </c>
      <c r="AK1128" s="320">
        <v>1.492537313432836E-2</v>
      </c>
      <c r="AL1128" s="319">
        <v>6.75</v>
      </c>
      <c r="AM1128" s="319">
        <v>5</v>
      </c>
      <c r="AN1128" s="319">
        <v>4.6666666666666599</v>
      </c>
      <c r="AO1128" s="319">
        <v>0.54722222222222205</v>
      </c>
      <c r="AP1128">
        <v>13</v>
      </c>
      <c r="AR1128" s="136">
        <v>13</v>
      </c>
      <c r="AT1128" s="69">
        <v>6.3414000000000001</v>
      </c>
      <c r="AU1128" s="69">
        <v>2.3148</v>
      </c>
      <c r="AV1128" s="69">
        <v>8.1305999999999994</v>
      </c>
      <c r="AW1128" s="69">
        <v>0.55959999999999999</v>
      </c>
      <c r="BB1128" s="69"/>
    </row>
    <row r="1129" spans="1:54" customFormat="1" ht="40" customHeight="1">
      <c r="A1129" s="313">
        <v>1128</v>
      </c>
      <c r="B1129" s="136" t="s">
        <v>3030</v>
      </c>
      <c r="C1129" s="136" t="s">
        <v>45</v>
      </c>
      <c r="D1129" s="31">
        <f t="shared" si="78"/>
        <v>4</v>
      </c>
      <c r="E1129" s="137" t="s">
        <v>80</v>
      </c>
      <c r="F1129" s="31">
        <f t="shared" si="79"/>
        <v>4</v>
      </c>
      <c r="G1129" s="137" t="s">
        <v>3076</v>
      </c>
      <c r="H1129" s="138">
        <v>122</v>
      </c>
      <c r="I1129" s="158">
        <f t="shared" si="80"/>
        <v>0.83928562851935151</v>
      </c>
      <c r="J1129" s="95">
        <v>0.99999982846727498</v>
      </c>
      <c r="K1129" s="137">
        <v>0.67857142857142805</v>
      </c>
      <c r="L1129" s="137">
        <v>0.75</v>
      </c>
      <c r="M1129" s="137">
        <v>0.57142857142857095</v>
      </c>
      <c r="N1129" s="136">
        <v>1</v>
      </c>
      <c r="O1129" s="32">
        <v>42729</v>
      </c>
      <c r="P1129" s="98">
        <f t="shared" si="81"/>
        <v>2</v>
      </c>
      <c r="Q1129">
        <v>0</v>
      </c>
      <c r="R1129">
        <v>0</v>
      </c>
      <c r="S1129">
        <v>0</v>
      </c>
      <c r="T1129" s="112" t="s">
        <v>64</v>
      </c>
      <c r="U1129" s="137" t="s">
        <v>3077</v>
      </c>
      <c r="V1129" s="137" t="s">
        <v>3078</v>
      </c>
      <c r="W1129" s="69">
        <v>64</v>
      </c>
      <c r="X1129" s="136">
        <v>1</v>
      </c>
      <c r="Y1129" s="136">
        <v>9</v>
      </c>
      <c r="Z1129" s="314"/>
      <c r="AA1129" s="319">
        <v>0.45454545454545398</v>
      </c>
      <c r="AB1129" s="315" t="s">
        <v>5165</v>
      </c>
      <c r="AC1129" s="319">
        <v>3</v>
      </c>
      <c r="AD1129" s="320">
        <v>9.6774193548387094E-2</v>
      </c>
      <c r="AE1129" s="319">
        <v>1</v>
      </c>
      <c r="AF1129" s="320">
        <v>3.2258064516128997E-2</v>
      </c>
      <c r="AG1129" s="319">
        <v>0</v>
      </c>
      <c r="AH1129" s="320">
        <v>0</v>
      </c>
      <c r="AI1129" s="319">
        <v>0</v>
      </c>
      <c r="AJ1129" s="320">
        <v>0</v>
      </c>
      <c r="AK1129" s="320">
        <v>0</v>
      </c>
      <c r="AL1129" s="319">
        <v>5</v>
      </c>
      <c r="AM1129" s="319">
        <v>6.2</v>
      </c>
      <c r="AN1129" s="319">
        <v>2</v>
      </c>
      <c r="AO1129" s="319">
        <v>0.44</v>
      </c>
      <c r="AP1129">
        <v>9</v>
      </c>
      <c r="AR1129" s="136">
        <v>9</v>
      </c>
      <c r="AT1129" s="69">
        <v>2.3148</v>
      </c>
      <c r="AU1129" s="69">
        <v>5</v>
      </c>
      <c r="AV1129" s="69">
        <v>2.3148</v>
      </c>
      <c r="AW1129" s="69">
        <v>0.32100000000000001</v>
      </c>
      <c r="BB1129" s="69"/>
    </row>
    <row r="1130" spans="1:54" customFormat="1" ht="40" customHeight="1">
      <c r="A1130" s="313">
        <v>1129</v>
      </c>
      <c r="B1130" s="136" t="s">
        <v>3030</v>
      </c>
      <c r="C1130" s="136" t="s">
        <v>119</v>
      </c>
      <c r="D1130" s="31">
        <f t="shared" si="78"/>
        <v>1</v>
      </c>
      <c r="E1130" s="137" t="s">
        <v>46</v>
      </c>
      <c r="F1130" s="31">
        <f t="shared" si="79"/>
        <v>6</v>
      </c>
      <c r="G1130" s="137" t="s">
        <v>3079</v>
      </c>
      <c r="H1130" s="138">
        <v>182</v>
      </c>
      <c r="I1130" s="158">
        <f t="shared" si="80"/>
        <v>0.33041475021654054</v>
      </c>
      <c r="J1130" s="95">
        <v>3.5091702481804298E-4</v>
      </c>
      <c r="K1130" s="137">
        <v>0.66047858340826304</v>
      </c>
      <c r="L1130" s="137">
        <v>0.75</v>
      </c>
      <c r="M1130" s="137">
        <v>0.526196458520657</v>
      </c>
      <c r="N1130" s="136">
        <v>1</v>
      </c>
      <c r="O1130" s="32">
        <v>43022</v>
      </c>
      <c r="P1130" s="98">
        <f t="shared" si="81"/>
        <v>0</v>
      </c>
      <c r="Q1130">
        <v>2.5499999999999998</v>
      </c>
      <c r="R1130">
        <v>1.65</v>
      </c>
      <c r="S1130">
        <v>0</v>
      </c>
      <c r="T1130" s="112" t="s">
        <v>48</v>
      </c>
      <c r="U1130" s="137" t="s">
        <v>3080</v>
      </c>
      <c r="V1130" s="137" t="s">
        <v>3081</v>
      </c>
      <c r="W1130" s="69">
        <v>90</v>
      </c>
      <c r="X1130" s="136">
        <v>4</v>
      </c>
      <c r="Y1130" s="136">
        <v>11</v>
      </c>
      <c r="Z1130" s="314"/>
      <c r="AA1130" s="319">
        <v>0.59450000000000003</v>
      </c>
      <c r="AB1130" s="315" t="s">
        <v>5176</v>
      </c>
      <c r="AC1130" s="319">
        <v>1</v>
      </c>
      <c r="AD1130" s="320">
        <v>1.9607843137254902E-2</v>
      </c>
      <c r="AE1130" s="319">
        <v>2</v>
      </c>
      <c r="AF1130" s="320">
        <v>3.9215686274509803E-2</v>
      </c>
      <c r="AG1130" s="319">
        <v>1</v>
      </c>
      <c r="AH1130" s="320">
        <v>1.9607843137254902E-2</v>
      </c>
      <c r="AI1130" s="319">
        <v>1</v>
      </c>
      <c r="AJ1130" s="320">
        <v>1.9607843137254902E-2</v>
      </c>
      <c r="AK1130" s="320">
        <v>1.9607843137254902E-2</v>
      </c>
      <c r="AL1130" s="319">
        <v>5</v>
      </c>
      <c r="AM1130" s="319">
        <v>5</v>
      </c>
      <c r="AN1130" s="319">
        <v>4.6666666666666599</v>
      </c>
      <c r="AO1130" s="319">
        <v>0.48888888888888798</v>
      </c>
      <c r="AP1130">
        <v>11</v>
      </c>
      <c r="AR1130" s="136">
        <v>11</v>
      </c>
      <c r="AT1130" s="69">
        <v>2.3148</v>
      </c>
      <c r="AU1130" s="69">
        <v>2.3148</v>
      </c>
      <c r="AV1130" s="69">
        <v>8.1305999999999994</v>
      </c>
      <c r="AW1130" s="69">
        <v>0.42530000000000001</v>
      </c>
      <c r="BB1130" s="69"/>
    </row>
    <row r="1131" spans="1:54" customFormat="1" ht="40" customHeight="1">
      <c r="A1131" s="313">
        <v>1130</v>
      </c>
      <c r="B1131" s="136" t="s">
        <v>3082</v>
      </c>
      <c r="C1131" s="136" t="s">
        <v>119</v>
      </c>
      <c r="D1131" s="31">
        <f t="shared" si="78"/>
        <v>1</v>
      </c>
      <c r="E1131" s="137" t="s">
        <v>80</v>
      </c>
      <c r="F1131" s="31">
        <f t="shared" si="79"/>
        <v>4</v>
      </c>
      <c r="G1131" s="137" t="s">
        <v>3083</v>
      </c>
      <c r="H1131" s="138">
        <v>35</v>
      </c>
      <c r="I1131" s="158">
        <f t="shared" si="80"/>
        <v>0.59919372296465045</v>
      </c>
      <c r="J1131" s="95">
        <v>0.46501185305765502</v>
      </c>
      <c r="K1131" s="137">
        <v>0.733375592871646</v>
      </c>
      <c r="L1131" s="137">
        <v>0.82499999999999996</v>
      </c>
      <c r="M1131" s="137">
        <v>0.59593898217911601</v>
      </c>
      <c r="N1131" s="136">
        <v>1</v>
      </c>
      <c r="O1131" s="32">
        <v>44002</v>
      </c>
      <c r="P1131" s="98">
        <f t="shared" si="81"/>
        <v>1</v>
      </c>
      <c r="Q1131">
        <v>0</v>
      </c>
      <c r="R1131">
        <v>1.65</v>
      </c>
      <c r="S1131">
        <v>0</v>
      </c>
      <c r="T1131" s="112" t="s">
        <v>73</v>
      </c>
      <c r="U1131" s="137" t="s">
        <v>3084</v>
      </c>
      <c r="V1131" s="137" t="s">
        <v>3085</v>
      </c>
      <c r="W1131" s="69">
        <v>85</v>
      </c>
      <c r="X1131" s="136">
        <v>1</v>
      </c>
      <c r="Y1131" s="136">
        <v>8</v>
      </c>
      <c r="Z1131" s="314"/>
      <c r="AA1131" s="319">
        <v>0.54500000000000004</v>
      </c>
      <c r="AB1131" s="315" t="s">
        <v>5176</v>
      </c>
      <c r="AC1131" s="319">
        <v>1</v>
      </c>
      <c r="AD1131" s="320">
        <v>1.9607843137254902E-2</v>
      </c>
      <c r="AE1131" s="319">
        <v>2</v>
      </c>
      <c r="AF1131" s="320">
        <v>3.9215686274509803E-2</v>
      </c>
      <c r="AG1131" s="319">
        <v>1</v>
      </c>
      <c r="AH1131" s="320">
        <v>1.9607843137254902E-2</v>
      </c>
      <c r="AI1131" s="319">
        <v>0</v>
      </c>
      <c r="AJ1131" s="320">
        <v>0</v>
      </c>
      <c r="AK1131" s="320">
        <v>3.9215686274509803E-2</v>
      </c>
      <c r="AL1131" s="319">
        <v>5</v>
      </c>
      <c r="AM1131" s="319">
        <v>7.4</v>
      </c>
      <c r="AN1131" s="319">
        <v>6.1666666666666599</v>
      </c>
      <c r="AO1131" s="319">
        <v>0.61888888888888804</v>
      </c>
      <c r="AP1131">
        <v>8</v>
      </c>
      <c r="AR1131" s="136">
        <v>8</v>
      </c>
      <c r="AT1131" s="69">
        <v>2.3148</v>
      </c>
      <c r="AU1131" s="69">
        <v>7.6852</v>
      </c>
      <c r="AV1131" s="69">
        <v>9.5120000000000005</v>
      </c>
      <c r="AW1131" s="69">
        <v>0.65039999999999998</v>
      </c>
      <c r="BB1131" s="69"/>
    </row>
    <row r="1132" spans="1:54" customFormat="1" ht="40" customHeight="1">
      <c r="A1132" s="313">
        <v>1131</v>
      </c>
      <c r="B1132" s="136" t="s">
        <v>3082</v>
      </c>
      <c r="C1132" s="136" t="s">
        <v>45</v>
      </c>
      <c r="D1132" s="31">
        <f t="shared" si="78"/>
        <v>4</v>
      </c>
      <c r="E1132" s="137" t="s">
        <v>221</v>
      </c>
      <c r="F1132" s="31">
        <f t="shared" si="79"/>
        <v>2</v>
      </c>
      <c r="G1132" s="137" t="s">
        <v>3086</v>
      </c>
      <c r="H1132" s="138">
        <v>55</v>
      </c>
      <c r="I1132" s="158">
        <f t="shared" si="80"/>
        <v>0.3910841158072077</v>
      </c>
      <c r="J1132" s="95">
        <v>1.29804351785924E-2</v>
      </c>
      <c r="K1132" s="137">
        <v>0.76918779643582302</v>
      </c>
      <c r="L1132" s="137">
        <v>0.75</v>
      </c>
      <c r="M1132" s="137">
        <v>0.79796949108955795</v>
      </c>
      <c r="N1132" s="136">
        <v>1</v>
      </c>
      <c r="O1132" s="32">
        <v>43900</v>
      </c>
      <c r="P1132" s="98">
        <f t="shared" si="81"/>
        <v>0</v>
      </c>
      <c r="Q1132">
        <v>7.65</v>
      </c>
      <c r="R1132">
        <v>0</v>
      </c>
      <c r="S1132">
        <v>0</v>
      </c>
      <c r="T1132" s="112" t="s">
        <v>48</v>
      </c>
      <c r="U1132" s="137" t="s">
        <v>3087</v>
      </c>
      <c r="V1132" s="137" t="s">
        <v>3088</v>
      </c>
      <c r="W1132" s="69">
        <v>69</v>
      </c>
      <c r="X1132" s="136">
        <v>1</v>
      </c>
      <c r="Y1132" s="136">
        <v>2</v>
      </c>
      <c r="Z1132" s="314"/>
      <c r="AA1132" s="319">
        <v>0.5</v>
      </c>
      <c r="AB1132" s="315" t="s">
        <v>5179</v>
      </c>
      <c r="AC1132" s="319">
        <v>1</v>
      </c>
      <c r="AD1132" s="320">
        <v>2.27272727272727E-2</v>
      </c>
      <c r="AE1132" s="319">
        <v>1</v>
      </c>
      <c r="AF1132" s="320">
        <v>2.27272727272727E-2</v>
      </c>
      <c r="AG1132" s="319">
        <v>1</v>
      </c>
      <c r="AH1132" s="320">
        <v>2.27272727272727E-2</v>
      </c>
      <c r="AI1132" s="319">
        <v>0</v>
      </c>
      <c r="AJ1132" s="320">
        <v>0</v>
      </c>
      <c r="AK1132" s="320">
        <v>0</v>
      </c>
      <c r="AL1132" s="319">
        <v>5</v>
      </c>
      <c r="AM1132" s="319">
        <v>10</v>
      </c>
      <c r="AN1132" s="319">
        <v>4.6666666666666599</v>
      </c>
      <c r="AO1132" s="319">
        <v>0.655555555555555</v>
      </c>
      <c r="AP1132">
        <v>2</v>
      </c>
      <c r="AR1132" s="136">
        <v>2</v>
      </c>
      <c r="AT1132" s="69">
        <v>2.3148</v>
      </c>
      <c r="AU1132" s="69">
        <v>9.9984999999999999</v>
      </c>
      <c r="AV1132" s="69">
        <v>8.1305999999999994</v>
      </c>
      <c r="AW1132" s="69">
        <v>0.68149999999999999</v>
      </c>
      <c r="BB1132" s="69"/>
    </row>
    <row r="1133" spans="1:54" customFormat="1" ht="40" customHeight="1">
      <c r="A1133" s="313">
        <v>1132</v>
      </c>
      <c r="B1133" s="136" t="s">
        <v>3082</v>
      </c>
      <c r="C1133" s="136" t="s">
        <v>45</v>
      </c>
      <c r="D1133" s="31">
        <f t="shared" si="78"/>
        <v>4</v>
      </c>
      <c r="E1133" s="137" t="s">
        <v>80</v>
      </c>
      <c r="F1133" s="31">
        <f t="shared" si="79"/>
        <v>4</v>
      </c>
      <c r="G1133" s="137" t="s">
        <v>3089</v>
      </c>
      <c r="H1133" s="138">
        <v>270</v>
      </c>
      <c r="I1133" s="158">
        <f t="shared" si="80"/>
        <v>0.35060295958999799</v>
      </c>
      <c r="J1133" s="95">
        <v>6.4007243748009897E-3</v>
      </c>
      <c r="K1133" s="137">
        <v>0.69480519480519498</v>
      </c>
      <c r="L1133" s="137">
        <v>0.68181818181818199</v>
      </c>
      <c r="M1133" s="137">
        <v>0.71428571428571397</v>
      </c>
      <c r="N1133" s="136">
        <v>1</v>
      </c>
      <c r="O1133" s="32">
        <v>43651</v>
      </c>
      <c r="P1133" s="98">
        <f t="shared" si="81"/>
        <v>0</v>
      </c>
      <c r="Q1133">
        <v>2.5499999999999998</v>
      </c>
      <c r="R1133">
        <v>1.65</v>
      </c>
      <c r="S1133">
        <v>0</v>
      </c>
      <c r="T1133" s="112" t="s">
        <v>48</v>
      </c>
      <c r="U1133" s="137" t="s">
        <v>3090</v>
      </c>
      <c r="V1133" s="137" t="s">
        <v>3091</v>
      </c>
      <c r="W1133" s="69">
        <v>304</v>
      </c>
      <c r="X1133" s="136">
        <v>1</v>
      </c>
      <c r="Y1133" s="136">
        <v>4</v>
      </c>
      <c r="Z1133" s="314"/>
      <c r="AA1133" s="319">
        <v>0.5</v>
      </c>
      <c r="AB1133" s="315" t="s">
        <v>5179</v>
      </c>
      <c r="AC1133" s="319">
        <v>2</v>
      </c>
      <c r="AD1133" s="320">
        <v>1.09890109890109E-2</v>
      </c>
      <c r="AE1133" s="319">
        <v>2</v>
      </c>
      <c r="AF1133" s="320">
        <v>1.09890109890109E-2</v>
      </c>
      <c r="AG1133" s="319">
        <v>2</v>
      </c>
      <c r="AH1133" s="320">
        <v>1.09890109890109E-2</v>
      </c>
      <c r="AI1133" s="319">
        <v>0</v>
      </c>
      <c r="AJ1133" s="320">
        <v>0</v>
      </c>
      <c r="AK1133" s="320">
        <v>5.4945054945054949E-3</v>
      </c>
      <c r="AL1133" s="319">
        <v>5</v>
      </c>
      <c r="AM1133" s="319">
        <v>6.2</v>
      </c>
      <c r="AN1133" s="319">
        <v>4.6666666666666599</v>
      </c>
      <c r="AO1133" s="319">
        <v>0.52888888888888796</v>
      </c>
      <c r="AP1133">
        <v>4</v>
      </c>
      <c r="AR1133" s="136">
        <v>4</v>
      </c>
      <c r="AT1133" s="69">
        <v>2.3148</v>
      </c>
      <c r="AU1133" s="69">
        <v>5</v>
      </c>
      <c r="AV1133" s="69">
        <v>8.1305999999999994</v>
      </c>
      <c r="AW1133" s="69">
        <v>0.51480000000000004</v>
      </c>
      <c r="BB1133" s="69"/>
    </row>
    <row r="1134" spans="1:54" customFormat="1" ht="40" customHeight="1">
      <c r="A1134" s="313">
        <v>1133</v>
      </c>
      <c r="B1134" s="136" t="s">
        <v>3082</v>
      </c>
      <c r="C1134" s="136" t="s">
        <v>45</v>
      </c>
      <c r="D1134" s="31">
        <f t="shared" si="78"/>
        <v>4</v>
      </c>
      <c r="E1134" s="137" t="s">
        <v>46</v>
      </c>
      <c r="F1134" s="31">
        <f t="shared" si="79"/>
        <v>6</v>
      </c>
      <c r="G1134" s="137" t="s">
        <v>3092</v>
      </c>
      <c r="H1134" s="138">
        <v>69</v>
      </c>
      <c r="I1134" s="158">
        <f t="shared" si="80"/>
        <v>0.39654927532803841</v>
      </c>
      <c r="J1134" s="95">
        <v>2.4140779893377901E-4</v>
      </c>
      <c r="K1134" s="137">
        <v>0.79285714285714304</v>
      </c>
      <c r="L1134" s="137">
        <v>0.75</v>
      </c>
      <c r="M1134" s="137">
        <v>0.85714285714285698</v>
      </c>
      <c r="N1134" s="136">
        <v>1</v>
      </c>
      <c r="O1134" s="32">
        <v>43382</v>
      </c>
      <c r="P1134" s="98">
        <f t="shared" si="81"/>
        <v>0</v>
      </c>
      <c r="Q1134">
        <v>7.65</v>
      </c>
      <c r="R1134">
        <v>0</v>
      </c>
      <c r="S1134">
        <v>0</v>
      </c>
      <c r="T1134" s="112" t="s">
        <v>48</v>
      </c>
      <c r="U1134" s="137" t="s">
        <v>3093</v>
      </c>
      <c r="V1134" s="137" t="s">
        <v>3094</v>
      </c>
      <c r="W1134" s="69">
        <v>45</v>
      </c>
      <c r="X1134" s="136">
        <v>1</v>
      </c>
      <c r="Y1134" s="136">
        <v>1</v>
      </c>
      <c r="Z1134" s="314"/>
      <c r="AA1134" s="319">
        <v>0.54500000000000004</v>
      </c>
      <c r="AB1134" s="315" t="s">
        <v>5176</v>
      </c>
      <c r="AC1134" s="319">
        <v>0</v>
      </c>
      <c r="AD1134" s="320">
        <v>0</v>
      </c>
      <c r="AE1134" s="319">
        <v>3</v>
      </c>
      <c r="AF1134" s="320">
        <v>0.11111111111111099</v>
      </c>
      <c r="AG1134" s="319">
        <v>1</v>
      </c>
      <c r="AH1134" s="320">
        <v>3.7037037037037E-2</v>
      </c>
      <c r="AI1134" s="319">
        <v>0</v>
      </c>
      <c r="AJ1134" s="320">
        <v>0</v>
      </c>
      <c r="AK1134" s="320">
        <v>3.7037037037037028E-2</v>
      </c>
      <c r="AL1134" s="319">
        <v>5</v>
      </c>
      <c r="AM1134" s="319">
        <v>5</v>
      </c>
      <c r="AN1134" s="319">
        <v>7.3333333333333304</v>
      </c>
      <c r="AO1134" s="319">
        <v>0.57777777777777695</v>
      </c>
      <c r="AP1134">
        <v>1</v>
      </c>
      <c r="AR1134" s="136">
        <v>1</v>
      </c>
      <c r="AT1134" s="69">
        <v>2.3148</v>
      </c>
      <c r="AU1134" s="69">
        <v>2.3148</v>
      </c>
      <c r="AV1134" s="69">
        <v>9.8416999999999994</v>
      </c>
      <c r="AW1134" s="69">
        <v>0.4824</v>
      </c>
      <c r="BB1134" s="69"/>
    </row>
    <row r="1135" spans="1:54" customFormat="1" ht="40" customHeight="1">
      <c r="A1135" s="313">
        <v>1134</v>
      </c>
      <c r="B1135" s="136" t="s">
        <v>3082</v>
      </c>
      <c r="C1135" s="136" t="s">
        <v>45</v>
      </c>
      <c r="D1135" s="31">
        <f t="shared" si="78"/>
        <v>4</v>
      </c>
      <c r="E1135" s="137" t="s">
        <v>80</v>
      </c>
      <c r="F1135" s="31">
        <f t="shared" si="79"/>
        <v>4</v>
      </c>
      <c r="G1135" s="137" t="s">
        <v>3095</v>
      </c>
      <c r="H1135" s="138">
        <v>97</v>
      </c>
      <c r="I1135" s="158">
        <f t="shared" si="80"/>
        <v>0.37346101939726967</v>
      </c>
      <c r="J1135" s="95">
        <v>3.1078279982302802E-3</v>
      </c>
      <c r="K1135" s="137">
        <v>0.74381421079630905</v>
      </c>
      <c r="L1135" s="137">
        <v>0.82499999999999996</v>
      </c>
      <c r="M1135" s="137">
        <v>0.62203552699077302</v>
      </c>
      <c r="N1135" s="136">
        <v>1</v>
      </c>
      <c r="O1135" s="32">
        <v>43307</v>
      </c>
      <c r="P1135" s="98">
        <f t="shared" si="81"/>
        <v>0</v>
      </c>
      <c r="Q1135">
        <v>2.5499999999999998</v>
      </c>
      <c r="R1135">
        <v>0</v>
      </c>
      <c r="S1135">
        <v>0</v>
      </c>
      <c r="T1135" s="112" t="s">
        <v>48</v>
      </c>
      <c r="U1135" s="137" t="s">
        <v>3096</v>
      </c>
      <c r="V1135" s="137" t="s">
        <v>3097</v>
      </c>
      <c r="W1135" s="69">
        <v>38</v>
      </c>
      <c r="X1135" s="136">
        <v>2</v>
      </c>
      <c r="Y1135" s="136">
        <v>7</v>
      </c>
      <c r="Z1135" s="314"/>
      <c r="AA1135" s="319">
        <v>0.66549999999999998</v>
      </c>
      <c r="AB1135" s="315" t="s">
        <v>5176</v>
      </c>
      <c r="AC1135" s="319">
        <v>2</v>
      </c>
      <c r="AD1135" s="320">
        <v>8.6956521739130405E-2</v>
      </c>
      <c r="AE1135" s="319">
        <v>3</v>
      </c>
      <c r="AF1135" s="320">
        <v>0.13043478260869501</v>
      </c>
      <c r="AG1135" s="319">
        <v>0</v>
      </c>
      <c r="AH1135" s="320">
        <v>0</v>
      </c>
      <c r="AI1135" s="319">
        <v>0</v>
      </c>
      <c r="AJ1135" s="320">
        <v>0</v>
      </c>
      <c r="AK1135" s="320">
        <v>4.3478260869565223E-2</v>
      </c>
      <c r="AL1135" s="319">
        <v>5</v>
      </c>
      <c r="AM1135" s="319">
        <v>6.2</v>
      </c>
      <c r="AN1135" s="319">
        <v>4.6666666666666599</v>
      </c>
      <c r="AO1135" s="319">
        <v>0.52888888888888796</v>
      </c>
      <c r="AP1135">
        <v>7</v>
      </c>
      <c r="AR1135" s="136">
        <v>7</v>
      </c>
      <c r="AT1135" s="69">
        <v>2.3148</v>
      </c>
      <c r="AU1135" s="69">
        <v>5</v>
      </c>
      <c r="AV1135" s="69">
        <v>8.1305999999999994</v>
      </c>
      <c r="AW1135" s="69">
        <v>0.51480000000000004</v>
      </c>
      <c r="BB1135" s="69"/>
    </row>
    <row r="1136" spans="1:54" customFormat="1" ht="40" customHeight="1">
      <c r="A1136" s="313">
        <v>1135</v>
      </c>
      <c r="B1136" s="136" t="s">
        <v>3082</v>
      </c>
      <c r="C1136" s="136" t="s">
        <v>45</v>
      </c>
      <c r="D1136" s="31">
        <f t="shared" si="78"/>
        <v>4</v>
      </c>
      <c r="E1136" s="137" t="s">
        <v>80</v>
      </c>
      <c r="F1136" s="31">
        <f t="shared" si="79"/>
        <v>4</v>
      </c>
      <c r="G1136" s="137" t="s">
        <v>3098</v>
      </c>
      <c r="H1136" s="138">
        <v>83</v>
      </c>
      <c r="I1136" s="158">
        <f t="shared" si="80"/>
        <v>0.39604189794320849</v>
      </c>
      <c r="J1136" s="95">
        <v>0.199455374293799</v>
      </c>
      <c r="K1136" s="137">
        <v>0.59262842159261797</v>
      </c>
      <c r="L1136" s="137">
        <v>0.82499999999999996</v>
      </c>
      <c r="M1136" s="137">
        <v>0.24407105398154499</v>
      </c>
      <c r="N1136" s="136">
        <v>1</v>
      </c>
      <c r="O1136" s="32">
        <v>43214</v>
      </c>
      <c r="P1136" s="98">
        <f t="shared" si="81"/>
        <v>1</v>
      </c>
      <c r="Q1136">
        <v>0</v>
      </c>
      <c r="R1136">
        <v>1.65</v>
      </c>
      <c r="S1136">
        <v>0</v>
      </c>
      <c r="T1136" s="112" t="s">
        <v>73</v>
      </c>
      <c r="U1136" s="137" t="s">
        <v>3099</v>
      </c>
      <c r="V1136" s="137" t="s">
        <v>3100</v>
      </c>
      <c r="W1136" s="69">
        <v>25</v>
      </c>
      <c r="X1136" s="136">
        <v>2</v>
      </c>
      <c r="Y1136" s="136">
        <v>28</v>
      </c>
      <c r="Z1136" s="314"/>
      <c r="AA1136" s="319">
        <v>0.60499999999999998</v>
      </c>
      <c r="AB1136" s="315" t="s">
        <v>5165</v>
      </c>
      <c r="AC1136" s="319">
        <v>1</v>
      </c>
      <c r="AD1136" s="320">
        <v>7.1428571428571397E-2</v>
      </c>
      <c r="AE1136" s="319">
        <v>0</v>
      </c>
      <c r="AF1136" s="320">
        <v>0</v>
      </c>
      <c r="AG1136" s="319">
        <v>0</v>
      </c>
      <c r="AH1136" s="320">
        <v>0</v>
      </c>
      <c r="AI1136" s="319">
        <v>0</v>
      </c>
      <c r="AJ1136" s="320">
        <v>0</v>
      </c>
      <c r="AK1136" s="320">
        <v>0</v>
      </c>
      <c r="AL1136" s="319">
        <v>5</v>
      </c>
      <c r="AM1136" s="319">
        <v>6.2</v>
      </c>
      <c r="AN1136" s="319">
        <v>2</v>
      </c>
      <c r="AO1136" s="319">
        <v>0.44</v>
      </c>
      <c r="AP1136">
        <v>28</v>
      </c>
      <c r="AR1136" s="136">
        <v>28</v>
      </c>
      <c r="AT1136" s="69">
        <v>2.3148</v>
      </c>
      <c r="AU1136" s="69">
        <v>5</v>
      </c>
      <c r="AV1136" s="69">
        <v>2.3148</v>
      </c>
      <c r="AW1136" s="69">
        <v>0.32100000000000001</v>
      </c>
      <c r="BB1136" s="69"/>
    </row>
    <row r="1137" spans="1:54" customFormat="1" ht="40" customHeight="1">
      <c r="A1137" s="313">
        <v>1136</v>
      </c>
      <c r="B1137" s="136" t="s">
        <v>3082</v>
      </c>
      <c r="C1137" s="136" t="s">
        <v>45</v>
      </c>
      <c r="D1137" s="31">
        <f t="shared" si="78"/>
        <v>4</v>
      </c>
      <c r="E1137" s="137" t="s">
        <v>80</v>
      </c>
      <c r="F1137" s="31">
        <f t="shared" si="79"/>
        <v>4</v>
      </c>
      <c r="G1137" s="137" t="s">
        <v>200</v>
      </c>
      <c r="H1137" s="138">
        <v>98</v>
      </c>
      <c r="I1137" s="158">
        <f t="shared" si="80"/>
        <v>0.33088361267146277</v>
      </c>
      <c r="J1137" s="95">
        <v>4.15211318235853E-3</v>
      </c>
      <c r="K1137" s="137">
        <v>0.65761511216056701</v>
      </c>
      <c r="L1137" s="137">
        <v>0.61983471074380203</v>
      </c>
      <c r="M1137" s="137">
        <v>0.71428571428571397</v>
      </c>
      <c r="N1137" s="136">
        <v>1</v>
      </c>
      <c r="O1137" s="32">
        <v>43212</v>
      </c>
      <c r="P1137" s="98">
        <f t="shared" si="81"/>
        <v>0</v>
      </c>
      <c r="Q1137">
        <v>5.0999999999999996</v>
      </c>
      <c r="R1137">
        <v>1.65</v>
      </c>
      <c r="S1137">
        <v>0</v>
      </c>
      <c r="T1137" s="112" t="s">
        <v>48</v>
      </c>
      <c r="U1137" s="137" t="s">
        <v>3101</v>
      </c>
      <c r="V1137" s="137" t="s">
        <v>3102</v>
      </c>
      <c r="W1137" s="69">
        <v>38</v>
      </c>
      <c r="X1137" s="136">
        <v>2</v>
      </c>
      <c r="Y1137" s="136">
        <v>4</v>
      </c>
      <c r="Z1137" s="314"/>
      <c r="AA1137" s="319">
        <v>0.45909090909090899</v>
      </c>
      <c r="AB1137" s="315" t="s">
        <v>5176</v>
      </c>
      <c r="AC1137" s="319">
        <v>1</v>
      </c>
      <c r="AD1137" s="320">
        <v>4.3478260869565202E-2</v>
      </c>
      <c r="AE1137" s="319">
        <v>3</v>
      </c>
      <c r="AF1137" s="320">
        <v>0.13043478260869501</v>
      </c>
      <c r="AG1137" s="319">
        <v>0</v>
      </c>
      <c r="AH1137" s="320">
        <v>0</v>
      </c>
      <c r="AI1137" s="319">
        <v>0</v>
      </c>
      <c r="AJ1137" s="320">
        <v>0</v>
      </c>
      <c r="AK1137" s="320">
        <v>4.3478260869565223E-2</v>
      </c>
      <c r="AL1137" s="319">
        <v>6.75</v>
      </c>
      <c r="AM1137" s="319">
        <v>6.2</v>
      </c>
      <c r="AN1137" s="319">
        <v>8.8333333333333304</v>
      </c>
      <c r="AO1137" s="319">
        <v>0.72611111111111104</v>
      </c>
      <c r="AP1137">
        <v>4</v>
      </c>
      <c r="AR1137" s="136">
        <v>4</v>
      </c>
      <c r="AT1137" s="69">
        <v>6.3414000000000001</v>
      </c>
      <c r="AU1137" s="69">
        <v>5</v>
      </c>
      <c r="AV1137" s="69">
        <v>9.9641999999999999</v>
      </c>
      <c r="AW1137" s="69">
        <v>0.71020000000000005</v>
      </c>
      <c r="BB1137" s="69"/>
    </row>
    <row r="1138" spans="1:54" customFormat="1" ht="40" customHeight="1">
      <c r="A1138" s="313">
        <v>1137</v>
      </c>
      <c r="B1138" s="136" t="s">
        <v>3082</v>
      </c>
      <c r="C1138" s="136" t="s">
        <v>45</v>
      </c>
      <c r="D1138" s="31">
        <f t="shared" si="78"/>
        <v>4</v>
      </c>
      <c r="E1138" s="137" t="s">
        <v>46</v>
      </c>
      <c r="F1138" s="31">
        <f t="shared" si="79"/>
        <v>6</v>
      </c>
      <c r="G1138" s="137" t="s">
        <v>3103</v>
      </c>
      <c r="H1138" s="138">
        <v>85</v>
      </c>
      <c r="I1138" s="158">
        <f t="shared" si="80"/>
        <v>0.77961284243635154</v>
      </c>
      <c r="J1138" s="95">
        <v>0.99257138647432397</v>
      </c>
      <c r="K1138" s="137">
        <v>0.566654298398379</v>
      </c>
      <c r="L1138" s="137">
        <v>0.68181818181818199</v>
      </c>
      <c r="M1138" s="137">
        <v>0.39390847326867401</v>
      </c>
      <c r="N1138" s="136">
        <v>1</v>
      </c>
      <c r="O1138" s="32">
        <v>43211</v>
      </c>
      <c r="P1138" s="98">
        <f t="shared" si="81"/>
        <v>0</v>
      </c>
      <c r="Q1138">
        <v>0</v>
      </c>
      <c r="R1138">
        <v>0</v>
      </c>
      <c r="S1138">
        <v>0</v>
      </c>
      <c r="T1138" s="112" t="s">
        <v>48</v>
      </c>
      <c r="U1138" s="137" t="s">
        <v>3104</v>
      </c>
      <c r="V1138" s="137" t="s">
        <v>3105</v>
      </c>
      <c r="W1138" s="69">
        <v>56</v>
      </c>
      <c r="X1138" s="136">
        <v>2</v>
      </c>
      <c r="Y1138" s="136">
        <v>18</v>
      </c>
      <c r="Z1138" s="314"/>
      <c r="AA1138" s="319">
        <v>0.5</v>
      </c>
      <c r="AB1138" s="315" t="s">
        <v>5176</v>
      </c>
      <c r="AC1138" s="319">
        <v>0</v>
      </c>
      <c r="AD1138" s="320">
        <v>0</v>
      </c>
      <c r="AE1138" s="319">
        <v>2</v>
      </c>
      <c r="AF1138" s="320">
        <v>6.0606060606060601E-2</v>
      </c>
      <c r="AG1138" s="319">
        <v>1</v>
      </c>
      <c r="AH1138" s="320">
        <v>3.03030303030303E-2</v>
      </c>
      <c r="AI1138" s="319">
        <v>0</v>
      </c>
      <c r="AJ1138" s="320">
        <v>0</v>
      </c>
      <c r="AK1138" s="320">
        <v>3.03030303030303E-2</v>
      </c>
      <c r="AL1138" s="319">
        <v>5</v>
      </c>
      <c r="AM1138" s="319">
        <v>5</v>
      </c>
      <c r="AN1138" s="319">
        <v>2</v>
      </c>
      <c r="AO1138" s="319">
        <v>0.4</v>
      </c>
      <c r="AP1138">
        <v>18</v>
      </c>
      <c r="AR1138" s="136">
        <v>18</v>
      </c>
      <c r="AT1138" s="69">
        <v>2.3148</v>
      </c>
      <c r="AU1138" s="69">
        <v>2.3148</v>
      </c>
      <c r="AV1138" s="69">
        <v>2.3148</v>
      </c>
      <c r="AW1138" s="69">
        <v>0.23150000000000001</v>
      </c>
      <c r="BB1138" s="69"/>
    </row>
    <row r="1139" spans="1:54" customFormat="1" ht="40" customHeight="1">
      <c r="A1139" s="313">
        <v>1138</v>
      </c>
      <c r="B1139" s="136" t="s">
        <v>3082</v>
      </c>
      <c r="C1139" s="136" t="s">
        <v>45</v>
      </c>
      <c r="D1139" s="31">
        <f t="shared" si="78"/>
        <v>4</v>
      </c>
      <c r="E1139" s="137" t="s">
        <v>80</v>
      </c>
      <c r="F1139" s="31">
        <f t="shared" si="79"/>
        <v>4</v>
      </c>
      <c r="G1139" s="137" t="s">
        <v>180</v>
      </c>
      <c r="H1139" s="138">
        <v>60</v>
      </c>
      <c r="I1139" s="158">
        <f t="shared" si="80"/>
        <v>0.84162152009954405</v>
      </c>
      <c r="J1139" s="95">
        <v>0.97321388264384101</v>
      </c>
      <c r="K1139" s="137">
        <v>0.71002915755524698</v>
      </c>
      <c r="L1139" s="137">
        <v>0.75</v>
      </c>
      <c r="M1139" s="137">
        <v>0.65007289388811795</v>
      </c>
      <c r="N1139" s="136">
        <v>1</v>
      </c>
      <c r="O1139" s="32">
        <v>43210</v>
      </c>
      <c r="P1139" s="98">
        <f t="shared" si="81"/>
        <v>0</v>
      </c>
      <c r="Q1139">
        <v>2.5499999999999998</v>
      </c>
      <c r="R1139">
        <v>1.65</v>
      </c>
      <c r="S1139">
        <v>0</v>
      </c>
      <c r="T1139" s="112" t="s">
        <v>48</v>
      </c>
      <c r="U1139" s="137" t="s">
        <v>3106</v>
      </c>
      <c r="V1139" s="137" t="s">
        <v>3102</v>
      </c>
      <c r="W1139" s="69">
        <v>38</v>
      </c>
      <c r="X1139" s="136">
        <v>2</v>
      </c>
      <c r="Y1139" s="136">
        <v>6</v>
      </c>
      <c r="Z1139" s="314"/>
      <c r="AA1139" s="319">
        <v>0.59450000000000003</v>
      </c>
      <c r="AB1139" s="315" t="s">
        <v>5176</v>
      </c>
      <c r="AC1139" s="319">
        <v>1</v>
      </c>
      <c r="AD1139" s="320">
        <v>4.3478260869565202E-2</v>
      </c>
      <c r="AE1139" s="319">
        <v>3</v>
      </c>
      <c r="AF1139" s="320">
        <v>0.13043478260869501</v>
      </c>
      <c r="AG1139" s="319">
        <v>0</v>
      </c>
      <c r="AH1139" s="320">
        <v>0</v>
      </c>
      <c r="AI1139" s="319">
        <v>0</v>
      </c>
      <c r="AJ1139" s="320">
        <v>0</v>
      </c>
      <c r="AK1139" s="320">
        <v>4.3478260869565223E-2</v>
      </c>
      <c r="AL1139" s="319">
        <v>5</v>
      </c>
      <c r="AM1139" s="319">
        <v>6.2</v>
      </c>
      <c r="AN1139" s="319">
        <v>4.6666666666666599</v>
      </c>
      <c r="AO1139" s="319">
        <v>0.52888888888888796</v>
      </c>
      <c r="AP1139">
        <v>6</v>
      </c>
      <c r="AR1139" s="136">
        <v>6</v>
      </c>
      <c r="AT1139" s="69">
        <v>2.3148</v>
      </c>
      <c r="AU1139" s="69">
        <v>5</v>
      </c>
      <c r="AV1139" s="69">
        <v>8.1305999999999994</v>
      </c>
      <c r="AW1139" s="69">
        <v>0.51480000000000004</v>
      </c>
      <c r="BB1139" s="69"/>
    </row>
    <row r="1140" spans="1:54" customFormat="1" ht="40" customHeight="1">
      <c r="A1140" s="313">
        <v>1139</v>
      </c>
      <c r="B1140" s="136" t="s">
        <v>3082</v>
      </c>
      <c r="C1140" s="136" t="s">
        <v>45</v>
      </c>
      <c r="D1140" s="31">
        <f t="shared" si="78"/>
        <v>4</v>
      </c>
      <c r="E1140" s="137" t="s">
        <v>80</v>
      </c>
      <c r="F1140" s="31">
        <f t="shared" si="79"/>
        <v>4</v>
      </c>
      <c r="G1140" s="137" t="s">
        <v>159</v>
      </c>
      <c r="H1140" s="138">
        <v>45</v>
      </c>
      <c r="I1140" s="158">
        <f t="shared" si="80"/>
        <v>0.73760241066610499</v>
      </c>
      <c r="J1140" s="95">
        <v>0.75298013433219801</v>
      </c>
      <c r="K1140" s="137">
        <v>0.72222468700001197</v>
      </c>
      <c r="L1140" s="137">
        <v>0.75</v>
      </c>
      <c r="M1140" s="137">
        <v>0.68056171750003003</v>
      </c>
      <c r="N1140" s="136">
        <v>1</v>
      </c>
      <c r="O1140" s="32">
        <v>43201</v>
      </c>
      <c r="P1140" s="98">
        <f t="shared" si="81"/>
        <v>0</v>
      </c>
      <c r="Q1140">
        <v>5.0999999999999996</v>
      </c>
      <c r="R1140">
        <v>1.65</v>
      </c>
      <c r="S1140">
        <v>0</v>
      </c>
      <c r="T1140" s="112" t="s">
        <v>48</v>
      </c>
      <c r="U1140" s="137" t="s">
        <v>3107</v>
      </c>
      <c r="V1140" s="137" t="s">
        <v>3108</v>
      </c>
      <c r="W1140" s="69">
        <v>165</v>
      </c>
      <c r="X1140" s="136">
        <v>1</v>
      </c>
      <c r="Y1140" s="136">
        <v>5</v>
      </c>
      <c r="Z1140" s="314"/>
      <c r="AA1140" s="319">
        <v>0.66549999999999998</v>
      </c>
      <c r="AB1140" s="315" t="s">
        <v>5165</v>
      </c>
      <c r="AC1140" s="319">
        <v>6</v>
      </c>
      <c r="AD1140" s="320">
        <v>6.7415730337078594E-2</v>
      </c>
      <c r="AE1140" s="319">
        <v>2</v>
      </c>
      <c r="AF1140" s="320">
        <v>2.2471910112359501E-2</v>
      </c>
      <c r="AG1140" s="319">
        <v>0</v>
      </c>
      <c r="AH1140" s="320">
        <v>0</v>
      </c>
      <c r="AI1140" s="319">
        <v>1</v>
      </c>
      <c r="AJ1140" s="320">
        <v>1.12359550561797E-2</v>
      </c>
      <c r="AK1140" s="320">
        <v>0</v>
      </c>
      <c r="AL1140" s="319">
        <v>6.75</v>
      </c>
      <c r="AM1140" s="319">
        <v>7.4</v>
      </c>
      <c r="AN1140" s="319">
        <v>2</v>
      </c>
      <c r="AO1140" s="319">
        <v>0.538333333333333</v>
      </c>
      <c r="AP1140">
        <v>5</v>
      </c>
      <c r="AR1140" s="136">
        <v>5</v>
      </c>
      <c r="AT1140" s="69">
        <v>6.3414000000000001</v>
      </c>
      <c r="AU1140" s="69">
        <v>7.6852</v>
      </c>
      <c r="AV1140" s="69">
        <v>2.3148</v>
      </c>
      <c r="AW1140" s="69">
        <v>0.54469999999999996</v>
      </c>
      <c r="BB1140" s="69"/>
    </row>
    <row r="1141" spans="1:54" customFormat="1" ht="40" customHeight="1">
      <c r="A1141" s="313">
        <v>1140</v>
      </c>
      <c r="B1141" s="136" t="s">
        <v>3082</v>
      </c>
      <c r="C1141" s="136" t="s">
        <v>45</v>
      </c>
      <c r="D1141" s="31">
        <f t="shared" si="78"/>
        <v>4</v>
      </c>
      <c r="E1141" s="137" t="s">
        <v>80</v>
      </c>
      <c r="F1141" s="31">
        <f t="shared" si="79"/>
        <v>4</v>
      </c>
      <c r="G1141" s="137" t="s">
        <v>159</v>
      </c>
      <c r="H1141" s="138">
        <v>86</v>
      </c>
      <c r="I1141" s="158">
        <f t="shared" si="80"/>
        <v>0.3408677847552774</v>
      </c>
      <c r="J1141" s="95">
        <v>5.44563040494772E-4</v>
      </c>
      <c r="K1141" s="137">
        <v>0.68119100647006003</v>
      </c>
      <c r="L1141" s="137">
        <v>0.82499999999999996</v>
      </c>
      <c r="M1141" s="137">
        <v>0.46547751617515098</v>
      </c>
      <c r="N1141" s="136">
        <v>1</v>
      </c>
      <c r="O1141" s="32">
        <v>43027</v>
      </c>
      <c r="P1141" s="98">
        <f t="shared" si="81"/>
        <v>0</v>
      </c>
      <c r="Q1141">
        <v>7.65</v>
      </c>
      <c r="R1141">
        <v>0</v>
      </c>
      <c r="S1141">
        <v>1.87</v>
      </c>
      <c r="T1141" s="112" t="s">
        <v>48</v>
      </c>
      <c r="U1141" s="137" t="s">
        <v>3109</v>
      </c>
      <c r="V1141" s="137" t="s">
        <v>3110</v>
      </c>
      <c r="W1141" s="69">
        <v>86</v>
      </c>
      <c r="X1141" s="136">
        <v>1</v>
      </c>
      <c r="Y1141" s="136">
        <v>14</v>
      </c>
      <c r="Z1141" s="314"/>
      <c r="AA1141" s="319">
        <v>0.54500000000000004</v>
      </c>
      <c r="AB1141" s="315" t="s">
        <v>5165</v>
      </c>
      <c r="AC1141" s="319">
        <v>3</v>
      </c>
      <c r="AD1141" s="320">
        <v>6.5217391304347797E-2</v>
      </c>
      <c r="AE1141" s="319">
        <v>2</v>
      </c>
      <c r="AF1141" s="320">
        <v>4.3478260869565202E-2</v>
      </c>
      <c r="AG1141" s="319">
        <v>1</v>
      </c>
      <c r="AH1141" s="320">
        <v>2.1739130434782601E-2</v>
      </c>
      <c r="AI1141" s="319">
        <v>0</v>
      </c>
      <c r="AJ1141" s="320">
        <v>0</v>
      </c>
      <c r="AK1141" s="320">
        <v>0</v>
      </c>
      <c r="AL1141" s="319">
        <v>5</v>
      </c>
      <c r="AM1141" s="319">
        <v>5</v>
      </c>
      <c r="AN1141" s="319">
        <v>4.6666666666666599</v>
      </c>
      <c r="AO1141" s="319">
        <v>0.48888888888888798</v>
      </c>
      <c r="AP1141">
        <v>14</v>
      </c>
      <c r="AR1141" s="136">
        <v>14</v>
      </c>
      <c r="AT1141" s="69">
        <v>2.3148</v>
      </c>
      <c r="AU1141" s="69">
        <v>2.3148</v>
      </c>
      <c r="AV1141" s="69">
        <v>8.1305999999999994</v>
      </c>
      <c r="AW1141" s="69">
        <v>0.42530000000000001</v>
      </c>
      <c r="BB1141" s="69"/>
    </row>
    <row r="1142" spans="1:54" customFormat="1" ht="40" customHeight="1">
      <c r="A1142" s="313">
        <v>1141</v>
      </c>
      <c r="B1142" s="136" t="s">
        <v>3082</v>
      </c>
      <c r="C1142" s="136" t="s">
        <v>59</v>
      </c>
      <c r="D1142" s="31">
        <f t="shared" si="78"/>
        <v>5</v>
      </c>
      <c r="E1142" s="137" t="s">
        <v>46</v>
      </c>
      <c r="F1142" s="31">
        <f t="shared" si="79"/>
        <v>6</v>
      </c>
      <c r="G1142" s="137" t="s">
        <v>3111</v>
      </c>
      <c r="H1142" s="138">
        <v>59</v>
      </c>
      <c r="I1142" s="158">
        <f t="shared" si="80"/>
        <v>0.59118429721182753</v>
      </c>
      <c r="J1142" s="95">
        <v>0.43042054247560302</v>
      </c>
      <c r="K1142" s="137">
        <v>0.75194805194805203</v>
      </c>
      <c r="L1142" s="137">
        <v>0.68181818181818199</v>
      </c>
      <c r="M1142" s="137">
        <v>0.85714285714285698</v>
      </c>
      <c r="N1142" s="136">
        <v>0</v>
      </c>
      <c r="O1142" s="32">
        <v>42955</v>
      </c>
      <c r="P1142" s="98">
        <f t="shared" si="81"/>
        <v>2</v>
      </c>
      <c r="Q1142">
        <v>0</v>
      </c>
      <c r="R1142">
        <v>0</v>
      </c>
      <c r="S1142">
        <v>0</v>
      </c>
      <c r="T1142" s="112" t="s">
        <v>64</v>
      </c>
      <c r="U1142" s="137" t="s">
        <v>3112</v>
      </c>
      <c r="V1142" s="137" t="s">
        <v>3113</v>
      </c>
      <c r="W1142" s="69">
        <v>85</v>
      </c>
      <c r="X1142" s="136">
        <v>2</v>
      </c>
      <c r="Y1142" s="136">
        <v>1</v>
      </c>
      <c r="Z1142" s="314"/>
      <c r="AA1142" s="319">
        <v>0.55000000000000004</v>
      </c>
      <c r="AB1142" s="315" t="s">
        <v>5176</v>
      </c>
      <c r="AC1142" s="319">
        <v>1</v>
      </c>
      <c r="AD1142" s="320">
        <v>2.04081632653061E-2</v>
      </c>
      <c r="AE1142" s="319">
        <v>5</v>
      </c>
      <c r="AF1142" s="320">
        <v>0.10204081632653</v>
      </c>
      <c r="AG1142" s="319">
        <v>0</v>
      </c>
      <c r="AH1142" s="320">
        <v>0</v>
      </c>
      <c r="AI1142" s="319">
        <v>0</v>
      </c>
      <c r="AJ1142" s="320">
        <v>0</v>
      </c>
      <c r="AK1142" s="320">
        <v>2.0408163265306121E-2</v>
      </c>
      <c r="AL1142" s="319">
        <v>5</v>
      </c>
      <c r="AM1142" s="319">
        <v>5</v>
      </c>
      <c r="AN1142" s="319">
        <v>3.5</v>
      </c>
      <c r="AO1142" s="319">
        <v>0.45</v>
      </c>
      <c r="AP1142">
        <v>1</v>
      </c>
      <c r="AR1142" s="136">
        <v>1</v>
      </c>
      <c r="AT1142" s="69">
        <v>2.3148</v>
      </c>
      <c r="AU1142" s="69">
        <v>2.3148</v>
      </c>
      <c r="AV1142" s="69">
        <v>5.7443999999999997</v>
      </c>
      <c r="AW1142" s="69">
        <v>0.3458</v>
      </c>
      <c r="BB1142" s="69"/>
    </row>
    <row r="1143" spans="1:54" customFormat="1" ht="40" customHeight="1">
      <c r="A1143" s="313">
        <v>1142</v>
      </c>
      <c r="B1143" s="136" t="s">
        <v>3082</v>
      </c>
      <c r="C1143" s="136" t="s">
        <v>45</v>
      </c>
      <c r="D1143" s="31">
        <f t="shared" si="78"/>
        <v>4</v>
      </c>
      <c r="E1143" s="137" t="s">
        <v>46</v>
      </c>
      <c r="F1143" s="31">
        <f t="shared" si="79"/>
        <v>6</v>
      </c>
      <c r="G1143" s="137" t="s">
        <v>3114</v>
      </c>
      <c r="H1143" s="138">
        <v>476</v>
      </c>
      <c r="I1143" s="158">
        <f t="shared" si="80"/>
        <v>0.84940710539815445</v>
      </c>
      <c r="J1143" s="95">
        <v>1</v>
      </c>
      <c r="K1143" s="137">
        <v>0.69881421079630901</v>
      </c>
      <c r="L1143" s="137">
        <v>0.75</v>
      </c>
      <c r="M1143" s="137">
        <v>0.62203552699077302</v>
      </c>
      <c r="N1143" s="136">
        <v>1</v>
      </c>
      <c r="O1143" s="32">
        <v>42614</v>
      </c>
      <c r="P1143" s="98">
        <f t="shared" si="81"/>
        <v>0</v>
      </c>
      <c r="Q1143">
        <v>5.0999999999999996</v>
      </c>
      <c r="R1143">
        <v>1.65</v>
      </c>
      <c r="S1143">
        <v>0</v>
      </c>
      <c r="T1143" s="112" t="s">
        <v>48</v>
      </c>
      <c r="U1143" s="137" t="s">
        <v>3115</v>
      </c>
      <c r="V1143" s="137" t="s">
        <v>3116</v>
      </c>
      <c r="W1143" s="69">
        <v>74</v>
      </c>
      <c r="X1143" s="136">
        <v>2</v>
      </c>
      <c r="Y1143" s="136">
        <v>7</v>
      </c>
      <c r="Z1143" s="314"/>
      <c r="AA1143" s="319">
        <v>0.45454545454545398</v>
      </c>
      <c r="AB1143" s="315" t="s">
        <v>5178</v>
      </c>
      <c r="AC1143" s="319">
        <v>1</v>
      </c>
      <c r="AD1143" s="320">
        <v>2.2222222222222199E-2</v>
      </c>
      <c r="AE1143" s="319">
        <v>1</v>
      </c>
      <c r="AF1143" s="320">
        <v>2.2222222222222199E-2</v>
      </c>
      <c r="AG1143" s="319">
        <v>0</v>
      </c>
      <c r="AH1143" s="320">
        <v>0</v>
      </c>
      <c r="AI1143" s="319">
        <v>0</v>
      </c>
      <c r="AJ1143" s="320">
        <v>0</v>
      </c>
      <c r="AK1143" s="320">
        <v>0</v>
      </c>
      <c r="AL1143" s="319">
        <v>5</v>
      </c>
      <c r="AM1143" s="319">
        <v>5</v>
      </c>
      <c r="AN1143" s="319">
        <v>4.6666666666666599</v>
      </c>
      <c r="AO1143" s="319">
        <v>0.48888888888888798</v>
      </c>
      <c r="AP1143">
        <v>7</v>
      </c>
      <c r="AR1143" s="136">
        <v>7</v>
      </c>
      <c r="AT1143" s="69">
        <v>2.3148</v>
      </c>
      <c r="AU1143" s="69">
        <v>2.3148</v>
      </c>
      <c r="AV1143" s="69">
        <v>8.1305999999999994</v>
      </c>
      <c r="AW1143" s="69">
        <v>0.42530000000000001</v>
      </c>
      <c r="BB1143" s="69"/>
    </row>
    <row r="1144" spans="1:54" customFormat="1" ht="40" customHeight="1">
      <c r="A1144" s="313">
        <v>1143</v>
      </c>
      <c r="B1144" s="136" t="s">
        <v>3117</v>
      </c>
      <c r="C1144" s="136" t="s">
        <v>45</v>
      </c>
      <c r="D1144" s="31">
        <f t="shared" si="78"/>
        <v>4</v>
      </c>
      <c r="E1144" s="137" t="s">
        <v>46</v>
      </c>
      <c r="F1144" s="31">
        <f t="shared" si="79"/>
        <v>6</v>
      </c>
      <c r="G1144" s="137" t="s">
        <v>3118</v>
      </c>
      <c r="H1144" s="138">
        <v>39</v>
      </c>
      <c r="I1144" s="158">
        <f t="shared" si="80"/>
        <v>0.86410467511232547</v>
      </c>
      <c r="J1144" s="95">
        <v>0.99249506451036495</v>
      </c>
      <c r="K1144" s="137">
        <v>0.73571428571428599</v>
      </c>
      <c r="L1144" s="137">
        <v>0.75</v>
      </c>
      <c r="M1144" s="137">
        <v>0.71428571428571397</v>
      </c>
      <c r="N1144" s="136">
        <v>0</v>
      </c>
      <c r="O1144" s="32">
        <v>43678</v>
      </c>
      <c r="P1144" s="98">
        <f t="shared" si="81"/>
        <v>0</v>
      </c>
      <c r="Q1144">
        <v>2.5499999999999998</v>
      </c>
      <c r="R1144">
        <v>1.65</v>
      </c>
      <c r="S1144">
        <v>1.87</v>
      </c>
      <c r="T1144" s="112" t="s">
        <v>48</v>
      </c>
      <c r="U1144" s="137" t="s">
        <v>3119</v>
      </c>
      <c r="V1144" s="137" t="s">
        <v>3120</v>
      </c>
      <c r="W1144" s="69">
        <v>102</v>
      </c>
      <c r="X1144" s="136">
        <v>3</v>
      </c>
      <c r="Y1144" s="136">
        <v>4</v>
      </c>
      <c r="Z1144" s="314"/>
      <c r="AA1144" s="319">
        <v>0.55000000000000004</v>
      </c>
      <c r="AB1144" s="315" t="s">
        <v>5168</v>
      </c>
      <c r="AC1144" s="319">
        <v>1</v>
      </c>
      <c r="AD1144" s="320">
        <v>1.72413793103448E-2</v>
      </c>
      <c r="AE1144" s="319">
        <v>2</v>
      </c>
      <c r="AF1144" s="320">
        <v>3.4482758620689599E-2</v>
      </c>
      <c r="AG1144" s="319">
        <v>3</v>
      </c>
      <c r="AH1144" s="320">
        <v>5.1724137931034399E-2</v>
      </c>
      <c r="AI1144" s="319">
        <v>0</v>
      </c>
      <c r="AJ1144" s="320">
        <v>0</v>
      </c>
      <c r="AK1144" s="320">
        <v>0</v>
      </c>
      <c r="AL1144" s="319">
        <v>5</v>
      </c>
      <c r="AM1144" s="319">
        <v>5</v>
      </c>
      <c r="AN1144" s="319">
        <v>4.6666666666666599</v>
      </c>
      <c r="AO1144" s="319">
        <v>0.48888888888888798</v>
      </c>
      <c r="AP1144">
        <v>4</v>
      </c>
      <c r="AS1144" s="136">
        <v>4</v>
      </c>
      <c r="AT1144" s="69">
        <v>2.3148</v>
      </c>
      <c r="AU1144" s="69">
        <v>2.3148</v>
      </c>
      <c r="AV1144" s="69">
        <v>8.1305999999999994</v>
      </c>
      <c r="AW1144" s="69">
        <v>0.42530000000000001</v>
      </c>
      <c r="BB1144" s="69"/>
    </row>
    <row r="1145" spans="1:54" customFormat="1" ht="40" customHeight="1">
      <c r="A1145" s="313">
        <v>1144</v>
      </c>
      <c r="B1145" s="136" t="s">
        <v>3117</v>
      </c>
      <c r="C1145" s="136" t="s">
        <v>45</v>
      </c>
      <c r="D1145" s="31">
        <f t="shared" si="78"/>
        <v>4</v>
      </c>
      <c r="E1145" s="137" t="s">
        <v>46</v>
      </c>
      <c r="F1145" s="31">
        <f t="shared" si="79"/>
        <v>6</v>
      </c>
      <c r="G1145" s="137" t="s">
        <v>3121</v>
      </c>
      <c r="H1145" s="138">
        <v>40</v>
      </c>
      <c r="I1145" s="158">
        <f t="shared" si="80"/>
        <v>0.40019485196247195</v>
      </c>
      <c r="J1145" s="95">
        <v>0.112014111053298</v>
      </c>
      <c r="K1145" s="137">
        <v>0.68837559287164596</v>
      </c>
      <c r="L1145" s="137">
        <v>0.75</v>
      </c>
      <c r="M1145" s="137">
        <v>0.59593898217911601</v>
      </c>
      <c r="N1145" s="136">
        <v>0</v>
      </c>
      <c r="O1145" s="32">
        <v>43381</v>
      </c>
      <c r="P1145" s="98">
        <f t="shared" si="81"/>
        <v>2</v>
      </c>
      <c r="Q1145">
        <v>0</v>
      </c>
      <c r="R1145">
        <v>0</v>
      </c>
      <c r="S1145">
        <v>0</v>
      </c>
      <c r="T1145" s="112" t="s">
        <v>64</v>
      </c>
      <c r="U1145" s="137" t="s">
        <v>3122</v>
      </c>
      <c r="V1145" s="137" t="s">
        <v>3123</v>
      </c>
      <c r="W1145" s="69">
        <v>136</v>
      </c>
      <c r="X1145" s="136">
        <v>1</v>
      </c>
      <c r="Y1145" s="136">
        <v>8</v>
      </c>
      <c r="Z1145" s="314"/>
      <c r="AA1145" s="319">
        <v>0.60499999999999998</v>
      </c>
      <c r="AB1145" s="315" t="s">
        <v>5167</v>
      </c>
      <c r="AC1145" s="319">
        <v>0</v>
      </c>
      <c r="AD1145" s="320">
        <v>0</v>
      </c>
      <c r="AE1145" s="319">
        <v>0</v>
      </c>
      <c r="AF1145" s="320">
        <v>0</v>
      </c>
      <c r="AG1145" s="319">
        <v>1</v>
      </c>
      <c r="AH1145" s="320">
        <v>1.4084507042253501E-2</v>
      </c>
      <c r="AI1145" s="319">
        <v>2</v>
      </c>
      <c r="AJ1145" s="320">
        <v>2.8169014084507001E-2</v>
      </c>
      <c r="AK1145" s="320">
        <v>0</v>
      </c>
      <c r="AL1145" s="319">
        <v>5</v>
      </c>
      <c r="AM1145" s="319">
        <v>6.2</v>
      </c>
      <c r="AN1145" s="319">
        <v>2</v>
      </c>
      <c r="AO1145" s="319">
        <v>0.44</v>
      </c>
      <c r="AP1145">
        <v>8</v>
      </c>
      <c r="AR1145" s="136">
        <v>8</v>
      </c>
      <c r="AT1145" s="69">
        <v>2.3148</v>
      </c>
      <c r="AU1145" s="69">
        <v>5</v>
      </c>
      <c r="AV1145" s="69">
        <v>2.3148</v>
      </c>
      <c r="AW1145" s="69">
        <v>0.32100000000000001</v>
      </c>
      <c r="BB1145" s="69"/>
    </row>
    <row r="1146" spans="1:54" customFormat="1" ht="40" customHeight="1">
      <c r="A1146" s="313">
        <v>1145</v>
      </c>
      <c r="B1146" s="136" t="s">
        <v>3117</v>
      </c>
      <c r="C1146" s="136" t="s">
        <v>45</v>
      </c>
      <c r="D1146" s="31">
        <f t="shared" si="78"/>
        <v>4</v>
      </c>
      <c r="E1146" s="137" t="s">
        <v>80</v>
      </c>
      <c r="F1146" s="31">
        <f t="shared" si="79"/>
        <v>4</v>
      </c>
      <c r="G1146" s="137" t="s">
        <v>3124</v>
      </c>
      <c r="H1146" s="138">
        <v>65</v>
      </c>
      <c r="I1146" s="158">
        <f t="shared" si="80"/>
        <v>0.34940725026374625</v>
      </c>
      <c r="J1146" s="95">
        <v>2.8973118348929498E-7</v>
      </c>
      <c r="K1146" s="137">
        <v>0.69881421079630901</v>
      </c>
      <c r="L1146" s="137">
        <v>0.75</v>
      </c>
      <c r="M1146" s="137">
        <v>0.62203552699077302</v>
      </c>
      <c r="N1146" s="136">
        <v>1</v>
      </c>
      <c r="O1146" s="32">
        <v>43319</v>
      </c>
      <c r="P1146" s="98">
        <f t="shared" si="81"/>
        <v>0</v>
      </c>
      <c r="Q1146">
        <v>0</v>
      </c>
      <c r="R1146">
        <v>0</v>
      </c>
      <c r="S1146">
        <v>0</v>
      </c>
      <c r="T1146" s="112" t="s">
        <v>48</v>
      </c>
      <c r="U1146" s="137" t="s">
        <v>3125</v>
      </c>
      <c r="V1146" s="137" t="s">
        <v>3126</v>
      </c>
      <c r="W1146" s="69">
        <v>33</v>
      </c>
      <c r="X1146" s="136">
        <v>2</v>
      </c>
      <c r="Y1146" s="136">
        <v>7</v>
      </c>
      <c r="Z1146" s="314"/>
      <c r="AA1146" s="319">
        <v>0.59450000000000003</v>
      </c>
      <c r="AB1146" s="315" t="s">
        <v>5176</v>
      </c>
      <c r="AC1146" s="319">
        <v>1</v>
      </c>
      <c r="AD1146" s="320">
        <v>5.5555555555555497E-2</v>
      </c>
      <c r="AE1146" s="319">
        <v>3</v>
      </c>
      <c r="AF1146" s="320">
        <v>0.16666666666666599</v>
      </c>
      <c r="AG1146" s="319">
        <v>0</v>
      </c>
      <c r="AH1146" s="320">
        <v>0</v>
      </c>
      <c r="AI1146" s="319">
        <v>0</v>
      </c>
      <c r="AJ1146" s="320">
        <v>0</v>
      </c>
      <c r="AK1146" s="320">
        <v>5.5555555555555552E-2</v>
      </c>
      <c r="AL1146" s="319">
        <v>5</v>
      </c>
      <c r="AM1146" s="319">
        <v>7.4</v>
      </c>
      <c r="AN1146" s="319">
        <v>4.6666666666666599</v>
      </c>
      <c r="AO1146" s="319">
        <v>0.568888888888888</v>
      </c>
      <c r="AP1146">
        <v>7</v>
      </c>
      <c r="AR1146" s="136">
        <v>7</v>
      </c>
      <c r="AT1146" s="69">
        <v>2.3148</v>
      </c>
      <c r="AU1146" s="69">
        <v>7.6852</v>
      </c>
      <c r="AV1146" s="69">
        <v>8.1305999999999994</v>
      </c>
      <c r="AW1146" s="69">
        <v>0.60440000000000005</v>
      </c>
      <c r="BB1146" s="69"/>
    </row>
    <row r="1147" spans="1:54" customFormat="1" ht="40" customHeight="1">
      <c r="A1147" s="313">
        <v>1146</v>
      </c>
      <c r="B1147" s="136" t="s">
        <v>3117</v>
      </c>
      <c r="C1147" s="136" t="s">
        <v>45</v>
      </c>
      <c r="D1147" s="31">
        <f t="shared" si="78"/>
        <v>4</v>
      </c>
      <c r="E1147" s="137" t="s">
        <v>46</v>
      </c>
      <c r="F1147" s="31">
        <f t="shared" si="79"/>
        <v>6</v>
      </c>
      <c r="G1147" s="137" t="s">
        <v>3127</v>
      </c>
      <c r="H1147" s="138">
        <v>107</v>
      </c>
      <c r="I1147" s="158">
        <f t="shared" si="80"/>
        <v>0.30623562124169718</v>
      </c>
      <c r="J1147" s="95">
        <v>1.3289971146423999E-3</v>
      </c>
      <c r="K1147" s="137">
        <v>0.61114224536875195</v>
      </c>
      <c r="L1147" s="137">
        <v>0.68181818181818199</v>
      </c>
      <c r="M1147" s="137">
        <v>0.50512834069460699</v>
      </c>
      <c r="N1147" s="136">
        <v>1</v>
      </c>
      <c r="O1147" s="32">
        <v>43175</v>
      </c>
      <c r="P1147" s="98">
        <f t="shared" si="81"/>
        <v>1</v>
      </c>
      <c r="Q1147">
        <v>0</v>
      </c>
      <c r="R1147">
        <v>1.65</v>
      </c>
      <c r="S1147">
        <v>0</v>
      </c>
      <c r="T1147" s="112" t="s">
        <v>73</v>
      </c>
      <c r="U1147" s="137" t="s">
        <v>3128</v>
      </c>
      <c r="V1147" s="137" t="s">
        <v>3129</v>
      </c>
      <c r="W1147" s="69">
        <v>75</v>
      </c>
      <c r="X1147" s="136">
        <v>2</v>
      </c>
      <c r="Y1147" s="136">
        <v>12</v>
      </c>
      <c r="Z1147" s="314"/>
      <c r="AA1147" s="319">
        <v>0.60499999999999998</v>
      </c>
      <c r="AB1147" s="315" t="s">
        <v>5177</v>
      </c>
      <c r="AC1147" s="319">
        <v>0</v>
      </c>
      <c r="AD1147" s="320">
        <v>0</v>
      </c>
      <c r="AE1147" s="319">
        <v>1</v>
      </c>
      <c r="AF1147" s="320">
        <v>2.5641025641025599E-2</v>
      </c>
      <c r="AG1147" s="319">
        <v>1</v>
      </c>
      <c r="AH1147" s="320">
        <v>2.5641025641025599E-2</v>
      </c>
      <c r="AI1147" s="319">
        <v>0</v>
      </c>
      <c r="AJ1147" s="320">
        <v>0</v>
      </c>
      <c r="AK1147" s="320">
        <v>2.564102564102564E-2</v>
      </c>
      <c r="AL1147" s="319">
        <v>10</v>
      </c>
      <c r="AM1147" s="319">
        <v>8.3333333333333304</v>
      </c>
      <c r="AN1147" s="319">
        <v>7.3333333333333304</v>
      </c>
      <c r="AO1147" s="319">
        <v>0.85555555555555496</v>
      </c>
      <c r="AP1147">
        <v>12</v>
      </c>
      <c r="AQ1147" s="136">
        <v>12</v>
      </c>
      <c r="AT1147" s="69">
        <v>9.9405999999999999</v>
      </c>
      <c r="AU1147" s="69">
        <v>8.9379000000000008</v>
      </c>
      <c r="AV1147" s="69">
        <v>9.8416999999999994</v>
      </c>
      <c r="AW1147" s="69">
        <v>0.95730000000000004</v>
      </c>
      <c r="BB1147" s="69"/>
    </row>
    <row r="1148" spans="1:54" customFormat="1" ht="40" customHeight="1">
      <c r="A1148" s="313">
        <v>1147</v>
      </c>
      <c r="B1148" s="136" t="s">
        <v>3117</v>
      </c>
      <c r="C1148" s="136" t="s">
        <v>45</v>
      </c>
      <c r="D1148" s="31">
        <f t="shared" si="78"/>
        <v>4</v>
      </c>
      <c r="E1148" s="137" t="s">
        <v>46</v>
      </c>
      <c r="F1148" s="31">
        <f t="shared" si="79"/>
        <v>6</v>
      </c>
      <c r="G1148" s="137" t="s">
        <v>3130</v>
      </c>
      <c r="H1148" s="138">
        <v>171</v>
      </c>
      <c r="I1148" s="158">
        <f t="shared" si="80"/>
        <v>0.30986607902284052</v>
      </c>
      <c r="J1148" s="95">
        <v>1.6266554650901099E-4</v>
      </c>
      <c r="K1148" s="137">
        <v>0.61956949249917204</v>
      </c>
      <c r="L1148" s="137">
        <v>0.68181818181818199</v>
      </c>
      <c r="M1148" s="137">
        <v>0.526196458520657</v>
      </c>
      <c r="N1148" s="136">
        <v>1</v>
      </c>
      <c r="O1148" s="32">
        <v>43070</v>
      </c>
      <c r="P1148" s="98">
        <f t="shared" si="81"/>
        <v>1</v>
      </c>
      <c r="Q1148">
        <v>0</v>
      </c>
      <c r="R1148">
        <v>1.65</v>
      </c>
      <c r="S1148">
        <v>0</v>
      </c>
      <c r="T1148" s="112" t="s">
        <v>73</v>
      </c>
      <c r="U1148" s="137" t="s">
        <v>3131</v>
      </c>
      <c r="V1148" s="137" t="s">
        <v>3132</v>
      </c>
      <c r="W1148" s="69">
        <v>279</v>
      </c>
      <c r="X1148" s="136">
        <v>2</v>
      </c>
      <c r="Y1148" s="136">
        <v>11</v>
      </c>
      <c r="Z1148" s="314"/>
      <c r="AA1148" s="319">
        <v>0.60499999999999998</v>
      </c>
      <c r="AB1148" s="315" t="s">
        <v>5178</v>
      </c>
      <c r="AC1148" s="319">
        <v>3</v>
      </c>
      <c r="AD1148" s="320">
        <v>2.0689655172413699E-2</v>
      </c>
      <c r="AE1148" s="319">
        <v>3</v>
      </c>
      <c r="AF1148" s="320">
        <v>2.0689655172413699E-2</v>
      </c>
      <c r="AG1148" s="319">
        <v>1</v>
      </c>
      <c r="AH1148" s="320">
        <v>6.8965517241379301E-3</v>
      </c>
      <c r="AI1148" s="319">
        <v>1</v>
      </c>
      <c r="AJ1148" s="320">
        <v>6.8965517241379301E-3</v>
      </c>
      <c r="AK1148" s="320">
        <v>0</v>
      </c>
      <c r="AL1148" s="319">
        <v>10</v>
      </c>
      <c r="AM1148" s="319">
        <v>8.3333333333333304</v>
      </c>
      <c r="AN1148" s="319">
        <v>4.6666666666666599</v>
      </c>
      <c r="AO1148" s="319">
        <v>0.76666666666666605</v>
      </c>
      <c r="AP1148">
        <v>11</v>
      </c>
      <c r="AQ1148" s="136">
        <v>11</v>
      </c>
      <c r="AT1148" s="69">
        <v>9.9939999999999998</v>
      </c>
      <c r="AU1148" s="69">
        <v>8.9379000000000008</v>
      </c>
      <c r="AV1148" s="69">
        <v>8.1305999999999994</v>
      </c>
      <c r="AW1148" s="69">
        <v>0.90210000000000001</v>
      </c>
      <c r="BB1148" s="69"/>
    </row>
    <row r="1149" spans="1:54" customFormat="1" ht="40" customHeight="1">
      <c r="A1149" s="313">
        <v>1148</v>
      </c>
      <c r="B1149" s="136" t="s">
        <v>3117</v>
      </c>
      <c r="C1149" s="136" t="s">
        <v>45</v>
      </c>
      <c r="D1149" s="31">
        <f t="shared" si="78"/>
        <v>4</v>
      </c>
      <c r="E1149" s="137" t="s">
        <v>46</v>
      </c>
      <c r="F1149" s="31">
        <f t="shared" si="79"/>
        <v>6</v>
      </c>
      <c r="G1149" s="137" t="s">
        <v>3133</v>
      </c>
      <c r="H1149" s="138">
        <v>214</v>
      </c>
      <c r="I1149" s="158">
        <f t="shared" si="80"/>
        <v>0.30558553850780623</v>
      </c>
      <c r="J1149" s="95">
        <v>2.8831646860516502E-5</v>
      </c>
      <c r="K1149" s="137">
        <v>0.61114224536875195</v>
      </c>
      <c r="L1149" s="137">
        <v>0.68181818181818199</v>
      </c>
      <c r="M1149" s="137">
        <v>0.50512834069460699</v>
      </c>
      <c r="N1149" s="136">
        <v>1</v>
      </c>
      <c r="O1149" s="32">
        <v>43040</v>
      </c>
      <c r="P1149" s="98">
        <f t="shared" si="81"/>
        <v>2</v>
      </c>
      <c r="Q1149">
        <v>0</v>
      </c>
      <c r="R1149">
        <v>1.65</v>
      </c>
      <c r="S1149">
        <v>1.87</v>
      </c>
      <c r="T1149" s="112" t="s">
        <v>64</v>
      </c>
      <c r="U1149" s="137" t="s">
        <v>3134</v>
      </c>
      <c r="V1149" s="137" t="s">
        <v>3135</v>
      </c>
      <c r="W1149" s="69">
        <v>199</v>
      </c>
      <c r="X1149" s="136">
        <v>2</v>
      </c>
      <c r="Y1149" s="136">
        <v>12</v>
      </c>
      <c r="Z1149" s="314"/>
      <c r="AA1149" s="319">
        <v>0.55000000000000004</v>
      </c>
      <c r="AB1149" s="315" t="s">
        <v>5178</v>
      </c>
      <c r="AC1149" s="319">
        <v>2</v>
      </c>
      <c r="AD1149" s="320">
        <v>1.8867924528301799E-2</v>
      </c>
      <c r="AE1149" s="319">
        <v>2</v>
      </c>
      <c r="AF1149" s="320">
        <v>1.8867924528301799E-2</v>
      </c>
      <c r="AG1149" s="319">
        <v>1</v>
      </c>
      <c r="AH1149" s="320">
        <v>9.4339622641509396E-3</v>
      </c>
      <c r="AI1149" s="319">
        <v>1</v>
      </c>
      <c r="AJ1149" s="320">
        <v>9.4339622641509396E-3</v>
      </c>
      <c r="AK1149" s="320">
        <v>0</v>
      </c>
      <c r="AL1149" s="319">
        <v>10</v>
      </c>
      <c r="AM1149" s="319">
        <v>8.3333333333333304</v>
      </c>
      <c r="AN1149" s="319">
        <v>10</v>
      </c>
      <c r="AO1149" s="319">
        <v>0.94444444444444398</v>
      </c>
      <c r="AP1149">
        <v>12</v>
      </c>
      <c r="AQ1149" s="136">
        <v>12</v>
      </c>
      <c r="AT1149" s="69">
        <v>9.9993999999999996</v>
      </c>
      <c r="AU1149" s="69">
        <v>8.9379000000000008</v>
      </c>
      <c r="AV1149" s="69">
        <v>9.9888999999999992</v>
      </c>
      <c r="AW1149" s="69">
        <v>0.96419999999999995</v>
      </c>
      <c r="BB1149" s="69"/>
    </row>
    <row r="1150" spans="1:54" customFormat="1" ht="40" customHeight="1">
      <c r="A1150" s="313">
        <v>1149</v>
      </c>
      <c r="B1150" s="136" t="s">
        <v>3117</v>
      </c>
      <c r="C1150" s="136" t="s">
        <v>45</v>
      </c>
      <c r="D1150" s="31">
        <f t="shared" si="78"/>
        <v>4</v>
      </c>
      <c r="E1150" s="137" t="s">
        <v>46</v>
      </c>
      <c r="F1150" s="31">
        <f t="shared" si="79"/>
        <v>6</v>
      </c>
      <c r="G1150" s="137" t="s">
        <v>3130</v>
      </c>
      <c r="H1150" s="138">
        <v>130</v>
      </c>
      <c r="I1150" s="158">
        <f t="shared" si="80"/>
        <v>0.80024557768993643</v>
      </c>
      <c r="J1150" s="95">
        <v>0.90343981910202997</v>
      </c>
      <c r="K1150" s="137">
        <v>0.69705133627784299</v>
      </c>
      <c r="L1150" s="137">
        <v>0.82499999999999996</v>
      </c>
      <c r="M1150" s="137">
        <v>0.50512834069460699</v>
      </c>
      <c r="N1150" s="136">
        <v>1</v>
      </c>
      <c r="O1150" s="32">
        <v>43028</v>
      </c>
      <c r="P1150" s="98">
        <f t="shared" si="81"/>
        <v>1</v>
      </c>
      <c r="Q1150">
        <v>0</v>
      </c>
      <c r="R1150">
        <v>3.3</v>
      </c>
      <c r="S1150">
        <v>1.87</v>
      </c>
      <c r="T1150" s="112" t="s">
        <v>73</v>
      </c>
      <c r="U1150" s="137" t="s">
        <v>3136</v>
      </c>
      <c r="V1150" s="137" t="s">
        <v>3135</v>
      </c>
      <c r="W1150" s="69">
        <v>199</v>
      </c>
      <c r="X1150" s="136">
        <v>2</v>
      </c>
      <c r="Y1150" s="136">
        <v>12</v>
      </c>
      <c r="Z1150" s="314"/>
      <c r="AA1150" s="319">
        <v>0.60499999999999998</v>
      </c>
      <c r="AB1150" s="315" t="s">
        <v>5178</v>
      </c>
      <c r="AC1150" s="319">
        <v>2</v>
      </c>
      <c r="AD1150" s="320">
        <v>1.8867924528301799E-2</v>
      </c>
      <c r="AE1150" s="319">
        <v>2</v>
      </c>
      <c r="AF1150" s="320">
        <v>1.8867924528301799E-2</v>
      </c>
      <c r="AG1150" s="319">
        <v>1</v>
      </c>
      <c r="AH1150" s="320">
        <v>9.4339622641509396E-3</v>
      </c>
      <c r="AI1150" s="319">
        <v>1</v>
      </c>
      <c r="AJ1150" s="320">
        <v>9.4339622641509396E-3</v>
      </c>
      <c r="AK1150" s="320">
        <v>0</v>
      </c>
      <c r="AL1150" s="319">
        <v>9.0357142857142794</v>
      </c>
      <c r="AM1150" s="319">
        <v>5</v>
      </c>
      <c r="AN1150" s="319">
        <v>7.3333333333333304</v>
      </c>
      <c r="AO1150" s="319">
        <v>0.71230158730158699</v>
      </c>
      <c r="AP1150">
        <v>12</v>
      </c>
      <c r="AQ1150" s="136">
        <v>12</v>
      </c>
      <c r="AT1150" s="69">
        <v>9.4480000000000004</v>
      </c>
      <c r="AU1150" s="69">
        <v>2.3148</v>
      </c>
      <c r="AV1150" s="69">
        <v>9.8416999999999994</v>
      </c>
      <c r="AW1150" s="69">
        <v>0.72019999999999995</v>
      </c>
      <c r="BB1150" s="69"/>
    </row>
    <row r="1151" spans="1:54" customFormat="1" ht="40" customHeight="1">
      <c r="A1151" s="313">
        <v>1150</v>
      </c>
      <c r="B1151" s="136" t="s">
        <v>3117</v>
      </c>
      <c r="C1151" s="136" t="s">
        <v>45</v>
      </c>
      <c r="D1151" s="31">
        <f t="shared" si="78"/>
        <v>4</v>
      </c>
      <c r="E1151" s="137" t="s">
        <v>46</v>
      </c>
      <c r="F1151" s="31">
        <f t="shared" si="79"/>
        <v>6</v>
      </c>
      <c r="G1151" s="137" t="s">
        <v>3130</v>
      </c>
      <c r="H1151" s="138">
        <v>52</v>
      </c>
      <c r="I1151" s="158">
        <f t="shared" si="80"/>
        <v>0.35307137932848193</v>
      </c>
      <c r="J1151" s="95">
        <v>6.6417524870088197E-4</v>
      </c>
      <c r="K1151" s="137">
        <v>0.70547858340826297</v>
      </c>
      <c r="L1151" s="137">
        <v>0.82499999999999996</v>
      </c>
      <c r="M1151" s="137">
        <v>0.526196458520657</v>
      </c>
      <c r="N1151" s="136">
        <v>1</v>
      </c>
      <c r="O1151" s="32">
        <v>43015</v>
      </c>
      <c r="P1151" s="98">
        <f t="shared" si="81"/>
        <v>1</v>
      </c>
      <c r="Q1151">
        <v>0</v>
      </c>
      <c r="R1151">
        <v>1.65</v>
      </c>
      <c r="S1151">
        <v>0</v>
      </c>
      <c r="T1151" s="112" t="s">
        <v>73</v>
      </c>
      <c r="U1151" s="137" t="s">
        <v>3137</v>
      </c>
      <c r="V1151" s="137" t="s">
        <v>3135</v>
      </c>
      <c r="W1151" s="69">
        <v>199</v>
      </c>
      <c r="X1151" s="136">
        <v>2</v>
      </c>
      <c r="Y1151" s="136">
        <v>11</v>
      </c>
      <c r="Z1151" s="314"/>
      <c r="AA1151" s="319">
        <v>0.60499999999999998</v>
      </c>
      <c r="AB1151" s="315" t="s">
        <v>5178</v>
      </c>
      <c r="AC1151" s="319">
        <v>2</v>
      </c>
      <c r="AD1151" s="320">
        <v>1.8867924528301799E-2</v>
      </c>
      <c r="AE1151" s="319">
        <v>2</v>
      </c>
      <c r="AF1151" s="320">
        <v>1.8867924528301799E-2</v>
      </c>
      <c r="AG1151" s="319">
        <v>1</v>
      </c>
      <c r="AH1151" s="320">
        <v>9.4339622641509396E-3</v>
      </c>
      <c r="AI1151" s="319">
        <v>1</v>
      </c>
      <c r="AJ1151" s="320">
        <v>9.4339622641509396E-3</v>
      </c>
      <c r="AK1151" s="320">
        <v>0</v>
      </c>
      <c r="AL1151" s="319">
        <v>9.0357142857142794</v>
      </c>
      <c r="AM1151" s="319">
        <v>5</v>
      </c>
      <c r="AN1151" s="319">
        <v>7.3333333333333304</v>
      </c>
      <c r="AO1151" s="319">
        <v>0.71230158730158699</v>
      </c>
      <c r="AP1151">
        <v>11</v>
      </c>
      <c r="AQ1151" s="136">
        <v>11</v>
      </c>
      <c r="AT1151" s="69">
        <v>9.4480000000000004</v>
      </c>
      <c r="AU1151" s="69">
        <v>2.3148</v>
      </c>
      <c r="AV1151" s="69">
        <v>9.8416999999999994</v>
      </c>
      <c r="AW1151" s="69">
        <v>0.72019999999999995</v>
      </c>
      <c r="BB1151" s="69"/>
    </row>
    <row r="1152" spans="1:54" customFormat="1" ht="40" customHeight="1">
      <c r="A1152" s="313">
        <v>1151</v>
      </c>
      <c r="B1152" s="136" t="s">
        <v>3117</v>
      </c>
      <c r="C1152" s="136" t="s">
        <v>45</v>
      </c>
      <c r="D1152" s="31">
        <f t="shared" si="78"/>
        <v>4</v>
      </c>
      <c r="E1152" s="137" t="s">
        <v>46</v>
      </c>
      <c r="F1152" s="31">
        <f t="shared" si="79"/>
        <v>6</v>
      </c>
      <c r="G1152" s="137" t="s">
        <v>3130</v>
      </c>
      <c r="H1152" s="138">
        <v>143</v>
      </c>
      <c r="I1152" s="158">
        <f t="shared" si="80"/>
        <v>0.30085345249535311</v>
      </c>
      <c r="J1152" s="95">
        <v>7.8684462160227798E-4</v>
      </c>
      <c r="K1152" s="137">
        <v>0.60092006036910395</v>
      </c>
      <c r="L1152" s="137">
        <v>0.75</v>
      </c>
      <c r="M1152" s="137">
        <v>0.37730015092276098</v>
      </c>
      <c r="N1152" s="136">
        <v>1</v>
      </c>
      <c r="O1152" s="32">
        <v>43007</v>
      </c>
      <c r="P1152" s="98">
        <f t="shared" si="81"/>
        <v>1</v>
      </c>
      <c r="Q1152">
        <v>0</v>
      </c>
      <c r="R1152">
        <v>3.3</v>
      </c>
      <c r="S1152">
        <v>0</v>
      </c>
      <c r="T1152" s="112" t="s">
        <v>73</v>
      </c>
      <c r="U1152" s="137" t="s">
        <v>3138</v>
      </c>
      <c r="V1152" s="137" t="s">
        <v>3135</v>
      </c>
      <c r="W1152" s="69">
        <v>199</v>
      </c>
      <c r="X1152" s="136">
        <v>2</v>
      </c>
      <c r="Y1152" s="136">
        <v>19</v>
      </c>
      <c r="Z1152" s="314"/>
      <c r="AA1152" s="319">
        <v>0.55000000000000004</v>
      </c>
      <c r="AB1152" s="315" t="s">
        <v>5178</v>
      </c>
      <c r="AC1152" s="319">
        <v>2</v>
      </c>
      <c r="AD1152" s="320">
        <v>1.8867924528301799E-2</v>
      </c>
      <c r="AE1152" s="319">
        <v>2</v>
      </c>
      <c r="AF1152" s="320">
        <v>1.8867924528301799E-2</v>
      </c>
      <c r="AG1152" s="319">
        <v>1</v>
      </c>
      <c r="AH1152" s="320">
        <v>9.4339622641509396E-3</v>
      </c>
      <c r="AI1152" s="319">
        <v>1</v>
      </c>
      <c r="AJ1152" s="320">
        <v>9.4339622641509396E-3</v>
      </c>
      <c r="AK1152" s="320">
        <v>0</v>
      </c>
      <c r="AL1152" s="319">
        <v>10</v>
      </c>
      <c r="AM1152" s="319">
        <v>5</v>
      </c>
      <c r="AN1152" s="319">
        <v>7.3333333333333304</v>
      </c>
      <c r="AO1152" s="319">
        <v>0.74444444444444402</v>
      </c>
      <c r="AP1152">
        <v>19</v>
      </c>
      <c r="AQ1152" s="136">
        <v>19</v>
      </c>
      <c r="AT1152" s="69">
        <v>9.9405999999999999</v>
      </c>
      <c r="AU1152" s="69">
        <v>2.3148</v>
      </c>
      <c r="AV1152" s="69">
        <v>9.8416999999999994</v>
      </c>
      <c r="AW1152" s="69">
        <v>0.73660000000000003</v>
      </c>
      <c r="BB1152" s="69"/>
    </row>
    <row r="1153" spans="1:54" customFormat="1" ht="40" customHeight="1">
      <c r="A1153" s="313">
        <v>1152</v>
      </c>
      <c r="B1153" s="136" t="s">
        <v>3117</v>
      </c>
      <c r="C1153" s="136" t="s">
        <v>45</v>
      </c>
      <c r="D1153" s="31">
        <f t="shared" si="78"/>
        <v>4</v>
      </c>
      <c r="E1153" s="137" t="s">
        <v>46</v>
      </c>
      <c r="F1153" s="31">
        <f t="shared" si="79"/>
        <v>6</v>
      </c>
      <c r="G1153" s="137" t="s">
        <v>3130</v>
      </c>
      <c r="H1153" s="138">
        <v>101</v>
      </c>
      <c r="I1153" s="158">
        <f t="shared" si="80"/>
        <v>0.30325095812952418</v>
      </c>
      <c r="J1153" s="95">
        <v>5.5818558899444204E-3</v>
      </c>
      <c r="K1153" s="137">
        <v>0.60092006036910395</v>
      </c>
      <c r="L1153" s="137">
        <v>0.75</v>
      </c>
      <c r="M1153" s="137">
        <v>0.37730015092276098</v>
      </c>
      <c r="N1153" s="136">
        <v>1</v>
      </c>
      <c r="O1153" s="32">
        <v>43001</v>
      </c>
      <c r="P1153" s="98">
        <f t="shared" si="81"/>
        <v>1</v>
      </c>
      <c r="Q1153">
        <v>0</v>
      </c>
      <c r="R1153">
        <v>1.65</v>
      </c>
      <c r="S1153">
        <v>0</v>
      </c>
      <c r="T1153" s="112" t="s">
        <v>73</v>
      </c>
      <c r="U1153" s="137" t="s">
        <v>3139</v>
      </c>
      <c r="V1153" s="137" t="s">
        <v>3135</v>
      </c>
      <c r="W1153" s="69">
        <v>199</v>
      </c>
      <c r="X1153" s="136">
        <v>2</v>
      </c>
      <c r="Y1153" s="136">
        <v>19</v>
      </c>
      <c r="Z1153" s="314"/>
      <c r="AA1153" s="319">
        <v>0.60499999999999998</v>
      </c>
      <c r="AB1153" s="315" t="s">
        <v>5178</v>
      </c>
      <c r="AC1153" s="319">
        <v>2</v>
      </c>
      <c r="AD1153" s="320">
        <v>1.8867924528301799E-2</v>
      </c>
      <c r="AE1153" s="319">
        <v>2</v>
      </c>
      <c r="AF1153" s="320">
        <v>1.8867924528301799E-2</v>
      </c>
      <c r="AG1153" s="319">
        <v>1</v>
      </c>
      <c r="AH1153" s="320">
        <v>9.4339622641509396E-3</v>
      </c>
      <c r="AI1153" s="319">
        <v>1</v>
      </c>
      <c r="AJ1153" s="320">
        <v>9.4339622641509396E-3</v>
      </c>
      <c r="AK1153" s="320">
        <v>0</v>
      </c>
      <c r="AL1153" s="319">
        <v>9.0357142857142794</v>
      </c>
      <c r="AM1153" s="319">
        <v>5</v>
      </c>
      <c r="AN1153" s="319">
        <v>7.3333333333333304</v>
      </c>
      <c r="AO1153" s="319">
        <v>0.71230158730158699</v>
      </c>
      <c r="AP1153">
        <v>19</v>
      </c>
      <c r="AQ1153" s="136">
        <v>19</v>
      </c>
      <c r="AT1153" s="69">
        <v>9.4480000000000004</v>
      </c>
      <c r="AU1153" s="69">
        <v>2.3148</v>
      </c>
      <c r="AV1153" s="69">
        <v>9.8416999999999994</v>
      </c>
      <c r="AW1153" s="69">
        <v>0.72019999999999995</v>
      </c>
      <c r="BB1153" s="69"/>
    </row>
    <row r="1154" spans="1:54" customFormat="1" ht="40" customHeight="1">
      <c r="A1154" s="313">
        <v>1153</v>
      </c>
      <c r="B1154" s="136" t="s">
        <v>3117</v>
      </c>
      <c r="C1154" s="136" t="s">
        <v>45</v>
      </c>
      <c r="D1154" s="31">
        <f t="shared" ref="D1154:D1199" si="82">IF(C1154="投诉",4,IF(C1154="建议",1,IF(C1154="举报",2,IF(C1154="求助",3,5))))</f>
        <v>4</v>
      </c>
      <c r="E1154" s="137" t="s">
        <v>46</v>
      </c>
      <c r="F1154" s="31">
        <f t="shared" ref="F1154:F1199" si="83">IF(E1154="12345app",1,IF(E1154="e福州app",2,IF(E1154="qq",3,IF(E1154="电话",4,IF(E1154="短信",5,IF(E1154="网站",6,IF(E1154="微博",7,IF(E1154="微信",8,9))))))))</f>
        <v>6</v>
      </c>
      <c r="G1154" s="137" t="s">
        <v>3130</v>
      </c>
      <c r="H1154" s="138">
        <v>136</v>
      </c>
      <c r="I1154" s="158">
        <f t="shared" ref="I1154:I1204" si="84">(J1154+K1154)/2</f>
        <v>0.32242637376264038</v>
      </c>
      <c r="J1154" s="95">
        <v>8.8424898036576504E-4</v>
      </c>
      <c r="K1154" s="137">
        <v>0.643968498544915</v>
      </c>
      <c r="L1154" s="137">
        <v>0.75</v>
      </c>
      <c r="M1154" s="137">
        <v>0.48492124636228701</v>
      </c>
      <c r="N1154" s="136">
        <v>1</v>
      </c>
      <c r="O1154" s="32">
        <v>42991</v>
      </c>
      <c r="P1154" s="98">
        <f t="shared" ref="P1154:P1199" si="85">IF(T1154="利己",0,IF(T1154="生态",2,1))</f>
        <v>1</v>
      </c>
      <c r="Q1154">
        <v>0</v>
      </c>
      <c r="R1154">
        <v>3.3</v>
      </c>
      <c r="S1154">
        <v>0</v>
      </c>
      <c r="T1154" s="112" t="s">
        <v>73</v>
      </c>
      <c r="U1154" s="137" t="s">
        <v>3140</v>
      </c>
      <c r="V1154" s="137" t="s">
        <v>3141</v>
      </c>
      <c r="W1154" s="69">
        <v>304</v>
      </c>
      <c r="X1154" s="136">
        <v>2</v>
      </c>
      <c r="Y1154" s="136">
        <v>13</v>
      </c>
      <c r="Z1154" s="314"/>
      <c r="AA1154" s="319">
        <v>0.60499999999999998</v>
      </c>
      <c r="AB1154" s="315" t="s">
        <v>5178</v>
      </c>
      <c r="AC1154" s="319">
        <v>3</v>
      </c>
      <c r="AD1154" s="320">
        <v>1.84049079754601E-2</v>
      </c>
      <c r="AE1154" s="319">
        <v>3</v>
      </c>
      <c r="AF1154" s="320">
        <v>1.84049079754601E-2</v>
      </c>
      <c r="AG1154" s="319">
        <v>1</v>
      </c>
      <c r="AH1154" s="320">
        <v>6.13496932515337E-3</v>
      </c>
      <c r="AI1154" s="319">
        <v>1</v>
      </c>
      <c r="AJ1154" s="320">
        <v>6.13496932515337E-3</v>
      </c>
      <c r="AK1154" s="320">
        <v>0</v>
      </c>
      <c r="AL1154" s="319">
        <v>10</v>
      </c>
      <c r="AM1154" s="319">
        <v>5</v>
      </c>
      <c r="AN1154" s="319">
        <v>7.3333333333333304</v>
      </c>
      <c r="AO1154" s="319">
        <v>0.74444444444444402</v>
      </c>
      <c r="AP1154">
        <v>13</v>
      </c>
      <c r="AQ1154" s="136">
        <v>13</v>
      </c>
      <c r="AT1154" s="69">
        <v>9.9405999999999999</v>
      </c>
      <c r="AU1154" s="69">
        <v>2.3148</v>
      </c>
      <c r="AV1154" s="69">
        <v>9.8416999999999994</v>
      </c>
      <c r="AW1154" s="69">
        <v>0.73660000000000003</v>
      </c>
      <c r="BB1154" s="69"/>
    </row>
    <row r="1155" spans="1:54" customFormat="1" ht="40" customHeight="1">
      <c r="A1155" s="313">
        <v>1154</v>
      </c>
      <c r="B1155" s="136" t="s">
        <v>3117</v>
      </c>
      <c r="C1155" s="136" t="s">
        <v>45</v>
      </c>
      <c r="D1155" s="31">
        <f t="shared" si="82"/>
        <v>4</v>
      </c>
      <c r="E1155" s="137" t="s">
        <v>46</v>
      </c>
      <c r="F1155" s="31">
        <f t="shared" si="83"/>
        <v>6</v>
      </c>
      <c r="G1155" s="137" t="s">
        <v>3127</v>
      </c>
      <c r="H1155" s="138">
        <v>140</v>
      </c>
      <c r="I1155" s="158">
        <f t="shared" si="84"/>
        <v>0.52975670424200105</v>
      </c>
      <c r="J1155" s="95">
        <v>0.37832240201394202</v>
      </c>
      <c r="K1155" s="137">
        <v>0.68119100647006003</v>
      </c>
      <c r="L1155" s="137">
        <v>0.82499999999999996</v>
      </c>
      <c r="M1155" s="137">
        <v>0.46547751617515098</v>
      </c>
      <c r="N1155" s="136">
        <v>1</v>
      </c>
      <c r="O1155" s="32">
        <v>42985</v>
      </c>
      <c r="P1155" s="98">
        <f t="shared" si="85"/>
        <v>1</v>
      </c>
      <c r="Q1155">
        <v>0</v>
      </c>
      <c r="R1155">
        <v>3.3</v>
      </c>
      <c r="S1155">
        <v>1.87</v>
      </c>
      <c r="T1155" s="112" t="s">
        <v>73</v>
      </c>
      <c r="U1155" s="137" t="s">
        <v>3142</v>
      </c>
      <c r="V1155" s="137" t="s">
        <v>3143</v>
      </c>
      <c r="W1155" s="69">
        <v>303</v>
      </c>
      <c r="X1155" s="136">
        <v>2</v>
      </c>
      <c r="Y1155" s="136">
        <v>14</v>
      </c>
      <c r="Z1155" s="314"/>
      <c r="AA1155" s="319">
        <v>0.60499999999999998</v>
      </c>
      <c r="AB1155" s="315" t="s">
        <v>5178</v>
      </c>
      <c r="AC1155" s="319">
        <v>3</v>
      </c>
      <c r="AD1155" s="320">
        <v>1.85185185185185E-2</v>
      </c>
      <c r="AE1155" s="319">
        <v>3</v>
      </c>
      <c r="AF1155" s="320">
        <v>1.85185185185185E-2</v>
      </c>
      <c r="AG1155" s="319">
        <v>1</v>
      </c>
      <c r="AH1155" s="320">
        <v>6.1728395061728296E-3</v>
      </c>
      <c r="AI1155" s="319">
        <v>1</v>
      </c>
      <c r="AJ1155" s="320">
        <v>6.1728395061728296E-3</v>
      </c>
      <c r="AK1155" s="320">
        <v>0</v>
      </c>
      <c r="AL1155" s="319">
        <v>9.5714285714285694</v>
      </c>
      <c r="AM1155" s="319">
        <v>5</v>
      </c>
      <c r="AN1155" s="319">
        <v>7.3333333333333304</v>
      </c>
      <c r="AO1155" s="319">
        <v>0.73015873015873001</v>
      </c>
      <c r="AP1155">
        <v>14</v>
      </c>
      <c r="AQ1155" s="136">
        <v>14</v>
      </c>
      <c r="AT1155" s="69">
        <v>9.6675000000000004</v>
      </c>
      <c r="AU1155" s="69">
        <v>2.3148</v>
      </c>
      <c r="AV1155" s="69">
        <v>9.8416999999999994</v>
      </c>
      <c r="AW1155" s="69">
        <v>0.72750000000000004</v>
      </c>
      <c r="BB1155" s="69"/>
    </row>
    <row r="1156" spans="1:54" customFormat="1" ht="40" customHeight="1">
      <c r="A1156" s="313">
        <v>1155</v>
      </c>
      <c r="B1156" s="136" t="s">
        <v>3117</v>
      </c>
      <c r="C1156" s="136" t="s">
        <v>45</v>
      </c>
      <c r="D1156" s="31">
        <f t="shared" si="82"/>
        <v>4</v>
      </c>
      <c r="E1156" s="137" t="s">
        <v>46</v>
      </c>
      <c r="F1156" s="31">
        <f t="shared" si="83"/>
        <v>6</v>
      </c>
      <c r="G1156" s="137" t="s">
        <v>3144</v>
      </c>
      <c r="H1156" s="138">
        <v>55</v>
      </c>
      <c r="I1156" s="158">
        <f t="shared" si="84"/>
        <v>0.4268583361066865</v>
      </c>
      <c r="J1156" s="95">
        <v>0.217525665743313</v>
      </c>
      <c r="K1156" s="137">
        <v>0.63619100647005999</v>
      </c>
      <c r="L1156" s="137">
        <v>0.75</v>
      </c>
      <c r="M1156" s="137">
        <v>0.46547751617515098</v>
      </c>
      <c r="N1156" s="136">
        <v>1</v>
      </c>
      <c r="O1156" s="32">
        <v>42978</v>
      </c>
      <c r="P1156" s="98">
        <f t="shared" si="85"/>
        <v>1</v>
      </c>
      <c r="Q1156">
        <v>0</v>
      </c>
      <c r="R1156">
        <v>1.65</v>
      </c>
      <c r="S1156">
        <v>0</v>
      </c>
      <c r="T1156" s="112" t="s">
        <v>73</v>
      </c>
      <c r="U1156" s="137" t="s">
        <v>3145</v>
      </c>
      <c r="V1156" s="137" t="s">
        <v>3146</v>
      </c>
      <c r="W1156" s="69">
        <v>198</v>
      </c>
      <c r="X1156" s="136">
        <v>2</v>
      </c>
      <c r="Y1156" s="136">
        <v>14</v>
      </c>
      <c r="Z1156" s="314"/>
      <c r="AA1156" s="319">
        <v>0.5</v>
      </c>
      <c r="AB1156" s="315" t="s">
        <v>5178</v>
      </c>
      <c r="AC1156" s="319">
        <v>2</v>
      </c>
      <c r="AD1156" s="320">
        <v>1.9047619047619001E-2</v>
      </c>
      <c r="AE1156" s="319">
        <v>2</v>
      </c>
      <c r="AF1156" s="320">
        <v>1.9047619047619001E-2</v>
      </c>
      <c r="AG1156" s="319">
        <v>1</v>
      </c>
      <c r="AH1156" s="320">
        <v>9.5238095238095195E-3</v>
      </c>
      <c r="AI1156" s="319">
        <v>1</v>
      </c>
      <c r="AJ1156" s="320">
        <v>9.5238095238095195E-3</v>
      </c>
      <c r="AK1156" s="320">
        <v>0</v>
      </c>
      <c r="AL1156" s="319">
        <v>9.0357142857142794</v>
      </c>
      <c r="AM1156" s="319">
        <v>5</v>
      </c>
      <c r="AN1156" s="319">
        <v>7.3333333333333304</v>
      </c>
      <c r="AO1156" s="319">
        <v>0.71230158730158699</v>
      </c>
      <c r="AP1156">
        <v>14</v>
      </c>
      <c r="AQ1156" s="136">
        <v>14</v>
      </c>
      <c r="AT1156" s="69">
        <v>9.4480000000000004</v>
      </c>
      <c r="AU1156" s="69">
        <v>2.3148</v>
      </c>
      <c r="AV1156" s="69">
        <v>9.8416999999999994</v>
      </c>
      <c r="AW1156" s="69">
        <v>0.72019999999999995</v>
      </c>
      <c r="BB1156" s="69"/>
    </row>
    <row r="1157" spans="1:54" customFormat="1" ht="40" customHeight="1">
      <c r="A1157" s="313">
        <v>1156</v>
      </c>
      <c r="B1157" s="136" t="s">
        <v>3117</v>
      </c>
      <c r="C1157" s="136" t="s">
        <v>45</v>
      </c>
      <c r="D1157" s="31">
        <f t="shared" si="82"/>
        <v>4</v>
      </c>
      <c r="E1157" s="137" t="s">
        <v>46</v>
      </c>
      <c r="F1157" s="31">
        <f t="shared" si="83"/>
        <v>6</v>
      </c>
      <c r="G1157" s="137" t="s">
        <v>3147</v>
      </c>
      <c r="H1157" s="138">
        <v>162</v>
      </c>
      <c r="I1157" s="158">
        <f t="shared" si="84"/>
        <v>0.33143009863556272</v>
      </c>
      <c r="J1157" s="95">
        <v>1.8891698726210399E-2</v>
      </c>
      <c r="K1157" s="137">
        <v>0.643968498544915</v>
      </c>
      <c r="L1157" s="137">
        <v>0.75</v>
      </c>
      <c r="M1157" s="137">
        <v>0.48492124636228701</v>
      </c>
      <c r="N1157" s="136">
        <v>1</v>
      </c>
      <c r="O1157" s="32">
        <v>42972</v>
      </c>
      <c r="P1157" s="98">
        <f t="shared" si="85"/>
        <v>1</v>
      </c>
      <c r="Q1157">
        <v>0</v>
      </c>
      <c r="R1157">
        <v>3.3</v>
      </c>
      <c r="S1157">
        <v>1.87</v>
      </c>
      <c r="T1157" s="112" t="s">
        <v>73</v>
      </c>
      <c r="U1157" s="137" t="s">
        <v>3148</v>
      </c>
      <c r="V1157" s="137" t="s">
        <v>3149</v>
      </c>
      <c r="W1157" s="69">
        <v>285</v>
      </c>
      <c r="X1157" s="136">
        <v>2</v>
      </c>
      <c r="Y1157" s="136">
        <v>13</v>
      </c>
      <c r="Z1157" s="314"/>
      <c r="AA1157" s="319">
        <v>0.60499999999999998</v>
      </c>
      <c r="AB1157" s="315" t="s">
        <v>5178</v>
      </c>
      <c r="AC1157" s="319">
        <v>3</v>
      </c>
      <c r="AD1157" s="320">
        <v>1.98675496688741E-2</v>
      </c>
      <c r="AE1157" s="319">
        <v>3</v>
      </c>
      <c r="AF1157" s="320">
        <v>1.98675496688741E-2</v>
      </c>
      <c r="AG1157" s="319">
        <v>1</v>
      </c>
      <c r="AH1157" s="320">
        <v>6.6225165562913899E-3</v>
      </c>
      <c r="AI1157" s="319">
        <v>1</v>
      </c>
      <c r="AJ1157" s="320">
        <v>6.6225165562913899E-3</v>
      </c>
      <c r="AK1157" s="320">
        <v>0</v>
      </c>
      <c r="AL1157" s="319">
        <v>10</v>
      </c>
      <c r="AM1157" s="319">
        <v>6.2</v>
      </c>
      <c r="AN1157" s="319">
        <v>7.3333333333333304</v>
      </c>
      <c r="AO1157" s="319">
        <v>0.78444444444444394</v>
      </c>
      <c r="AP1157">
        <v>13</v>
      </c>
      <c r="AQ1157" s="136">
        <v>13</v>
      </c>
      <c r="AT1157" s="69">
        <v>9.9939999999999998</v>
      </c>
      <c r="AU1157" s="69">
        <v>5</v>
      </c>
      <c r="AV1157" s="69">
        <v>9.8416999999999994</v>
      </c>
      <c r="AW1157" s="69">
        <v>0.82789999999999997</v>
      </c>
      <c r="BB1157" s="69"/>
    </row>
    <row r="1158" spans="1:54" customFormat="1" ht="40" customHeight="1">
      <c r="A1158" s="313">
        <v>1157</v>
      </c>
      <c r="B1158" s="136" t="s">
        <v>3117</v>
      </c>
      <c r="C1158" s="136" t="s">
        <v>45</v>
      </c>
      <c r="D1158" s="31">
        <f t="shared" si="82"/>
        <v>4</v>
      </c>
      <c r="E1158" s="137" t="s">
        <v>46</v>
      </c>
      <c r="F1158" s="31">
        <f t="shared" si="83"/>
        <v>6</v>
      </c>
      <c r="G1158" s="137" t="s">
        <v>3130</v>
      </c>
      <c r="H1158" s="138">
        <v>87</v>
      </c>
      <c r="I1158" s="158">
        <f t="shared" si="84"/>
        <v>0.74074736229004445</v>
      </c>
      <c r="J1158" s="95">
        <v>0.80292329600866097</v>
      </c>
      <c r="K1158" s="137">
        <v>0.67857142857142805</v>
      </c>
      <c r="L1158" s="137">
        <v>0.75</v>
      </c>
      <c r="M1158" s="137">
        <v>0.57142857142857095</v>
      </c>
      <c r="N1158" s="136">
        <v>1</v>
      </c>
      <c r="O1158" s="32">
        <v>42961</v>
      </c>
      <c r="P1158" s="98">
        <f t="shared" si="85"/>
        <v>1</v>
      </c>
      <c r="Q1158">
        <v>0</v>
      </c>
      <c r="R1158">
        <v>3.3</v>
      </c>
      <c r="S1158">
        <v>0</v>
      </c>
      <c r="T1158" s="112" t="s">
        <v>73</v>
      </c>
      <c r="U1158" s="137" t="s">
        <v>3150</v>
      </c>
      <c r="V1158" s="137" t="s">
        <v>3151</v>
      </c>
      <c r="W1158" s="69">
        <v>279</v>
      </c>
      <c r="X1158" s="136">
        <v>2</v>
      </c>
      <c r="Y1158" s="136">
        <v>9</v>
      </c>
      <c r="Z1158" s="314"/>
      <c r="AA1158" s="319">
        <v>0.5</v>
      </c>
      <c r="AB1158" s="315" t="s">
        <v>5178</v>
      </c>
      <c r="AC1158" s="319">
        <v>3</v>
      </c>
      <c r="AD1158" s="320">
        <v>2.04081632653061E-2</v>
      </c>
      <c r="AE1158" s="319">
        <v>3</v>
      </c>
      <c r="AF1158" s="320">
        <v>2.04081632653061E-2</v>
      </c>
      <c r="AG1158" s="319">
        <v>1</v>
      </c>
      <c r="AH1158" s="320">
        <v>6.8027210884353704E-3</v>
      </c>
      <c r="AI1158" s="319">
        <v>1</v>
      </c>
      <c r="AJ1158" s="320">
        <v>6.8027210884353704E-3</v>
      </c>
      <c r="AK1158" s="320">
        <v>0</v>
      </c>
      <c r="AL1158" s="319">
        <v>10</v>
      </c>
      <c r="AM1158" s="319">
        <v>5</v>
      </c>
      <c r="AN1158" s="319">
        <v>4.6666666666666599</v>
      </c>
      <c r="AO1158" s="319">
        <v>0.655555555555555</v>
      </c>
      <c r="AP1158">
        <v>9</v>
      </c>
      <c r="AQ1158" s="136">
        <v>9</v>
      </c>
      <c r="AT1158" s="69">
        <v>9.9405999999999999</v>
      </c>
      <c r="AU1158" s="69">
        <v>2.3148</v>
      </c>
      <c r="AV1158" s="69">
        <v>8.1305999999999994</v>
      </c>
      <c r="AW1158" s="69">
        <v>0.67949999999999999</v>
      </c>
      <c r="BB1158" s="69"/>
    </row>
    <row r="1159" spans="1:54" customFormat="1" ht="40" customHeight="1">
      <c r="A1159" s="313">
        <v>1158</v>
      </c>
      <c r="B1159" s="136" t="s">
        <v>3117</v>
      </c>
      <c r="C1159" s="136" t="s">
        <v>45</v>
      </c>
      <c r="D1159" s="31">
        <f t="shared" si="82"/>
        <v>4</v>
      </c>
      <c r="E1159" s="137" t="s">
        <v>46</v>
      </c>
      <c r="F1159" s="31">
        <f t="shared" si="83"/>
        <v>6</v>
      </c>
      <c r="G1159" s="137" t="s">
        <v>3130</v>
      </c>
      <c r="H1159" s="138">
        <v>111</v>
      </c>
      <c r="I1159" s="158">
        <f t="shared" si="84"/>
        <v>0.32753825329929181</v>
      </c>
      <c r="J1159" s="95">
        <v>3.0251703207406799E-3</v>
      </c>
      <c r="K1159" s="137">
        <v>0.65205133627784295</v>
      </c>
      <c r="L1159" s="137">
        <v>0.75</v>
      </c>
      <c r="M1159" s="137">
        <v>0.50512834069460699</v>
      </c>
      <c r="N1159" s="136">
        <v>1</v>
      </c>
      <c r="O1159" s="32">
        <v>42958</v>
      </c>
      <c r="P1159" s="98">
        <f t="shared" si="85"/>
        <v>1</v>
      </c>
      <c r="Q1159">
        <v>0</v>
      </c>
      <c r="R1159">
        <v>1.65</v>
      </c>
      <c r="S1159">
        <v>0</v>
      </c>
      <c r="T1159" s="112" t="s">
        <v>73</v>
      </c>
      <c r="U1159" s="137" t="s">
        <v>3152</v>
      </c>
      <c r="V1159" s="137" t="s">
        <v>3149</v>
      </c>
      <c r="W1159" s="69">
        <v>285</v>
      </c>
      <c r="X1159" s="136">
        <v>2</v>
      </c>
      <c r="Y1159" s="136">
        <v>12</v>
      </c>
      <c r="Z1159" s="314"/>
      <c r="AA1159" s="319">
        <v>0.5</v>
      </c>
      <c r="AB1159" s="315" t="s">
        <v>5178</v>
      </c>
      <c r="AC1159" s="319">
        <v>3</v>
      </c>
      <c r="AD1159" s="320">
        <v>1.98675496688741E-2</v>
      </c>
      <c r="AE1159" s="319">
        <v>3</v>
      </c>
      <c r="AF1159" s="320">
        <v>1.98675496688741E-2</v>
      </c>
      <c r="AG1159" s="319">
        <v>1</v>
      </c>
      <c r="AH1159" s="320">
        <v>6.6225165562913899E-3</v>
      </c>
      <c r="AI1159" s="319">
        <v>1</v>
      </c>
      <c r="AJ1159" s="320">
        <v>6.6225165562913899E-3</v>
      </c>
      <c r="AK1159" s="320">
        <v>0</v>
      </c>
      <c r="AL1159" s="319">
        <v>9.0357142857142794</v>
      </c>
      <c r="AM1159" s="319">
        <v>5</v>
      </c>
      <c r="AN1159" s="319">
        <v>7.3333333333333304</v>
      </c>
      <c r="AO1159" s="319">
        <v>0.71230158730158699</v>
      </c>
      <c r="AP1159">
        <v>12</v>
      </c>
      <c r="AQ1159" s="136">
        <v>12</v>
      </c>
      <c r="AT1159" s="69">
        <v>9.4480000000000004</v>
      </c>
      <c r="AU1159" s="69">
        <v>2.3148</v>
      </c>
      <c r="AV1159" s="69">
        <v>9.8416999999999994</v>
      </c>
      <c r="AW1159" s="69">
        <v>0.72019999999999995</v>
      </c>
      <c r="BB1159" s="69"/>
    </row>
    <row r="1160" spans="1:54" customFormat="1" ht="40" customHeight="1">
      <c r="A1160" s="313">
        <v>1159</v>
      </c>
      <c r="B1160" s="136" t="s">
        <v>3117</v>
      </c>
      <c r="C1160" s="136" t="s">
        <v>45</v>
      </c>
      <c r="D1160" s="31">
        <f t="shared" si="82"/>
        <v>4</v>
      </c>
      <c r="E1160" s="137" t="s">
        <v>46</v>
      </c>
      <c r="F1160" s="31">
        <f t="shared" si="83"/>
        <v>6</v>
      </c>
      <c r="G1160" s="137" t="s">
        <v>3130</v>
      </c>
      <c r="H1160" s="138">
        <v>74</v>
      </c>
      <c r="I1160" s="158">
        <f t="shared" si="84"/>
        <v>0.45319696739839144</v>
      </c>
      <c r="J1160" s="95">
        <v>0.25434259851893998</v>
      </c>
      <c r="K1160" s="137">
        <v>0.65205133627784295</v>
      </c>
      <c r="L1160" s="137">
        <v>0.75</v>
      </c>
      <c r="M1160" s="137">
        <v>0.50512834069460699</v>
      </c>
      <c r="N1160" s="136">
        <v>1</v>
      </c>
      <c r="O1160" s="32">
        <v>42957</v>
      </c>
      <c r="P1160" s="98">
        <f t="shared" si="85"/>
        <v>1</v>
      </c>
      <c r="Q1160">
        <v>0</v>
      </c>
      <c r="R1160">
        <v>1.65</v>
      </c>
      <c r="S1160">
        <v>0</v>
      </c>
      <c r="T1160" s="112" t="s">
        <v>73</v>
      </c>
      <c r="U1160" s="137" t="s">
        <v>3153</v>
      </c>
      <c r="V1160" s="137" t="s">
        <v>3154</v>
      </c>
      <c r="W1160" s="69">
        <v>257</v>
      </c>
      <c r="X1160" s="136">
        <v>2</v>
      </c>
      <c r="Y1160" s="136">
        <v>12</v>
      </c>
      <c r="Z1160" s="314"/>
      <c r="AA1160" s="319">
        <v>0.5</v>
      </c>
      <c r="AB1160" s="315" t="s">
        <v>5170</v>
      </c>
      <c r="AC1160" s="319">
        <v>1</v>
      </c>
      <c r="AD1160" s="320">
        <v>7.3529411764705803E-3</v>
      </c>
      <c r="AE1160" s="319">
        <v>1</v>
      </c>
      <c r="AF1160" s="320">
        <v>7.3529411764705803E-3</v>
      </c>
      <c r="AG1160" s="319">
        <v>2</v>
      </c>
      <c r="AH1160" s="320">
        <v>1.47058823529411E-2</v>
      </c>
      <c r="AI1160" s="319">
        <v>2</v>
      </c>
      <c r="AJ1160" s="320">
        <v>1.47058823529411E-2</v>
      </c>
      <c r="AK1160" s="320">
        <v>0</v>
      </c>
      <c r="AL1160" s="319">
        <v>9.0357142857142794</v>
      </c>
      <c r="AM1160" s="319">
        <v>5</v>
      </c>
      <c r="AN1160" s="319">
        <v>7.3333333333333304</v>
      </c>
      <c r="AO1160" s="319">
        <v>0.71230158730158699</v>
      </c>
      <c r="AP1160">
        <v>12</v>
      </c>
      <c r="AQ1160" s="136">
        <v>12</v>
      </c>
      <c r="AT1160" s="69">
        <v>9.4480000000000004</v>
      </c>
      <c r="AU1160" s="69">
        <v>2.3148</v>
      </c>
      <c r="AV1160" s="69">
        <v>9.8416999999999994</v>
      </c>
      <c r="AW1160" s="69">
        <v>0.72019999999999995</v>
      </c>
      <c r="BB1160" s="69"/>
    </row>
    <row r="1161" spans="1:54" customFormat="1" ht="40" customHeight="1">
      <c r="A1161" s="313">
        <v>1160</v>
      </c>
      <c r="B1161" s="136" t="s">
        <v>3117</v>
      </c>
      <c r="C1161" s="136" t="s">
        <v>45</v>
      </c>
      <c r="D1161" s="31">
        <f t="shared" si="82"/>
        <v>4</v>
      </c>
      <c r="E1161" s="137" t="s">
        <v>46</v>
      </c>
      <c r="F1161" s="31">
        <f t="shared" si="83"/>
        <v>6</v>
      </c>
      <c r="G1161" s="137" t="s">
        <v>3130</v>
      </c>
      <c r="H1161" s="138">
        <v>121</v>
      </c>
      <c r="I1161" s="158">
        <f t="shared" si="84"/>
        <v>0.3306741686983703</v>
      </c>
      <c r="J1161" s="95">
        <v>8.6975398847755102E-4</v>
      </c>
      <c r="K1161" s="137">
        <v>0.66047858340826304</v>
      </c>
      <c r="L1161" s="137">
        <v>0.75</v>
      </c>
      <c r="M1161" s="137">
        <v>0.526196458520657</v>
      </c>
      <c r="N1161" s="136">
        <v>1</v>
      </c>
      <c r="O1161" s="32">
        <v>42954</v>
      </c>
      <c r="P1161" s="98">
        <f t="shared" si="85"/>
        <v>1</v>
      </c>
      <c r="Q1161">
        <v>0</v>
      </c>
      <c r="R1161">
        <v>1.65</v>
      </c>
      <c r="S1161">
        <v>0</v>
      </c>
      <c r="T1161" s="112" t="s">
        <v>73</v>
      </c>
      <c r="U1161" s="137" t="s">
        <v>3155</v>
      </c>
      <c r="V1161" s="137" t="s">
        <v>3149</v>
      </c>
      <c r="W1161" s="69">
        <v>285</v>
      </c>
      <c r="X1161" s="136">
        <v>2</v>
      </c>
      <c r="Y1161" s="136">
        <v>11</v>
      </c>
      <c r="Z1161" s="314"/>
      <c r="AA1161" s="319">
        <v>0.55000000000000004</v>
      </c>
      <c r="AB1161" s="315" t="s">
        <v>5178</v>
      </c>
      <c r="AC1161" s="319">
        <v>3</v>
      </c>
      <c r="AD1161" s="320">
        <v>1.98675496688741E-2</v>
      </c>
      <c r="AE1161" s="319">
        <v>3</v>
      </c>
      <c r="AF1161" s="320">
        <v>1.98675496688741E-2</v>
      </c>
      <c r="AG1161" s="319">
        <v>1</v>
      </c>
      <c r="AH1161" s="320">
        <v>6.6225165562913899E-3</v>
      </c>
      <c r="AI1161" s="319">
        <v>1</v>
      </c>
      <c r="AJ1161" s="320">
        <v>6.6225165562913899E-3</v>
      </c>
      <c r="AK1161" s="320">
        <v>0</v>
      </c>
      <c r="AL1161" s="319">
        <v>10</v>
      </c>
      <c r="AM1161" s="319">
        <v>8.3333333333333304</v>
      </c>
      <c r="AN1161" s="319">
        <v>10</v>
      </c>
      <c r="AO1161" s="319">
        <v>0.94444444444444398</v>
      </c>
      <c r="AP1161">
        <v>11</v>
      </c>
      <c r="AQ1161" s="136">
        <v>11</v>
      </c>
      <c r="AT1161" s="69">
        <v>9.9993999999999996</v>
      </c>
      <c r="AU1161" s="69">
        <v>8.9379000000000008</v>
      </c>
      <c r="AV1161" s="69">
        <v>9.9888999999999992</v>
      </c>
      <c r="AW1161" s="69">
        <v>0.96419999999999995</v>
      </c>
      <c r="BB1161" s="69"/>
    </row>
    <row r="1162" spans="1:54" customFormat="1" ht="40" customHeight="1">
      <c r="A1162" s="313">
        <v>1161</v>
      </c>
      <c r="B1162" s="136" t="s">
        <v>3117</v>
      </c>
      <c r="C1162" s="136" t="s">
        <v>45</v>
      </c>
      <c r="D1162" s="31">
        <f t="shared" si="82"/>
        <v>4</v>
      </c>
      <c r="E1162" s="137" t="s">
        <v>46</v>
      </c>
      <c r="F1162" s="31">
        <f t="shared" si="83"/>
        <v>6</v>
      </c>
      <c r="G1162" s="137" t="s">
        <v>3156</v>
      </c>
      <c r="H1162" s="138">
        <v>82</v>
      </c>
      <c r="I1162" s="158">
        <f t="shared" si="84"/>
        <v>0.43653118260502849</v>
      </c>
      <c r="J1162" s="95">
        <v>0.221011028932214</v>
      </c>
      <c r="K1162" s="137">
        <v>0.65205133627784295</v>
      </c>
      <c r="L1162" s="137">
        <v>0.75</v>
      </c>
      <c r="M1162" s="137">
        <v>0.50512834069460699</v>
      </c>
      <c r="N1162" s="136">
        <v>1</v>
      </c>
      <c r="O1162" s="32">
        <v>42950</v>
      </c>
      <c r="P1162" s="98">
        <f t="shared" si="85"/>
        <v>1</v>
      </c>
      <c r="Q1162">
        <v>0</v>
      </c>
      <c r="R1162">
        <v>1.65</v>
      </c>
      <c r="S1162">
        <v>0</v>
      </c>
      <c r="T1162" s="112" t="s">
        <v>73</v>
      </c>
      <c r="U1162" s="137" t="s">
        <v>3157</v>
      </c>
      <c r="V1162" s="137" t="s">
        <v>3158</v>
      </c>
      <c r="W1162" s="69">
        <v>284</v>
      </c>
      <c r="X1162" s="136">
        <v>2</v>
      </c>
      <c r="Y1162" s="136">
        <v>12</v>
      </c>
      <c r="Z1162" s="314"/>
      <c r="AA1162" s="319">
        <v>0.5</v>
      </c>
      <c r="AB1162" s="315" t="s">
        <v>5178</v>
      </c>
      <c r="AC1162" s="319">
        <v>3</v>
      </c>
      <c r="AD1162" s="320">
        <v>0.02</v>
      </c>
      <c r="AE1162" s="319">
        <v>3</v>
      </c>
      <c r="AF1162" s="320">
        <v>0.02</v>
      </c>
      <c r="AG1162" s="319">
        <v>1</v>
      </c>
      <c r="AH1162" s="320">
        <v>6.6666666666666602E-3</v>
      </c>
      <c r="AI1162" s="319">
        <v>1</v>
      </c>
      <c r="AJ1162" s="320">
        <v>6.6666666666666602E-3</v>
      </c>
      <c r="AK1162" s="320">
        <v>0</v>
      </c>
      <c r="AL1162" s="319">
        <v>9.0357142857142794</v>
      </c>
      <c r="AM1162" s="319">
        <v>5</v>
      </c>
      <c r="AN1162" s="319">
        <v>7.3333333333333304</v>
      </c>
      <c r="AO1162" s="319">
        <v>0.71230158730158699</v>
      </c>
      <c r="AP1162">
        <v>12</v>
      </c>
      <c r="AQ1162" s="136">
        <v>12</v>
      </c>
      <c r="AT1162" s="69">
        <v>9.4480000000000004</v>
      </c>
      <c r="AU1162" s="69">
        <v>2.3148</v>
      </c>
      <c r="AV1162" s="69">
        <v>9.8416999999999994</v>
      </c>
      <c r="AW1162" s="69">
        <v>0.72019999999999995</v>
      </c>
      <c r="BB1162" s="69"/>
    </row>
    <row r="1163" spans="1:54" customFormat="1" ht="40" customHeight="1">
      <c r="A1163" s="313">
        <v>1162</v>
      </c>
      <c r="B1163" s="136" t="s">
        <v>3117</v>
      </c>
      <c r="C1163" s="136" t="s">
        <v>45</v>
      </c>
      <c r="D1163" s="31">
        <f t="shared" si="82"/>
        <v>4</v>
      </c>
      <c r="E1163" s="137" t="s">
        <v>46</v>
      </c>
      <c r="F1163" s="31">
        <f t="shared" si="83"/>
        <v>6</v>
      </c>
      <c r="G1163" s="137" t="s">
        <v>3130</v>
      </c>
      <c r="H1163" s="138">
        <v>82</v>
      </c>
      <c r="I1163" s="158">
        <f t="shared" si="84"/>
        <v>0.39202128927879265</v>
      </c>
      <c r="J1163" s="95">
        <v>1.48547821217623E-2</v>
      </c>
      <c r="K1163" s="137">
        <v>0.76918779643582302</v>
      </c>
      <c r="L1163" s="137">
        <v>0.75</v>
      </c>
      <c r="M1163" s="137">
        <v>0.79796949108955795</v>
      </c>
      <c r="N1163" s="136">
        <v>1</v>
      </c>
      <c r="O1163" s="32">
        <v>42948</v>
      </c>
      <c r="P1163" s="98">
        <f t="shared" si="85"/>
        <v>1</v>
      </c>
      <c r="Q1163">
        <v>0</v>
      </c>
      <c r="R1163">
        <v>1.65</v>
      </c>
      <c r="S1163">
        <v>0</v>
      </c>
      <c r="T1163" s="112" t="s">
        <v>73</v>
      </c>
      <c r="U1163" s="137" t="s">
        <v>3159</v>
      </c>
      <c r="V1163" s="137" t="s">
        <v>3149</v>
      </c>
      <c r="W1163" s="69">
        <v>285</v>
      </c>
      <c r="X1163" s="136">
        <v>2</v>
      </c>
      <c r="Y1163" s="136">
        <v>2</v>
      </c>
      <c r="Z1163" s="314"/>
      <c r="AA1163" s="319">
        <v>0.5</v>
      </c>
      <c r="AB1163" s="315" t="s">
        <v>5178</v>
      </c>
      <c r="AC1163" s="319">
        <v>3</v>
      </c>
      <c r="AD1163" s="320">
        <v>1.98675496688741E-2</v>
      </c>
      <c r="AE1163" s="319">
        <v>3</v>
      </c>
      <c r="AF1163" s="320">
        <v>1.98675496688741E-2</v>
      </c>
      <c r="AG1163" s="319">
        <v>1</v>
      </c>
      <c r="AH1163" s="320">
        <v>6.6225165562913899E-3</v>
      </c>
      <c r="AI1163" s="319">
        <v>1</v>
      </c>
      <c r="AJ1163" s="320">
        <v>6.6225165562913899E-3</v>
      </c>
      <c r="AK1163" s="320">
        <v>0</v>
      </c>
      <c r="AL1163" s="319">
        <v>9.0357142857142794</v>
      </c>
      <c r="AM1163" s="319">
        <v>5</v>
      </c>
      <c r="AN1163" s="319">
        <v>7.3333333333333304</v>
      </c>
      <c r="AO1163" s="319">
        <v>0.71230158730158699</v>
      </c>
      <c r="AP1163">
        <v>2</v>
      </c>
      <c r="AQ1163" s="136">
        <v>2</v>
      </c>
      <c r="AT1163" s="69">
        <v>9.4480000000000004</v>
      </c>
      <c r="AU1163" s="69">
        <v>2.3148</v>
      </c>
      <c r="AV1163" s="69">
        <v>9.8416999999999994</v>
      </c>
      <c r="AW1163" s="69">
        <v>0.72019999999999995</v>
      </c>
      <c r="BB1163" s="69"/>
    </row>
    <row r="1164" spans="1:54" customFormat="1" ht="40" customHeight="1">
      <c r="A1164" s="313">
        <v>1163</v>
      </c>
      <c r="B1164" s="136" t="s">
        <v>3117</v>
      </c>
      <c r="C1164" s="136" t="s">
        <v>45</v>
      </c>
      <c r="D1164" s="31">
        <f t="shared" si="82"/>
        <v>4</v>
      </c>
      <c r="E1164" s="137" t="s">
        <v>46</v>
      </c>
      <c r="F1164" s="31">
        <f t="shared" si="83"/>
        <v>6</v>
      </c>
      <c r="G1164" s="137" t="s">
        <v>3130</v>
      </c>
      <c r="H1164" s="138">
        <v>97</v>
      </c>
      <c r="I1164" s="158">
        <f t="shared" si="84"/>
        <v>0.36328576539224106</v>
      </c>
      <c r="J1164" s="95">
        <v>4.3468437844701403E-3</v>
      </c>
      <c r="K1164" s="137">
        <v>0.72222468700001197</v>
      </c>
      <c r="L1164" s="137">
        <v>0.75</v>
      </c>
      <c r="M1164" s="137">
        <v>0.68056171750003003</v>
      </c>
      <c r="N1164" s="136">
        <v>1</v>
      </c>
      <c r="O1164" s="32">
        <v>42945</v>
      </c>
      <c r="P1164" s="98">
        <f t="shared" si="85"/>
        <v>1</v>
      </c>
      <c r="Q1164">
        <v>0</v>
      </c>
      <c r="R1164">
        <v>1.65</v>
      </c>
      <c r="S1164">
        <v>0</v>
      </c>
      <c r="T1164" s="112" t="s">
        <v>73</v>
      </c>
      <c r="U1164" s="137" t="s">
        <v>3160</v>
      </c>
      <c r="V1164" s="137" t="s">
        <v>3149</v>
      </c>
      <c r="W1164" s="69">
        <v>285</v>
      </c>
      <c r="X1164" s="136">
        <v>2</v>
      </c>
      <c r="Y1164" s="136">
        <v>5</v>
      </c>
      <c r="Z1164" s="314"/>
      <c r="AA1164" s="319">
        <v>0.55000000000000004</v>
      </c>
      <c r="AB1164" s="315" t="s">
        <v>5178</v>
      </c>
      <c r="AC1164" s="319">
        <v>3</v>
      </c>
      <c r="AD1164" s="320">
        <v>1.98675496688741E-2</v>
      </c>
      <c r="AE1164" s="319">
        <v>3</v>
      </c>
      <c r="AF1164" s="320">
        <v>1.98675496688741E-2</v>
      </c>
      <c r="AG1164" s="319">
        <v>1</v>
      </c>
      <c r="AH1164" s="320">
        <v>6.6225165562913899E-3</v>
      </c>
      <c r="AI1164" s="319">
        <v>1</v>
      </c>
      <c r="AJ1164" s="320">
        <v>6.6225165562913899E-3</v>
      </c>
      <c r="AK1164" s="320">
        <v>0</v>
      </c>
      <c r="AL1164" s="319">
        <v>10</v>
      </c>
      <c r="AM1164" s="319">
        <v>8.3333333333333304</v>
      </c>
      <c r="AN1164" s="319">
        <v>7.3333333333333304</v>
      </c>
      <c r="AO1164" s="319">
        <v>0.85555555555555496</v>
      </c>
      <c r="AP1164">
        <v>5</v>
      </c>
      <c r="AQ1164" s="136">
        <v>5</v>
      </c>
      <c r="AT1164" s="69">
        <v>9.9405999999999999</v>
      </c>
      <c r="AU1164" s="69">
        <v>8.9379000000000008</v>
      </c>
      <c r="AV1164" s="69">
        <v>9.8416999999999994</v>
      </c>
      <c r="AW1164" s="69">
        <v>0.95730000000000004</v>
      </c>
      <c r="BB1164" s="69"/>
    </row>
    <row r="1165" spans="1:54" customFormat="1" ht="40" customHeight="1">
      <c r="A1165" s="313">
        <v>1164</v>
      </c>
      <c r="B1165" s="136" t="s">
        <v>3117</v>
      </c>
      <c r="C1165" s="136" t="s">
        <v>45</v>
      </c>
      <c r="D1165" s="31">
        <f t="shared" si="82"/>
        <v>4</v>
      </c>
      <c r="E1165" s="137" t="s">
        <v>46</v>
      </c>
      <c r="F1165" s="31">
        <f t="shared" si="83"/>
        <v>6</v>
      </c>
      <c r="G1165" s="137" t="s">
        <v>3161</v>
      </c>
      <c r="H1165" s="138">
        <v>74</v>
      </c>
      <c r="I1165" s="158">
        <f t="shared" si="84"/>
        <v>0.4845537977938455</v>
      </c>
      <c r="J1165" s="95">
        <v>0.246882908587679</v>
      </c>
      <c r="K1165" s="137">
        <v>0.72222468700001197</v>
      </c>
      <c r="L1165" s="137">
        <v>0.75</v>
      </c>
      <c r="M1165" s="137">
        <v>0.68056171750003003</v>
      </c>
      <c r="N1165" s="136">
        <v>1</v>
      </c>
      <c r="O1165" s="32">
        <v>42944</v>
      </c>
      <c r="P1165" s="98">
        <f t="shared" si="85"/>
        <v>1</v>
      </c>
      <c r="Q1165">
        <v>0</v>
      </c>
      <c r="R1165">
        <v>1.65</v>
      </c>
      <c r="S1165">
        <v>0</v>
      </c>
      <c r="T1165" s="112" t="s">
        <v>73</v>
      </c>
      <c r="U1165" s="137" t="s">
        <v>3162</v>
      </c>
      <c r="V1165" s="137" t="s">
        <v>3149</v>
      </c>
      <c r="W1165" s="69">
        <v>285</v>
      </c>
      <c r="X1165" s="136">
        <v>2</v>
      </c>
      <c r="Y1165" s="136">
        <v>5</v>
      </c>
      <c r="Z1165" s="314"/>
      <c r="AA1165" s="319">
        <v>0.5</v>
      </c>
      <c r="AB1165" s="315" t="s">
        <v>5178</v>
      </c>
      <c r="AC1165" s="319">
        <v>3</v>
      </c>
      <c r="AD1165" s="320">
        <v>1.98675496688741E-2</v>
      </c>
      <c r="AE1165" s="319">
        <v>3</v>
      </c>
      <c r="AF1165" s="320">
        <v>1.98675496688741E-2</v>
      </c>
      <c r="AG1165" s="319">
        <v>1</v>
      </c>
      <c r="AH1165" s="320">
        <v>6.6225165562913899E-3</v>
      </c>
      <c r="AI1165" s="319">
        <v>1</v>
      </c>
      <c r="AJ1165" s="320">
        <v>6.6225165562913899E-3</v>
      </c>
      <c r="AK1165" s="320">
        <v>0</v>
      </c>
      <c r="AL1165" s="319">
        <v>9.0357142857142794</v>
      </c>
      <c r="AM1165" s="319">
        <v>5</v>
      </c>
      <c r="AN1165" s="319">
        <v>7.3333333333333304</v>
      </c>
      <c r="AO1165" s="319">
        <v>0.71230158730158699</v>
      </c>
      <c r="AP1165">
        <v>5</v>
      </c>
      <c r="AQ1165" s="136">
        <v>5</v>
      </c>
      <c r="AT1165" s="69">
        <v>9.4480000000000004</v>
      </c>
      <c r="AU1165" s="69">
        <v>2.3148</v>
      </c>
      <c r="AV1165" s="69">
        <v>9.8416999999999994</v>
      </c>
      <c r="AW1165" s="69">
        <v>0.72019999999999995</v>
      </c>
      <c r="BB1165" s="69"/>
    </row>
    <row r="1166" spans="1:54" customFormat="1" ht="40" customHeight="1">
      <c r="A1166" s="313">
        <v>1165</v>
      </c>
      <c r="B1166" s="136" t="s">
        <v>3117</v>
      </c>
      <c r="C1166" s="136" t="s">
        <v>45</v>
      </c>
      <c r="D1166" s="31">
        <f t="shared" si="82"/>
        <v>4</v>
      </c>
      <c r="E1166" s="137" t="s">
        <v>46</v>
      </c>
      <c r="F1166" s="31">
        <f t="shared" si="83"/>
        <v>6</v>
      </c>
      <c r="G1166" s="137" t="s">
        <v>3156</v>
      </c>
      <c r="H1166" s="138">
        <v>90</v>
      </c>
      <c r="I1166" s="158">
        <f t="shared" si="84"/>
        <v>0.40145243483556009</v>
      </c>
      <c r="J1166" s="95">
        <v>1.0047726813977099E-2</v>
      </c>
      <c r="K1166" s="137">
        <v>0.79285714285714304</v>
      </c>
      <c r="L1166" s="137">
        <v>0.75</v>
      </c>
      <c r="M1166" s="137">
        <v>0.85714285714285698</v>
      </c>
      <c r="N1166" s="136">
        <v>1</v>
      </c>
      <c r="O1166" s="32">
        <v>42942</v>
      </c>
      <c r="P1166" s="98">
        <f t="shared" si="85"/>
        <v>1</v>
      </c>
      <c r="Q1166">
        <v>0</v>
      </c>
      <c r="R1166">
        <v>1.65</v>
      </c>
      <c r="S1166">
        <v>0</v>
      </c>
      <c r="T1166" s="112" t="s">
        <v>73</v>
      </c>
      <c r="U1166" s="137" t="s">
        <v>3163</v>
      </c>
      <c r="V1166" s="137" t="s">
        <v>3149</v>
      </c>
      <c r="W1166" s="69">
        <v>282</v>
      </c>
      <c r="X1166" s="136">
        <v>2</v>
      </c>
      <c r="Y1166" s="136">
        <v>1</v>
      </c>
      <c r="Z1166" s="314"/>
      <c r="AA1166" s="319">
        <v>0.5</v>
      </c>
      <c r="AB1166" s="315" t="s">
        <v>5178</v>
      </c>
      <c r="AC1166" s="319">
        <v>3</v>
      </c>
      <c r="AD1166" s="320">
        <v>2.0270270270270199E-2</v>
      </c>
      <c r="AE1166" s="319">
        <v>3</v>
      </c>
      <c r="AF1166" s="320">
        <v>2.0270270270270199E-2</v>
      </c>
      <c r="AG1166" s="319">
        <v>1</v>
      </c>
      <c r="AH1166" s="320">
        <v>6.7567567567567502E-3</v>
      </c>
      <c r="AI1166" s="319">
        <v>1</v>
      </c>
      <c r="AJ1166" s="320">
        <v>6.7567567567567502E-3</v>
      </c>
      <c r="AK1166" s="320">
        <v>0</v>
      </c>
      <c r="AL1166" s="319">
        <v>10</v>
      </c>
      <c r="AM1166" s="319">
        <v>5</v>
      </c>
      <c r="AN1166" s="319">
        <v>7.3333333333333304</v>
      </c>
      <c r="AO1166" s="319">
        <v>0.74444444444444402</v>
      </c>
      <c r="AP1166">
        <v>1</v>
      </c>
      <c r="AQ1166" s="136">
        <v>1</v>
      </c>
      <c r="AT1166" s="69">
        <v>9.9405999999999999</v>
      </c>
      <c r="AU1166" s="69">
        <v>2.3148</v>
      </c>
      <c r="AV1166" s="69">
        <v>9.8416999999999994</v>
      </c>
      <c r="AW1166" s="69">
        <v>0.73660000000000003</v>
      </c>
      <c r="BB1166" s="69"/>
    </row>
    <row r="1167" spans="1:54" customFormat="1" ht="40" customHeight="1">
      <c r="A1167" s="313">
        <v>1166</v>
      </c>
      <c r="B1167" s="136" t="s">
        <v>3117</v>
      </c>
      <c r="C1167" s="136" t="s">
        <v>45</v>
      </c>
      <c r="D1167" s="31">
        <f t="shared" si="82"/>
        <v>4</v>
      </c>
      <c r="E1167" s="137" t="s">
        <v>46</v>
      </c>
      <c r="F1167" s="31">
        <f t="shared" si="83"/>
        <v>6</v>
      </c>
      <c r="G1167" s="137" t="s">
        <v>3156</v>
      </c>
      <c r="H1167" s="138">
        <v>47</v>
      </c>
      <c r="I1167" s="158">
        <f t="shared" si="84"/>
        <v>0.52883334448048092</v>
      </c>
      <c r="J1167" s="95">
        <v>0.36929109608931598</v>
      </c>
      <c r="K1167" s="137">
        <v>0.68837559287164596</v>
      </c>
      <c r="L1167" s="137">
        <v>0.75</v>
      </c>
      <c r="M1167" s="137">
        <v>0.59593898217911601</v>
      </c>
      <c r="N1167" s="136">
        <v>1</v>
      </c>
      <c r="O1167" s="32">
        <v>42941</v>
      </c>
      <c r="P1167" s="98">
        <f t="shared" si="85"/>
        <v>1</v>
      </c>
      <c r="Q1167">
        <v>0</v>
      </c>
      <c r="R1167">
        <v>1.65</v>
      </c>
      <c r="S1167">
        <v>0</v>
      </c>
      <c r="T1167" s="112" t="s">
        <v>73</v>
      </c>
      <c r="U1167" s="137" t="s">
        <v>3164</v>
      </c>
      <c r="V1167" s="137" t="s">
        <v>3158</v>
      </c>
      <c r="W1167" s="69">
        <v>284</v>
      </c>
      <c r="X1167" s="136">
        <v>2</v>
      </c>
      <c r="Y1167" s="136">
        <v>8</v>
      </c>
      <c r="Z1167" s="314"/>
      <c r="AA1167" s="319">
        <v>0.5</v>
      </c>
      <c r="AB1167" s="315" t="s">
        <v>5178</v>
      </c>
      <c r="AC1167" s="319">
        <v>3</v>
      </c>
      <c r="AD1167" s="320">
        <v>0.02</v>
      </c>
      <c r="AE1167" s="319">
        <v>3</v>
      </c>
      <c r="AF1167" s="320">
        <v>0.02</v>
      </c>
      <c r="AG1167" s="319">
        <v>1</v>
      </c>
      <c r="AH1167" s="320">
        <v>6.6666666666666602E-3</v>
      </c>
      <c r="AI1167" s="319">
        <v>1</v>
      </c>
      <c r="AJ1167" s="320">
        <v>6.6666666666666602E-3</v>
      </c>
      <c r="AK1167" s="320">
        <v>0</v>
      </c>
      <c r="AL1167" s="319">
        <v>9.0357142857142794</v>
      </c>
      <c r="AM1167" s="319">
        <v>5</v>
      </c>
      <c r="AN1167" s="319">
        <v>7.3333333333333304</v>
      </c>
      <c r="AO1167" s="319">
        <v>0.71230158730158699</v>
      </c>
      <c r="AP1167">
        <v>8</v>
      </c>
      <c r="AQ1167" s="136">
        <v>8</v>
      </c>
      <c r="AT1167" s="69">
        <v>9.4480000000000004</v>
      </c>
      <c r="AU1167" s="69">
        <v>2.3148</v>
      </c>
      <c r="AV1167" s="69">
        <v>9.8416999999999994</v>
      </c>
      <c r="AW1167" s="69">
        <v>0.72019999999999995</v>
      </c>
      <c r="BB1167" s="69"/>
    </row>
    <row r="1168" spans="1:54" customFormat="1" ht="40" customHeight="1">
      <c r="A1168" s="313">
        <v>1167</v>
      </c>
      <c r="B1168" s="136" t="s">
        <v>3117</v>
      </c>
      <c r="C1168" s="136" t="s">
        <v>45</v>
      </c>
      <c r="D1168" s="31">
        <f t="shared" si="82"/>
        <v>4</v>
      </c>
      <c r="E1168" s="137" t="s">
        <v>46</v>
      </c>
      <c r="F1168" s="31">
        <f t="shared" si="83"/>
        <v>6</v>
      </c>
      <c r="G1168" s="137" t="s">
        <v>3156</v>
      </c>
      <c r="H1168" s="138">
        <v>84</v>
      </c>
      <c r="I1168" s="158">
        <f t="shared" si="84"/>
        <v>0.39914112251796802</v>
      </c>
      <c r="J1168" s="95">
        <v>0.119710816464508</v>
      </c>
      <c r="K1168" s="137">
        <v>0.67857142857142805</v>
      </c>
      <c r="L1168" s="137">
        <v>0.75</v>
      </c>
      <c r="M1168" s="137">
        <v>0.57142857142857095</v>
      </c>
      <c r="N1168" s="136">
        <v>1</v>
      </c>
      <c r="O1168" s="32">
        <v>42940</v>
      </c>
      <c r="P1168" s="98">
        <f t="shared" si="85"/>
        <v>1</v>
      </c>
      <c r="Q1168">
        <v>0</v>
      </c>
      <c r="R1168">
        <v>1.65</v>
      </c>
      <c r="S1168">
        <v>0</v>
      </c>
      <c r="T1168" s="112" t="s">
        <v>73</v>
      </c>
      <c r="U1168" s="137" t="s">
        <v>3165</v>
      </c>
      <c r="V1168" s="137" t="s">
        <v>3149</v>
      </c>
      <c r="W1168" s="69">
        <v>282</v>
      </c>
      <c r="X1168" s="136">
        <v>2</v>
      </c>
      <c r="Y1168" s="136">
        <v>9</v>
      </c>
      <c r="Z1168" s="314"/>
      <c r="AA1168" s="319">
        <v>0.5</v>
      </c>
      <c r="AB1168" s="315" t="s">
        <v>5178</v>
      </c>
      <c r="AC1168" s="319">
        <v>3</v>
      </c>
      <c r="AD1168" s="320">
        <v>2.0270270270270199E-2</v>
      </c>
      <c r="AE1168" s="319">
        <v>3</v>
      </c>
      <c r="AF1168" s="320">
        <v>2.0270270270270199E-2</v>
      </c>
      <c r="AG1168" s="319">
        <v>1</v>
      </c>
      <c r="AH1168" s="320">
        <v>6.7567567567567502E-3</v>
      </c>
      <c r="AI1168" s="319">
        <v>1</v>
      </c>
      <c r="AJ1168" s="320">
        <v>6.7567567567567502E-3</v>
      </c>
      <c r="AK1168" s="320">
        <v>0</v>
      </c>
      <c r="AL1168" s="319">
        <v>10</v>
      </c>
      <c r="AM1168" s="319">
        <v>5</v>
      </c>
      <c r="AN1168" s="319">
        <v>7.3333333333333304</v>
      </c>
      <c r="AO1168" s="319">
        <v>0.74444444444444402</v>
      </c>
      <c r="AP1168">
        <v>9</v>
      </c>
      <c r="AQ1168" s="136">
        <v>9</v>
      </c>
      <c r="AT1168" s="69">
        <v>9.9405999999999999</v>
      </c>
      <c r="AU1168" s="69">
        <v>2.3148</v>
      </c>
      <c r="AV1168" s="69">
        <v>9.8416999999999994</v>
      </c>
      <c r="AW1168" s="69">
        <v>0.73660000000000003</v>
      </c>
      <c r="BB1168" s="69"/>
    </row>
    <row r="1169" spans="1:54" customFormat="1" ht="40" customHeight="1">
      <c r="A1169" s="313">
        <v>1168</v>
      </c>
      <c r="B1169" s="136" t="s">
        <v>3117</v>
      </c>
      <c r="C1169" s="136" t="s">
        <v>45</v>
      </c>
      <c r="D1169" s="31">
        <f t="shared" si="82"/>
        <v>4</v>
      </c>
      <c r="E1169" s="137" t="s">
        <v>46</v>
      </c>
      <c r="F1169" s="31">
        <f t="shared" si="83"/>
        <v>6</v>
      </c>
      <c r="G1169" s="137" t="s">
        <v>3156</v>
      </c>
      <c r="H1169" s="138">
        <v>65</v>
      </c>
      <c r="I1169" s="158">
        <f t="shared" si="84"/>
        <v>0.42849190955435501</v>
      </c>
      <c r="J1169" s="95">
        <v>0.19650523570044701</v>
      </c>
      <c r="K1169" s="137">
        <v>0.66047858340826304</v>
      </c>
      <c r="L1169" s="137">
        <v>0.75</v>
      </c>
      <c r="M1169" s="137">
        <v>0.526196458520657</v>
      </c>
      <c r="N1169" s="136">
        <v>1</v>
      </c>
      <c r="O1169" s="32">
        <v>42938</v>
      </c>
      <c r="P1169" s="98">
        <f t="shared" si="85"/>
        <v>1</v>
      </c>
      <c r="Q1169">
        <v>0</v>
      </c>
      <c r="R1169">
        <v>1.65</v>
      </c>
      <c r="S1169">
        <v>0</v>
      </c>
      <c r="T1169" s="112" t="s">
        <v>73</v>
      </c>
      <c r="U1169" s="137" t="s">
        <v>3166</v>
      </c>
      <c r="V1169" s="137" t="s">
        <v>3158</v>
      </c>
      <c r="W1169" s="69">
        <v>280</v>
      </c>
      <c r="X1169" s="136">
        <v>2</v>
      </c>
      <c r="Y1169" s="136">
        <v>11</v>
      </c>
      <c r="Z1169" s="314"/>
      <c r="AA1169" s="319">
        <v>0.5</v>
      </c>
      <c r="AB1169" s="315" t="s">
        <v>5178</v>
      </c>
      <c r="AC1169" s="319">
        <v>3</v>
      </c>
      <c r="AD1169" s="320">
        <v>2.0547945205479399E-2</v>
      </c>
      <c r="AE1169" s="319">
        <v>3</v>
      </c>
      <c r="AF1169" s="320">
        <v>2.0547945205479399E-2</v>
      </c>
      <c r="AG1169" s="319">
        <v>1</v>
      </c>
      <c r="AH1169" s="320">
        <v>6.8493150684931503E-3</v>
      </c>
      <c r="AI1169" s="319">
        <v>1</v>
      </c>
      <c r="AJ1169" s="320">
        <v>6.8493150684931503E-3</v>
      </c>
      <c r="AK1169" s="320">
        <v>0</v>
      </c>
      <c r="AL1169" s="319">
        <v>9.0357142857142794</v>
      </c>
      <c r="AM1169" s="319">
        <v>5</v>
      </c>
      <c r="AN1169" s="319">
        <v>4.6666666666666599</v>
      </c>
      <c r="AO1169" s="319">
        <v>0.62341269841269797</v>
      </c>
      <c r="AP1169">
        <v>11</v>
      </c>
      <c r="AQ1169" s="136">
        <v>11</v>
      </c>
      <c r="AT1169" s="69">
        <v>9.4480000000000004</v>
      </c>
      <c r="AU1169" s="69">
        <v>2.3148</v>
      </c>
      <c r="AV1169" s="69">
        <v>8.1305999999999994</v>
      </c>
      <c r="AW1169" s="69">
        <v>0.66310000000000002</v>
      </c>
      <c r="BB1169" s="69"/>
    </row>
    <row r="1170" spans="1:54" customFormat="1" ht="40" customHeight="1">
      <c r="A1170" s="313">
        <v>1169</v>
      </c>
      <c r="B1170" s="136" t="s">
        <v>3117</v>
      </c>
      <c r="C1170" s="136" t="s">
        <v>45</v>
      </c>
      <c r="D1170" s="31">
        <f t="shared" si="82"/>
        <v>4</v>
      </c>
      <c r="E1170" s="137" t="s">
        <v>46</v>
      </c>
      <c r="F1170" s="31">
        <f t="shared" si="83"/>
        <v>6</v>
      </c>
      <c r="G1170" s="137" t="s">
        <v>3130</v>
      </c>
      <c r="H1170" s="138">
        <v>77</v>
      </c>
      <c r="I1170" s="158">
        <f t="shared" si="84"/>
        <v>0.35044544666073235</v>
      </c>
      <c r="J1170" s="95">
        <v>4.0412309913201702E-2</v>
      </c>
      <c r="K1170" s="137">
        <v>0.66047858340826304</v>
      </c>
      <c r="L1170" s="137">
        <v>0.75</v>
      </c>
      <c r="M1170" s="137">
        <v>0.526196458520657</v>
      </c>
      <c r="N1170" s="136">
        <v>1</v>
      </c>
      <c r="O1170" s="32">
        <v>42937</v>
      </c>
      <c r="P1170" s="98">
        <f t="shared" si="85"/>
        <v>1</v>
      </c>
      <c r="Q1170">
        <v>0</v>
      </c>
      <c r="R1170">
        <v>1.65</v>
      </c>
      <c r="S1170">
        <v>0</v>
      </c>
      <c r="T1170" s="112" t="s">
        <v>73</v>
      </c>
      <c r="U1170" s="137" t="s">
        <v>3167</v>
      </c>
      <c r="V1170" s="137" t="s">
        <v>3149</v>
      </c>
      <c r="W1170" s="69">
        <v>281</v>
      </c>
      <c r="X1170" s="136">
        <v>2</v>
      </c>
      <c r="Y1170" s="136">
        <v>11</v>
      </c>
      <c r="Z1170" s="314"/>
      <c r="AA1170" s="319">
        <v>0.5</v>
      </c>
      <c r="AB1170" s="315" t="s">
        <v>5178</v>
      </c>
      <c r="AC1170" s="319">
        <v>3</v>
      </c>
      <c r="AD1170" s="320">
        <v>2.04081632653061E-2</v>
      </c>
      <c r="AE1170" s="319">
        <v>3</v>
      </c>
      <c r="AF1170" s="320">
        <v>2.04081632653061E-2</v>
      </c>
      <c r="AG1170" s="319">
        <v>1</v>
      </c>
      <c r="AH1170" s="320">
        <v>6.8027210884353704E-3</v>
      </c>
      <c r="AI1170" s="319">
        <v>1</v>
      </c>
      <c r="AJ1170" s="320">
        <v>6.8027210884353704E-3</v>
      </c>
      <c r="AK1170" s="320">
        <v>0</v>
      </c>
      <c r="AL1170" s="319">
        <v>10</v>
      </c>
      <c r="AM1170" s="319">
        <v>5</v>
      </c>
      <c r="AN1170" s="319">
        <v>7.3333333333333304</v>
      </c>
      <c r="AO1170" s="319">
        <v>0.74444444444444402</v>
      </c>
      <c r="AP1170">
        <v>11</v>
      </c>
      <c r="AQ1170" s="136">
        <v>11</v>
      </c>
      <c r="AT1170" s="69">
        <v>9.9405999999999999</v>
      </c>
      <c r="AU1170" s="69">
        <v>2.3148</v>
      </c>
      <c r="AV1170" s="69">
        <v>9.8416999999999994</v>
      </c>
      <c r="AW1170" s="69">
        <v>0.73660000000000003</v>
      </c>
      <c r="BB1170" s="69"/>
    </row>
    <row r="1171" spans="1:54" customFormat="1" ht="40" customHeight="1">
      <c r="A1171" s="313">
        <v>1170</v>
      </c>
      <c r="B1171" s="136" t="s">
        <v>3117</v>
      </c>
      <c r="C1171" s="136" t="s">
        <v>45</v>
      </c>
      <c r="D1171" s="31">
        <f t="shared" si="82"/>
        <v>4</v>
      </c>
      <c r="E1171" s="137" t="s">
        <v>46</v>
      </c>
      <c r="F1171" s="31">
        <f t="shared" si="83"/>
        <v>6</v>
      </c>
      <c r="G1171" s="137" t="s">
        <v>3156</v>
      </c>
      <c r="H1171" s="138">
        <v>61</v>
      </c>
      <c r="I1171" s="158">
        <f t="shared" si="84"/>
        <v>0.65727786998571802</v>
      </c>
      <c r="J1171" s="95">
        <v>0.59233105297142397</v>
      </c>
      <c r="K1171" s="137">
        <v>0.72222468700001197</v>
      </c>
      <c r="L1171" s="137">
        <v>0.75</v>
      </c>
      <c r="M1171" s="137">
        <v>0.68056171750003003</v>
      </c>
      <c r="N1171" s="136">
        <v>1</v>
      </c>
      <c r="O1171" s="32">
        <v>42936</v>
      </c>
      <c r="P1171" s="98">
        <f t="shared" si="85"/>
        <v>1</v>
      </c>
      <c r="Q1171">
        <v>0</v>
      </c>
      <c r="R1171">
        <v>1.65</v>
      </c>
      <c r="S1171">
        <v>0</v>
      </c>
      <c r="T1171" s="112" t="s">
        <v>73</v>
      </c>
      <c r="U1171" s="137" t="s">
        <v>3168</v>
      </c>
      <c r="V1171" s="137" t="s">
        <v>3149</v>
      </c>
      <c r="W1171" s="69">
        <v>281</v>
      </c>
      <c r="X1171" s="136">
        <v>2</v>
      </c>
      <c r="Y1171" s="136">
        <v>5</v>
      </c>
      <c r="Z1171" s="314"/>
      <c r="AA1171" s="319">
        <v>0.5</v>
      </c>
      <c r="AB1171" s="315" t="s">
        <v>5178</v>
      </c>
      <c r="AC1171" s="319">
        <v>3</v>
      </c>
      <c r="AD1171" s="320">
        <v>2.04081632653061E-2</v>
      </c>
      <c r="AE1171" s="319">
        <v>3</v>
      </c>
      <c r="AF1171" s="320">
        <v>2.04081632653061E-2</v>
      </c>
      <c r="AG1171" s="319">
        <v>1</v>
      </c>
      <c r="AH1171" s="320">
        <v>6.8027210884353704E-3</v>
      </c>
      <c r="AI1171" s="319">
        <v>1</v>
      </c>
      <c r="AJ1171" s="320">
        <v>6.8027210884353704E-3</v>
      </c>
      <c r="AK1171" s="320">
        <v>0</v>
      </c>
      <c r="AL1171" s="319">
        <v>9.0357142857142794</v>
      </c>
      <c r="AM1171" s="319">
        <v>5</v>
      </c>
      <c r="AN1171" s="319">
        <v>7.3333333333333304</v>
      </c>
      <c r="AO1171" s="319">
        <v>0.71230158730158699</v>
      </c>
      <c r="AP1171">
        <v>5</v>
      </c>
      <c r="AQ1171" s="136">
        <v>5</v>
      </c>
      <c r="AT1171" s="69">
        <v>9.4480000000000004</v>
      </c>
      <c r="AU1171" s="69">
        <v>2.3148</v>
      </c>
      <c r="AV1171" s="69">
        <v>9.8416999999999994</v>
      </c>
      <c r="AW1171" s="69">
        <v>0.72019999999999995</v>
      </c>
      <c r="BB1171" s="69"/>
    </row>
    <row r="1172" spans="1:54" customFormat="1" ht="40" customHeight="1">
      <c r="A1172" s="313">
        <v>1171</v>
      </c>
      <c r="B1172" s="136" t="s">
        <v>3117</v>
      </c>
      <c r="C1172" s="136" t="s">
        <v>45</v>
      </c>
      <c r="D1172" s="31">
        <f t="shared" si="82"/>
        <v>4</v>
      </c>
      <c r="E1172" s="137" t="s">
        <v>46</v>
      </c>
      <c r="F1172" s="31">
        <f t="shared" si="83"/>
        <v>6</v>
      </c>
      <c r="G1172" s="137" t="s">
        <v>3156</v>
      </c>
      <c r="H1172" s="138">
        <v>55</v>
      </c>
      <c r="I1172" s="158">
        <f t="shared" si="84"/>
        <v>0.52725324543934504</v>
      </c>
      <c r="J1172" s="95">
        <v>0.285318694442867</v>
      </c>
      <c r="K1172" s="137">
        <v>0.76918779643582302</v>
      </c>
      <c r="L1172" s="137">
        <v>0.75</v>
      </c>
      <c r="M1172" s="137">
        <v>0.79796949108955795</v>
      </c>
      <c r="N1172" s="136">
        <v>1</v>
      </c>
      <c r="O1172" s="32">
        <v>42934</v>
      </c>
      <c r="P1172" s="98">
        <f t="shared" si="85"/>
        <v>1</v>
      </c>
      <c r="Q1172">
        <v>0</v>
      </c>
      <c r="R1172">
        <v>1.65</v>
      </c>
      <c r="S1172">
        <v>0</v>
      </c>
      <c r="T1172" s="112" t="s">
        <v>73</v>
      </c>
      <c r="U1172" s="137" t="s">
        <v>3169</v>
      </c>
      <c r="V1172" s="137" t="s">
        <v>3170</v>
      </c>
      <c r="W1172" s="69">
        <v>295</v>
      </c>
      <c r="X1172" s="136">
        <v>2</v>
      </c>
      <c r="Y1172" s="136">
        <v>2</v>
      </c>
      <c r="Z1172" s="314"/>
      <c r="AA1172" s="319">
        <v>0.5</v>
      </c>
      <c r="AB1172" s="315" t="s">
        <v>5178</v>
      </c>
      <c r="AC1172" s="319">
        <v>3</v>
      </c>
      <c r="AD1172" s="320">
        <v>1.9230769230769201E-2</v>
      </c>
      <c r="AE1172" s="319">
        <v>3</v>
      </c>
      <c r="AF1172" s="320">
        <v>1.9230769230769201E-2</v>
      </c>
      <c r="AG1172" s="319">
        <v>1</v>
      </c>
      <c r="AH1172" s="320">
        <v>6.41025641025641E-3</v>
      </c>
      <c r="AI1172" s="319">
        <v>1</v>
      </c>
      <c r="AJ1172" s="320">
        <v>6.41025641025641E-3</v>
      </c>
      <c r="AK1172" s="320">
        <v>0</v>
      </c>
      <c r="AL1172" s="319">
        <v>9.0357142857142794</v>
      </c>
      <c r="AM1172" s="319">
        <v>5</v>
      </c>
      <c r="AN1172" s="319">
        <v>4.6666666666666599</v>
      </c>
      <c r="AO1172" s="319">
        <v>0.62341269841269797</v>
      </c>
      <c r="AP1172">
        <v>2</v>
      </c>
      <c r="AQ1172" s="136">
        <v>2</v>
      </c>
      <c r="AT1172" s="69">
        <v>9.4480000000000004</v>
      </c>
      <c r="AU1172" s="69">
        <v>2.3148</v>
      </c>
      <c r="AV1172" s="69">
        <v>8.1305999999999994</v>
      </c>
      <c r="AW1172" s="69">
        <v>0.66310000000000002</v>
      </c>
      <c r="BB1172" s="69"/>
    </row>
    <row r="1173" spans="1:54" customFormat="1" ht="40" customHeight="1">
      <c r="A1173" s="313">
        <v>1172</v>
      </c>
      <c r="B1173" s="136" t="s">
        <v>3117</v>
      </c>
      <c r="C1173" s="136" t="s">
        <v>45</v>
      </c>
      <c r="D1173" s="31">
        <f t="shared" si="82"/>
        <v>4</v>
      </c>
      <c r="E1173" s="137" t="s">
        <v>46</v>
      </c>
      <c r="F1173" s="31">
        <f t="shared" si="83"/>
        <v>6</v>
      </c>
      <c r="G1173" s="137" t="s">
        <v>3171</v>
      </c>
      <c r="H1173" s="138">
        <v>63</v>
      </c>
      <c r="I1173" s="158">
        <f t="shared" si="84"/>
        <v>0.38080095988997092</v>
      </c>
      <c r="J1173" s="95">
        <v>8.3030491208513801E-2</v>
      </c>
      <c r="K1173" s="137">
        <v>0.67857142857142805</v>
      </c>
      <c r="L1173" s="137">
        <v>0.75</v>
      </c>
      <c r="M1173" s="137">
        <v>0.57142857142857095</v>
      </c>
      <c r="N1173" s="136">
        <v>1</v>
      </c>
      <c r="O1173" s="32">
        <v>42933</v>
      </c>
      <c r="P1173" s="98">
        <f t="shared" si="85"/>
        <v>1</v>
      </c>
      <c r="Q1173">
        <v>0</v>
      </c>
      <c r="R1173">
        <v>1.65</v>
      </c>
      <c r="S1173">
        <v>0</v>
      </c>
      <c r="T1173" s="112" t="s">
        <v>73</v>
      </c>
      <c r="U1173" s="137" t="s">
        <v>3172</v>
      </c>
      <c r="V1173" s="137" t="s">
        <v>3149</v>
      </c>
      <c r="W1173" s="69">
        <v>281</v>
      </c>
      <c r="X1173" s="136">
        <v>2</v>
      </c>
      <c r="Y1173" s="136">
        <v>9</v>
      </c>
      <c r="Z1173" s="314"/>
      <c r="AA1173" s="319">
        <v>0.5</v>
      </c>
      <c r="AB1173" s="315" t="s">
        <v>5178</v>
      </c>
      <c r="AC1173" s="319">
        <v>3</v>
      </c>
      <c r="AD1173" s="320">
        <v>2.04081632653061E-2</v>
      </c>
      <c r="AE1173" s="319">
        <v>3</v>
      </c>
      <c r="AF1173" s="320">
        <v>2.04081632653061E-2</v>
      </c>
      <c r="AG1173" s="319">
        <v>1</v>
      </c>
      <c r="AH1173" s="320">
        <v>6.8027210884353704E-3</v>
      </c>
      <c r="AI1173" s="319">
        <v>1</v>
      </c>
      <c r="AJ1173" s="320">
        <v>6.8027210884353704E-3</v>
      </c>
      <c r="AK1173" s="320">
        <v>0</v>
      </c>
      <c r="AL1173" s="319">
        <v>9.0357142857142794</v>
      </c>
      <c r="AM1173" s="319">
        <v>5</v>
      </c>
      <c r="AN1173" s="319">
        <v>7.3333333333333304</v>
      </c>
      <c r="AO1173" s="319">
        <v>0.71230158730158699</v>
      </c>
      <c r="AP1173">
        <v>9</v>
      </c>
      <c r="AQ1173" s="136">
        <v>9</v>
      </c>
      <c r="AT1173" s="69">
        <v>9.4480000000000004</v>
      </c>
      <c r="AU1173" s="69">
        <v>2.3148</v>
      </c>
      <c r="AV1173" s="69">
        <v>9.8416999999999994</v>
      </c>
      <c r="AW1173" s="69">
        <v>0.72019999999999995</v>
      </c>
      <c r="BB1173" s="69"/>
    </row>
    <row r="1174" spans="1:54" customFormat="1" ht="40" customHeight="1">
      <c r="A1174" s="313">
        <v>1173</v>
      </c>
      <c r="B1174" s="136" t="s">
        <v>3117</v>
      </c>
      <c r="C1174" s="136" t="s">
        <v>45</v>
      </c>
      <c r="D1174" s="31">
        <f t="shared" si="82"/>
        <v>4</v>
      </c>
      <c r="E1174" s="137" t="s">
        <v>46</v>
      </c>
      <c r="F1174" s="31">
        <f t="shared" si="83"/>
        <v>6</v>
      </c>
      <c r="G1174" s="137" t="s">
        <v>3171</v>
      </c>
      <c r="H1174" s="138">
        <v>45</v>
      </c>
      <c r="I1174" s="158">
        <f t="shared" si="84"/>
        <v>0.3555362303190116</v>
      </c>
      <c r="J1174" s="95">
        <v>4.1774041219073299E-2</v>
      </c>
      <c r="K1174" s="137">
        <v>0.66929841941894996</v>
      </c>
      <c r="L1174" s="137">
        <v>0.75</v>
      </c>
      <c r="M1174" s="137">
        <v>0.54824604854737402</v>
      </c>
      <c r="N1174" s="136">
        <v>1</v>
      </c>
      <c r="O1174" s="32">
        <v>42932</v>
      </c>
      <c r="P1174" s="98">
        <f t="shared" si="85"/>
        <v>1</v>
      </c>
      <c r="Q1174">
        <v>0</v>
      </c>
      <c r="R1174">
        <v>1.65</v>
      </c>
      <c r="S1174">
        <v>0</v>
      </c>
      <c r="T1174" s="112" t="s">
        <v>73</v>
      </c>
      <c r="U1174" s="137" t="s">
        <v>3173</v>
      </c>
      <c r="V1174" s="137" t="s">
        <v>3158</v>
      </c>
      <c r="W1174" s="69">
        <v>280</v>
      </c>
      <c r="X1174" s="136">
        <v>2</v>
      </c>
      <c r="Y1174" s="136">
        <v>10</v>
      </c>
      <c r="Z1174" s="314"/>
      <c r="AA1174" s="319">
        <v>0.5</v>
      </c>
      <c r="AB1174" s="315" t="s">
        <v>5178</v>
      </c>
      <c r="AC1174" s="319">
        <v>3</v>
      </c>
      <c r="AD1174" s="320">
        <v>2.0547945205479399E-2</v>
      </c>
      <c r="AE1174" s="319">
        <v>3</v>
      </c>
      <c r="AF1174" s="320">
        <v>2.0547945205479399E-2</v>
      </c>
      <c r="AG1174" s="319">
        <v>1</v>
      </c>
      <c r="AH1174" s="320">
        <v>6.8493150684931503E-3</v>
      </c>
      <c r="AI1174" s="319">
        <v>1</v>
      </c>
      <c r="AJ1174" s="320">
        <v>6.8493150684931503E-3</v>
      </c>
      <c r="AK1174" s="320">
        <v>0</v>
      </c>
      <c r="AL1174" s="319">
        <v>9.0357142857142794</v>
      </c>
      <c r="AM1174" s="319">
        <v>5</v>
      </c>
      <c r="AN1174" s="319">
        <v>4.6666666666666599</v>
      </c>
      <c r="AO1174" s="319">
        <v>0.62341269841269797</v>
      </c>
      <c r="AP1174">
        <v>10</v>
      </c>
      <c r="AQ1174" s="136">
        <v>10</v>
      </c>
      <c r="AT1174" s="69">
        <v>9.4480000000000004</v>
      </c>
      <c r="AU1174" s="69">
        <v>2.3148</v>
      </c>
      <c r="AV1174" s="69">
        <v>8.1305999999999994</v>
      </c>
      <c r="AW1174" s="69">
        <v>0.66310000000000002</v>
      </c>
      <c r="BB1174" s="69"/>
    </row>
    <row r="1175" spans="1:54" customFormat="1" ht="40" customHeight="1">
      <c r="A1175" s="313">
        <v>1174</v>
      </c>
      <c r="B1175" s="136" t="s">
        <v>3117</v>
      </c>
      <c r="C1175" s="136" t="s">
        <v>45</v>
      </c>
      <c r="D1175" s="31">
        <f t="shared" si="82"/>
        <v>4</v>
      </c>
      <c r="E1175" s="137" t="s">
        <v>46</v>
      </c>
      <c r="F1175" s="31">
        <f t="shared" si="83"/>
        <v>6</v>
      </c>
      <c r="G1175" s="137" t="s">
        <v>3130</v>
      </c>
      <c r="H1175" s="138">
        <v>63</v>
      </c>
      <c r="I1175" s="158">
        <f t="shared" si="84"/>
        <v>0.38231398493422153</v>
      </c>
      <c r="J1175" s="95">
        <v>0.10414938646018</v>
      </c>
      <c r="K1175" s="137">
        <v>0.66047858340826304</v>
      </c>
      <c r="L1175" s="137">
        <v>0.75</v>
      </c>
      <c r="M1175" s="137">
        <v>0.526196458520657</v>
      </c>
      <c r="N1175" s="136">
        <v>1</v>
      </c>
      <c r="O1175" s="32">
        <v>42931</v>
      </c>
      <c r="P1175" s="98">
        <f t="shared" si="85"/>
        <v>1</v>
      </c>
      <c r="Q1175">
        <v>0</v>
      </c>
      <c r="R1175">
        <v>1.65</v>
      </c>
      <c r="S1175">
        <v>0</v>
      </c>
      <c r="T1175" s="112" t="s">
        <v>73</v>
      </c>
      <c r="U1175" s="137" t="s">
        <v>3174</v>
      </c>
      <c r="V1175" s="137" t="s">
        <v>3149</v>
      </c>
      <c r="W1175" s="69">
        <v>282</v>
      </c>
      <c r="X1175" s="136">
        <v>2</v>
      </c>
      <c r="Y1175" s="136">
        <v>11</v>
      </c>
      <c r="Z1175" s="314"/>
      <c r="AA1175" s="319">
        <v>0.5</v>
      </c>
      <c r="AB1175" s="315" t="s">
        <v>5178</v>
      </c>
      <c r="AC1175" s="319">
        <v>3</v>
      </c>
      <c r="AD1175" s="320">
        <v>2.0270270270270199E-2</v>
      </c>
      <c r="AE1175" s="319">
        <v>3</v>
      </c>
      <c r="AF1175" s="320">
        <v>2.0270270270270199E-2</v>
      </c>
      <c r="AG1175" s="319">
        <v>1</v>
      </c>
      <c r="AH1175" s="320">
        <v>6.7567567567567502E-3</v>
      </c>
      <c r="AI1175" s="319">
        <v>1</v>
      </c>
      <c r="AJ1175" s="320">
        <v>6.7567567567567502E-3</v>
      </c>
      <c r="AK1175" s="320">
        <v>0</v>
      </c>
      <c r="AL1175" s="319">
        <v>9.0357142857142794</v>
      </c>
      <c r="AM1175" s="319">
        <v>5</v>
      </c>
      <c r="AN1175" s="319">
        <v>7.3333333333333304</v>
      </c>
      <c r="AO1175" s="319">
        <v>0.71230158730158699</v>
      </c>
      <c r="AP1175">
        <v>11</v>
      </c>
      <c r="AQ1175" s="136">
        <v>11</v>
      </c>
      <c r="AT1175" s="69">
        <v>9.4480000000000004</v>
      </c>
      <c r="AU1175" s="69">
        <v>2.3148</v>
      </c>
      <c r="AV1175" s="69">
        <v>9.8416999999999994</v>
      </c>
      <c r="AW1175" s="69">
        <v>0.72019999999999995</v>
      </c>
      <c r="BB1175" s="69"/>
    </row>
    <row r="1176" spans="1:54" customFormat="1" ht="40" customHeight="1">
      <c r="A1176" s="313">
        <v>1175</v>
      </c>
      <c r="B1176" s="136" t="s">
        <v>3117</v>
      </c>
      <c r="C1176" s="136" t="s">
        <v>45</v>
      </c>
      <c r="D1176" s="31">
        <f t="shared" si="82"/>
        <v>4</v>
      </c>
      <c r="E1176" s="137" t="s">
        <v>46</v>
      </c>
      <c r="F1176" s="31">
        <f t="shared" si="83"/>
        <v>6</v>
      </c>
      <c r="G1176" s="137" t="s">
        <v>3171</v>
      </c>
      <c r="H1176" s="138">
        <v>48</v>
      </c>
      <c r="I1176" s="158">
        <f t="shared" si="84"/>
        <v>0.3255909756545049</v>
      </c>
      <c r="J1176" s="95">
        <v>7.2134527640948E-3</v>
      </c>
      <c r="K1176" s="137">
        <v>0.643968498544915</v>
      </c>
      <c r="L1176" s="137">
        <v>0.75</v>
      </c>
      <c r="M1176" s="137">
        <v>0.48492124636228701</v>
      </c>
      <c r="N1176" s="136">
        <v>1</v>
      </c>
      <c r="O1176" s="32">
        <v>42929</v>
      </c>
      <c r="P1176" s="98">
        <f t="shared" si="85"/>
        <v>1</v>
      </c>
      <c r="Q1176">
        <v>0</v>
      </c>
      <c r="R1176">
        <v>1.65</v>
      </c>
      <c r="S1176">
        <v>0</v>
      </c>
      <c r="T1176" s="112" t="s">
        <v>73</v>
      </c>
      <c r="U1176" s="137" t="s">
        <v>3175</v>
      </c>
      <c r="V1176" s="137" t="s">
        <v>3149</v>
      </c>
      <c r="W1176" s="69">
        <v>282</v>
      </c>
      <c r="X1176" s="136">
        <v>2</v>
      </c>
      <c r="Y1176" s="136">
        <v>13</v>
      </c>
      <c r="Z1176" s="314"/>
      <c r="AA1176" s="319">
        <v>0.5</v>
      </c>
      <c r="AB1176" s="315" t="s">
        <v>5178</v>
      </c>
      <c r="AC1176" s="319">
        <v>3</v>
      </c>
      <c r="AD1176" s="320">
        <v>2.0270270270270199E-2</v>
      </c>
      <c r="AE1176" s="319">
        <v>3</v>
      </c>
      <c r="AF1176" s="320">
        <v>2.0270270270270199E-2</v>
      </c>
      <c r="AG1176" s="319">
        <v>1</v>
      </c>
      <c r="AH1176" s="320">
        <v>6.7567567567567502E-3</v>
      </c>
      <c r="AI1176" s="319">
        <v>1</v>
      </c>
      <c r="AJ1176" s="320">
        <v>6.7567567567567502E-3</v>
      </c>
      <c r="AK1176" s="320">
        <v>0</v>
      </c>
      <c r="AL1176" s="319">
        <v>10</v>
      </c>
      <c r="AM1176" s="319">
        <v>5</v>
      </c>
      <c r="AN1176" s="319">
        <v>2</v>
      </c>
      <c r="AO1176" s="319">
        <v>0.56666666666666599</v>
      </c>
      <c r="AP1176">
        <v>13</v>
      </c>
      <c r="AQ1176" s="136">
        <v>13</v>
      </c>
      <c r="AT1176" s="69">
        <v>9.9405999999999999</v>
      </c>
      <c r="AU1176" s="69">
        <v>2.3148</v>
      </c>
      <c r="AV1176" s="69">
        <v>2.3148</v>
      </c>
      <c r="AW1176" s="69">
        <v>0.48570000000000002</v>
      </c>
      <c r="BB1176" s="69"/>
    </row>
    <row r="1177" spans="1:54" customFormat="1" ht="40" customHeight="1">
      <c r="A1177" s="313">
        <v>1176</v>
      </c>
      <c r="B1177" s="136" t="s">
        <v>3117</v>
      </c>
      <c r="C1177" s="136" t="s">
        <v>45</v>
      </c>
      <c r="D1177" s="31">
        <f t="shared" si="82"/>
        <v>4</v>
      </c>
      <c r="E1177" s="137" t="s">
        <v>46</v>
      </c>
      <c r="F1177" s="31">
        <f t="shared" si="83"/>
        <v>6</v>
      </c>
      <c r="G1177" s="137" t="s">
        <v>3176</v>
      </c>
      <c r="H1177" s="138">
        <v>112</v>
      </c>
      <c r="I1177" s="158">
        <f t="shared" si="84"/>
        <v>0.75622557378327859</v>
      </c>
      <c r="J1177" s="95">
        <v>0.71959400470941404</v>
      </c>
      <c r="K1177" s="137">
        <v>0.79285714285714304</v>
      </c>
      <c r="L1177" s="137">
        <v>0.75</v>
      </c>
      <c r="M1177" s="137">
        <v>0.85714285714285698</v>
      </c>
      <c r="N1177" s="136">
        <v>1</v>
      </c>
      <c r="O1177" s="32">
        <v>42928</v>
      </c>
      <c r="P1177" s="98">
        <f t="shared" si="85"/>
        <v>2</v>
      </c>
      <c r="Q1177">
        <v>0</v>
      </c>
      <c r="R1177">
        <v>1.65</v>
      </c>
      <c r="S1177">
        <v>1.87</v>
      </c>
      <c r="T1177" s="112" t="s">
        <v>64</v>
      </c>
      <c r="U1177" s="137" t="s">
        <v>3177</v>
      </c>
      <c r="V1177" s="137" t="s">
        <v>3178</v>
      </c>
      <c r="W1177" s="69">
        <v>236</v>
      </c>
      <c r="X1177" s="136">
        <v>2</v>
      </c>
      <c r="Y1177" s="136">
        <v>1</v>
      </c>
      <c r="Z1177" s="314"/>
      <c r="AA1177" s="319">
        <v>0.55000000000000004</v>
      </c>
      <c r="AB1177" s="315" t="s">
        <v>5165</v>
      </c>
      <c r="AC1177" s="319">
        <v>3</v>
      </c>
      <c r="AD1177" s="320">
        <v>2.34375E-2</v>
      </c>
      <c r="AE1177" s="319">
        <v>2</v>
      </c>
      <c r="AF1177" s="320">
        <v>1.5625E-2</v>
      </c>
      <c r="AG1177" s="319">
        <v>1</v>
      </c>
      <c r="AH1177" s="320">
        <v>7.8125E-3</v>
      </c>
      <c r="AI1177" s="319">
        <v>1</v>
      </c>
      <c r="AJ1177" s="320">
        <v>7.8125E-3</v>
      </c>
      <c r="AK1177" s="320">
        <v>7.8125E-3</v>
      </c>
      <c r="AL1177" s="319">
        <v>10</v>
      </c>
      <c r="AM1177" s="319">
        <v>5</v>
      </c>
      <c r="AN1177" s="319">
        <v>7.3333333333333304</v>
      </c>
      <c r="AO1177" s="319">
        <v>0.74444444444444402</v>
      </c>
      <c r="AP1177">
        <v>1</v>
      </c>
      <c r="AQ1177" s="136">
        <v>1</v>
      </c>
      <c r="AT1177" s="69">
        <v>9.9652999999999992</v>
      </c>
      <c r="AU1177" s="69">
        <v>2.3148</v>
      </c>
      <c r="AV1177" s="69">
        <v>9.8416999999999994</v>
      </c>
      <c r="AW1177" s="69">
        <v>0.73740000000000006</v>
      </c>
      <c r="BB1177" s="69"/>
    </row>
    <row r="1178" spans="1:54" customFormat="1" ht="40" customHeight="1">
      <c r="A1178" s="313">
        <v>1177</v>
      </c>
      <c r="B1178" s="136" t="s">
        <v>3117</v>
      </c>
      <c r="C1178" s="136" t="s">
        <v>45</v>
      </c>
      <c r="D1178" s="31">
        <f t="shared" si="82"/>
        <v>4</v>
      </c>
      <c r="E1178" s="137" t="s">
        <v>46</v>
      </c>
      <c r="F1178" s="31">
        <f t="shared" si="83"/>
        <v>6</v>
      </c>
      <c r="G1178" s="137" t="s">
        <v>3156</v>
      </c>
      <c r="H1178" s="138">
        <v>45</v>
      </c>
      <c r="I1178" s="158">
        <f t="shared" si="84"/>
        <v>0.60269400295908859</v>
      </c>
      <c r="J1178" s="95">
        <v>0.52681657734674903</v>
      </c>
      <c r="K1178" s="137">
        <v>0.67857142857142805</v>
      </c>
      <c r="L1178" s="137">
        <v>0.75</v>
      </c>
      <c r="M1178" s="137">
        <v>0.57142857142857095</v>
      </c>
      <c r="N1178" s="136">
        <v>1</v>
      </c>
      <c r="O1178" s="32">
        <v>42927</v>
      </c>
      <c r="P1178" s="98">
        <f t="shared" si="85"/>
        <v>1</v>
      </c>
      <c r="Q1178">
        <v>0</v>
      </c>
      <c r="R1178">
        <v>1.65</v>
      </c>
      <c r="S1178">
        <v>0</v>
      </c>
      <c r="T1178" s="112" t="s">
        <v>73</v>
      </c>
      <c r="U1178" s="137" t="s">
        <v>3179</v>
      </c>
      <c r="V1178" s="137" t="s">
        <v>3170</v>
      </c>
      <c r="W1178" s="69">
        <v>295</v>
      </c>
      <c r="X1178" s="136">
        <v>2</v>
      </c>
      <c r="Y1178" s="136">
        <v>9</v>
      </c>
      <c r="Z1178" s="314"/>
      <c r="AA1178" s="319">
        <v>0.5</v>
      </c>
      <c r="AB1178" s="315" t="s">
        <v>5178</v>
      </c>
      <c r="AC1178" s="319">
        <v>3</v>
      </c>
      <c r="AD1178" s="320">
        <v>1.9230769230769201E-2</v>
      </c>
      <c r="AE1178" s="319">
        <v>3</v>
      </c>
      <c r="AF1178" s="320">
        <v>1.9230769230769201E-2</v>
      </c>
      <c r="AG1178" s="319">
        <v>1</v>
      </c>
      <c r="AH1178" s="320">
        <v>6.41025641025641E-3</v>
      </c>
      <c r="AI1178" s="319">
        <v>1</v>
      </c>
      <c r="AJ1178" s="320">
        <v>6.41025641025641E-3</v>
      </c>
      <c r="AK1178" s="320">
        <v>0</v>
      </c>
      <c r="AL1178" s="319">
        <v>9.0357142857142794</v>
      </c>
      <c r="AM1178" s="319">
        <v>5</v>
      </c>
      <c r="AN1178" s="319">
        <v>4.6666666666666599</v>
      </c>
      <c r="AO1178" s="319">
        <v>0.62341269841269797</v>
      </c>
      <c r="AP1178">
        <v>9</v>
      </c>
      <c r="AQ1178" s="136">
        <v>9</v>
      </c>
      <c r="AT1178" s="69">
        <v>9.4480000000000004</v>
      </c>
      <c r="AU1178" s="69">
        <v>2.3148</v>
      </c>
      <c r="AV1178" s="69">
        <v>8.1305999999999994</v>
      </c>
      <c r="AW1178" s="69">
        <v>0.66310000000000002</v>
      </c>
      <c r="BB1178" s="69"/>
    </row>
    <row r="1179" spans="1:54" customFormat="1" ht="40" customHeight="1">
      <c r="A1179" s="313">
        <v>1178</v>
      </c>
      <c r="B1179" s="136" t="s">
        <v>3117</v>
      </c>
      <c r="C1179" s="136" t="s">
        <v>45</v>
      </c>
      <c r="D1179" s="31">
        <f t="shared" si="82"/>
        <v>4</v>
      </c>
      <c r="E1179" s="137" t="s">
        <v>46</v>
      </c>
      <c r="F1179" s="31">
        <f t="shared" si="83"/>
        <v>6</v>
      </c>
      <c r="G1179" s="137" t="s">
        <v>3180</v>
      </c>
      <c r="H1179" s="138">
        <v>65</v>
      </c>
      <c r="I1179" s="158">
        <f t="shared" si="84"/>
        <v>0.78453565322629104</v>
      </c>
      <c r="J1179" s="95">
        <v>0.93140896879024404</v>
      </c>
      <c r="K1179" s="137">
        <v>0.63766233766233804</v>
      </c>
      <c r="L1179" s="137">
        <v>0.68181818181818199</v>
      </c>
      <c r="M1179" s="137">
        <v>0.57142857142857095</v>
      </c>
      <c r="N1179" s="136">
        <v>1</v>
      </c>
      <c r="O1179" s="32">
        <v>42926</v>
      </c>
      <c r="P1179" s="98">
        <f t="shared" si="85"/>
        <v>1</v>
      </c>
      <c r="Q1179">
        <v>0</v>
      </c>
      <c r="R1179">
        <v>0</v>
      </c>
      <c r="S1179">
        <v>0</v>
      </c>
      <c r="T1179" s="112" t="s">
        <v>73</v>
      </c>
      <c r="U1179" s="137" t="s">
        <v>3181</v>
      </c>
      <c r="V1179" s="137" t="s">
        <v>3170</v>
      </c>
      <c r="W1179" s="69">
        <v>295</v>
      </c>
      <c r="X1179" s="136">
        <v>2</v>
      </c>
      <c r="Y1179" s="136">
        <v>9</v>
      </c>
      <c r="Z1179" s="314"/>
      <c r="AA1179" s="319">
        <v>0.66549999999999998</v>
      </c>
      <c r="AB1179" s="315" t="s">
        <v>5178</v>
      </c>
      <c r="AC1179" s="319">
        <v>3</v>
      </c>
      <c r="AD1179" s="320">
        <v>1.9230769230769201E-2</v>
      </c>
      <c r="AE1179" s="319">
        <v>3</v>
      </c>
      <c r="AF1179" s="320">
        <v>1.9230769230769201E-2</v>
      </c>
      <c r="AG1179" s="319">
        <v>1</v>
      </c>
      <c r="AH1179" s="320">
        <v>6.41025641025641E-3</v>
      </c>
      <c r="AI1179" s="319">
        <v>1</v>
      </c>
      <c r="AJ1179" s="320">
        <v>6.41025641025641E-3</v>
      </c>
      <c r="AK1179" s="320">
        <v>0</v>
      </c>
      <c r="AL1179" s="319">
        <v>9.5714285714285694</v>
      </c>
      <c r="AM1179" s="319">
        <v>9.5333333333333297</v>
      </c>
      <c r="AN1179" s="319">
        <v>2</v>
      </c>
      <c r="AO1179" s="319">
        <v>0.70349206349206295</v>
      </c>
      <c r="AP1179">
        <v>9</v>
      </c>
      <c r="AQ1179" s="136">
        <v>9</v>
      </c>
      <c r="AT1179" s="69">
        <v>9.6675000000000004</v>
      </c>
      <c r="AU1179" s="69">
        <v>9.6544000000000008</v>
      </c>
      <c r="AV1179" s="69">
        <v>2.3148</v>
      </c>
      <c r="AW1179" s="69">
        <v>0.72119999999999995</v>
      </c>
      <c r="BB1179" s="69"/>
    </row>
    <row r="1180" spans="1:54" customFormat="1" ht="40" customHeight="1">
      <c r="A1180" s="313">
        <v>1179</v>
      </c>
      <c r="B1180" s="136" t="s">
        <v>3117</v>
      </c>
      <c r="C1180" s="136" t="s">
        <v>45</v>
      </c>
      <c r="D1180" s="31">
        <f t="shared" si="82"/>
        <v>4</v>
      </c>
      <c r="E1180" s="137" t="s">
        <v>46</v>
      </c>
      <c r="F1180" s="31">
        <f t="shared" si="83"/>
        <v>6</v>
      </c>
      <c r="G1180" s="137" t="s">
        <v>3182</v>
      </c>
      <c r="H1180" s="138">
        <v>48</v>
      </c>
      <c r="I1180" s="158">
        <f t="shared" si="84"/>
        <v>0.78791135198404905</v>
      </c>
      <c r="J1180" s="95">
        <v>0.95625321146892595</v>
      </c>
      <c r="K1180" s="137">
        <v>0.61956949249917204</v>
      </c>
      <c r="L1180" s="137">
        <v>0.68181818181818199</v>
      </c>
      <c r="M1180" s="137">
        <v>0.526196458520657</v>
      </c>
      <c r="N1180" s="136">
        <v>1</v>
      </c>
      <c r="O1180" s="32">
        <v>42924</v>
      </c>
      <c r="P1180" s="98">
        <f t="shared" si="85"/>
        <v>1</v>
      </c>
      <c r="Q1180">
        <v>0</v>
      </c>
      <c r="R1180">
        <v>0</v>
      </c>
      <c r="S1180">
        <v>0</v>
      </c>
      <c r="T1180" s="112" t="s">
        <v>73</v>
      </c>
      <c r="U1180" s="137" t="s">
        <v>3183</v>
      </c>
      <c r="V1180" s="137" t="s">
        <v>3170</v>
      </c>
      <c r="W1180" s="69">
        <v>295</v>
      </c>
      <c r="X1180" s="136">
        <v>2</v>
      </c>
      <c r="Y1180" s="136">
        <v>11</v>
      </c>
      <c r="Z1180" s="314"/>
      <c r="AA1180" s="319">
        <v>0.5</v>
      </c>
      <c r="AB1180" s="315" t="s">
        <v>5178</v>
      </c>
      <c r="AC1180" s="319">
        <v>3</v>
      </c>
      <c r="AD1180" s="320">
        <v>1.9230769230769201E-2</v>
      </c>
      <c r="AE1180" s="319">
        <v>3</v>
      </c>
      <c r="AF1180" s="320">
        <v>1.9230769230769201E-2</v>
      </c>
      <c r="AG1180" s="319">
        <v>1</v>
      </c>
      <c r="AH1180" s="320">
        <v>6.41025641025641E-3</v>
      </c>
      <c r="AI1180" s="319">
        <v>1</v>
      </c>
      <c r="AJ1180" s="320">
        <v>6.41025641025641E-3</v>
      </c>
      <c r="AK1180" s="320">
        <v>0</v>
      </c>
      <c r="AL1180" s="319">
        <v>7.2857142857142803</v>
      </c>
      <c r="AM1180" s="319">
        <v>5</v>
      </c>
      <c r="AN1180" s="319">
        <v>4.6666666666666599</v>
      </c>
      <c r="AO1180" s="319">
        <v>0.56507936507936496</v>
      </c>
      <c r="AP1180">
        <v>11</v>
      </c>
      <c r="AQ1180" s="136">
        <v>11</v>
      </c>
      <c r="AT1180" s="69">
        <v>7.4837999999999996</v>
      </c>
      <c r="AU1180" s="69">
        <v>2.3148</v>
      </c>
      <c r="AV1180" s="69">
        <v>8.1305999999999994</v>
      </c>
      <c r="AW1180" s="69">
        <v>0.59760000000000002</v>
      </c>
      <c r="BB1180" s="69"/>
    </row>
    <row r="1181" spans="1:54" customFormat="1" ht="40" customHeight="1">
      <c r="A1181" s="313">
        <v>1180</v>
      </c>
      <c r="B1181" s="136" t="s">
        <v>3117</v>
      </c>
      <c r="C1181" s="136" t="s">
        <v>45</v>
      </c>
      <c r="D1181" s="31">
        <f t="shared" si="82"/>
        <v>4</v>
      </c>
      <c r="E1181" s="137" t="s">
        <v>46</v>
      </c>
      <c r="F1181" s="31">
        <f t="shared" si="83"/>
        <v>6</v>
      </c>
      <c r="G1181" s="137" t="s">
        <v>3130</v>
      </c>
      <c r="H1181" s="138">
        <v>79</v>
      </c>
      <c r="I1181" s="158">
        <f t="shared" si="84"/>
        <v>0.35911459950345892</v>
      </c>
      <c r="J1181" s="95">
        <v>6.6177862729074902E-2</v>
      </c>
      <c r="K1181" s="137">
        <v>0.65205133627784295</v>
      </c>
      <c r="L1181" s="137">
        <v>0.75</v>
      </c>
      <c r="M1181" s="137">
        <v>0.50512834069460699</v>
      </c>
      <c r="N1181" s="136">
        <v>1</v>
      </c>
      <c r="O1181" s="32">
        <v>42923</v>
      </c>
      <c r="P1181" s="98">
        <f t="shared" si="85"/>
        <v>1</v>
      </c>
      <c r="Q1181">
        <v>0</v>
      </c>
      <c r="R1181">
        <v>1.65</v>
      </c>
      <c r="S1181">
        <v>0</v>
      </c>
      <c r="T1181" s="112" t="s">
        <v>73</v>
      </c>
      <c r="U1181" s="137" t="s">
        <v>3184</v>
      </c>
      <c r="V1181" s="137" t="s">
        <v>3170</v>
      </c>
      <c r="W1181" s="69">
        <v>295</v>
      </c>
      <c r="X1181" s="136">
        <v>2</v>
      </c>
      <c r="Y1181" s="136">
        <v>12</v>
      </c>
      <c r="Z1181" s="314"/>
      <c r="AA1181" s="319">
        <v>0.5</v>
      </c>
      <c r="AB1181" s="315" t="s">
        <v>5178</v>
      </c>
      <c r="AC1181" s="319">
        <v>3</v>
      </c>
      <c r="AD1181" s="320">
        <v>1.9230769230769201E-2</v>
      </c>
      <c r="AE1181" s="319">
        <v>3</v>
      </c>
      <c r="AF1181" s="320">
        <v>1.9230769230769201E-2</v>
      </c>
      <c r="AG1181" s="319">
        <v>1</v>
      </c>
      <c r="AH1181" s="320">
        <v>6.41025641025641E-3</v>
      </c>
      <c r="AI1181" s="319">
        <v>1</v>
      </c>
      <c r="AJ1181" s="320">
        <v>6.41025641025641E-3</v>
      </c>
      <c r="AK1181" s="320">
        <v>0</v>
      </c>
      <c r="AL1181" s="319">
        <v>10</v>
      </c>
      <c r="AM1181" s="319">
        <v>5</v>
      </c>
      <c r="AN1181" s="319">
        <v>2</v>
      </c>
      <c r="AO1181" s="319">
        <v>0.56666666666666599</v>
      </c>
      <c r="AP1181">
        <v>12</v>
      </c>
      <c r="AQ1181" s="136">
        <v>12</v>
      </c>
      <c r="AT1181" s="69">
        <v>9.9405999999999999</v>
      </c>
      <c r="AU1181" s="69">
        <v>2.3148</v>
      </c>
      <c r="AV1181" s="69">
        <v>2.3148</v>
      </c>
      <c r="AW1181" s="69">
        <v>0.48570000000000002</v>
      </c>
      <c r="BB1181" s="69"/>
    </row>
    <row r="1182" spans="1:54" customFormat="1" ht="40" customHeight="1">
      <c r="A1182" s="313">
        <v>1181</v>
      </c>
      <c r="B1182" s="136" t="s">
        <v>3117</v>
      </c>
      <c r="C1182" s="136" t="s">
        <v>45</v>
      </c>
      <c r="D1182" s="31">
        <f t="shared" si="82"/>
        <v>4</v>
      </c>
      <c r="E1182" s="137" t="s">
        <v>46</v>
      </c>
      <c r="F1182" s="31">
        <f t="shared" si="83"/>
        <v>6</v>
      </c>
      <c r="G1182" s="137" t="s">
        <v>3130</v>
      </c>
      <c r="H1182" s="138">
        <v>73</v>
      </c>
      <c r="I1182" s="158">
        <f t="shared" si="84"/>
        <v>0.34908854227619313</v>
      </c>
      <c r="J1182" s="95">
        <v>5.42085860074712E-2</v>
      </c>
      <c r="K1182" s="137">
        <v>0.643968498544915</v>
      </c>
      <c r="L1182" s="137">
        <v>0.75</v>
      </c>
      <c r="M1182" s="137">
        <v>0.48492124636228701</v>
      </c>
      <c r="N1182" s="136">
        <v>1</v>
      </c>
      <c r="O1182" s="32">
        <v>42922</v>
      </c>
      <c r="P1182" s="98">
        <f t="shared" si="85"/>
        <v>1</v>
      </c>
      <c r="Q1182">
        <v>0</v>
      </c>
      <c r="R1182">
        <v>1.65</v>
      </c>
      <c r="S1182">
        <v>0</v>
      </c>
      <c r="T1182" s="112" t="s">
        <v>73</v>
      </c>
      <c r="U1182" s="137" t="s">
        <v>3185</v>
      </c>
      <c r="V1182" s="137" t="s">
        <v>3186</v>
      </c>
      <c r="W1182" s="69">
        <v>255</v>
      </c>
      <c r="X1182" s="136">
        <v>2</v>
      </c>
      <c r="Y1182" s="136">
        <v>13</v>
      </c>
      <c r="Z1182" s="314"/>
      <c r="AA1182" s="319">
        <v>0.5</v>
      </c>
      <c r="AB1182" s="315" t="s">
        <v>5178</v>
      </c>
      <c r="AC1182" s="319">
        <v>3</v>
      </c>
      <c r="AD1182" s="320">
        <v>2.2388059701492501E-2</v>
      </c>
      <c r="AE1182" s="319">
        <v>3</v>
      </c>
      <c r="AF1182" s="320">
        <v>2.2388059701492501E-2</v>
      </c>
      <c r="AG1182" s="319">
        <v>1</v>
      </c>
      <c r="AH1182" s="320">
        <v>7.4626865671641798E-3</v>
      </c>
      <c r="AI1182" s="319">
        <v>1</v>
      </c>
      <c r="AJ1182" s="320">
        <v>7.4626865671641798E-3</v>
      </c>
      <c r="AK1182" s="320">
        <v>0</v>
      </c>
      <c r="AL1182" s="319">
        <v>10</v>
      </c>
      <c r="AM1182" s="319">
        <v>5</v>
      </c>
      <c r="AN1182" s="319">
        <v>4.6666666666666599</v>
      </c>
      <c r="AO1182" s="319">
        <v>0.655555555555555</v>
      </c>
      <c r="AP1182">
        <v>13</v>
      </c>
      <c r="AQ1182" s="136">
        <v>13</v>
      </c>
      <c r="AT1182" s="69">
        <v>9.9405999999999999</v>
      </c>
      <c r="AU1182" s="69">
        <v>2.3148</v>
      </c>
      <c r="AV1182" s="69">
        <v>8.1305999999999994</v>
      </c>
      <c r="AW1182" s="69">
        <v>0.67949999999999999</v>
      </c>
      <c r="BB1182" s="69"/>
    </row>
    <row r="1183" spans="1:54" customFormat="1" ht="40" customHeight="1">
      <c r="A1183" s="313">
        <v>1182</v>
      </c>
      <c r="B1183" s="136" t="s">
        <v>3117</v>
      </c>
      <c r="C1183" s="136" t="s">
        <v>45</v>
      </c>
      <c r="D1183" s="31">
        <f t="shared" si="82"/>
        <v>4</v>
      </c>
      <c r="E1183" s="137" t="s">
        <v>46</v>
      </c>
      <c r="F1183" s="31">
        <f t="shared" si="83"/>
        <v>6</v>
      </c>
      <c r="G1183" s="137" t="s">
        <v>3187</v>
      </c>
      <c r="H1183" s="138">
        <v>100</v>
      </c>
      <c r="I1183" s="158">
        <f t="shared" si="84"/>
        <v>0.33883327212306452</v>
      </c>
      <c r="J1183" s="95">
        <v>4.1475537776069001E-2</v>
      </c>
      <c r="K1183" s="137">
        <v>0.63619100647005999</v>
      </c>
      <c r="L1183" s="137">
        <v>0.75</v>
      </c>
      <c r="M1183" s="137">
        <v>0.46547751617515098</v>
      </c>
      <c r="N1183" s="136">
        <v>1</v>
      </c>
      <c r="O1183" s="32">
        <v>42921</v>
      </c>
      <c r="P1183" s="98">
        <f t="shared" si="85"/>
        <v>1</v>
      </c>
      <c r="Q1183">
        <v>0</v>
      </c>
      <c r="R1183">
        <v>1.65</v>
      </c>
      <c r="S1183">
        <v>0</v>
      </c>
      <c r="T1183" s="112" t="s">
        <v>73</v>
      </c>
      <c r="U1183" s="137" t="s">
        <v>3188</v>
      </c>
      <c r="V1183" s="137" t="s">
        <v>3189</v>
      </c>
      <c r="W1183" s="69">
        <v>255</v>
      </c>
      <c r="X1183" s="136">
        <v>2</v>
      </c>
      <c r="Y1183" s="136">
        <v>14</v>
      </c>
      <c r="Z1183" s="314"/>
      <c r="AA1183" s="319">
        <v>0.60499999999999998</v>
      </c>
      <c r="AB1183" s="315" t="s">
        <v>5178</v>
      </c>
      <c r="AC1183" s="319">
        <v>3</v>
      </c>
      <c r="AD1183" s="320">
        <v>2.2388059701492501E-2</v>
      </c>
      <c r="AE1183" s="319">
        <v>3</v>
      </c>
      <c r="AF1183" s="320">
        <v>2.2388059701492501E-2</v>
      </c>
      <c r="AG1183" s="319">
        <v>1</v>
      </c>
      <c r="AH1183" s="320">
        <v>7.4626865671641798E-3</v>
      </c>
      <c r="AI1183" s="319">
        <v>1</v>
      </c>
      <c r="AJ1183" s="320">
        <v>7.4626865671641798E-3</v>
      </c>
      <c r="AK1183" s="320">
        <v>0</v>
      </c>
      <c r="AL1183" s="319">
        <v>9.0357142857142794</v>
      </c>
      <c r="AM1183" s="319">
        <v>5</v>
      </c>
      <c r="AN1183" s="319">
        <v>2</v>
      </c>
      <c r="AO1183" s="319">
        <v>0.53452380952380896</v>
      </c>
      <c r="AP1183">
        <v>14</v>
      </c>
      <c r="AQ1183" s="136">
        <v>14</v>
      </c>
      <c r="AT1183" s="69">
        <v>9.4480000000000004</v>
      </c>
      <c r="AU1183" s="69">
        <v>2.3148</v>
      </c>
      <c r="AV1183" s="69">
        <v>2.3148</v>
      </c>
      <c r="AW1183" s="69">
        <v>0.46929999999999999</v>
      </c>
      <c r="BB1183" s="69"/>
    </row>
    <row r="1184" spans="1:54" customFormat="1" ht="40" customHeight="1">
      <c r="A1184" s="313">
        <v>1183</v>
      </c>
      <c r="B1184" s="136" t="s">
        <v>3117</v>
      </c>
      <c r="C1184" s="136" t="s">
        <v>45</v>
      </c>
      <c r="D1184" s="31">
        <f t="shared" si="82"/>
        <v>4</v>
      </c>
      <c r="E1184" s="137" t="s">
        <v>46</v>
      </c>
      <c r="F1184" s="31">
        <f t="shared" si="83"/>
        <v>6</v>
      </c>
      <c r="G1184" s="137" t="s">
        <v>3156</v>
      </c>
      <c r="H1184" s="138">
        <v>52</v>
      </c>
      <c r="I1184" s="158">
        <f t="shared" si="84"/>
        <v>0.39232503767061155</v>
      </c>
      <c r="J1184" s="95">
        <v>0.106078646769795</v>
      </c>
      <c r="K1184" s="137">
        <v>0.67857142857142805</v>
      </c>
      <c r="L1184" s="137">
        <v>0.75</v>
      </c>
      <c r="M1184" s="137">
        <v>0.57142857142857095</v>
      </c>
      <c r="N1184" s="136">
        <v>1</v>
      </c>
      <c r="O1184" s="32">
        <v>42920</v>
      </c>
      <c r="P1184" s="98">
        <f t="shared" si="85"/>
        <v>1</v>
      </c>
      <c r="Q1184">
        <v>0</v>
      </c>
      <c r="R1184">
        <v>1.65</v>
      </c>
      <c r="S1184">
        <v>0</v>
      </c>
      <c r="T1184" s="112" t="s">
        <v>73</v>
      </c>
      <c r="U1184" s="137" t="s">
        <v>3190</v>
      </c>
      <c r="V1184" s="137" t="s">
        <v>3178</v>
      </c>
      <c r="W1184" s="69">
        <v>236</v>
      </c>
      <c r="X1184" s="136">
        <v>2</v>
      </c>
      <c r="Y1184" s="136">
        <v>9</v>
      </c>
      <c r="Z1184" s="314"/>
      <c r="AA1184" s="319">
        <v>0.5</v>
      </c>
      <c r="AB1184" s="315" t="s">
        <v>5165</v>
      </c>
      <c r="AC1184" s="319">
        <v>3</v>
      </c>
      <c r="AD1184" s="320">
        <v>2.34375E-2</v>
      </c>
      <c r="AE1184" s="319">
        <v>2</v>
      </c>
      <c r="AF1184" s="320">
        <v>1.5625E-2</v>
      </c>
      <c r="AG1184" s="319">
        <v>1</v>
      </c>
      <c r="AH1184" s="320">
        <v>7.8125E-3</v>
      </c>
      <c r="AI1184" s="319">
        <v>1</v>
      </c>
      <c r="AJ1184" s="320">
        <v>7.8125E-3</v>
      </c>
      <c r="AK1184" s="320">
        <v>7.8125E-3</v>
      </c>
      <c r="AL1184" s="319">
        <v>10</v>
      </c>
      <c r="AM1184" s="319">
        <v>5</v>
      </c>
      <c r="AN1184" s="319">
        <v>2</v>
      </c>
      <c r="AO1184" s="319">
        <v>0.56666666666666599</v>
      </c>
      <c r="AP1184">
        <v>9</v>
      </c>
      <c r="AQ1184" s="136">
        <v>9</v>
      </c>
      <c r="AT1184" s="69">
        <v>9.9405999999999999</v>
      </c>
      <c r="AU1184" s="69">
        <v>2.3148</v>
      </c>
      <c r="AV1184" s="69">
        <v>2.3148</v>
      </c>
      <c r="AW1184" s="69">
        <v>0.48570000000000002</v>
      </c>
      <c r="BB1184" s="69"/>
    </row>
    <row r="1185" spans="1:54" customFormat="1" ht="40" customHeight="1">
      <c r="A1185" s="313">
        <v>1184</v>
      </c>
      <c r="B1185" s="136" t="s">
        <v>3117</v>
      </c>
      <c r="C1185" s="136" t="s">
        <v>1191</v>
      </c>
      <c r="D1185" s="31">
        <f t="shared" si="82"/>
        <v>2</v>
      </c>
      <c r="E1185" s="137" t="s">
        <v>46</v>
      </c>
      <c r="F1185" s="31">
        <f t="shared" si="83"/>
        <v>6</v>
      </c>
      <c r="G1185" s="137" t="s">
        <v>3191</v>
      </c>
      <c r="H1185" s="138">
        <v>74</v>
      </c>
      <c r="I1185" s="158">
        <f t="shared" si="84"/>
        <v>0.33618324093360569</v>
      </c>
      <c r="J1185" s="95">
        <v>6.9307074231387406E-2</v>
      </c>
      <c r="K1185" s="137">
        <v>0.603059407635824</v>
      </c>
      <c r="L1185" s="137">
        <v>0.68181818181818199</v>
      </c>
      <c r="M1185" s="137">
        <v>0.48492124636228701</v>
      </c>
      <c r="N1185" s="136">
        <v>1</v>
      </c>
      <c r="O1185" s="32">
        <v>42916</v>
      </c>
      <c r="P1185" s="98">
        <f t="shared" si="85"/>
        <v>1</v>
      </c>
      <c r="Q1185">
        <v>0</v>
      </c>
      <c r="R1185">
        <v>1.65</v>
      </c>
      <c r="S1185">
        <v>0</v>
      </c>
      <c r="T1185" s="112" t="s">
        <v>73</v>
      </c>
      <c r="U1185" s="137" t="s">
        <v>3192</v>
      </c>
      <c r="V1185" s="137" t="s">
        <v>3178</v>
      </c>
      <c r="W1185" s="69">
        <v>236</v>
      </c>
      <c r="X1185" s="136">
        <v>2</v>
      </c>
      <c r="Y1185" s="136">
        <v>13</v>
      </c>
      <c r="Z1185" s="314"/>
      <c r="AA1185" s="319">
        <v>0.5</v>
      </c>
      <c r="AB1185" s="315" t="s">
        <v>5165</v>
      </c>
      <c r="AC1185" s="319">
        <v>3</v>
      </c>
      <c r="AD1185" s="320">
        <v>2.34375E-2</v>
      </c>
      <c r="AE1185" s="319">
        <v>2</v>
      </c>
      <c r="AF1185" s="320">
        <v>1.5625E-2</v>
      </c>
      <c r="AG1185" s="319">
        <v>1</v>
      </c>
      <c r="AH1185" s="320">
        <v>7.8125E-3</v>
      </c>
      <c r="AI1185" s="319">
        <v>1</v>
      </c>
      <c r="AJ1185" s="320">
        <v>7.8125E-3</v>
      </c>
      <c r="AK1185" s="320">
        <v>7.8125E-3</v>
      </c>
      <c r="AL1185" s="319">
        <v>10</v>
      </c>
      <c r="AM1185" s="319">
        <v>5</v>
      </c>
      <c r="AN1185" s="319">
        <v>4.6666666666666599</v>
      </c>
      <c r="AO1185" s="319">
        <v>0.655555555555555</v>
      </c>
      <c r="AP1185">
        <v>13</v>
      </c>
      <c r="AQ1185" s="136">
        <v>13</v>
      </c>
      <c r="AT1185" s="69">
        <v>9.9405999999999999</v>
      </c>
      <c r="AU1185" s="69">
        <v>2.3148</v>
      </c>
      <c r="AV1185" s="69">
        <v>8.1305999999999994</v>
      </c>
      <c r="AW1185" s="69">
        <v>0.67949999999999999</v>
      </c>
      <c r="BB1185" s="69"/>
    </row>
    <row r="1186" spans="1:54" customFormat="1" ht="40" customHeight="1">
      <c r="A1186" s="313">
        <v>1185</v>
      </c>
      <c r="B1186" s="136" t="s">
        <v>3117</v>
      </c>
      <c r="C1186" s="136" t="s">
        <v>1191</v>
      </c>
      <c r="D1186" s="31">
        <f t="shared" si="82"/>
        <v>2</v>
      </c>
      <c r="E1186" s="137" t="s">
        <v>46</v>
      </c>
      <c r="F1186" s="31">
        <f t="shared" si="83"/>
        <v>6</v>
      </c>
      <c r="G1186" s="137" t="s">
        <v>3193</v>
      </c>
      <c r="H1186" s="138">
        <v>70</v>
      </c>
      <c r="I1186" s="158">
        <f t="shared" si="84"/>
        <v>0.55177058077568897</v>
      </c>
      <c r="J1186" s="95">
        <v>0.43424274213242797</v>
      </c>
      <c r="K1186" s="137">
        <v>0.66929841941894996</v>
      </c>
      <c r="L1186" s="137">
        <v>0.75</v>
      </c>
      <c r="M1186" s="137">
        <v>0.54824604854737402</v>
      </c>
      <c r="N1186" s="136">
        <v>1</v>
      </c>
      <c r="O1186" s="32">
        <v>42912</v>
      </c>
      <c r="P1186" s="98">
        <f t="shared" si="85"/>
        <v>1</v>
      </c>
      <c r="Q1186">
        <v>0</v>
      </c>
      <c r="R1186">
        <v>1.65</v>
      </c>
      <c r="S1186">
        <v>0</v>
      </c>
      <c r="T1186" s="112" t="s">
        <v>73</v>
      </c>
      <c r="U1186" s="137" t="s">
        <v>3194</v>
      </c>
      <c r="V1186" s="137" t="s">
        <v>3195</v>
      </c>
      <c r="W1186" s="69">
        <v>183</v>
      </c>
      <c r="X1186" s="136">
        <v>2</v>
      </c>
      <c r="Y1186" s="136">
        <v>10</v>
      </c>
      <c r="Z1186" s="314"/>
      <c r="AA1186" s="319">
        <v>0.5</v>
      </c>
      <c r="AB1186" s="315" t="s">
        <v>5178</v>
      </c>
      <c r="AC1186" s="319">
        <v>2</v>
      </c>
      <c r="AD1186" s="320">
        <v>2.04081632653061E-2</v>
      </c>
      <c r="AE1186" s="319">
        <v>2</v>
      </c>
      <c r="AF1186" s="320">
        <v>2.04081632653061E-2</v>
      </c>
      <c r="AG1186" s="319">
        <v>1</v>
      </c>
      <c r="AH1186" s="320">
        <v>1.0204081632653E-2</v>
      </c>
      <c r="AI1186" s="319">
        <v>1</v>
      </c>
      <c r="AJ1186" s="320">
        <v>1.0204081632653E-2</v>
      </c>
      <c r="AK1186" s="320">
        <v>1.020408163265306E-2</v>
      </c>
      <c r="AL1186" s="319">
        <v>9.0357142857142794</v>
      </c>
      <c r="AM1186" s="319">
        <v>5</v>
      </c>
      <c r="AN1186" s="319">
        <v>4.6666666666666599</v>
      </c>
      <c r="AO1186" s="319">
        <v>0.62341269841269797</v>
      </c>
      <c r="AP1186">
        <v>10</v>
      </c>
      <c r="AQ1186" s="136">
        <v>10</v>
      </c>
      <c r="AT1186" s="69">
        <v>9.4480000000000004</v>
      </c>
      <c r="AU1186" s="69">
        <v>2.3148</v>
      </c>
      <c r="AV1186" s="69">
        <v>8.1305999999999994</v>
      </c>
      <c r="AW1186" s="69">
        <v>0.66310000000000002</v>
      </c>
      <c r="BB1186" s="69"/>
    </row>
    <row r="1187" spans="1:54" customFormat="1" ht="40" customHeight="1">
      <c r="A1187" s="313">
        <v>1186</v>
      </c>
      <c r="B1187" s="136" t="s">
        <v>3117</v>
      </c>
      <c r="C1187" s="136" t="s">
        <v>1191</v>
      </c>
      <c r="D1187" s="31">
        <f t="shared" si="82"/>
        <v>2</v>
      </c>
      <c r="E1187" s="137" t="s">
        <v>46</v>
      </c>
      <c r="F1187" s="31">
        <f t="shared" si="83"/>
        <v>6</v>
      </c>
      <c r="G1187" s="137" t="s">
        <v>3196</v>
      </c>
      <c r="H1187" s="138">
        <v>50</v>
      </c>
      <c r="I1187" s="158">
        <f t="shared" si="84"/>
        <v>0.81678529273962641</v>
      </c>
      <c r="J1187" s="95">
        <v>0.98151924920140998</v>
      </c>
      <c r="K1187" s="137">
        <v>0.65205133627784295</v>
      </c>
      <c r="L1187" s="137">
        <v>0.75</v>
      </c>
      <c r="M1187" s="137">
        <v>0.50512834069460699</v>
      </c>
      <c r="N1187" s="136">
        <v>1</v>
      </c>
      <c r="O1187" s="32">
        <v>42910</v>
      </c>
      <c r="P1187" s="98">
        <f t="shared" si="85"/>
        <v>1</v>
      </c>
      <c r="Q1187">
        <v>0</v>
      </c>
      <c r="R1187">
        <v>0</v>
      </c>
      <c r="S1187">
        <v>0</v>
      </c>
      <c r="T1187" s="112" t="s">
        <v>73</v>
      </c>
      <c r="U1187" s="137" t="s">
        <v>3197</v>
      </c>
      <c r="V1187" s="137" t="s">
        <v>3195</v>
      </c>
      <c r="W1187" s="69">
        <v>183</v>
      </c>
      <c r="X1187" s="136">
        <v>2</v>
      </c>
      <c r="Y1187" s="136">
        <v>12</v>
      </c>
      <c r="Z1187" s="314"/>
      <c r="AA1187" s="319">
        <v>0.5</v>
      </c>
      <c r="AB1187" s="315" t="s">
        <v>5178</v>
      </c>
      <c r="AC1187" s="319">
        <v>2</v>
      </c>
      <c r="AD1187" s="320">
        <v>2.04081632653061E-2</v>
      </c>
      <c r="AE1187" s="319">
        <v>2</v>
      </c>
      <c r="AF1187" s="320">
        <v>2.04081632653061E-2</v>
      </c>
      <c r="AG1187" s="319">
        <v>1</v>
      </c>
      <c r="AH1187" s="320">
        <v>1.0204081632653E-2</v>
      </c>
      <c r="AI1187" s="319">
        <v>1</v>
      </c>
      <c r="AJ1187" s="320">
        <v>1.0204081632653E-2</v>
      </c>
      <c r="AK1187" s="320">
        <v>1.020408163265306E-2</v>
      </c>
      <c r="AL1187" s="319">
        <v>6.75</v>
      </c>
      <c r="AM1187" s="319">
        <v>5</v>
      </c>
      <c r="AN1187" s="319">
        <v>2</v>
      </c>
      <c r="AO1187" s="319">
        <v>0.45833333333333298</v>
      </c>
      <c r="AP1187">
        <v>12</v>
      </c>
      <c r="AQ1187" s="136">
        <v>12</v>
      </c>
      <c r="AT1187" s="69">
        <v>6.3414000000000001</v>
      </c>
      <c r="AU1187" s="69">
        <v>2.3148</v>
      </c>
      <c r="AV1187" s="69">
        <v>2.3148</v>
      </c>
      <c r="AW1187" s="69">
        <v>0.36570000000000003</v>
      </c>
      <c r="BB1187" s="69"/>
    </row>
    <row r="1188" spans="1:54" customFormat="1" ht="40" customHeight="1">
      <c r="A1188" s="313">
        <v>1187</v>
      </c>
      <c r="B1188" s="136" t="s">
        <v>3117</v>
      </c>
      <c r="C1188" s="136" t="s">
        <v>1191</v>
      </c>
      <c r="D1188" s="31">
        <f t="shared" si="82"/>
        <v>2</v>
      </c>
      <c r="E1188" s="137" t="s">
        <v>46</v>
      </c>
      <c r="F1188" s="31">
        <f t="shared" si="83"/>
        <v>6</v>
      </c>
      <c r="G1188" s="137" t="s">
        <v>3198</v>
      </c>
      <c r="H1188" s="138">
        <v>107</v>
      </c>
      <c r="I1188" s="158">
        <f t="shared" si="84"/>
        <v>0.39897934514569949</v>
      </c>
      <c r="J1188" s="95">
        <v>0.128660270872449</v>
      </c>
      <c r="K1188" s="137">
        <v>0.66929841941894996</v>
      </c>
      <c r="L1188" s="137">
        <v>0.75</v>
      </c>
      <c r="M1188" s="137">
        <v>0.54824604854737402</v>
      </c>
      <c r="N1188" s="136">
        <v>1</v>
      </c>
      <c r="O1188" s="32">
        <v>42912</v>
      </c>
      <c r="P1188" s="98">
        <f t="shared" si="85"/>
        <v>1</v>
      </c>
      <c r="Q1188">
        <v>0</v>
      </c>
      <c r="R1188">
        <v>1.65</v>
      </c>
      <c r="S1188">
        <v>0</v>
      </c>
      <c r="T1188" s="112" t="s">
        <v>73</v>
      </c>
      <c r="U1188" s="137" t="s">
        <v>3199</v>
      </c>
      <c r="V1188" s="137" t="s">
        <v>3195</v>
      </c>
      <c r="W1188" s="69">
        <v>183</v>
      </c>
      <c r="X1188" s="136">
        <v>2</v>
      </c>
      <c r="Y1188" s="136">
        <v>10</v>
      </c>
      <c r="Z1188" s="314"/>
      <c r="AA1188" s="319">
        <v>0.59450000000000003</v>
      </c>
      <c r="AB1188" s="315" t="s">
        <v>5178</v>
      </c>
      <c r="AC1188" s="319">
        <v>2</v>
      </c>
      <c r="AD1188" s="320">
        <v>2.04081632653061E-2</v>
      </c>
      <c r="AE1188" s="319">
        <v>2</v>
      </c>
      <c r="AF1188" s="320">
        <v>2.04081632653061E-2</v>
      </c>
      <c r="AG1188" s="319">
        <v>1</v>
      </c>
      <c r="AH1188" s="320">
        <v>1.0204081632653E-2</v>
      </c>
      <c r="AI1188" s="319">
        <v>1</v>
      </c>
      <c r="AJ1188" s="320">
        <v>1.0204081632653E-2</v>
      </c>
      <c r="AK1188" s="320">
        <v>1.020408163265306E-2</v>
      </c>
      <c r="AL1188" s="319">
        <v>10</v>
      </c>
      <c r="AM1188" s="319">
        <v>5</v>
      </c>
      <c r="AN1188" s="319">
        <v>3.5</v>
      </c>
      <c r="AO1188" s="319">
        <v>0.61666666666666603</v>
      </c>
      <c r="AP1188">
        <v>10</v>
      </c>
      <c r="AQ1188" s="136">
        <v>10</v>
      </c>
      <c r="AT1188" s="69">
        <v>9.9405999999999999</v>
      </c>
      <c r="AU1188" s="69">
        <v>2.3148</v>
      </c>
      <c r="AV1188" s="69">
        <v>5.7443999999999997</v>
      </c>
      <c r="AW1188" s="69">
        <v>0.6</v>
      </c>
      <c r="BB1188" s="69"/>
    </row>
    <row r="1189" spans="1:54" customFormat="1" ht="40" customHeight="1">
      <c r="A1189" s="313">
        <v>1188</v>
      </c>
      <c r="B1189" s="136" t="s">
        <v>3117</v>
      </c>
      <c r="C1189" s="136" t="s">
        <v>1191</v>
      </c>
      <c r="D1189" s="31">
        <f t="shared" si="82"/>
        <v>2</v>
      </c>
      <c r="E1189" s="137" t="s">
        <v>46</v>
      </c>
      <c r="F1189" s="31">
        <f t="shared" si="83"/>
        <v>6</v>
      </c>
      <c r="G1189" s="137" t="s">
        <v>3200</v>
      </c>
      <c r="H1189" s="138">
        <v>67</v>
      </c>
      <c r="I1189" s="158">
        <f t="shared" si="84"/>
        <v>0.455531859728315</v>
      </c>
      <c r="J1189" s="95">
        <v>0.25058513604836702</v>
      </c>
      <c r="K1189" s="137">
        <v>0.66047858340826304</v>
      </c>
      <c r="L1189" s="137">
        <v>0.75</v>
      </c>
      <c r="M1189" s="137">
        <v>0.526196458520657</v>
      </c>
      <c r="N1189" s="136">
        <v>1</v>
      </c>
      <c r="O1189" s="32">
        <v>42898</v>
      </c>
      <c r="P1189" s="98">
        <f t="shared" si="85"/>
        <v>1</v>
      </c>
      <c r="Q1189">
        <v>0</v>
      </c>
      <c r="R1189">
        <v>0</v>
      </c>
      <c r="S1189">
        <v>0</v>
      </c>
      <c r="T1189" s="112" t="s">
        <v>73</v>
      </c>
      <c r="U1189" s="137" t="s">
        <v>3201</v>
      </c>
      <c r="V1189" s="137" t="s">
        <v>3202</v>
      </c>
      <c r="W1189" s="69">
        <v>121</v>
      </c>
      <c r="X1189" s="136">
        <v>2</v>
      </c>
      <c r="Y1189" s="136">
        <v>11</v>
      </c>
      <c r="Z1189" s="314"/>
      <c r="AA1189" s="319">
        <v>0.5</v>
      </c>
      <c r="AB1189" s="315" t="s">
        <v>5177</v>
      </c>
      <c r="AC1189" s="319">
        <v>1</v>
      </c>
      <c r="AD1189" s="320">
        <v>1.47058823529411E-2</v>
      </c>
      <c r="AE1189" s="319">
        <v>2</v>
      </c>
      <c r="AF1189" s="320">
        <v>2.94117647058823E-2</v>
      </c>
      <c r="AG1189" s="319">
        <v>2</v>
      </c>
      <c r="AH1189" s="320">
        <v>2.94117647058823E-2</v>
      </c>
      <c r="AI1189" s="319">
        <v>1</v>
      </c>
      <c r="AJ1189" s="320">
        <v>1.47058823529411E-2</v>
      </c>
      <c r="AK1189" s="320">
        <v>0</v>
      </c>
      <c r="AL1189" s="319">
        <v>9.0357142857142794</v>
      </c>
      <c r="AM1189" s="319">
        <v>5</v>
      </c>
      <c r="AN1189" s="319">
        <v>7.3333333333333304</v>
      </c>
      <c r="AO1189" s="319">
        <v>0.71230158730158699</v>
      </c>
      <c r="AP1189">
        <v>11</v>
      </c>
      <c r="AQ1189" s="136">
        <v>11</v>
      </c>
      <c r="AT1189" s="69">
        <v>9.4480000000000004</v>
      </c>
      <c r="AU1189" s="69">
        <v>2.3148</v>
      </c>
      <c r="AV1189" s="69">
        <v>9.8416999999999994</v>
      </c>
      <c r="AW1189" s="69">
        <v>0.72019999999999995</v>
      </c>
      <c r="BB1189" s="69"/>
    </row>
    <row r="1190" spans="1:54" customFormat="1" ht="40" customHeight="1">
      <c r="A1190" s="313">
        <v>1189</v>
      </c>
      <c r="B1190" s="136" t="s">
        <v>3117</v>
      </c>
      <c r="C1190" s="136" t="s">
        <v>1191</v>
      </c>
      <c r="D1190" s="31">
        <f t="shared" si="82"/>
        <v>2</v>
      </c>
      <c r="E1190" s="137" t="s">
        <v>46</v>
      </c>
      <c r="F1190" s="31">
        <f t="shared" si="83"/>
        <v>6</v>
      </c>
      <c r="G1190" s="137" t="s">
        <v>3203</v>
      </c>
      <c r="H1190" s="138">
        <v>104</v>
      </c>
      <c r="I1190" s="158">
        <f t="shared" si="84"/>
        <v>0.44544777193763652</v>
      </c>
      <c r="J1190" s="95">
        <v>0.25470453740521298</v>
      </c>
      <c r="K1190" s="137">
        <v>0.63619100647005999</v>
      </c>
      <c r="L1190" s="137">
        <v>0.75</v>
      </c>
      <c r="M1190" s="137">
        <v>0.46547751617515098</v>
      </c>
      <c r="N1190" s="136">
        <v>1</v>
      </c>
      <c r="O1190" s="32">
        <v>42879</v>
      </c>
      <c r="P1190" s="98">
        <f t="shared" si="85"/>
        <v>1</v>
      </c>
      <c r="Q1190">
        <v>0</v>
      </c>
      <c r="R1190">
        <v>0</v>
      </c>
      <c r="S1190">
        <v>0</v>
      </c>
      <c r="T1190" s="112" t="s">
        <v>73</v>
      </c>
      <c r="U1190" s="137" t="s">
        <v>3204</v>
      </c>
      <c r="V1190" s="137" t="s">
        <v>3205</v>
      </c>
      <c r="W1190" s="69">
        <v>199</v>
      </c>
      <c r="X1190" s="136">
        <v>2</v>
      </c>
      <c r="Y1190" s="136">
        <v>14</v>
      </c>
      <c r="Z1190" s="314"/>
      <c r="AA1190" s="319">
        <v>0.5</v>
      </c>
      <c r="AB1190" s="315" t="s">
        <v>5176</v>
      </c>
      <c r="AC1190" s="319">
        <v>2</v>
      </c>
      <c r="AD1190" s="320">
        <v>1.85185185185185E-2</v>
      </c>
      <c r="AE1190" s="319">
        <v>3</v>
      </c>
      <c r="AF1190" s="320">
        <v>2.77777777777777E-2</v>
      </c>
      <c r="AG1190" s="319">
        <v>1</v>
      </c>
      <c r="AH1190" s="320">
        <v>9.2592592592592501E-3</v>
      </c>
      <c r="AI1190" s="319">
        <v>1</v>
      </c>
      <c r="AJ1190" s="320">
        <v>9.2592592592592501E-3</v>
      </c>
      <c r="AK1190" s="320">
        <v>9.2592592592592587E-3</v>
      </c>
      <c r="AL1190" s="319">
        <v>9.0357142857142794</v>
      </c>
      <c r="AM1190" s="319">
        <v>5</v>
      </c>
      <c r="AN1190" s="319">
        <v>4.6666666666666599</v>
      </c>
      <c r="AO1190" s="319">
        <v>0.62341269841269797</v>
      </c>
      <c r="AP1190">
        <v>14</v>
      </c>
      <c r="AQ1190" s="136">
        <v>14</v>
      </c>
      <c r="AT1190" s="69">
        <v>9.4480000000000004</v>
      </c>
      <c r="AU1190" s="69">
        <v>2.3148</v>
      </c>
      <c r="AV1190" s="69">
        <v>8.1305999999999994</v>
      </c>
      <c r="AW1190" s="69">
        <v>0.66310000000000002</v>
      </c>
      <c r="BB1190" s="69"/>
    </row>
    <row r="1191" spans="1:54" customFormat="1" ht="40" customHeight="1">
      <c r="A1191" s="313">
        <v>1190</v>
      </c>
      <c r="B1191" s="136" t="s">
        <v>3117</v>
      </c>
      <c r="C1191" s="136" t="s">
        <v>1191</v>
      </c>
      <c r="D1191" s="31">
        <f t="shared" si="82"/>
        <v>2</v>
      </c>
      <c r="E1191" s="137" t="s">
        <v>46</v>
      </c>
      <c r="F1191" s="31">
        <f t="shared" si="83"/>
        <v>6</v>
      </c>
      <c r="G1191" s="137" t="s">
        <v>3206</v>
      </c>
      <c r="H1191" s="138">
        <v>46</v>
      </c>
      <c r="I1191" s="158">
        <f t="shared" si="84"/>
        <v>0.34720732343541377</v>
      </c>
      <c r="J1191" s="95">
        <v>2.5116227451877599E-2</v>
      </c>
      <c r="K1191" s="137">
        <v>0.66929841941894996</v>
      </c>
      <c r="L1191" s="137">
        <v>0.75</v>
      </c>
      <c r="M1191" s="137">
        <v>0.54824604854737402</v>
      </c>
      <c r="N1191" s="136">
        <v>1</v>
      </c>
      <c r="O1191" s="32">
        <v>42860</v>
      </c>
      <c r="P1191" s="98">
        <f t="shared" si="85"/>
        <v>1</v>
      </c>
      <c r="Q1191">
        <v>0</v>
      </c>
      <c r="R1191">
        <v>1.65</v>
      </c>
      <c r="S1191">
        <v>0</v>
      </c>
      <c r="T1191" s="112" t="s">
        <v>73</v>
      </c>
      <c r="U1191" s="137" t="s">
        <v>3207</v>
      </c>
      <c r="V1191" s="137" t="s">
        <v>3208</v>
      </c>
      <c r="W1191" s="69">
        <v>189</v>
      </c>
      <c r="X1191" s="136">
        <v>2</v>
      </c>
      <c r="Y1191" s="136">
        <v>10</v>
      </c>
      <c r="Z1191" s="314"/>
      <c r="AA1191" s="319">
        <v>0.5</v>
      </c>
      <c r="AB1191" s="315" t="s">
        <v>5176</v>
      </c>
      <c r="AC1191" s="319">
        <v>2</v>
      </c>
      <c r="AD1191" s="320">
        <v>1.9801980198019799E-2</v>
      </c>
      <c r="AE1191" s="319">
        <v>3</v>
      </c>
      <c r="AF1191" s="320">
        <v>2.9702970297029702E-2</v>
      </c>
      <c r="AG1191" s="319">
        <v>1</v>
      </c>
      <c r="AH1191" s="320">
        <v>9.9009900990098994E-3</v>
      </c>
      <c r="AI1191" s="319">
        <v>1</v>
      </c>
      <c r="AJ1191" s="320">
        <v>9.9009900990098994E-3</v>
      </c>
      <c r="AK1191" s="320">
        <v>9.9009900990099011E-3</v>
      </c>
      <c r="AL1191" s="319">
        <v>9.0357142857142794</v>
      </c>
      <c r="AM1191" s="319">
        <v>5</v>
      </c>
      <c r="AN1191" s="319">
        <v>7.3333333333333304</v>
      </c>
      <c r="AO1191" s="319">
        <v>0.71230158730158699</v>
      </c>
      <c r="AP1191">
        <v>10</v>
      </c>
      <c r="AQ1191" s="136">
        <v>10</v>
      </c>
      <c r="AT1191" s="69">
        <v>9.4480000000000004</v>
      </c>
      <c r="AU1191" s="69">
        <v>2.3148</v>
      </c>
      <c r="AV1191" s="69">
        <v>9.8416999999999994</v>
      </c>
      <c r="AW1191" s="69">
        <v>0.72019999999999995</v>
      </c>
      <c r="BB1191" s="69"/>
    </row>
    <row r="1192" spans="1:54" customFormat="1" ht="40" customHeight="1">
      <c r="A1192" s="313">
        <v>1191</v>
      </c>
      <c r="B1192" s="136" t="s">
        <v>3209</v>
      </c>
      <c r="C1192" s="136" t="s">
        <v>45</v>
      </c>
      <c r="D1192" s="31">
        <f t="shared" si="82"/>
        <v>4</v>
      </c>
      <c r="E1192" s="137" t="s">
        <v>80</v>
      </c>
      <c r="F1192" s="31">
        <f t="shared" si="83"/>
        <v>4</v>
      </c>
      <c r="G1192" s="137" t="s">
        <v>3210</v>
      </c>
      <c r="H1192" s="138">
        <v>38</v>
      </c>
      <c r="I1192" s="158">
        <f t="shared" si="84"/>
        <v>0.74282466579191708</v>
      </c>
      <c r="J1192" s="95">
        <v>0.70493504586954803</v>
      </c>
      <c r="K1192" s="137">
        <v>0.78071428571428603</v>
      </c>
      <c r="L1192" s="137">
        <v>0.82499999999999996</v>
      </c>
      <c r="M1192" s="137">
        <v>0.71428571428571397</v>
      </c>
      <c r="N1192" s="136">
        <v>1</v>
      </c>
      <c r="O1192" s="32">
        <v>43595</v>
      </c>
      <c r="P1192" s="98">
        <f t="shared" si="85"/>
        <v>2</v>
      </c>
      <c r="Q1192">
        <v>0</v>
      </c>
      <c r="R1192">
        <v>0</v>
      </c>
      <c r="S1192">
        <v>0</v>
      </c>
      <c r="T1192" s="112" t="s">
        <v>64</v>
      </c>
      <c r="U1192" s="137" t="s">
        <v>3211</v>
      </c>
      <c r="V1192" s="137" t="s">
        <v>3212</v>
      </c>
      <c r="W1192" s="69">
        <v>121</v>
      </c>
      <c r="X1192" s="136">
        <v>1</v>
      </c>
      <c r="Y1192" s="136">
        <v>4</v>
      </c>
      <c r="Z1192" s="314"/>
      <c r="AA1192" s="319">
        <v>0.55000000000000004</v>
      </c>
      <c r="AB1192" s="315" t="s">
        <v>5176</v>
      </c>
      <c r="AC1192" s="319">
        <v>1</v>
      </c>
      <c r="AD1192" s="320">
        <v>1.53846153846153E-2</v>
      </c>
      <c r="AE1192" s="319">
        <v>2</v>
      </c>
      <c r="AF1192" s="320">
        <v>3.0769230769230702E-2</v>
      </c>
      <c r="AG1192" s="319">
        <v>0</v>
      </c>
      <c r="AH1192" s="320">
        <v>0</v>
      </c>
      <c r="AI1192" s="319">
        <v>1</v>
      </c>
      <c r="AJ1192" s="320">
        <v>1.53846153846153E-2</v>
      </c>
      <c r="AK1192" s="320">
        <v>1.5384615384615391E-2</v>
      </c>
      <c r="AL1192" s="319">
        <v>5</v>
      </c>
      <c r="AM1192" s="319">
        <v>5</v>
      </c>
      <c r="AN1192" s="319">
        <v>2</v>
      </c>
      <c r="AO1192" s="319">
        <v>0.4</v>
      </c>
      <c r="AP1192">
        <v>4</v>
      </c>
      <c r="AR1192" s="136">
        <v>4</v>
      </c>
      <c r="AT1192" s="69">
        <v>2.3148</v>
      </c>
      <c r="AU1192" s="69">
        <v>2.3148</v>
      </c>
      <c r="AV1192" s="69">
        <v>2.3148</v>
      </c>
      <c r="AW1192" s="69">
        <v>0.23150000000000001</v>
      </c>
      <c r="BB1192" s="69"/>
    </row>
    <row r="1193" spans="1:54" customFormat="1" ht="40" customHeight="1">
      <c r="A1193" s="313">
        <v>1192</v>
      </c>
      <c r="B1193" s="136" t="s">
        <v>3209</v>
      </c>
      <c r="C1193" s="136" t="s">
        <v>45</v>
      </c>
      <c r="D1193" s="31">
        <f t="shared" si="82"/>
        <v>4</v>
      </c>
      <c r="E1193" s="137" t="s">
        <v>80</v>
      </c>
      <c r="F1193" s="31">
        <f t="shared" si="83"/>
        <v>4</v>
      </c>
      <c r="G1193" s="137" t="s">
        <v>268</v>
      </c>
      <c r="H1193" s="138">
        <v>40</v>
      </c>
      <c r="I1193" s="158">
        <f t="shared" si="84"/>
        <v>0.38532705870234979</v>
      </c>
      <c r="J1193" s="95">
        <v>3.4294304046875702E-3</v>
      </c>
      <c r="K1193" s="137">
        <v>0.76722468700001201</v>
      </c>
      <c r="L1193" s="137">
        <v>0.82499999999999996</v>
      </c>
      <c r="M1193" s="137">
        <v>0.68056171750003003</v>
      </c>
      <c r="N1193" s="136">
        <v>1</v>
      </c>
      <c r="O1193" s="32">
        <v>43594</v>
      </c>
      <c r="P1193" s="98">
        <f t="shared" si="85"/>
        <v>0</v>
      </c>
      <c r="Q1193">
        <v>2.5499999999999998</v>
      </c>
      <c r="R1193">
        <v>0</v>
      </c>
      <c r="S1193">
        <v>0</v>
      </c>
      <c r="T1193" s="112" t="s">
        <v>48</v>
      </c>
      <c r="U1193" s="137" t="s">
        <v>3213</v>
      </c>
      <c r="V1193" s="137" t="s">
        <v>3212</v>
      </c>
      <c r="W1193" s="69">
        <v>121</v>
      </c>
      <c r="X1193" s="136">
        <v>1</v>
      </c>
      <c r="Y1193" s="136">
        <v>5</v>
      </c>
      <c r="Z1193" s="314"/>
      <c r="AA1193" s="319">
        <v>0.58399999999999996</v>
      </c>
      <c r="AB1193" s="315" t="s">
        <v>5176</v>
      </c>
      <c r="AC1193" s="319">
        <v>1</v>
      </c>
      <c r="AD1193" s="320">
        <v>1.53846153846153E-2</v>
      </c>
      <c r="AE1193" s="319">
        <v>2</v>
      </c>
      <c r="AF1193" s="320">
        <v>3.0769230769230702E-2</v>
      </c>
      <c r="AG1193" s="319">
        <v>0</v>
      </c>
      <c r="AH1193" s="320">
        <v>0</v>
      </c>
      <c r="AI1193" s="319">
        <v>1</v>
      </c>
      <c r="AJ1193" s="320">
        <v>1.53846153846153E-2</v>
      </c>
      <c r="AK1193" s="320">
        <v>1.5384615384615391E-2</v>
      </c>
      <c r="AL1193" s="319">
        <v>5</v>
      </c>
      <c r="AM1193" s="319">
        <v>5</v>
      </c>
      <c r="AN1193" s="319">
        <v>7.3333333333333304</v>
      </c>
      <c r="AO1193" s="319">
        <v>0.57777777777777695</v>
      </c>
      <c r="AP1193">
        <v>5</v>
      </c>
      <c r="AR1193" s="136">
        <v>5</v>
      </c>
      <c r="AT1193" s="69">
        <v>2.3148</v>
      </c>
      <c r="AU1193" s="69">
        <v>2.3148</v>
      </c>
      <c r="AV1193" s="69">
        <v>9.8416999999999994</v>
      </c>
      <c r="AW1193" s="69">
        <v>0.4824</v>
      </c>
      <c r="BB1193" s="69"/>
    </row>
    <row r="1194" spans="1:54" customFormat="1" ht="40" customHeight="1">
      <c r="A1194" s="313">
        <v>1193</v>
      </c>
      <c r="B1194" s="136" t="s">
        <v>3209</v>
      </c>
      <c r="C1194" s="136" t="s">
        <v>45</v>
      </c>
      <c r="D1194" s="31">
        <f t="shared" si="82"/>
        <v>4</v>
      </c>
      <c r="E1194" s="137" t="s">
        <v>46</v>
      </c>
      <c r="F1194" s="31">
        <f t="shared" si="83"/>
        <v>6</v>
      </c>
      <c r="G1194" s="137" t="s">
        <v>3214</v>
      </c>
      <c r="H1194" s="138">
        <v>118</v>
      </c>
      <c r="I1194" s="158">
        <f t="shared" si="84"/>
        <v>0.85009553520033454</v>
      </c>
      <c r="J1194" s="95">
        <v>0.93296638340065696</v>
      </c>
      <c r="K1194" s="137">
        <v>0.76722468700001201</v>
      </c>
      <c r="L1194" s="137">
        <v>0.82499999999999996</v>
      </c>
      <c r="M1194" s="137">
        <v>0.68056171750003003</v>
      </c>
      <c r="N1194" s="136">
        <v>1</v>
      </c>
      <c r="O1194" s="32">
        <v>43490</v>
      </c>
      <c r="P1194" s="98">
        <f t="shared" si="85"/>
        <v>1</v>
      </c>
      <c r="Q1194">
        <v>0</v>
      </c>
      <c r="R1194">
        <v>6.6</v>
      </c>
      <c r="S1194">
        <v>0</v>
      </c>
      <c r="T1194" s="112" t="s">
        <v>73</v>
      </c>
      <c r="U1194" s="137" t="s">
        <v>3215</v>
      </c>
      <c r="V1194" s="137" t="s">
        <v>3216</v>
      </c>
      <c r="W1194" s="69">
        <v>36</v>
      </c>
      <c r="X1194" s="136">
        <v>1</v>
      </c>
      <c r="Y1194" s="136">
        <v>5</v>
      </c>
      <c r="Z1194" s="314"/>
      <c r="AA1194" s="319">
        <v>0.66549999999999998</v>
      </c>
      <c r="AB1194" s="315" t="s">
        <v>5176</v>
      </c>
      <c r="AC1194" s="319">
        <v>0</v>
      </c>
      <c r="AD1194" s="320">
        <v>0</v>
      </c>
      <c r="AE1194" s="319">
        <v>3</v>
      </c>
      <c r="AF1194" s="320">
        <v>0.13636363636363599</v>
      </c>
      <c r="AG1194" s="319">
        <v>0</v>
      </c>
      <c r="AH1194" s="320">
        <v>0</v>
      </c>
      <c r="AI1194" s="319">
        <v>0</v>
      </c>
      <c r="AJ1194" s="320">
        <v>0</v>
      </c>
      <c r="AK1194" s="320">
        <v>0</v>
      </c>
      <c r="AL1194" s="319">
        <v>6.75</v>
      </c>
      <c r="AM1194" s="319">
        <v>5</v>
      </c>
      <c r="AN1194" s="319">
        <v>2</v>
      </c>
      <c r="AO1194" s="319">
        <v>0.45833333333333298</v>
      </c>
      <c r="AP1194">
        <v>5</v>
      </c>
      <c r="AR1194" s="136">
        <v>5</v>
      </c>
      <c r="AT1194" s="69">
        <v>6.3414000000000001</v>
      </c>
      <c r="AU1194" s="69">
        <v>2.3148</v>
      </c>
      <c r="AV1194" s="69">
        <v>2.3148</v>
      </c>
      <c r="AW1194" s="69">
        <v>0.36570000000000003</v>
      </c>
      <c r="BB1194" s="69"/>
    </row>
    <row r="1195" spans="1:54" customFormat="1" ht="40" customHeight="1">
      <c r="A1195" s="313">
        <v>1194</v>
      </c>
      <c r="B1195" s="136" t="s">
        <v>3209</v>
      </c>
      <c r="C1195" s="136" t="s">
        <v>45</v>
      </c>
      <c r="D1195" s="31">
        <f t="shared" si="82"/>
        <v>4</v>
      </c>
      <c r="E1195" s="137" t="s">
        <v>80</v>
      </c>
      <c r="F1195" s="31">
        <f t="shared" si="83"/>
        <v>4</v>
      </c>
      <c r="G1195" s="137" t="s">
        <v>3217</v>
      </c>
      <c r="H1195" s="138">
        <v>61</v>
      </c>
      <c r="I1195" s="158">
        <f t="shared" si="84"/>
        <v>0.49956849719712948</v>
      </c>
      <c r="J1195" s="95">
        <v>0.26342270867997303</v>
      </c>
      <c r="K1195" s="137">
        <v>0.73571428571428599</v>
      </c>
      <c r="L1195" s="137">
        <v>0.75</v>
      </c>
      <c r="M1195" s="137">
        <v>0.71428571428571397</v>
      </c>
      <c r="N1195" s="136">
        <v>1</v>
      </c>
      <c r="O1195" s="32">
        <v>43316</v>
      </c>
      <c r="P1195" s="98">
        <f t="shared" si="85"/>
        <v>0</v>
      </c>
      <c r="Q1195">
        <v>2.5499999999999998</v>
      </c>
      <c r="R1195">
        <v>0</v>
      </c>
      <c r="S1195">
        <v>0</v>
      </c>
      <c r="T1195" s="112" t="s">
        <v>48</v>
      </c>
      <c r="U1195" s="137" t="s">
        <v>3218</v>
      </c>
      <c r="V1195" s="137" t="s">
        <v>3219</v>
      </c>
      <c r="W1195" s="69">
        <v>251</v>
      </c>
      <c r="X1195" s="136">
        <v>1</v>
      </c>
      <c r="Y1195" s="136">
        <v>4</v>
      </c>
      <c r="Z1195" s="314"/>
      <c r="AA1195" s="319">
        <v>0.59450000000000003</v>
      </c>
      <c r="AB1195" s="315" t="s">
        <v>5176</v>
      </c>
      <c r="AC1195" s="319">
        <v>2</v>
      </c>
      <c r="AD1195" s="320">
        <v>1.4492753623188401E-2</v>
      </c>
      <c r="AE1195" s="319">
        <v>4</v>
      </c>
      <c r="AF1195" s="320">
        <v>2.8985507246376802E-2</v>
      </c>
      <c r="AG1195" s="319">
        <v>2</v>
      </c>
      <c r="AH1195" s="320">
        <v>1.4492753623188401E-2</v>
      </c>
      <c r="AI1195" s="319">
        <v>0</v>
      </c>
      <c r="AJ1195" s="320">
        <v>0</v>
      </c>
      <c r="AK1195" s="320">
        <v>0</v>
      </c>
      <c r="AL1195" s="319">
        <v>5</v>
      </c>
      <c r="AM1195" s="319">
        <v>6.2</v>
      </c>
      <c r="AN1195" s="319">
        <v>7.3333333333333304</v>
      </c>
      <c r="AO1195" s="319">
        <v>0.61777777777777698</v>
      </c>
      <c r="AP1195">
        <v>4</v>
      </c>
      <c r="AR1195" s="136">
        <v>4</v>
      </c>
      <c r="AT1195" s="69">
        <v>2.3148</v>
      </c>
      <c r="AU1195" s="69">
        <v>5</v>
      </c>
      <c r="AV1195" s="69">
        <v>9.8416999999999994</v>
      </c>
      <c r="AW1195" s="69">
        <v>0.57189999999999996</v>
      </c>
      <c r="BB1195" s="69"/>
    </row>
    <row r="1196" spans="1:54" customFormat="1" ht="40" customHeight="1">
      <c r="A1196" s="313">
        <v>1195</v>
      </c>
      <c r="B1196" s="136" t="s">
        <v>3209</v>
      </c>
      <c r="C1196" s="136" t="s">
        <v>119</v>
      </c>
      <c r="D1196" s="31">
        <f t="shared" si="82"/>
        <v>1</v>
      </c>
      <c r="E1196" s="137" t="s">
        <v>46</v>
      </c>
      <c r="F1196" s="31">
        <f t="shared" si="83"/>
        <v>6</v>
      </c>
      <c r="G1196" s="137" t="s">
        <v>3220</v>
      </c>
      <c r="H1196" s="138">
        <v>170</v>
      </c>
      <c r="I1196" s="158">
        <f t="shared" si="84"/>
        <v>0.86785714285714299</v>
      </c>
      <c r="J1196" s="95">
        <v>1</v>
      </c>
      <c r="K1196" s="137">
        <v>0.73571428571428599</v>
      </c>
      <c r="L1196" s="137">
        <v>0.75</v>
      </c>
      <c r="M1196" s="137">
        <v>0.71428571428571397</v>
      </c>
      <c r="N1196" s="136">
        <v>1</v>
      </c>
      <c r="O1196" s="32">
        <v>43255</v>
      </c>
      <c r="P1196" s="98">
        <f t="shared" si="85"/>
        <v>1</v>
      </c>
      <c r="Q1196">
        <v>0</v>
      </c>
      <c r="R1196">
        <v>3.3</v>
      </c>
      <c r="S1196">
        <v>0</v>
      </c>
      <c r="T1196" s="112" t="s">
        <v>73</v>
      </c>
      <c r="U1196" s="137" t="s">
        <v>3221</v>
      </c>
      <c r="V1196" s="137" t="s">
        <v>3222</v>
      </c>
      <c r="W1196" s="69">
        <v>53</v>
      </c>
      <c r="X1196" s="136">
        <v>1</v>
      </c>
      <c r="Y1196" s="136">
        <v>4</v>
      </c>
      <c r="Z1196" s="314"/>
      <c r="AA1196" s="319">
        <v>0.5</v>
      </c>
      <c r="AB1196" s="315" t="s">
        <v>5176</v>
      </c>
      <c r="AC1196" s="319">
        <v>1</v>
      </c>
      <c r="AD1196" s="320">
        <v>3.5714285714285698E-2</v>
      </c>
      <c r="AE1196" s="319">
        <v>4</v>
      </c>
      <c r="AF1196" s="320">
        <v>0.14285714285714199</v>
      </c>
      <c r="AG1196" s="319">
        <v>0</v>
      </c>
      <c r="AH1196" s="320">
        <v>0</v>
      </c>
      <c r="AI1196" s="319">
        <v>0</v>
      </c>
      <c r="AJ1196" s="320">
        <v>0</v>
      </c>
      <c r="AK1196" s="320">
        <v>0</v>
      </c>
      <c r="AL1196" s="319">
        <v>5</v>
      </c>
      <c r="AM1196" s="319">
        <v>5</v>
      </c>
      <c r="AN1196" s="319">
        <v>2</v>
      </c>
      <c r="AO1196" s="319">
        <v>0.4</v>
      </c>
      <c r="AP1196">
        <v>4</v>
      </c>
      <c r="AR1196" s="136">
        <v>4</v>
      </c>
      <c r="AT1196" s="69">
        <v>2.3148</v>
      </c>
      <c r="AU1196" s="69">
        <v>2.3148</v>
      </c>
      <c r="AV1196" s="69">
        <v>2.3148</v>
      </c>
      <c r="AW1196" s="69">
        <v>0.23150000000000001</v>
      </c>
      <c r="BB1196" s="69"/>
    </row>
    <row r="1197" spans="1:54" customFormat="1" ht="40" customHeight="1">
      <c r="A1197" s="313">
        <v>1196</v>
      </c>
      <c r="B1197" s="136" t="s">
        <v>3209</v>
      </c>
      <c r="C1197" s="136" t="s">
        <v>45</v>
      </c>
      <c r="D1197" s="31">
        <f t="shared" si="82"/>
        <v>4</v>
      </c>
      <c r="E1197" s="137" t="s">
        <v>46</v>
      </c>
      <c r="F1197" s="31">
        <f t="shared" si="83"/>
        <v>6</v>
      </c>
      <c r="G1197" s="137" t="s">
        <v>3223</v>
      </c>
      <c r="H1197" s="138">
        <v>71</v>
      </c>
      <c r="I1197" s="158">
        <f t="shared" si="84"/>
        <v>0.31358671151395257</v>
      </c>
      <c r="J1197" s="95">
        <v>7.6039305287330904E-3</v>
      </c>
      <c r="K1197" s="137">
        <v>0.61956949249917204</v>
      </c>
      <c r="L1197" s="137">
        <v>0.68181818181818199</v>
      </c>
      <c r="M1197" s="137">
        <v>0.526196458520657</v>
      </c>
      <c r="N1197" s="136">
        <v>0</v>
      </c>
      <c r="O1197" s="32">
        <v>43181</v>
      </c>
      <c r="P1197" s="98">
        <f t="shared" si="85"/>
        <v>0</v>
      </c>
      <c r="Q1197">
        <v>5.0999999999999996</v>
      </c>
      <c r="R1197">
        <v>1.65</v>
      </c>
      <c r="S1197">
        <v>0</v>
      </c>
      <c r="T1197" s="112" t="s">
        <v>48</v>
      </c>
      <c r="U1197" s="137" t="s">
        <v>3224</v>
      </c>
      <c r="V1197" s="137" t="s">
        <v>3225</v>
      </c>
      <c r="W1197" s="69">
        <v>58</v>
      </c>
      <c r="X1197" s="136">
        <v>1</v>
      </c>
      <c r="Y1197" s="136">
        <v>11</v>
      </c>
      <c r="Z1197" s="314"/>
      <c r="AA1197" s="319">
        <v>0.64895000000000003</v>
      </c>
      <c r="AB1197" s="315" t="s">
        <v>5176</v>
      </c>
      <c r="AC1197" s="319">
        <v>2</v>
      </c>
      <c r="AD1197" s="320">
        <v>6.6666666666666596E-2</v>
      </c>
      <c r="AE1197" s="319">
        <v>4</v>
      </c>
      <c r="AF1197" s="320">
        <v>0.133333333333333</v>
      </c>
      <c r="AG1197" s="319">
        <v>1</v>
      </c>
      <c r="AH1197" s="320">
        <v>3.3333333333333298E-2</v>
      </c>
      <c r="AI1197" s="319">
        <v>0</v>
      </c>
      <c r="AJ1197" s="320">
        <v>0</v>
      </c>
      <c r="AK1197" s="320">
        <v>0</v>
      </c>
      <c r="AL1197" s="319">
        <v>5</v>
      </c>
      <c r="AM1197" s="319">
        <v>8.6</v>
      </c>
      <c r="AN1197" s="319">
        <v>4.6666666666666599</v>
      </c>
      <c r="AO1197" s="319">
        <v>0.60888888888888804</v>
      </c>
      <c r="AP1197">
        <v>11</v>
      </c>
      <c r="AS1197" s="136">
        <v>11</v>
      </c>
      <c r="AT1197" s="69">
        <v>2.3148</v>
      </c>
      <c r="AU1197" s="69">
        <v>9.1683000000000003</v>
      </c>
      <c r="AV1197" s="69">
        <v>8.1305999999999994</v>
      </c>
      <c r="AW1197" s="69">
        <v>0.65380000000000005</v>
      </c>
      <c r="BB1197" s="69"/>
    </row>
    <row r="1198" spans="1:54" customFormat="1" ht="40" customHeight="1">
      <c r="A1198" s="313">
        <v>1197</v>
      </c>
      <c r="B1198" s="136" t="s">
        <v>3209</v>
      </c>
      <c r="C1198" s="136" t="s">
        <v>45</v>
      </c>
      <c r="D1198" s="31">
        <f t="shared" si="82"/>
        <v>4</v>
      </c>
      <c r="E1198" s="137" t="s">
        <v>46</v>
      </c>
      <c r="F1198" s="31">
        <f t="shared" si="83"/>
        <v>6</v>
      </c>
      <c r="G1198" s="137" t="s">
        <v>3226</v>
      </c>
      <c r="H1198" s="138">
        <v>40</v>
      </c>
      <c r="I1198" s="158">
        <f t="shared" si="84"/>
        <v>0.40737700423944373</v>
      </c>
      <c r="J1198" s="95">
        <v>5.66212043064507E-4</v>
      </c>
      <c r="K1198" s="137">
        <v>0.81418779643582295</v>
      </c>
      <c r="L1198" s="137">
        <v>0.82499999999999996</v>
      </c>
      <c r="M1198" s="137">
        <v>0.79796949108955795</v>
      </c>
      <c r="N1198" s="136">
        <v>1</v>
      </c>
      <c r="O1198" s="32">
        <v>43173</v>
      </c>
      <c r="P1198" s="98">
        <f t="shared" si="85"/>
        <v>0</v>
      </c>
      <c r="Q1198">
        <v>2.5499999999999998</v>
      </c>
      <c r="R1198">
        <v>0</v>
      </c>
      <c r="S1198">
        <v>0</v>
      </c>
      <c r="T1198" s="112" t="s">
        <v>48</v>
      </c>
      <c r="U1198" s="137" t="s">
        <v>3227</v>
      </c>
      <c r="V1198" s="137" t="s">
        <v>3228</v>
      </c>
      <c r="W1198" s="69">
        <v>46</v>
      </c>
      <c r="X1198" s="136">
        <v>1</v>
      </c>
      <c r="Y1198" s="136">
        <v>2</v>
      </c>
      <c r="Z1198" s="314"/>
      <c r="AA1198" s="319">
        <v>0.5</v>
      </c>
      <c r="AB1198" s="315" t="s">
        <v>5176</v>
      </c>
      <c r="AC1198" s="319">
        <v>2</v>
      </c>
      <c r="AD1198" s="320">
        <v>0.08</v>
      </c>
      <c r="AE1198" s="319">
        <v>3</v>
      </c>
      <c r="AF1198" s="320">
        <v>0.12</v>
      </c>
      <c r="AG1198" s="319">
        <v>0</v>
      </c>
      <c r="AH1198" s="320">
        <v>0</v>
      </c>
      <c r="AI1198" s="319">
        <v>0</v>
      </c>
      <c r="AJ1198" s="320">
        <v>0</v>
      </c>
      <c r="AK1198" s="320">
        <v>0</v>
      </c>
      <c r="AL1198" s="319">
        <v>5</v>
      </c>
      <c r="AM1198" s="319">
        <v>6.2</v>
      </c>
      <c r="AN1198" s="319">
        <v>2</v>
      </c>
      <c r="AO1198" s="319">
        <v>0.44</v>
      </c>
      <c r="AP1198">
        <v>2</v>
      </c>
      <c r="AS1198" s="136">
        <v>2</v>
      </c>
      <c r="AT1198" s="69">
        <v>2.3148</v>
      </c>
      <c r="AU1198" s="69">
        <v>5</v>
      </c>
      <c r="AV1198" s="69">
        <v>2.3148</v>
      </c>
      <c r="AW1198" s="69">
        <v>0.32100000000000001</v>
      </c>
      <c r="BB1198" s="69"/>
    </row>
    <row r="1199" spans="1:54" customFormat="1" ht="40" customHeight="1">
      <c r="A1199" s="313">
        <v>1198</v>
      </c>
      <c r="B1199" s="136" t="s">
        <v>3209</v>
      </c>
      <c r="C1199" s="136" t="s">
        <v>45</v>
      </c>
      <c r="D1199" s="31">
        <f t="shared" si="82"/>
        <v>4</v>
      </c>
      <c r="E1199" s="137" t="s">
        <v>46</v>
      </c>
      <c r="F1199" s="31">
        <f t="shared" si="83"/>
        <v>6</v>
      </c>
      <c r="G1199" s="137" t="s">
        <v>3229</v>
      </c>
      <c r="H1199" s="138">
        <v>112</v>
      </c>
      <c r="I1199" s="158">
        <f t="shared" si="84"/>
        <v>0.79653512749222055</v>
      </c>
      <c r="J1199" s="95">
        <v>0.99999991435587399</v>
      </c>
      <c r="K1199" s="137">
        <v>0.59307034062856701</v>
      </c>
      <c r="L1199" s="137">
        <v>0.51226009152380303</v>
      </c>
      <c r="M1199" s="137">
        <v>0.71428571428571397</v>
      </c>
      <c r="N1199" s="136">
        <v>1</v>
      </c>
      <c r="O1199" s="32">
        <v>43099</v>
      </c>
      <c r="P1199" s="98">
        <f t="shared" si="85"/>
        <v>0</v>
      </c>
      <c r="Q1199">
        <v>2.5499999999999998</v>
      </c>
      <c r="R1199">
        <v>1.65</v>
      </c>
      <c r="S1199">
        <v>0</v>
      </c>
      <c r="T1199" s="112" t="s">
        <v>48</v>
      </c>
      <c r="U1199" s="137" t="s">
        <v>3230</v>
      </c>
      <c r="V1199" s="137" t="s">
        <v>3231</v>
      </c>
      <c r="W1199" s="69">
        <v>98</v>
      </c>
      <c r="X1199" s="136">
        <v>1</v>
      </c>
      <c r="Y1199" s="136">
        <v>4</v>
      </c>
      <c r="Z1199" s="314"/>
      <c r="AA1199" s="319">
        <v>2.2630485621756301E-2</v>
      </c>
      <c r="AB1199" s="315" t="s">
        <v>5176</v>
      </c>
      <c r="AC1199" s="319">
        <v>1</v>
      </c>
      <c r="AD1199" s="320">
        <v>1.72413793103448E-2</v>
      </c>
      <c r="AE1199" s="319">
        <v>4</v>
      </c>
      <c r="AF1199" s="320">
        <v>6.8965517241379296E-2</v>
      </c>
      <c r="AG1199" s="319">
        <v>0</v>
      </c>
      <c r="AH1199" s="320">
        <v>0</v>
      </c>
      <c r="AI1199" s="319">
        <v>0</v>
      </c>
      <c r="AJ1199" s="320">
        <v>0</v>
      </c>
      <c r="AK1199" s="320">
        <v>0</v>
      </c>
      <c r="AL1199" s="319">
        <v>5</v>
      </c>
      <c r="AM1199" s="319">
        <v>5</v>
      </c>
      <c r="AN1199" s="319">
        <v>2</v>
      </c>
      <c r="AO1199" s="319">
        <v>0.4</v>
      </c>
      <c r="AP1199">
        <v>4</v>
      </c>
      <c r="AR1199" s="136">
        <v>4</v>
      </c>
      <c r="AT1199" s="69">
        <v>2.3148</v>
      </c>
      <c r="AU1199" s="69">
        <v>2.3148</v>
      </c>
      <c r="AV1199" s="69">
        <v>2.3148</v>
      </c>
      <c r="AW1199" s="69">
        <v>0.23150000000000001</v>
      </c>
      <c r="BB1199" s="69"/>
    </row>
    <row r="1200" spans="1:54" customFormat="1" ht="40" customHeight="1">
      <c r="A1200" s="313">
        <v>1199</v>
      </c>
      <c r="B1200" s="136" t="s">
        <v>589</v>
      </c>
      <c r="C1200" s="136" t="s">
        <v>59</v>
      </c>
      <c r="D1200" s="31">
        <v>5</v>
      </c>
      <c r="E1200" s="137" t="s">
        <v>46</v>
      </c>
      <c r="F1200" s="31">
        <v>6</v>
      </c>
      <c r="G1200" s="137" t="s">
        <v>3232</v>
      </c>
      <c r="H1200" s="138">
        <v>12</v>
      </c>
      <c r="I1200" s="158">
        <f t="shared" si="84"/>
        <v>0.84519719248944447</v>
      </c>
      <c r="J1200" s="95">
        <v>0.98036522742364196</v>
      </c>
      <c r="K1200" s="137">
        <v>0.71002915755524698</v>
      </c>
      <c r="L1200" s="137">
        <v>0.75</v>
      </c>
      <c r="M1200" s="137">
        <v>0.65007289388811795</v>
      </c>
      <c r="N1200" s="136">
        <v>1</v>
      </c>
      <c r="O1200" s="32">
        <v>42797</v>
      </c>
      <c r="P1200" s="98">
        <v>0</v>
      </c>
      <c r="Q1200">
        <v>0</v>
      </c>
      <c r="R1200">
        <v>0</v>
      </c>
      <c r="S1200">
        <v>0</v>
      </c>
      <c r="T1200" s="112" t="s">
        <v>48</v>
      </c>
      <c r="U1200" s="137" t="s">
        <v>3232</v>
      </c>
      <c r="V1200" s="137" t="s">
        <v>3233</v>
      </c>
      <c r="W1200" s="69">
        <v>89</v>
      </c>
      <c r="X1200" s="136">
        <v>0</v>
      </c>
      <c r="Y1200" s="136">
        <v>0</v>
      </c>
      <c r="Z1200" s="314"/>
      <c r="AA1200" s="319">
        <v>0.5</v>
      </c>
      <c r="AB1200" s="315" t="s">
        <v>5168</v>
      </c>
      <c r="AC1200" s="319">
        <v>0</v>
      </c>
      <c r="AD1200" s="320">
        <v>0</v>
      </c>
      <c r="AE1200" s="319">
        <v>0</v>
      </c>
      <c r="AF1200" s="320">
        <v>0</v>
      </c>
      <c r="AG1200" s="319">
        <v>1</v>
      </c>
      <c r="AH1200" s="320">
        <v>2.0833333333333301E-2</v>
      </c>
      <c r="AI1200" s="319">
        <v>0</v>
      </c>
      <c r="AJ1200" s="320">
        <v>0</v>
      </c>
      <c r="AK1200" s="320">
        <v>0</v>
      </c>
      <c r="AL1200" s="319">
        <v>0</v>
      </c>
      <c r="AM1200" s="319">
        <v>0</v>
      </c>
      <c r="AN1200" s="319">
        <v>0</v>
      </c>
      <c r="AO1200" s="319">
        <f>(AL1200+AM1200+AN1200)/30</f>
        <v>0</v>
      </c>
      <c r="AR1200" s="136">
        <v>0</v>
      </c>
      <c r="AT1200" s="69">
        <v>2.3148</v>
      </c>
      <c r="AU1200" s="69">
        <v>2.3148</v>
      </c>
      <c r="AV1200" s="69">
        <v>2.3148</v>
      </c>
      <c r="AW1200" s="69">
        <v>0.23150000000000001</v>
      </c>
      <c r="BB1200" s="69"/>
    </row>
    <row r="1201" spans="1:54" customFormat="1" ht="40" customHeight="1">
      <c r="A1201" s="313">
        <v>1200</v>
      </c>
      <c r="B1201" s="136" t="s">
        <v>589</v>
      </c>
      <c r="C1201" s="136" t="s">
        <v>45</v>
      </c>
      <c r="D1201" s="31">
        <v>4</v>
      </c>
      <c r="E1201" s="137" t="s">
        <v>46</v>
      </c>
      <c r="F1201" s="31">
        <v>6</v>
      </c>
      <c r="G1201" s="137" t="s">
        <v>3234</v>
      </c>
      <c r="H1201" s="138">
        <v>30</v>
      </c>
      <c r="I1201" s="158">
        <f t="shared" si="84"/>
        <v>0.33032173882613564</v>
      </c>
      <c r="J1201" s="95">
        <v>1.64894244008229E-4</v>
      </c>
      <c r="K1201" s="137">
        <v>0.66047858340826304</v>
      </c>
      <c r="L1201" s="137">
        <v>0.75</v>
      </c>
      <c r="M1201" s="137">
        <v>0.526196458520657</v>
      </c>
      <c r="N1201" s="136">
        <v>1</v>
      </c>
      <c r="O1201" s="32">
        <v>42875</v>
      </c>
      <c r="P1201" s="98">
        <v>0</v>
      </c>
      <c r="Q1201">
        <v>0</v>
      </c>
      <c r="R1201">
        <v>0</v>
      </c>
      <c r="S1201">
        <v>0</v>
      </c>
      <c r="T1201" s="112" t="s">
        <v>48</v>
      </c>
      <c r="U1201" s="137" t="s">
        <v>3235</v>
      </c>
      <c r="V1201" s="137" t="s">
        <v>3236</v>
      </c>
      <c r="W1201" s="69">
        <v>56</v>
      </c>
      <c r="X1201" s="136">
        <v>0</v>
      </c>
      <c r="Y1201" s="136">
        <v>11</v>
      </c>
      <c r="Z1201" s="314"/>
      <c r="AA1201" s="319">
        <v>0.5</v>
      </c>
      <c r="AB1201" s="315" t="s">
        <v>5168</v>
      </c>
      <c r="AC1201" s="319">
        <v>0</v>
      </c>
      <c r="AD1201" s="320">
        <v>0</v>
      </c>
      <c r="AE1201" s="319">
        <v>0</v>
      </c>
      <c r="AF1201" s="320">
        <v>0</v>
      </c>
      <c r="AG1201" s="319">
        <v>1</v>
      </c>
      <c r="AH1201" s="320">
        <v>3.03030303030303E-2</v>
      </c>
      <c r="AI1201" s="319">
        <v>1</v>
      </c>
      <c r="AJ1201" s="320">
        <v>0</v>
      </c>
      <c r="AK1201" s="320">
        <v>0</v>
      </c>
      <c r="AL1201" s="319">
        <v>0</v>
      </c>
      <c r="AM1201" s="319">
        <v>0</v>
      </c>
      <c r="AN1201" s="319">
        <v>0</v>
      </c>
      <c r="AO1201" s="319">
        <f t="shared" ref="AO1201:AO1204" si="86">(AL1201+AM1201+AN1201)/30</f>
        <v>0</v>
      </c>
      <c r="AR1201" s="136">
        <v>11</v>
      </c>
      <c r="AT1201" s="69">
        <v>2.3148</v>
      </c>
      <c r="AU1201" s="69">
        <v>2.3148</v>
      </c>
      <c r="AV1201" s="69">
        <v>2.3148</v>
      </c>
      <c r="AW1201" s="69">
        <v>0.23150000000000001</v>
      </c>
      <c r="BB1201" s="69"/>
    </row>
    <row r="1202" spans="1:54" customFormat="1" ht="40" customHeight="1">
      <c r="A1202" s="313">
        <v>1201</v>
      </c>
      <c r="B1202" s="136" t="s">
        <v>1222</v>
      </c>
      <c r="C1202" s="136" t="s">
        <v>45</v>
      </c>
      <c r="D1202" s="31">
        <v>4</v>
      </c>
      <c r="E1202" s="137" t="s">
        <v>46</v>
      </c>
      <c r="F1202" s="31">
        <v>6</v>
      </c>
      <c r="G1202" s="137" t="s">
        <v>3237</v>
      </c>
      <c r="H1202" s="138">
        <v>215</v>
      </c>
      <c r="I1202" s="158">
        <f t="shared" si="84"/>
        <v>0.83832428044268203</v>
      </c>
      <c r="J1202" s="95">
        <v>0.99807713231393602</v>
      </c>
      <c r="K1202" s="137">
        <v>0.67857142857142805</v>
      </c>
      <c r="L1202" s="137">
        <v>0.75</v>
      </c>
      <c r="M1202" s="137">
        <v>0.57142857142857095</v>
      </c>
      <c r="N1202" s="136">
        <v>0</v>
      </c>
      <c r="O1202" s="32">
        <v>43156</v>
      </c>
      <c r="P1202" s="98">
        <v>1</v>
      </c>
      <c r="Q1202">
        <v>0</v>
      </c>
      <c r="R1202">
        <v>0</v>
      </c>
      <c r="S1202">
        <v>0</v>
      </c>
      <c r="T1202" s="112" t="s">
        <v>73</v>
      </c>
      <c r="U1202" s="137" t="s">
        <v>1496</v>
      </c>
      <c r="V1202" s="137" t="s">
        <v>1494</v>
      </c>
      <c r="W1202" s="69">
        <v>125</v>
      </c>
      <c r="X1202" s="136">
        <v>1</v>
      </c>
      <c r="Y1202" s="136">
        <v>2</v>
      </c>
      <c r="Z1202" s="314"/>
      <c r="AA1202" s="319">
        <v>0.63239999999999996</v>
      </c>
      <c r="AB1202" s="315" t="s">
        <v>5168</v>
      </c>
      <c r="AC1202" s="319">
        <v>1</v>
      </c>
      <c r="AD1202" s="320">
        <v>1.5873015873015799E-2</v>
      </c>
      <c r="AE1202" s="319">
        <v>0</v>
      </c>
      <c r="AF1202" s="320">
        <v>0</v>
      </c>
      <c r="AG1202" s="319">
        <v>3</v>
      </c>
      <c r="AH1202" s="320">
        <v>4.7619047619047603E-2</v>
      </c>
      <c r="AI1202" s="319">
        <v>0</v>
      </c>
      <c r="AJ1202" s="320">
        <v>0</v>
      </c>
      <c r="AK1202" s="320">
        <v>0</v>
      </c>
      <c r="AL1202" s="319">
        <v>0</v>
      </c>
      <c r="AM1202" s="319">
        <v>0</v>
      </c>
      <c r="AN1202" s="319">
        <v>0</v>
      </c>
      <c r="AO1202" s="319">
        <f t="shared" si="86"/>
        <v>0</v>
      </c>
      <c r="AP1202">
        <v>2</v>
      </c>
      <c r="AR1202" s="136">
        <v>2</v>
      </c>
      <c r="AT1202" s="69">
        <v>2.3148</v>
      </c>
      <c r="AU1202" s="69">
        <v>5</v>
      </c>
      <c r="AV1202" s="69">
        <v>2.3148</v>
      </c>
      <c r="AW1202" s="69">
        <v>0.32100000000000001</v>
      </c>
      <c r="BB1202" s="69"/>
    </row>
    <row r="1203" spans="1:54" customFormat="1" ht="40" customHeight="1">
      <c r="A1203" s="313">
        <v>1202</v>
      </c>
      <c r="B1203" s="136" t="s">
        <v>2015</v>
      </c>
      <c r="C1203" s="136" t="s">
        <v>45</v>
      </c>
      <c r="D1203" s="31">
        <v>4</v>
      </c>
      <c r="E1203" s="137" t="s">
        <v>80</v>
      </c>
      <c r="F1203" s="31">
        <v>4</v>
      </c>
      <c r="G1203" s="137" t="s">
        <v>232</v>
      </c>
      <c r="H1203" s="138">
        <v>183</v>
      </c>
      <c r="I1203" s="158">
        <f t="shared" si="84"/>
        <v>0.39620536063410167</v>
      </c>
      <c r="J1203" s="95">
        <v>8.2294144038373304E-2</v>
      </c>
      <c r="K1203" s="137">
        <v>0.71011657722983001</v>
      </c>
      <c r="L1203" s="137">
        <v>0.68181818181818199</v>
      </c>
      <c r="M1203" s="137">
        <v>0.75256417034730305</v>
      </c>
      <c r="N1203" s="136">
        <v>1</v>
      </c>
      <c r="O1203" s="32">
        <v>43997</v>
      </c>
      <c r="P1203" s="98">
        <v>1</v>
      </c>
      <c r="Q1203">
        <v>0</v>
      </c>
      <c r="R1203">
        <v>1.65</v>
      </c>
      <c r="S1203">
        <v>0</v>
      </c>
      <c r="T1203" s="112" t="s">
        <v>48</v>
      </c>
      <c r="U1203" s="137" t="s">
        <v>3238</v>
      </c>
      <c r="V1203" s="137" t="s">
        <v>3239</v>
      </c>
      <c r="W1203" s="69">
        <v>31</v>
      </c>
      <c r="X1203" s="136">
        <v>0</v>
      </c>
      <c r="Y1203" s="136">
        <v>3</v>
      </c>
      <c r="Z1203" s="314"/>
      <c r="AA1203" s="319">
        <v>0.63239999999999996</v>
      </c>
      <c r="AB1203" s="315" t="s">
        <v>5168</v>
      </c>
      <c r="AC1203" s="319">
        <v>1</v>
      </c>
      <c r="AD1203" s="320">
        <v>1.5873015873015799E-2</v>
      </c>
      <c r="AE1203" s="319">
        <v>0</v>
      </c>
      <c r="AF1203" s="320">
        <v>0</v>
      </c>
      <c r="AG1203" s="319">
        <v>3</v>
      </c>
      <c r="AH1203" s="320">
        <v>4.7619047619047603E-2</v>
      </c>
      <c r="AI1203" s="319">
        <v>0</v>
      </c>
      <c r="AJ1203" s="320">
        <v>0</v>
      </c>
      <c r="AK1203" s="320">
        <v>0</v>
      </c>
      <c r="AL1203" s="319">
        <v>1.75</v>
      </c>
      <c r="AM1203" s="319">
        <v>0</v>
      </c>
      <c r="AN1203" s="319">
        <v>2.625</v>
      </c>
      <c r="AO1203" s="319">
        <f t="shared" si="86"/>
        <v>0.14583333333333334</v>
      </c>
      <c r="AR1203" s="136">
        <v>3</v>
      </c>
      <c r="AT1203" s="69">
        <v>6.3414000000000001</v>
      </c>
      <c r="AU1203" s="69">
        <v>2.3148</v>
      </c>
      <c r="AV1203" s="69">
        <v>9.8416999999999994</v>
      </c>
      <c r="AW1203" s="69">
        <v>0.61660000000000004</v>
      </c>
      <c r="BB1203" s="69"/>
    </row>
    <row r="1204" spans="1:54" customFormat="1" ht="40" customHeight="1">
      <c r="A1204" s="313">
        <v>1203</v>
      </c>
      <c r="B1204" s="136" t="s">
        <v>2015</v>
      </c>
      <c r="C1204" s="136" t="s">
        <v>45</v>
      </c>
      <c r="D1204" s="31">
        <v>4</v>
      </c>
      <c r="E1204" s="137" t="s">
        <v>80</v>
      </c>
      <c r="F1204" s="31">
        <v>4</v>
      </c>
      <c r="G1204" s="137" t="s">
        <v>1688</v>
      </c>
      <c r="H1204" s="138">
        <v>58</v>
      </c>
      <c r="I1204" s="158">
        <f t="shared" si="84"/>
        <v>0.39813139306701001</v>
      </c>
      <c r="J1204" s="95">
        <v>2.3711799509906799E-4</v>
      </c>
      <c r="K1204" s="137">
        <v>0.79602566813892095</v>
      </c>
      <c r="L1204" s="137">
        <v>0.82499999999999996</v>
      </c>
      <c r="M1204" s="137">
        <v>0.75256417034730305</v>
      </c>
      <c r="N1204" s="136">
        <v>1</v>
      </c>
      <c r="O1204" s="32">
        <v>43921</v>
      </c>
      <c r="P1204" s="98">
        <v>0</v>
      </c>
      <c r="Q1204">
        <v>5.0999999999999996</v>
      </c>
      <c r="R1204">
        <v>0</v>
      </c>
      <c r="S1204">
        <v>0</v>
      </c>
      <c r="T1204" s="112" t="s">
        <v>48</v>
      </c>
      <c r="U1204" s="137" t="s">
        <v>3240</v>
      </c>
      <c r="V1204" s="137" t="s">
        <v>2038</v>
      </c>
      <c r="W1204" s="69">
        <v>38</v>
      </c>
      <c r="X1204" s="136">
        <v>0</v>
      </c>
      <c r="Y1204" s="136">
        <v>3</v>
      </c>
      <c r="Z1204" s="314"/>
      <c r="AA1204" s="319">
        <v>0.45909090909090899</v>
      </c>
      <c r="AB1204" s="315" t="s">
        <v>5176</v>
      </c>
      <c r="AC1204" s="319">
        <v>0</v>
      </c>
      <c r="AD1204" s="320">
        <v>0</v>
      </c>
      <c r="AE1204" s="319">
        <v>2</v>
      </c>
      <c r="AF1204" s="320">
        <v>0.1</v>
      </c>
      <c r="AG1204" s="319">
        <v>1</v>
      </c>
      <c r="AH1204" s="320">
        <v>0.05</v>
      </c>
      <c r="AI1204" s="319">
        <v>0</v>
      </c>
      <c r="AJ1204" s="320">
        <v>0</v>
      </c>
      <c r="AK1204" s="320">
        <v>0</v>
      </c>
      <c r="AL1204" s="319">
        <v>1.75</v>
      </c>
      <c r="AM1204" s="319">
        <v>0</v>
      </c>
      <c r="AN1204" s="319">
        <v>2.625</v>
      </c>
      <c r="AO1204" s="319">
        <f t="shared" si="86"/>
        <v>0.14583333333333334</v>
      </c>
      <c r="AQ1204" s="136">
        <v>3</v>
      </c>
      <c r="AT1204" s="69">
        <v>6.3414000000000001</v>
      </c>
      <c r="AU1204" s="69">
        <v>2.3148</v>
      </c>
      <c r="AV1204" s="69">
        <v>9.8416999999999994</v>
      </c>
      <c r="AW1204" s="69">
        <v>0.61660000000000004</v>
      </c>
      <c r="BB1204" s="69"/>
    </row>
    <row r="1205" spans="1:54" customFormat="1" ht="40" customHeight="1">
      <c r="A1205" s="313">
        <v>1204</v>
      </c>
      <c r="B1205" s="136" t="s">
        <v>499</v>
      </c>
      <c r="C1205" s="136" t="s">
        <v>45</v>
      </c>
      <c r="D1205" s="31"/>
      <c r="E1205" s="137" t="s">
        <v>80</v>
      </c>
      <c r="F1205" s="31"/>
      <c r="G1205" s="137" t="s">
        <v>578</v>
      </c>
      <c r="H1205" s="138">
        <v>56</v>
      </c>
      <c r="I1205" s="158"/>
      <c r="J1205" s="95"/>
      <c r="K1205" s="137">
        <v>0.42857142857142899</v>
      </c>
      <c r="L1205" s="137">
        <v>0.19350133789885801</v>
      </c>
      <c r="M1205" s="137">
        <v>3.67879441171442E-2</v>
      </c>
      <c r="N1205" s="136" t="s">
        <v>3241</v>
      </c>
      <c r="O1205" s="32" t="s">
        <v>3242</v>
      </c>
      <c r="P1205" s="98">
        <f>IF(T1205="利己",0,IF(T1205="生态",2,IF(T1205="无",3,1)))</f>
        <v>1</v>
      </c>
      <c r="Q1205">
        <v>0</v>
      </c>
      <c r="R1205">
        <v>3</v>
      </c>
      <c r="S1205">
        <v>0</v>
      </c>
      <c r="T1205" t="s">
        <v>5132</v>
      </c>
      <c r="U1205" t="s">
        <v>579</v>
      </c>
      <c r="V1205" s="1" t="s">
        <v>3244</v>
      </c>
      <c r="W1205" s="319">
        <v>75</v>
      </c>
      <c r="X1205" s="319">
        <v>16</v>
      </c>
      <c r="Y1205" s="319">
        <v>3</v>
      </c>
      <c r="Z1205" s="314"/>
      <c r="AA1205" s="319">
        <v>0.54500000000000004</v>
      </c>
      <c r="AB1205" s="315" t="s">
        <v>5165</v>
      </c>
      <c r="AC1205" s="319">
        <v>2</v>
      </c>
      <c r="AD1205" s="320">
        <v>0.05</v>
      </c>
      <c r="AE1205" s="319">
        <v>1</v>
      </c>
      <c r="AF1205" s="320">
        <v>2.5000000000000001E-2</v>
      </c>
      <c r="AG1205" s="319">
        <v>0</v>
      </c>
      <c r="AH1205" s="320">
        <v>0</v>
      </c>
      <c r="AI1205" s="319">
        <v>0</v>
      </c>
      <c r="AJ1205" s="320">
        <v>0</v>
      </c>
      <c r="AK1205" s="320">
        <v>0</v>
      </c>
      <c r="AL1205" s="319"/>
      <c r="AM1205" s="319"/>
      <c r="AN1205" s="319"/>
      <c r="AO1205" s="319"/>
      <c r="AP1205">
        <v>3</v>
      </c>
      <c r="AR1205" s="136"/>
      <c r="AT1205" s="69">
        <v>2.3148</v>
      </c>
      <c r="AU1205" s="69">
        <v>2.3148</v>
      </c>
      <c r="AV1205" s="69">
        <v>8.5815000000000001</v>
      </c>
      <c r="AW1205" s="69">
        <v>0.44040000000000001</v>
      </c>
      <c r="BB1205" s="69"/>
    </row>
    <row r="1206" spans="1:54" customFormat="1" ht="40" customHeight="1">
      <c r="A1206" s="313">
        <v>1205</v>
      </c>
      <c r="B1206" s="136" t="s">
        <v>3243</v>
      </c>
      <c r="C1206" s="136" t="s">
        <v>45</v>
      </c>
      <c r="D1206" s="31"/>
      <c r="E1206" s="137" t="s">
        <v>46</v>
      </c>
      <c r="F1206" s="31"/>
      <c r="G1206" s="137" t="s">
        <v>3245</v>
      </c>
      <c r="H1206" s="138">
        <v>22</v>
      </c>
      <c r="I1206" s="158"/>
      <c r="J1206" s="95"/>
      <c r="K1206" s="137">
        <v>0.41098491062604903</v>
      </c>
      <c r="L1206" s="137">
        <v>0.22439396425041899</v>
      </c>
      <c r="M1206" s="137">
        <v>0.1</v>
      </c>
      <c r="N1206" s="136" t="s">
        <v>3246</v>
      </c>
      <c r="O1206" s="32" t="s">
        <v>3247</v>
      </c>
      <c r="P1206" s="98">
        <f>IF(T1206="利己",0,IF(T1206="生态",2,IF(T1206="无",3,1)))</f>
        <v>0</v>
      </c>
      <c r="Q1206">
        <v>6</v>
      </c>
      <c r="R1206">
        <v>0</v>
      </c>
      <c r="S1206">
        <v>0</v>
      </c>
      <c r="T1206" t="s">
        <v>48</v>
      </c>
      <c r="U1206" t="s">
        <v>3248</v>
      </c>
      <c r="V1206" t="s">
        <v>3249</v>
      </c>
      <c r="W1206" s="319">
        <v>136</v>
      </c>
      <c r="X1206" s="319">
        <v>17</v>
      </c>
      <c r="Y1206" s="319">
        <v>2</v>
      </c>
      <c r="Z1206" s="314"/>
      <c r="AA1206" s="319">
        <v>0.5</v>
      </c>
      <c r="AB1206" s="315" t="s">
        <v>5165</v>
      </c>
      <c r="AC1206" s="319">
        <v>2</v>
      </c>
      <c r="AD1206" s="320">
        <v>2.8169014084507001E-2</v>
      </c>
      <c r="AE1206" s="319">
        <v>1</v>
      </c>
      <c r="AF1206" s="320">
        <v>1.4084507042253501E-2</v>
      </c>
      <c r="AG1206" s="319">
        <v>0</v>
      </c>
      <c r="AH1206" s="320">
        <v>0</v>
      </c>
      <c r="AI1206" s="319">
        <v>0</v>
      </c>
      <c r="AJ1206" s="320">
        <v>0</v>
      </c>
      <c r="AK1206" s="320">
        <v>0</v>
      </c>
      <c r="AL1206" s="319"/>
      <c r="AM1206" s="319"/>
      <c r="AN1206" s="319"/>
      <c r="AO1206" s="319"/>
      <c r="AP1206">
        <v>2</v>
      </c>
      <c r="AR1206" s="136"/>
      <c r="AT1206" s="69">
        <v>2.3148</v>
      </c>
      <c r="AU1206" s="69">
        <v>2.3148</v>
      </c>
      <c r="AV1206" s="69">
        <v>5.7443999999999997</v>
      </c>
      <c r="AW1206" s="69">
        <v>0.3458</v>
      </c>
      <c r="BB1206" s="69"/>
    </row>
    <row r="1207" spans="1:54" customFormat="1" ht="40" customHeight="1">
      <c r="A1207" s="313">
        <v>1206</v>
      </c>
      <c r="B1207" s="136" t="s">
        <v>2752</v>
      </c>
      <c r="C1207" s="136" t="s">
        <v>119</v>
      </c>
      <c r="D1207" s="31"/>
      <c r="E1207" s="137" t="s">
        <v>46</v>
      </c>
      <c r="F1207" s="31"/>
      <c r="G1207" s="137" t="s">
        <v>3250</v>
      </c>
      <c r="H1207" s="138">
        <v>680</v>
      </c>
      <c r="I1207" s="158"/>
      <c r="J1207" s="95"/>
      <c r="K1207" s="137">
        <v>0.526196458520657</v>
      </c>
      <c r="L1207" s="137">
        <v>0.232551349878549</v>
      </c>
      <c r="M1207" s="137">
        <v>3.67879441171442E-2</v>
      </c>
      <c r="N1207" s="136" t="s">
        <v>3251</v>
      </c>
      <c r="O1207" s="32" t="s">
        <v>3252</v>
      </c>
      <c r="P1207" s="98">
        <f t="shared" ref="P1207:P1214" si="87">IF(T1207="利己",0,IF(T1207="生态",2,IF(T1207="无",3,1)))</f>
        <v>1</v>
      </c>
      <c r="Q1207">
        <v>0</v>
      </c>
      <c r="R1207">
        <v>6</v>
      </c>
      <c r="S1207">
        <v>0</v>
      </c>
      <c r="T1207" t="s">
        <v>73</v>
      </c>
      <c r="U1207" t="s">
        <v>3253</v>
      </c>
      <c r="V1207" s="1" t="s">
        <v>3254</v>
      </c>
      <c r="W1207" s="319">
        <v>153</v>
      </c>
      <c r="X1207" s="319">
        <v>11</v>
      </c>
      <c r="Y1207" s="319">
        <v>3</v>
      </c>
      <c r="Z1207" s="314"/>
      <c r="AA1207" s="319">
        <v>0.439256198347107</v>
      </c>
      <c r="AB1207" s="315" t="s">
        <v>5165</v>
      </c>
      <c r="AC1207" s="319">
        <v>1</v>
      </c>
      <c r="AD1207" s="320">
        <v>1.12359550561797E-2</v>
      </c>
      <c r="AE1207" s="319">
        <v>0</v>
      </c>
      <c r="AF1207" s="320">
        <v>0</v>
      </c>
      <c r="AG1207" s="319">
        <v>0</v>
      </c>
      <c r="AH1207" s="320">
        <v>0</v>
      </c>
      <c r="AI1207" s="319">
        <v>0</v>
      </c>
      <c r="AJ1207" s="320">
        <v>0</v>
      </c>
      <c r="AK1207" s="320">
        <v>0</v>
      </c>
      <c r="AL1207" s="319"/>
      <c r="AM1207" s="319"/>
      <c r="AN1207" s="319"/>
      <c r="AO1207" s="319"/>
      <c r="AP1207">
        <v>3</v>
      </c>
      <c r="AR1207" s="136"/>
      <c r="AT1207" s="69">
        <v>2.3148</v>
      </c>
      <c r="AU1207" s="69">
        <v>5</v>
      </c>
      <c r="AV1207" s="69">
        <v>9.5120000000000005</v>
      </c>
      <c r="AW1207" s="69">
        <v>0.56089999999999995</v>
      </c>
      <c r="BB1207" s="69"/>
    </row>
    <row r="1208" spans="1:54" customFormat="1" ht="40" customHeight="1">
      <c r="A1208" s="313">
        <v>1207</v>
      </c>
      <c r="B1208" s="136" t="s">
        <v>3243</v>
      </c>
      <c r="C1208" s="136" t="s">
        <v>119</v>
      </c>
      <c r="D1208" s="31"/>
      <c r="E1208" s="137" t="s">
        <v>80</v>
      </c>
      <c r="F1208" s="31"/>
      <c r="G1208" s="137" t="s">
        <v>3255</v>
      </c>
      <c r="H1208" s="138">
        <v>129</v>
      </c>
      <c r="I1208" s="158"/>
      <c r="J1208" s="95"/>
      <c r="K1208" s="137">
        <v>0.48492124636228701</v>
      </c>
      <c r="L1208" s="137">
        <v>0.35706540825245803</v>
      </c>
      <c r="M1208" s="137">
        <v>0.27182818284590399</v>
      </c>
      <c r="N1208" s="136" t="s">
        <v>3241</v>
      </c>
      <c r="O1208" s="32" t="s">
        <v>3256</v>
      </c>
      <c r="P1208" s="98">
        <f t="shared" si="87"/>
        <v>1</v>
      </c>
      <c r="Q1208">
        <v>1</v>
      </c>
      <c r="R1208">
        <v>0</v>
      </c>
      <c r="S1208">
        <v>0</v>
      </c>
      <c r="T1208" t="s">
        <v>5088</v>
      </c>
      <c r="U1208" s="322" t="s">
        <v>3257</v>
      </c>
      <c r="V1208" t="s">
        <v>3258</v>
      </c>
      <c r="W1208" s="319">
        <v>210</v>
      </c>
      <c r="X1208" s="319">
        <v>13</v>
      </c>
      <c r="Y1208" s="319">
        <v>4</v>
      </c>
      <c r="Z1208" s="314"/>
      <c r="AA1208" s="319">
        <v>0.60499999999999998</v>
      </c>
      <c r="AB1208" s="315" t="s">
        <v>5176</v>
      </c>
      <c r="AC1208" s="319">
        <v>0</v>
      </c>
      <c r="AD1208" s="320">
        <v>0</v>
      </c>
      <c r="AE1208" s="319">
        <v>2</v>
      </c>
      <c r="AF1208" s="320">
        <v>1.6260162601626001E-2</v>
      </c>
      <c r="AG1208" s="319">
        <v>1</v>
      </c>
      <c r="AH1208" s="320">
        <v>8.1300813008130003E-3</v>
      </c>
      <c r="AI1208" s="319">
        <v>1</v>
      </c>
      <c r="AJ1208" s="320">
        <v>8.1300813008130003E-3</v>
      </c>
      <c r="AK1208" s="320">
        <v>0</v>
      </c>
      <c r="AL1208" s="319"/>
      <c r="AM1208" s="319"/>
      <c r="AN1208" s="319"/>
      <c r="AO1208" s="319"/>
      <c r="AP1208">
        <v>4</v>
      </c>
      <c r="AR1208" s="136"/>
      <c r="AT1208" s="69">
        <v>2.3148</v>
      </c>
      <c r="AU1208" s="69">
        <v>5</v>
      </c>
      <c r="AV1208" s="69">
        <v>2.3148</v>
      </c>
      <c r="AW1208" s="69">
        <v>0.32100000000000001</v>
      </c>
      <c r="BB1208" s="69"/>
    </row>
    <row r="1209" spans="1:54" customFormat="1" ht="40" customHeight="1">
      <c r="A1209" s="313">
        <v>1208</v>
      </c>
      <c r="B1209" s="136" t="s">
        <v>3243</v>
      </c>
      <c r="C1209" s="136" t="s">
        <v>59</v>
      </c>
      <c r="D1209" s="31"/>
      <c r="E1209" s="137" t="s">
        <v>46</v>
      </c>
      <c r="F1209" s="31"/>
      <c r="G1209" s="137" t="s">
        <v>3259</v>
      </c>
      <c r="H1209" s="138">
        <v>90</v>
      </c>
      <c r="I1209" s="158"/>
      <c r="J1209" s="95"/>
      <c r="K1209" s="137">
        <v>0.62203552699077302</v>
      </c>
      <c r="L1209" s="137">
        <v>0.308814210796309</v>
      </c>
      <c r="M1209" s="137">
        <v>0.1</v>
      </c>
      <c r="N1209" s="136" t="s">
        <v>3260</v>
      </c>
      <c r="O1209" s="32" t="s">
        <v>3261</v>
      </c>
      <c r="P1209" s="98">
        <f t="shared" si="87"/>
        <v>1</v>
      </c>
      <c r="Q1209">
        <v>2</v>
      </c>
      <c r="R1209">
        <v>0</v>
      </c>
      <c r="S1209">
        <v>0</v>
      </c>
      <c r="T1209" t="s">
        <v>5088</v>
      </c>
      <c r="U1209" t="s">
        <v>3262</v>
      </c>
      <c r="V1209" s="1" t="s">
        <v>3263</v>
      </c>
      <c r="W1209" s="319">
        <v>1090</v>
      </c>
      <c r="X1209" s="319">
        <v>7</v>
      </c>
      <c r="Y1209" s="319">
        <v>18</v>
      </c>
      <c r="Z1209" s="314"/>
      <c r="AA1209" s="319">
        <v>0.5</v>
      </c>
      <c r="AB1209" s="315" t="s">
        <v>5178</v>
      </c>
      <c r="AC1209" s="319">
        <v>4</v>
      </c>
      <c r="AD1209" s="320">
        <v>6.3795853269537402E-3</v>
      </c>
      <c r="AE1209" s="319">
        <v>4</v>
      </c>
      <c r="AF1209" s="320">
        <v>6.3795853269537402E-3</v>
      </c>
      <c r="AG1209" s="319">
        <v>2</v>
      </c>
      <c r="AH1209" s="320">
        <v>3.1897926634768701E-3</v>
      </c>
      <c r="AI1209" s="319">
        <v>1</v>
      </c>
      <c r="AJ1209" s="320">
        <v>1.5948963317384301E-3</v>
      </c>
      <c r="AK1209" s="320">
        <v>0</v>
      </c>
      <c r="AL1209" s="319"/>
      <c r="AM1209" s="319"/>
      <c r="AN1209" s="319"/>
      <c r="AO1209" s="319"/>
      <c r="AP1209">
        <v>18</v>
      </c>
      <c r="AQ1209">
        <v>18</v>
      </c>
      <c r="AR1209" s="136"/>
      <c r="AT1209" s="69">
        <v>2.3148</v>
      </c>
      <c r="AU1209" s="69">
        <v>5</v>
      </c>
      <c r="AV1209" s="69">
        <v>2.3148</v>
      </c>
      <c r="AW1209" s="69">
        <v>0.32100000000000001</v>
      </c>
      <c r="BB1209" s="69"/>
    </row>
    <row r="1210" spans="1:54" customFormat="1" ht="40" customHeight="1">
      <c r="A1210" s="313">
        <v>1209</v>
      </c>
      <c r="B1210" s="136" t="s">
        <v>1</v>
      </c>
      <c r="C1210" s="136" t="s">
        <v>45</v>
      </c>
      <c r="D1210" s="31"/>
      <c r="E1210" s="137" t="s">
        <v>46</v>
      </c>
      <c r="F1210" s="31"/>
      <c r="G1210" s="137" t="s">
        <v>3264</v>
      </c>
      <c r="H1210" s="138">
        <v>58</v>
      </c>
      <c r="I1210" s="158"/>
      <c r="J1210" s="95"/>
      <c r="K1210" s="137">
        <v>0.50512834069460699</v>
      </c>
      <c r="L1210" s="137">
        <v>0.20220006140844299</v>
      </c>
      <c r="M1210" s="137">
        <v>2.4787521766663601E-4</v>
      </c>
      <c r="N1210" s="136" t="s">
        <v>3265</v>
      </c>
      <c r="O1210" s="32" t="s">
        <v>3266</v>
      </c>
      <c r="P1210" s="98">
        <f t="shared" si="87"/>
        <v>1</v>
      </c>
      <c r="Q1210">
        <v>0</v>
      </c>
      <c r="R1210">
        <v>5</v>
      </c>
      <c r="S1210">
        <v>5</v>
      </c>
      <c r="T1210" t="s">
        <v>73</v>
      </c>
      <c r="U1210" s="321" t="s">
        <v>5155</v>
      </c>
      <c r="V1210" t="s">
        <v>3267</v>
      </c>
      <c r="W1210" s="319">
        <v>248</v>
      </c>
      <c r="X1210" s="319">
        <v>12</v>
      </c>
      <c r="Y1210" s="319">
        <v>2</v>
      </c>
      <c r="Z1210" s="314"/>
      <c r="AA1210" s="319">
        <v>1.3633136971665E-3</v>
      </c>
      <c r="AB1210" s="315" t="s">
        <v>5165</v>
      </c>
      <c r="AC1210" s="319">
        <v>1</v>
      </c>
      <c r="AD1210" s="320">
        <v>6.8965517241379301E-3</v>
      </c>
      <c r="AE1210" s="319">
        <v>0</v>
      </c>
      <c r="AF1210" s="320">
        <v>0</v>
      </c>
      <c r="AG1210" s="319">
        <v>0</v>
      </c>
      <c r="AH1210" s="320">
        <v>0</v>
      </c>
      <c r="AI1210" s="319">
        <v>0</v>
      </c>
      <c r="AJ1210" s="320">
        <v>0</v>
      </c>
      <c r="AK1210" s="320">
        <v>1.379310344827586E-2</v>
      </c>
      <c r="AL1210" s="319"/>
      <c r="AM1210" s="319"/>
      <c r="AN1210" s="319"/>
      <c r="AO1210" s="319"/>
      <c r="AP1210">
        <v>2</v>
      </c>
      <c r="AR1210" s="136"/>
      <c r="AT1210" s="69">
        <v>2.3148</v>
      </c>
      <c r="AU1210" s="69">
        <v>2.3148</v>
      </c>
      <c r="AV1210" s="69">
        <v>5.7443999999999997</v>
      </c>
      <c r="AW1210" s="69">
        <v>0.3458</v>
      </c>
      <c r="BB1210" s="69"/>
    </row>
    <row r="1211" spans="1:54" customFormat="1" ht="40" customHeight="1">
      <c r="A1211" s="313">
        <v>1210</v>
      </c>
      <c r="B1211" s="136" t="s">
        <v>589</v>
      </c>
      <c r="C1211" s="136" t="s">
        <v>45</v>
      </c>
      <c r="D1211" s="31"/>
      <c r="E1211" s="137" t="s">
        <v>46</v>
      </c>
      <c r="F1211" s="31"/>
      <c r="G1211" s="137" t="s">
        <v>1166</v>
      </c>
      <c r="H1211" s="138">
        <v>172</v>
      </c>
      <c r="I1211" s="158"/>
      <c r="J1211" s="95"/>
      <c r="K1211" s="137">
        <v>0.48492124636228701</v>
      </c>
      <c r="L1211" s="137">
        <v>0.202088615539112</v>
      </c>
      <c r="M1211" s="137">
        <v>1.35335283236613E-2</v>
      </c>
      <c r="N1211" s="136" t="s">
        <v>3268</v>
      </c>
      <c r="O1211" s="32" t="s">
        <v>3269</v>
      </c>
      <c r="P1211" s="98">
        <f t="shared" si="87"/>
        <v>1</v>
      </c>
      <c r="Q1211">
        <v>1</v>
      </c>
      <c r="R1211">
        <v>3</v>
      </c>
      <c r="S1211">
        <v>2</v>
      </c>
      <c r="T1211" t="s">
        <v>5132</v>
      </c>
      <c r="U1211" t="s">
        <v>1167</v>
      </c>
      <c r="V1211" t="s">
        <v>3270</v>
      </c>
      <c r="W1211" s="319">
        <v>135</v>
      </c>
      <c r="X1211" s="319">
        <v>13</v>
      </c>
      <c r="Y1211" s="319">
        <v>2</v>
      </c>
      <c r="Z1211" s="314"/>
      <c r="AA1211" s="319">
        <v>0.5</v>
      </c>
      <c r="AB1211" s="315" t="s">
        <v>5176</v>
      </c>
      <c r="AC1211" s="319">
        <v>1</v>
      </c>
      <c r="AD1211" s="320">
        <v>1.2987012987012899E-2</v>
      </c>
      <c r="AE1211" s="319">
        <v>4</v>
      </c>
      <c r="AF1211" s="320">
        <v>5.1948051948051903E-2</v>
      </c>
      <c r="AG1211" s="319">
        <v>0</v>
      </c>
      <c r="AH1211" s="320">
        <v>0</v>
      </c>
      <c r="AI1211" s="319">
        <v>0</v>
      </c>
      <c r="AJ1211" s="320">
        <v>0</v>
      </c>
      <c r="AK1211" s="320">
        <v>1.298701298701299E-2</v>
      </c>
      <c r="AL1211" s="319"/>
      <c r="AM1211" s="319"/>
      <c r="AN1211" s="319"/>
      <c r="AO1211" s="319"/>
      <c r="AP1211">
        <v>2</v>
      </c>
      <c r="AR1211" s="136"/>
      <c r="AT1211" s="69">
        <v>2.3148</v>
      </c>
      <c r="AU1211" s="69">
        <v>2.3148</v>
      </c>
      <c r="AV1211" s="69">
        <v>9.9641999999999999</v>
      </c>
      <c r="AW1211" s="69">
        <v>0.48649999999999999</v>
      </c>
      <c r="BB1211" s="69"/>
    </row>
    <row r="1212" spans="1:54" customFormat="1" ht="40" customHeight="1">
      <c r="A1212" s="313">
        <v>1211</v>
      </c>
      <c r="B1212" s="136" t="s">
        <v>3243</v>
      </c>
      <c r="C1212" s="136" t="s">
        <v>45</v>
      </c>
      <c r="D1212" s="31"/>
      <c r="E1212" s="137" t="s">
        <v>46</v>
      </c>
      <c r="F1212" s="31"/>
      <c r="G1212" s="137" t="s">
        <v>3271</v>
      </c>
      <c r="H1212" s="138">
        <v>237</v>
      </c>
      <c r="I1212" s="158"/>
      <c r="J1212" s="95"/>
      <c r="K1212" s="137">
        <v>0.68056171750003003</v>
      </c>
      <c r="L1212" s="137">
        <v>0.33222468700001201</v>
      </c>
      <c r="M1212" s="137">
        <v>0.1</v>
      </c>
      <c r="N1212" s="136" t="s">
        <v>3272</v>
      </c>
      <c r="O1212" s="32" t="s">
        <v>3269</v>
      </c>
      <c r="P1212" s="98">
        <f t="shared" si="87"/>
        <v>1</v>
      </c>
      <c r="Q1212">
        <v>0</v>
      </c>
      <c r="R1212">
        <v>6</v>
      </c>
      <c r="S1212">
        <v>0</v>
      </c>
      <c r="T1212" t="s">
        <v>73</v>
      </c>
      <c r="U1212" s="1" t="s">
        <v>3273</v>
      </c>
      <c r="V1212" t="s">
        <v>3274</v>
      </c>
      <c r="W1212" s="319">
        <v>14</v>
      </c>
      <c r="X1212" s="319">
        <v>5</v>
      </c>
      <c r="Y1212" s="319">
        <v>1</v>
      </c>
      <c r="Z1212" s="314"/>
      <c r="AA1212" s="319">
        <v>0.5</v>
      </c>
      <c r="AB1212" s="315" t="s">
        <v>5165</v>
      </c>
      <c r="AC1212" s="319">
        <v>1</v>
      </c>
      <c r="AD1212" s="320">
        <v>0.16666666666666599</v>
      </c>
      <c r="AE1212" s="319">
        <v>0</v>
      </c>
      <c r="AF1212" s="320">
        <v>0</v>
      </c>
      <c r="AG1212" s="319">
        <v>0</v>
      </c>
      <c r="AH1212" s="320">
        <v>0</v>
      </c>
      <c r="AI1212" s="319">
        <v>0</v>
      </c>
      <c r="AJ1212" s="320">
        <v>0</v>
      </c>
      <c r="AK1212" s="320">
        <v>0</v>
      </c>
      <c r="AL1212" s="319"/>
      <c r="AM1212" s="319"/>
      <c r="AN1212" s="319"/>
      <c r="AO1212" s="319"/>
      <c r="AP1212">
        <v>1</v>
      </c>
      <c r="AQ1212">
        <v>1</v>
      </c>
      <c r="AR1212" s="136"/>
      <c r="AT1212" s="69">
        <v>2.3148</v>
      </c>
      <c r="AU1212" s="69">
        <v>2.3148</v>
      </c>
      <c r="AV1212" s="69">
        <v>8.1305999999999994</v>
      </c>
      <c r="AW1212" s="69">
        <v>0.42530000000000001</v>
      </c>
      <c r="BB1212" s="69"/>
    </row>
    <row r="1213" spans="1:54" customFormat="1" ht="40" customHeight="1">
      <c r="A1213" s="313">
        <v>1212</v>
      </c>
      <c r="B1213" s="136" t="s">
        <v>3243</v>
      </c>
      <c r="C1213" s="136" t="s">
        <v>45</v>
      </c>
      <c r="D1213" s="31"/>
      <c r="E1213" s="137" t="s">
        <v>46</v>
      </c>
      <c r="F1213" s="31"/>
      <c r="G1213" s="137" t="s">
        <v>3275</v>
      </c>
      <c r="H1213" s="138">
        <v>147</v>
      </c>
      <c r="I1213" s="158"/>
      <c r="J1213" s="95"/>
      <c r="K1213" s="137">
        <v>0.526196458520657</v>
      </c>
      <c r="L1213" s="137">
        <v>0.27047858340826297</v>
      </c>
      <c r="M1213" s="137">
        <v>0.1</v>
      </c>
      <c r="N1213" s="136" t="s">
        <v>3276</v>
      </c>
      <c r="O1213" s="32" t="s">
        <v>3277</v>
      </c>
      <c r="P1213" s="98">
        <f t="shared" si="87"/>
        <v>1</v>
      </c>
      <c r="Q1213">
        <v>1</v>
      </c>
      <c r="R1213">
        <v>0</v>
      </c>
      <c r="S1213">
        <v>0</v>
      </c>
      <c r="T1213" t="s">
        <v>5088</v>
      </c>
      <c r="U1213" t="s">
        <v>3278</v>
      </c>
      <c r="V1213" t="s">
        <v>3279</v>
      </c>
      <c r="W1213" s="319">
        <v>180</v>
      </c>
      <c r="X1213" s="319">
        <v>11</v>
      </c>
      <c r="Y1213" s="319">
        <v>1</v>
      </c>
      <c r="Z1213" s="314"/>
      <c r="AA1213" s="319">
        <v>0.5</v>
      </c>
      <c r="AB1213" s="315" t="s">
        <v>5168</v>
      </c>
      <c r="AC1213" s="319">
        <v>0</v>
      </c>
      <c r="AD1213" s="320">
        <v>0</v>
      </c>
      <c r="AE1213" s="319">
        <v>2</v>
      </c>
      <c r="AF1213" s="320">
        <v>1.8018018018018001E-2</v>
      </c>
      <c r="AG1213" s="319">
        <v>3</v>
      </c>
      <c r="AH1213" s="320">
        <v>2.7027027027027001E-2</v>
      </c>
      <c r="AI1213" s="319">
        <v>0</v>
      </c>
      <c r="AJ1213" s="320">
        <v>0</v>
      </c>
      <c r="AK1213" s="320">
        <v>0</v>
      </c>
      <c r="AL1213" s="319"/>
      <c r="AM1213" s="319"/>
      <c r="AN1213" s="319"/>
      <c r="AO1213" s="319"/>
      <c r="AP1213">
        <v>1</v>
      </c>
      <c r="AR1213" s="136">
        <v>1</v>
      </c>
      <c r="AT1213" s="69">
        <v>2.3148</v>
      </c>
      <c r="AU1213" s="69">
        <v>2.3148</v>
      </c>
      <c r="AV1213" s="69">
        <v>8.1305999999999994</v>
      </c>
      <c r="AW1213" s="69">
        <v>0.42530000000000001</v>
      </c>
      <c r="BB1213" s="69"/>
    </row>
    <row r="1214" spans="1:54" customFormat="1" ht="40" customHeight="1">
      <c r="A1214" s="313">
        <v>1213</v>
      </c>
      <c r="B1214" s="136" t="s">
        <v>3243</v>
      </c>
      <c r="C1214" s="136" t="s">
        <v>45</v>
      </c>
      <c r="D1214" s="31"/>
      <c r="E1214" s="137" t="s">
        <v>46</v>
      </c>
      <c r="F1214" s="31"/>
      <c r="G1214" s="137" t="s">
        <v>3280</v>
      </c>
      <c r="H1214" s="138">
        <v>344</v>
      </c>
      <c r="I1214" s="158"/>
      <c r="J1214" s="95"/>
      <c r="K1214" s="137">
        <v>9.6492097094748694E-2</v>
      </c>
      <c r="L1214" s="137">
        <v>9.8596838837899506E-2</v>
      </c>
      <c r="M1214" s="137">
        <v>0.1</v>
      </c>
      <c r="N1214" s="136" t="s">
        <v>3276</v>
      </c>
      <c r="O1214" s="32" t="s">
        <v>3281</v>
      </c>
      <c r="P1214" s="98">
        <f t="shared" si="87"/>
        <v>1</v>
      </c>
      <c r="Q1214">
        <v>0</v>
      </c>
      <c r="R1214">
        <v>6</v>
      </c>
      <c r="S1214">
        <v>0</v>
      </c>
      <c r="T1214" t="s">
        <v>73</v>
      </c>
      <c r="U1214" t="s">
        <v>3282</v>
      </c>
      <c r="V1214" s="1" t="s">
        <v>3283</v>
      </c>
      <c r="W1214" s="319">
        <v>792</v>
      </c>
      <c r="X1214" s="319">
        <v>40</v>
      </c>
      <c r="Y1214" s="319">
        <v>11</v>
      </c>
      <c r="Z1214" s="314"/>
      <c r="AA1214" s="319">
        <v>0.5</v>
      </c>
      <c r="AB1214" s="315" t="s">
        <v>5176</v>
      </c>
      <c r="AC1214" s="319">
        <v>2</v>
      </c>
      <c r="AD1214" s="320">
        <v>4.6189376443417996E-3</v>
      </c>
      <c r="AE1214" s="319">
        <v>6</v>
      </c>
      <c r="AF1214" s="320">
        <v>1.38568129330254E-2</v>
      </c>
      <c r="AG1214" s="319">
        <v>2</v>
      </c>
      <c r="AH1214" s="320">
        <v>4.6189376443417996E-3</v>
      </c>
      <c r="AI1214" s="319">
        <v>1</v>
      </c>
      <c r="AJ1214" s="320">
        <v>2.3094688221708998E-3</v>
      </c>
      <c r="AK1214" s="320">
        <v>2.3094688221709011E-3</v>
      </c>
      <c r="AL1214" s="319"/>
      <c r="AM1214" s="319"/>
      <c r="AN1214" s="319"/>
      <c r="AO1214" s="319"/>
      <c r="AP1214">
        <v>11</v>
      </c>
      <c r="AR1214" s="136"/>
      <c r="AT1214" s="69">
        <v>2.3148</v>
      </c>
      <c r="AU1214" s="69">
        <v>2.3148</v>
      </c>
      <c r="AV1214" s="69">
        <v>2.3148</v>
      </c>
      <c r="AW1214" s="69">
        <v>0.23150000000000001</v>
      </c>
      <c r="BB1214" s="69"/>
    </row>
    <row r="1215" spans="1:54" customFormat="1" ht="40" customHeight="1">
      <c r="A1215" s="313">
        <v>1214</v>
      </c>
      <c r="B1215" s="136" t="s">
        <v>170</v>
      </c>
      <c r="C1215" s="136" t="s">
        <v>45</v>
      </c>
      <c r="D1215" s="31"/>
      <c r="E1215" s="137" t="s">
        <v>46</v>
      </c>
      <c r="F1215" s="31"/>
      <c r="G1215" s="137" t="s">
        <v>211</v>
      </c>
      <c r="H1215" s="138">
        <v>458</v>
      </c>
      <c r="I1215" s="158"/>
      <c r="J1215" s="95"/>
      <c r="K1215" s="137">
        <v>0.57142857142857095</v>
      </c>
      <c r="L1215" s="137">
        <v>0.28857142857142898</v>
      </c>
      <c r="M1215" s="137">
        <v>0.1</v>
      </c>
      <c r="N1215" s="136" t="s">
        <v>3276</v>
      </c>
      <c r="O1215" s="32" t="s">
        <v>3281</v>
      </c>
      <c r="P1215" s="98">
        <f t="shared" ref="P1215:P1278" si="88">IF(T1215="利己",0,IF(T1215="生态",2,IF(T1215="无",3,1)))</f>
        <v>1</v>
      </c>
      <c r="Q1215">
        <v>0</v>
      </c>
      <c r="R1215">
        <v>6</v>
      </c>
      <c r="S1215">
        <v>0</v>
      </c>
      <c r="T1215" t="s">
        <v>73</v>
      </c>
      <c r="U1215" s="1" t="s">
        <v>212</v>
      </c>
      <c r="V1215" t="s">
        <v>3284</v>
      </c>
      <c r="W1215" s="319">
        <v>101</v>
      </c>
      <c r="X1215" s="319">
        <v>9</v>
      </c>
      <c r="Y1215" s="319">
        <v>2</v>
      </c>
      <c r="Z1215" s="314"/>
      <c r="AA1215" s="319">
        <v>0.45454545454545398</v>
      </c>
      <c r="AB1215" s="315" t="s">
        <v>5165</v>
      </c>
      <c r="AC1215" s="319">
        <v>4</v>
      </c>
      <c r="AD1215" s="320">
        <v>7.2727272727272696E-2</v>
      </c>
      <c r="AE1215" s="319">
        <v>0</v>
      </c>
      <c r="AF1215" s="320">
        <v>0</v>
      </c>
      <c r="AG1215" s="319">
        <v>0</v>
      </c>
      <c r="AH1215" s="320">
        <v>0</v>
      </c>
      <c r="AI1215" s="319">
        <v>0</v>
      </c>
      <c r="AJ1215" s="320">
        <v>0</v>
      </c>
      <c r="AK1215" s="320">
        <v>0</v>
      </c>
      <c r="AL1215" s="319"/>
      <c r="AM1215" s="319"/>
      <c r="AN1215" s="319"/>
      <c r="AO1215" s="319"/>
      <c r="AP1215">
        <v>2</v>
      </c>
      <c r="AR1215" s="136"/>
      <c r="AT1215" s="69">
        <v>2.3148</v>
      </c>
      <c r="AU1215" s="69">
        <v>2.3148</v>
      </c>
      <c r="AV1215" s="69">
        <v>8.1305999999999994</v>
      </c>
      <c r="AW1215" s="69">
        <v>0.42530000000000001</v>
      </c>
      <c r="BB1215" s="69"/>
    </row>
    <row r="1216" spans="1:54" customFormat="1" ht="40" customHeight="1">
      <c r="A1216" s="313">
        <v>1215</v>
      </c>
      <c r="B1216" s="136" t="s">
        <v>3243</v>
      </c>
      <c r="C1216" s="136" t="s">
        <v>45</v>
      </c>
      <c r="D1216" s="31"/>
      <c r="E1216" s="137" t="s">
        <v>46</v>
      </c>
      <c r="F1216" s="31"/>
      <c r="G1216" s="137" t="s">
        <v>3285</v>
      </c>
      <c r="H1216" s="138">
        <v>136</v>
      </c>
      <c r="I1216" s="158"/>
      <c r="J1216" s="95"/>
      <c r="K1216" s="137">
        <v>0.32994060573951001</v>
      </c>
      <c r="L1216" s="137">
        <v>0.29507315200334699</v>
      </c>
      <c r="M1216" s="137">
        <v>0.27182818284590399</v>
      </c>
      <c r="N1216" s="136" t="s">
        <v>3286</v>
      </c>
      <c r="O1216" s="32" t="s">
        <v>3281</v>
      </c>
      <c r="P1216" s="98">
        <f t="shared" si="88"/>
        <v>1</v>
      </c>
      <c r="Q1216">
        <v>2</v>
      </c>
      <c r="R1216">
        <v>2</v>
      </c>
      <c r="S1216">
        <v>1</v>
      </c>
      <c r="T1216" t="s">
        <v>73</v>
      </c>
      <c r="U1216" t="s">
        <v>3287</v>
      </c>
      <c r="V1216" t="s">
        <v>3288</v>
      </c>
      <c r="W1216" s="319">
        <v>348</v>
      </c>
      <c r="X1216" s="319">
        <v>22</v>
      </c>
      <c r="Y1216" s="319">
        <v>7</v>
      </c>
      <c r="Z1216" s="314"/>
      <c r="AA1216" s="319">
        <v>0.55000000000000004</v>
      </c>
      <c r="AB1216" s="315" t="s">
        <v>5165</v>
      </c>
      <c r="AC1216" s="319">
        <v>4</v>
      </c>
      <c r="AD1216" s="320">
        <v>2.02020202020202E-2</v>
      </c>
      <c r="AE1216" s="319">
        <v>2</v>
      </c>
      <c r="AF1216" s="320">
        <v>1.01010101010101E-2</v>
      </c>
      <c r="AG1216" s="319">
        <v>1</v>
      </c>
      <c r="AH1216" s="320">
        <v>5.0505050505050501E-3</v>
      </c>
      <c r="AI1216" s="319">
        <v>1</v>
      </c>
      <c r="AJ1216" s="320">
        <v>5.0505050505050501E-3</v>
      </c>
      <c r="AK1216" s="320">
        <v>0</v>
      </c>
      <c r="AL1216" s="319"/>
      <c r="AM1216" s="319"/>
      <c r="AN1216" s="319"/>
      <c r="AO1216" s="319"/>
      <c r="AP1216">
        <v>7</v>
      </c>
      <c r="AR1216" s="136"/>
      <c r="AT1216" s="69">
        <v>2.3148</v>
      </c>
      <c r="AU1216" s="69">
        <v>2.3148</v>
      </c>
      <c r="AV1216" s="69">
        <v>2.3148</v>
      </c>
      <c r="AW1216" s="69">
        <v>0.23150000000000001</v>
      </c>
      <c r="BB1216" s="69"/>
    </row>
    <row r="1217" spans="1:54" customFormat="1" ht="40" customHeight="1">
      <c r="A1217" s="313">
        <v>1216</v>
      </c>
      <c r="B1217" s="136" t="s">
        <v>2179</v>
      </c>
      <c r="C1217" s="136" t="s">
        <v>45</v>
      </c>
      <c r="D1217" s="31"/>
      <c r="E1217" s="137" t="s">
        <v>46</v>
      </c>
      <c r="F1217" s="31"/>
      <c r="G1217" s="137" t="s">
        <v>2247</v>
      </c>
      <c r="H1217" s="138">
        <v>465</v>
      </c>
      <c r="I1217" s="158"/>
      <c r="J1217" s="95"/>
      <c r="K1217" s="137">
        <v>0.28571428571428598</v>
      </c>
      <c r="L1217" s="137">
        <v>0.17428571428571399</v>
      </c>
      <c r="M1217" s="137">
        <v>0.1</v>
      </c>
      <c r="N1217" s="136" t="s">
        <v>3276</v>
      </c>
      <c r="O1217" s="32" t="s">
        <v>3289</v>
      </c>
      <c r="P1217" s="98">
        <f t="shared" si="88"/>
        <v>1</v>
      </c>
      <c r="Q1217">
        <v>0</v>
      </c>
      <c r="R1217">
        <v>6</v>
      </c>
      <c r="S1217">
        <v>0</v>
      </c>
      <c r="T1217" t="s">
        <v>73</v>
      </c>
      <c r="U1217" s="1" t="s">
        <v>2248</v>
      </c>
      <c r="V1217" s="1" t="s">
        <v>3290</v>
      </c>
      <c r="W1217" s="319">
        <v>1506</v>
      </c>
      <c r="X1217" s="319">
        <v>25</v>
      </c>
      <c r="Y1217" s="319">
        <v>18</v>
      </c>
      <c r="Z1217" s="314"/>
      <c r="AA1217" s="319">
        <v>0.45454545454545398</v>
      </c>
      <c r="AB1217" s="315" t="s">
        <v>5178</v>
      </c>
      <c r="AC1217" s="319">
        <v>4</v>
      </c>
      <c r="AD1217" s="320">
        <v>4.7675804529201402E-3</v>
      </c>
      <c r="AE1217" s="319">
        <v>4</v>
      </c>
      <c r="AF1217" s="320">
        <v>4.7675804529201402E-3</v>
      </c>
      <c r="AG1217" s="319">
        <v>3</v>
      </c>
      <c r="AH1217" s="320">
        <v>3.5756853396901002E-3</v>
      </c>
      <c r="AI1217" s="319">
        <v>0</v>
      </c>
      <c r="AJ1217" s="320">
        <v>0</v>
      </c>
      <c r="AK1217" s="320">
        <v>1.1918951132300359E-3</v>
      </c>
      <c r="AL1217" s="319"/>
      <c r="AM1217" s="319"/>
      <c r="AN1217" s="319"/>
      <c r="AO1217" s="319"/>
      <c r="AP1217">
        <v>18</v>
      </c>
      <c r="AR1217" s="136">
        <v>18</v>
      </c>
      <c r="AT1217" s="69">
        <v>2.3148</v>
      </c>
      <c r="AU1217" s="69">
        <v>2.3148</v>
      </c>
      <c r="AV1217" s="69">
        <v>2.3148</v>
      </c>
      <c r="AW1217" s="69">
        <v>0.23150000000000001</v>
      </c>
      <c r="BB1217" s="69"/>
    </row>
    <row r="1218" spans="1:54" customFormat="1" ht="40" customHeight="1">
      <c r="A1218" s="313">
        <v>1217</v>
      </c>
      <c r="B1218" s="136" t="s">
        <v>3243</v>
      </c>
      <c r="C1218" s="136" t="s">
        <v>45</v>
      </c>
      <c r="D1218" s="31"/>
      <c r="E1218" s="137" t="s">
        <v>848</v>
      </c>
      <c r="F1218" s="31"/>
      <c r="G1218" s="137" t="s">
        <v>1034</v>
      </c>
      <c r="H1218" s="138">
        <v>342</v>
      </c>
      <c r="I1218" s="158"/>
      <c r="J1218" s="95"/>
      <c r="K1218" s="137">
        <v>0.36112343500006</v>
      </c>
      <c r="L1218" s="137">
        <v>0.166522140470311</v>
      </c>
      <c r="M1218" s="137">
        <v>3.67879441171442E-2</v>
      </c>
      <c r="N1218" s="136" t="s">
        <v>3241</v>
      </c>
      <c r="O1218" s="32" t="s">
        <v>3291</v>
      </c>
      <c r="P1218" s="98">
        <f t="shared" si="88"/>
        <v>1</v>
      </c>
      <c r="Q1218">
        <v>0</v>
      </c>
      <c r="R1218">
        <v>6</v>
      </c>
      <c r="S1218">
        <v>0</v>
      </c>
      <c r="T1218" t="s">
        <v>73</v>
      </c>
      <c r="U1218" t="s">
        <v>3292</v>
      </c>
      <c r="V1218" t="s">
        <v>3293</v>
      </c>
      <c r="W1218" s="319">
        <v>421</v>
      </c>
      <c r="X1218" s="319">
        <v>20</v>
      </c>
      <c r="Y1218" s="319">
        <v>4</v>
      </c>
      <c r="Z1218" s="314"/>
      <c r="AA1218" s="319">
        <v>0.54500000000000004</v>
      </c>
      <c r="AB1218" s="315" t="s">
        <v>5178</v>
      </c>
      <c r="AC1218" s="319">
        <v>3</v>
      </c>
      <c r="AD1218" s="320">
        <v>1.28755364806866E-2</v>
      </c>
      <c r="AE1218" s="319">
        <v>3</v>
      </c>
      <c r="AF1218" s="320">
        <v>1.28755364806866E-2</v>
      </c>
      <c r="AG1218" s="319">
        <v>1</v>
      </c>
      <c r="AH1218" s="320">
        <v>4.29184549356223E-3</v>
      </c>
      <c r="AI1218" s="319">
        <v>0</v>
      </c>
      <c r="AJ1218" s="320">
        <v>0</v>
      </c>
      <c r="AK1218" s="320">
        <v>8.5836909871244635E-3</v>
      </c>
      <c r="AL1218" s="319"/>
      <c r="AM1218" s="319"/>
      <c r="AN1218" s="319"/>
      <c r="AO1218" s="319"/>
      <c r="AP1218">
        <v>4</v>
      </c>
      <c r="AR1218" s="136">
        <v>4</v>
      </c>
      <c r="AT1218" s="69">
        <v>2.3148</v>
      </c>
      <c r="AU1218" s="69">
        <v>5</v>
      </c>
      <c r="AV1218" s="69">
        <v>5.7443999999999997</v>
      </c>
      <c r="AW1218" s="69">
        <v>0.43530000000000002</v>
      </c>
      <c r="BB1218" s="69"/>
    </row>
    <row r="1219" spans="1:54" customFormat="1" ht="40" customHeight="1">
      <c r="A1219" s="313">
        <v>1218</v>
      </c>
      <c r="B1219" s="136" t="s">
        <v>217</v>
      </c>
      <c r="C1219" s="136" t="s">
        <v>119</v>
      </c>
      <c r="D1219" s="31"/>
      <c r="E1219" s="137" t="s">
        <v>46</v>
      </c>
      <c r="F1219" s="31"/>
      <c r="G1219" s="137" t="s">
        <v>483</v>
      </c>
      <c r="H1219" s="138">
        <v>17</v>
      </c>
      <c r="I1219" s="158"/>
      <c r="J1219" s="95"/>
      <c r="K1219" s="137">
        <v>0.62203552699077302</v>
      </c>
      <c r="L1219" s="137">
        <v>0.308814210796309</v>
      </c>
      <c r="M1219" s="137">
        <v>0.1</v>
      </c>
      <c r="N1219" s="136" t="s">
        <v>3272</v>
      </c>
      <c r="O1219" s="32" t="s">
        <v>3294</v>
      </c>
      <c r="P1219" s="98">
        <f t="shared" si="88"/>
        <v>0</v>
      </c>
      <c r="Q1219">
        <v>6</v>
      </c>
      <c r="R1219">
        <v>0</v>
      </c>
      <c r="S1219">
        <v>0</v>
      </c>
      <c r="T1219" t="s">
        <v>48</v>
      </c>
      <c r="U1219" t="s">
        <v>483</v>
      </c>
      <c r="V1219" t="s">
        <v>3295</v>
      </c>
      <c r="W1219" s="319">
        <v>92</v>
      </c>
      <c r="X1219" s="319">
        <v>7</v>
      </c>
      <c r="Y1219" s="319">
        <v>1</v>
      </c>
      <c r="Z1219" s="314"/>
      <c r="AA1219" s="319">
        <v>0.55000000000000004</v>
      </c>
      <c r="AB1219" s="315" t="s">
        <v>5165</v>
      </c>
      <c r="AC1219" s="319">
        <v>3</v>
      </c>
      <c r="AD1219" s="320">
        <v>6.1224489795918297E-2</v>
      </c>
      <c r="AE1219" s="319">
        <v>2</v>
      </c>
      <c r="AF1219" s="320">
        <v>4.08163265306122E-2</v>
      </c>
      <c r="AG1219" s="319">
        <v>2</v>
      </c>
      <c r="AH1219" s="320">
        <v>4.08163265306122E-2</v>
      </c>
      <c r="AI1219" s="319">
        <v>0</v>
      </c>
      <c r="AJ1219" s="320">
        <v>0</v>
      </c>
      <c r="AK1219" s="320">
        <v>0</v>
      </c>
      <c r="AL1219" s="319"/>
      <c r="AM1219" s="319"/>
      <c r="AN1219" s="319"/>
      <c r="AO1219" s="319"/>
      <c r="AP1219">
        <v>1</v>
      </c>
      <c r="AR1219" s="136">
        <v>1</v>
      </c>
      <c r="AT1219" s="69">
        <v>2.3148</v>
      </c>
      <c r="AU1219" s="69">
        <v>5</v>
      </c>
      <c r="AV1219" s="69">
        <v>2.3148</v>
      </c>
      <c r="AW1219" s="69">
        <v>0.32100000000000001</v>
      </c>
      <c r="BB1219" s="69"/>
    </row>
    <row r="1220" spans="1:54" customFormat="1" ht="40" customHeight="1">
      <c r="A1220" s="313">
        <v>1219</v>
      </c>
      <c r="B1220" s="136" t="s">
        <v>2752</v>
      </c>
      <c r="C1220" s="136" t="s">
        <v>45</v>
      </c>
      <c r="D1220" s="31"/>
      <c r="E1220" s="137" t="s">
        <v>80</v>
      </c>
      <c r="F1220" s="31"/>
      <c r="G1220" s="137" t="s">
        <v>2816</v>
      </c>
      <c r="H1220" s="138">
        <v>23</v>
      </c>
      <c r="I1220" s="158"/>
      <c r="J1220" s="95"/>
      <c r="K1220" s="137">
        <v>0.44671666482751199</v>
      </c>
      <c r="L1220" s="137">
        <v>0.20075943240129099</v>
      </c>
      <c r="M1220" s="137">
        <v>3.67879441171442E-2</v>
      </c>
      <c r="N1220" s="136" t="s">
        <v>3241</v>
      </c>
      <c r="O1220" s="32" t="s">
        <v>3296</v>
      </c>
      <c r="P1220" s="98">
        <f t="shared" si="88"/>
        <v>0</v>
      </c>
      <c r="Q1220">
        <v>6</v>
      </c>
      <c r="R1220">
        <v>0</v>
      </c>
      <c r="S1220">
        <v>0</v>
      </c>
      <c r="T1220" t="s">
        <v>48</v>
      </c>
      <c r="U1220" t="s">
        <v>2816</v>
      </c>
      <c r="V1220" s="1" t="s">
        <v>3297</v>
      </c>
      <c r="W1220" s="319">
        <v>521</v>
      </c>
      <c r="X1220" s="319">
        <v>15</v>
      </c>
      <c r="Y1220" s="319">
        <v>6</v>
      </c>
      <c r="Z1220" s="314"/>
      <c r="AA1220" s="319">
        <v>0.5</v>
      </c>
      <c r="AB1220" s="315" t="s">
        <v>5165</v>
      </c>
      <c r="AC1220" s="319">
        <v>3</v>
      </c>
      <c r="AD1220" s="320">
        <v>1.00334448160535E-2</v>
      </c>
      <c r="AE1220" s="319">
        <v>2</v>
      </c>
      <c r="AF1220" s="320">
        <v>6.6889632107023402E-3</v>
      </c>
      <c r="AG1220" s="319">
        <v>0</v>
      </c>
      <c r="AH1220" s="320">
        <v>0</v>
      </c>
      <c r="AI1220" s="319">
        <v>0</v>
      </c>
      <c r="AJ1220" s="320">
        <v>0</v>
      </c>
      <c r="AK1220" s="320">
        <v>3.3444816053511709E-3</v>
      </c>
      <c r="AL1220" s="319"/>
      <c r="AM1220" s="319"/>
      <c r="AN1220" s="319"/>
      <c r="AO1220" s="319"/>
      <c r="AP1220">
        <v>6</v>
      </c>
      <c r="AR1220" s="136">
        <v>6</v>
      </c>
      <c r="AT1220" s="69">
        <v>2.3148</v>
      </c>
      <c r="AU1220" s="69">
        <v>2.3148</v>
      </c>
      <c r="AV1220" s="69">
        <v>5.7443999999999997</v>
      </c>
      <c r="AW1220" s="69">
        <v>0.3458</v>
      </c>
      <c r="BB1220" s="69"/>
    </row>
    <row r="1221" spans="1:54" customFormat="1" ht="40" customHeight="1">
      <c r="A1221" s="313">
        <v>1220</v>
      </c>
      <c r="B1221" s="136" t="s">
        <v>3243</v>
      </c>
      <c r="C1221" s="136" t="s">
        <v>45</v>
      </c>
      <c r="D1221" s="31"/>
      <c r="E1221" s="137" t="s">
        <v>46</v>
      </c>
      <c r="F1221" s="31"/>
      <c r="G1221" s="137" t="s">
        <v>3298</v>
      </c>
      <c r="H1221" s="138">
        <v>48</v>
      </c>
      <c r="I1221" s="158"/>
      <c r="J1221" s="95"/>
      <c r="K1221" s="137">
        <v>0.65007289388811795</v>
      </c>
      <c r="L1221" s="137">
        <v>0.32002915755524702</v>
      </c>
      <c r="M1221" s="137">
        <v>0.1</v>
      </c>
      <c r="N1221" s="136" t="s">
        <v>3299</v>
      </c>
      <c r="O1221" s="32" t="s">
        <v>3300</v>
      </c>
      <c r="P1221" s="98">
        <f t="shared" si="88"/>
        <v>1</v>
      </c>
      <c r="Q1221">
        <v>0</v>
      </c>
      <c r="R1221">
        <v>0</v>
      </c>
      <c r="S1221">
        <v>0</v>
      </c>
      <c r="T1221" t="s">
        <v>73</v>
      </c>
      <c r="U1221" t="s">
        <v>3301</v>
      </c>
      <c r="V1221" t="s">
        <v>3302</v>
      </c>
      <c r="W1221" s="319">
        <v>100</v>
      </c>
      <c r="X1221" s="319">
        <v>6</v>
      </c>
      <c r="Y1221" s="319">
        <v>1</v>
      </c>
      <c r="Z1221" s="314"/>
      <c r="AA1221" s="319">
        <v>0.66549999999999998</v>
      </c>
      <c r="AB1221" s="315" t="s">
        <v>5165</v>
      </c>
      <c r="AC1221" s="319">
        <v>3</v>
      </c>
      <c r="AD1221" s="320">
        <v>5.5555555555555497E-2</v>
      </c>
      <c r="AE1221" s="319">
        <v>2</v>
      </c>
      <c r="AF1221" s="320">
        <v>3.7037037037037E-2</v>
      </c>
      <c r="AG1221" s="319">
        <v>2</v>
      </c>
      <c r="AH1221" s="320">
        <v>3.7037037037037E-2</v>
      </c>
      <c r="AI1221" s="319">
        <v>0</v>
      </c>
      <c r="AJ1221" s="320">
        <v>0</v>
      </c>
      <c r="AK1221" s="320">
        <v>0</v>
      </c>
      <c r="AL1221" s="319"/>
      <c r="AM1221" s="319"/>
      <c r="AN1221" s="319"/>
      <c r="AO1221" s="319"/>
      <c r="AP1221">
        <v>1</v>
      </c>
      <c r="AR1221" s="136">
        <v>1</v>
      </c>
      <c r="AT1221" s="69">
        <v>2.3148</v>
      </c>
      <c r="AU1221" s="69">
        <v>7.6852</v>
      </c>
      <c r="AV1221" s="69">
        <v>2.3148</v>
      </c>
      <c r="AW1221" s="69">
        <v>0.41049999999999998</v>
      </c>
      <c r="BB1221" s="69"/>
    </row>
    <row r="1222" spans="1:54" customFormat="1" ht="40" customHeight="1">
      <c r="A1222" s="313">
        <v>1221</v>
      </c>
      <c r="B1222" s="136" t="s">
        <v>3243</v>
      </c>
      <c r="C1222" s="136" t="s">
        <v>59</v>
      </c>
      <c r="D1222" s="31"/>
      <c r="E1222" s="137" t="s">
        <v>46</v>
      </c>
      <c r="F1222" s="31"/>
      <c r="G1222" s="137" t="s">
        <v>3303</v>
      </c>
      <c r="H1222" s="138">
        <v>127</v>
      </c>
      <c r="I1222" s="158"/>
      <c r="J1222" s="95"/>
      <c r="K1222" s="137">
        <v>0.54824604854737402</v>
      </c>
      <c r="L1222" s="137">
        <v>0.38239532912649199</v>
      </c>
      <c r="M1222" s="137">
        <v>0.27182818284590399</v>
      </c>
      <c r="N1222" s="136" t="s">
        <v>3304</v>
      </c>
      <c r="O1222" s="32" t="s">
        <v>3305</v>
      </c>
      <c r="P1222" s="98">
        <f t="shared" si="88"/>
        <v>1</v>
      </c>
      <c r="Q1222">
        <v>2</v>
      </c>
      <c r="R1222">
        <v>0</v>
      </c>
      <c r="S1222">
        <v>0</v>
      </c>
      <c r="T1222" t="s">
        <v>5088</v>
      </c>
      <c r="U1222" t="s">
        <v>3306</v>
      </c>
      <c r="V1222" s="1" t="s">
        <v>3307</v>
      </c>
      <c r="W1222" s="319">
        <v>171</v>
      </c>
      <c r="X1222" s="319">
        <v>10</v>
      </c>
      <c r="Y1222" s="319">
        <v>3</v>
      </c>
      <c r="Z1222" s="314"/>
      <c r="AA1222" s="319">
        <v>0.54500000000000004</v>
      </c>
      <c r="AB1222" s="315" t="s">
        <v>5165</v>
      </c>
      <c r="AC1222" s="319">
        <v>2</v>
      </c>
      <c r="AD1222" s="320">
        <v>0.02</v>
      </c>
      <c r="AE1222" s="319">
        <v>1</v>
      </c>
      <c r="AF1222" s="320">
        <v>0.01</v>
      </c>
      <c r="AG1222" s="319">
        <v>1</v>
      </c>
      <c r="AH1222" s="320">
        <v>0.01</v>
      </c>
      <c r="AI1222" s="319">
        <v>0</v>
      </c>
      <c r="AJ1222" s="320">
        <v>0</v>
      </c>
      <c r="AK1222" s="320">
        <v>0</v>
      </c>
      <c r="AL1222" s="319"/>
      <c r="AM1222" s="319"/>
      <c r="AN1222" s="319"/>
      <c r="AO1222" s="319"/>
      <c r="AP1222">
        <v>3</v>
      </c>
      <c r="AR1222" s="136">
        <v>3</v>
      </c>
      <c r="AT1222" s="69">
        <v>2.3148</v>
      </c>
      <c r="AU1222" s="69">
        <v>5</v>
      </c>
      <c r="AV1222" s="69">
        <v>8.5815000000000001</v>
      </c>
      <c r="AW1222" s="69">
        <v>0.52990000000000004</v>
      </c>
      <c r="BB1222" s="69"/>
    </row>
    <row r="1223" spans="1:54" customFormat="1" ht="40" customHeight="1">
      <c r="A1223" s="313">
        <v>1222</v>
      </c>
      <c r="B1223" s="136" t="s">
        <v>3243</v>
      </c>
      <c r="C1223" s="136" t="s">
        <v>45</v>
      </c>
      <c r="D1223" s="31"/>
      <c r="E1223" s="137" t="s">
        <v>46</v>
      </c>
      <c r="F1223" s="31"/>
      <c r="G1223" s="137" t="s">
        <v>3308</v>
      </c>
      <c r="H1223" s="138">
        <v>210</v>
      </c>
      <c r="I1223" s="158"/>
      <c r="J1223" s="95"/>
      <c r="K1223" s="137">
        <v>0.57142857142857095</v>
      </c>
      <c r="L1223" s="137">
        <v>0.28857142857142898</v>
      </c>
      <c r="M1223" s="137">
        <v>0.1</v>
      </c>
      <c r="N1223" s="136" t="s">
        <v>3272</v>
      </c>
      <c r="O1223" s="32" t="s">
        <v>3309</v>
      </c>
      <c r="P1223" s="98">
        <f t="shared" si="88"/>
        <v>1</v>
      </c>
      <c r="Q1223">
        <v>0</v>
      </c>
      <c r="R1223">
        <v>6</v>
      </c>
      <c r="S1223">
        <v>0</v>
      </c>
      <c r="T1223" t="s">
        <v>73</v>
      </c>
      <c r="U1223" s="1" t="s">
        <v>3310</v>
      </c>
      <c r="V1223" s="1" t="s">
        <v>3311</v>
      </c>
      <c r="W1223" s="319">
        <v>108</v>
      </c>
      <c r="X1223" s="319">
        <v>9</v>
      </c>
      <c r="Y1223" s="319">
        <v>1</v>
      </c>
      <c r="Z1223" s="314"/>
      <c r="AA1223" s="319">
        <v>0.5</v>
      </c>
      <c r="AB1223" s="315" t="s">
        <v>5178</v>
      </c>
      <c r="AC1223" s="319">
        <v>2</v>
      </c>
      <c r="AD1223" s="320">
        <v>3.1746031746031703E-2</v>
      </c>
      <c r="AE1223" s="319">
        <v>2</v>
      </c>
      <c r="AF1223" s="320">
        <v>3.1746031746031703E-2</v>
      </c>
      <c r="AG1223" s="319">
        <v>0</v>
      </c>
      <c r="AH1223" s="320">
        <v>0</v>
      </c>
      <c r="AI1223" s="319">
        <v>0</v>
      </c>
      <c r="AJ1223" s="320">
        <v>0</v>
      </c>
      <c r="AK1223" s="320">
        <v>1.5873015873015869E-2</v>
      </c>
      <c r="AL1223" s="319"/>
      <c r="AM1223" s="319"/>
      <c r="AN1223" s="319"/>
      <c r="AO1223" s="319"/>
      <c r="AP1223">
        <v>1</v>
      </c>
      <c r="AR1223" s="136">
        <v>1</v>
      </c>
      <c r="AT1223" s="69">
        <v>2.3148</v>
      </c>
      <c r="AU1223" s="69">
        <v>2.3148</v>
      </c>
      <c r="AV1223" s="69">
        <v>9.9641999999999999</v>
      </c>
      <c r="AW1223" s="69">
        <v>0.48649999999999999</v>
      </c>
      <c r="BB1223" s="69"/>
    </row>
    <row r="1224" spans="1:54" customFormat="1" ht="40" customHeight="1">
      <c r="A1224" s="313">
        <v>1223</v>
      </c>
      <c r="B1224" s="136" t="s">
        <v>2916</v>
      </c>
      <c r="C1224" s="136" t="s">
        <v>59</v>
      </c>
      <c r="D1224" s="31"/>
      <c r="E1224" s="137" t="s">
        <v>46</v>
      </c>
      <c r="F1224" s="31"/>
      <c r="G1224" s="137" t="s">
        <v>2929</v>
      </c>
      <c r="H1224" s="138">
        <v>276</v>
      </c>
      <c r="I1224" s="158"/>
      <c r="J1224" s="95"/>
      <c r="K1224" s="137">
        <v>0.85714285714285698</v>
      </c>
      <c r="L1224" s="137">
        <v>0.40285714285714302</v>
      </c>
      <c r="M1224" s="137">
        <v>0.1</v>
      </c>
      <c r="N1224" s="136" t="s">
        <v>3312</v>
      </c>
      <c r="O1224" s="32" t="s">
        <v>3309</v>
      </c>
      <c r="P1224" s="98">
        <f t="shared" si="88"/>
        <v>1</v>
      </c>
      <c r="Q1224">
        <v>0</v>
      </c>
      <c r="R1224">
        <v>6</v>
      </c>
      <c r="S1224">
        <v>0</v>
      </c>
      <c r="T1224" t="s">
        <v>73</v>
      </c>
      <c r="U1224" t="s">
        <v>2930</v>
      </c>
      <c r="V1224" s="1" t="s">
        <v>3313</v>
      </c>
      <c r="W1224" s="319">
        <v>219</v>
      </c>
      <c r="X1224" s="319">
        <v>1</v>
      </c>
      <c r="Y1224" s="319">
        <v>2</v>
      </c>
      <c r="Z1224" s="314"/>
      <c r="AA1224" s="319">
        <v>0.45454545454545398</v>
      </c>
      <c r="AB1224" s="315" t="s">
        <v>5165</v>
      </c>
      <c r="AC1224" s="319">
        <v>1</v>
      </c>
      <c r="AD1224" s="320">
        <v>7.63358778625954E-3</v>
      </c>
      <c r="AE1224" s="319">
        <v>0</v>
      </c>
      <c r="AF1224" s="320">
        <v>0</v>
      </c>
      <c r="AG1224" s="319">
        <v>0</v>
      </c>
      <c r="AH1224" s="320">
        <v>0</v>
      </c>
      <c r="AI1224" s="319">
        <v>0</v>
      </c>
      <c r="AJ1224" s="320">
        <v>0</v>
      </c>
      <c r="AK1224" s="320">
        <v>0</v>
      </c>
      <c r="AL1224" s="319"/>
      <c r="AM1224" s="319"/>
      <c r="AN1224" s="319"/>
      <c r="AO1224" s="319"/>
      <c r="AP1224">
        <v>2</v>
      </c>
      <c r="AR1224" s="136">
        <v>2</v>
      </c>
      <c r="AT1224" s="69">
        <v>2.3148</v>
      </c>
      <c r="AU1224" s="69">
        <v>2.3148</v>
      </c>
      <c r="AV1224" s="69">
        <v>2.3148</v>
      </c>
      <c r="AW1224" s="69">
        <v>0.23150000000000001</v>
      </c>
      <c r="BB1224" s="69"/>
    </row>
    <row r="1225" spans="1:54" customFormat="1" ht="40" customHeight="1">
      <c r="A1225" s="313">
        <v>1224</v>
      </c>
      <c r="B1225" s="136" t="s">
        <v>3243</v>
      </c>
      <c r="C1225" s="136" t="s">
        <v>45</v>
      </c>
      <c r="D1225" s="31"/>
      <c r="E1225" s="137" t="s">
        <v>46</v>
      </c>
      <c r="F1225" s="31"/>
      <c r="G1225" s="137" t="s">
        <v>3314</v>
      </c>
      <c r="H1225" s="138">
        <v>197</v>
      </c>
      <c r="I1225" s="158"/>
      <c r="J1225" s="95"/>
      <c r="K1225" s="137">
        <v>0.46547751617515098</v>
      </c>
      <c r="L1225" s="137">
        <v>0.24619100647006101</v>
      </c>
      <c r="M1225" s="137">
        <v>0.1</v>
      </c>
      <c r="N1225" s="136" t="s">
        <v>3315</v>
      </c>
      <c r="O1225" s="32" t="s">
        <v>3316</v>
      </c>
      <c r="P1225" s="98">
        <f t="shared" si="88"/>
        <v>1</v>
      </c>
      <c r="Q1225">
        <v>0</v>
      </c>
      <c r="R1225">
        <v>0</v>
      </c>
      <c r="S1225">
        <v>0</v>
      </c>
      <c r="T1225" t="s">
        <v>73</v>
      </c>
      <c r="U1225" s="324" t="s">
        <v>5149</v>
      </c>
      <c r="V1225" t="s">
        <v>3317</v>
      </c>
      <c r="W1225" s="319">
        <v>104</v>
      </c>
      <c r="X1225" s="319">
        <v>14</v>
      </c>
      <c r="Y1225" s="319">
        <v>2</v>
      </c>
      <c r="Z1225" s="314"/>
      <c r="AA1225" s="319">
        <v>0.38809166040571003</v>
      </c>
      <c r="AB1225" s="315" t="s">
        <v>5165</v>
      </c>
      <c r="AC1225" s="319">
        <v>2</v>
      </c>
      <c r="AD1225" s="320">
        <v>3.4482758620689599E-2</v>
      </c>
      <c r="AE1225" s="319">
        <v>0</v>
      </c>
      <c r="AF1225" s="320">
        <v>0</v>
      </c>
      <c r="AG1225" s="319">
        <v>0</v>
      </c>
      <c r="AH1225" s="320">
        <v>0</v>
      </c>
      <c r="AI1225" s="319">
        <v>0</v>
      </c>
      <c r="AJ1225" s="320">
        <v>0</v>
      </c>
      <c r="AK1225" s="320">
        <v>0</v>
      </c>
      <c r="AL1225" s="319"/>
      <c r="AM1225" s="319"/>
      <c r="AN1225" s="319"/>
      <c r="AO1225" s="319"/>
      <c r="AP1225">
        <v>2</v>
      </c>
      <c r="AR1225" s="136"/>
      <c r="AT1225" s="69">
        <v>2.3148</v>
      </c>
      <c r="AU1225" s="69">
        <v>2.3148</v>
      </c>
      <c r="AV1225" s="69">
        <v>5.7443999999999997</v>
      </c>
      <c r="AW1225" s="69">
        <v>0.3458</v>
      </c>
      <c r="BB1225" s="69"/>
    </row>
    <row r="1226" spans="1:54" customFormat="1" ht="40" customHeight="1">
      <c r="A1226" s="313">
        <v>1225</v>
      </c>
      <c r="B1226" s="136" t="s">
        <v>217</v>
      </c>
      <c r="C1226" s="136" t="s">
        <v>119</v>
      </c>
      <c r="D1226" s="31"/>
      <c r="E1226" s="137" t="s">
        <v>46</v>
      </c>
      <c r="F1226" s="31"/>
      <c r="G1226" s="137" t="s">
        <v>485</v>
      </c>
      <c r="H1226" s="138">
        <v>71</v>
      </c>
      <c r="I1226" s="158"/>
      <c r="J1226" s="95"/>
      <c r="K1226" s="137">
        <v>0.48492124636228701</v>
      </c>
      <c r="L1226" s="137">
        <v>0.25396849854491499</v>
      </c>
      <c r="M1226" s="137">
        <v>0.1</v>
      </c>
      <c r="N1226" s="136" t="s">
        <v>3241</v>
      </c>
      <c r="O1226" s="32" t="s">
        <v>3318</v>
      </c>
      <c r="P1226" s="98">
        <f t="shared" si="88"/>
        <v>2</v>
      </c>
      <c r="Q1226">
        <v>0</v>
      </c>
      <c r="R1226">
        <v>0</v>
      </c>
      <c r="S1226">
        <v>0</v>
      </c>
      <c r="T1226" t="s">
        <v>64</v>
      </c>
      <c r="U1226" t="s">
        <v>486</v>
      </c>
      <c r="V1226" t="s">
        <v>3319</v>
      </c>
      <c r="W1226" s="319">
        <v>74</v>
      </c>
      <c r="X1226" s="319">
        <v>13</v>
      </c>
      <c r="Y1226" s="319">
        <v>1</v>
      </c>
      <c r="Z1226" s="314"/>
      <c r="AA1226" s="319">
        <v>0.60499999999999998</v>
      </c>
      <c r="AB1226" s="315" t="s">
        <v>5179</v>
      </c>
      <c r="AC1226" s="319">
        <v>2</v>
      </c>
      <c r="AD1226" s="320">
        <v>5.1282051282051197E-2</v>
      </c>
      <c r="AE1226" s="319">
        <v>2</v>
      </c>
      <c r="AF1226" s="320">
        <v>5.1282051282051197E-2</v>
      </c>
      <c r="AG1226" s="319">
        <v>2</v>
      </c>
      <c r="AH1226" s="320">
        <v>5.1282051282051197E-2</v>
      </c>
      <c r="AI1226" s="319">
        <v>0</v>
      </c>
      <c r="AJ1226" s="320">
        <v>0</v>
      </c>
      <c r="AK1226" s="320">
        <v>0</v>
      </c>
      <c r="AL1226" s="319"/>
      <c r="AM1226" s="319"/>
      <c r="AN1226" s="319"/>
      <c r="AO1226" s="319"/>
      <c r="AP1226">
        <v>1</v>
      </c>
      <c r="AQ1226">
        <v>1</v>
      </c>
      <c r="AR1226" s="136"/>
      <c r="AT1226" s="69">
        <v>2.3148</v>
      </c>
      <c r="AU1226" s="69">
        <v>7.6852</v>
      </c>
      <c r="AV1226" s="69">
        <v>2.3148</v>
      </c>
      <c r="AW1226" s="69">
        <v>0.41049999999999998</v>
      </c>
      <c r="BB1226" s="69"/>
    </row>
    <row r="1227" spans="1:54" customFormat="1" ht="40" customHeight="1">
      <c r="A1227" s="313">
        <v>1226</v>
      </c>
      <c r="B1227" s="136" t="s">
        <v>3243</v>
      </c>
      <c r="C1227" s="136" t="s">
        <v>45</v>
      </c>
      <c r="D1227" s="31"/>
      <c r="E1227" s="137" t="s">
        <v>46</v>
      </c>
      <c r="F1227" s="31"/>
      <c r="G1227" s="137" t="s">
        <v>3320</v>
      </c>
      <c r="H1227" s="138">
        <v>41</v>
      </c>
      <c r="I1227" s="158"/>
      <c r="J1227" s="95"/>
      <c r="K1227" s="137">
        <v>0.42857142857142899</v>
      </c>
      <c r="L1227" s="137">
        <v>0.23142857142857201</v>
      </c>
      <c r="M1227" s="137">
        <v>0.1</v>
      </c>
      <c r="N1227" s="136" t="s">
        <v>3272</v>
      </c>
      <c r="O1227" s="32" t="s">
        <v>3321</v>
      </c>
      <c r="P1227" s="98">
        <f t="shared" si="88"/>
        <v>1</v>
      </c>
      <c r="Q1227">
        <v>0</v>
      </c>
      <c r="R1227">
        <v>0</v>
      </c>
      <c r="S1227">
        <v>0</v>
      </c>
      <c r="T1227" t="s">
        <v>73</v>
      </c>
      <c r="U1227" s="321" t="s">
        <v>5156</v>
      </c>
      <c r="V1227" t="s">
        <v>3322</v>
      </c>
      <c r="W1227" s="319">
        <v>107</v>
      </c>
      <c r="X1227" s="319">
        <v>16</v>
      </c>
      <c r="Y1227" s="319">
        <v>1</v>
      </c>
      <c r="Z1227" s="314"/>
      <c r="AA1227" s="319">
        <v>0.5</v>
      </c>
      <c r="AB1227" s="315" t="s">
        <v>5168</v>
      </c>
      <c r="AC1227" s="319">
        <v>0</v>
      </c>
      <c r="AD1227" s="320">
        <v>0</v>
      </c>
      <c r="AE1227" s="319">
        <v>0</v>
      </c>
      <c r="AF1227" s="320">
        <v>0</v>
      </c>
      <c r="AG1227" s="319">
        <v>2</v>
      </c>
      <c r="AH1227" s="320">
        <v>3.0769230769230702E-2</v>
      </c>
      <c r="AI1227" s="319">
        <v>0</v>
      </c>
      <c r="AJ1227" s="320">
        <v>0</v>
      </c>
      <c r="AK1227" s="320">
        <v>0</v>
      </c>
      <c r="AL1227" s="319"/>
      <c r="AM1227" s="319"/>
      <c r="AN1227" s="319"/>
      <c r="AO1227" s="319"/>
      <c r="AP1227">
        <v>1</v>
      </c>
      <c r="AR1227" s="136"/>
      <c r="AS1227">
        <v>1</v>
      </c>
      <c r="AT1227" s="69">
        <v>2.3148</v>
      </c>
      <c r="AU1227" s="69">
        <v>2.3148</v>
      </c>
      <c r="AV1227" s="69">
        <v>2.3148</v>
      </c>
      <c r="AW1227" s="69">
        <v>0.23150000000000001</v>
      </c>
      <c r="BB1227" s="69"/>
    </row>
    <row r="1228" spans="1:54" customFormat="1" ht="40" customHeight="1">
      <c r="A1228" s="313">
        <v>1227</v>
      </c>
      <c r="B1228" s="136" t="s">
        <v>3323</v>
      </c>
      <c r="C1228" s="136" t="s">
        <v>59</v>
      </c>
      <c r="D1228" s="31"/>
      <c r="E1228" s="137" t="s">
        <v>46</v>
      </c>
      <c r="F1228" s="31"/>
      <c r="G1228" s="137" t="s">
        <v>488</v>
      </c>
      <c r="H1228" s="138">
        <v>90</v>
      </c>
      <c r="I1228" s="158"/>
      <c r="J1228" s="95"/>
      <c r="K1228" s="137">
        <v>0.85714285714285698</v>
      </c>
      <c r="L1228" s="137">
        <v>0.36492990932743002</v>
      </c>
      <c r="M1228" s="137">
        <v>3.67879441171442E-2</v>
      </c>
      <c r="N1228" s="136" t="s">
        <v>3324</v>
      </c>
      <c r="O1228" s="32" t="s">
        <v>3325</v>
      </c>
      <c r="P1228" s="98">
        <f t="shared" si="88"/>
        <v>1</v>
      </c>
      <c r="Q1228">
        <v>2</v>
      </c>
      <c r="R1228">
        <v>3</v>
      </c>
      <c r="S1228">
        <v>0</v>
      </c>
      <c r="T1228" t="s">
        <v>5132</v>
      </c>
      <c r="U1228" t="s">
        <v>489</v>
      </c>
      <c r="V1228" t="s">
        <v>3326</v>
      </c>
      <c r="W1228" s="319">
        <v>73</v>
      </c>
      <c r="X1228" s="319">
        <v>1</v>
      </c>
      <c r="Y1228" s="319">
        <v>1</v>
      </c>
      <c r="Z1228" s="314"/>
      <c r="AA1228" s="319">
        <v>0.54500000000000004</v>
      </c>
      <c r="AB1228" s="315" t="s">
        <v>5179</v>
      </c>
      <c r="AC1228" s="319">
        <v>2</v>
      </c>
      <c r="AD1228" s="320">
        <v>5.2631578947368397E-2</v>
      </c>
      <c r="AE1228" s="319">
        <v>2</v>
      </c>
      <c r="AF1228" s="320">
        <v>5.2631578947368397E-2</v>
      </c>
      <c r="AG1228" s="319">
        <v>2</v>
      </c>
      <c r="AH1228" s="320">
        <v>5.2631578947368397E-2</v>
      </c>
      <c r="AI1228" s="319">
        <v>0</v>
      </c>
      <c r="AJ1228" s="320">
        <v>0</v>
      </c>
      <c r="AK1228" s="320">
        <v>0</v>
      </c>
      <c r="AL1228" s="319"/>
      <c r="AM1228" s="319"/>
      <c r="AN1228" s="319"/>
      <c r="AO1228" s="319"/>
      <c r="AP1228">
        <v>1</v>
      </c>
      <c r="AQ1228">
        <v>1</v>
      </c>
      <c r="AR1228" s="136"/>
      <c r="AT1228" s="69">
        <v>2.3148</v>
      </c>
      <c r="AU1228" s="69">
        <v>2.3148</v>
      </c>
      <c r="AV1228" s="69">
        <v>8.5815000000000001</v>
      </c>
      <c r="AW1228" s="69">
        <v>0.44040000000000001</v>
      </c>
      <c r="BB1228" s="69"/>
    </row>
    <row r="1229" spans="1:54" customFormat="1" ht="40" customHeight="1">
      <c r="A1229" s="313">
        <v>1228</v>
      </c>
      <c r="B1229" s="136" t="s">
        <v>2916</v>
      </c>
      <c r="C1229" s="136" t="s">
        <v>45</v>
      </c>
      <c r="D1229" s="31"/>
      <c r="E1229" s="137" t="s">
        <v>46</v>
      </c>
      <c r="F1229" s="31"/>
      <c r="G1229" s="137" t="s">
        <v>2932</v>
      </c>
      <c r="H1229" s="138">
        <v>194</v>
      </c>
      <c r="I1229" s="158"/>
      <c r="J1229" s="95"/>
      <c r="K1229" s="137">
        <v>0.68056171750003003</v>
      </c>
      <c r="L1229" s="137">
        <v>0.43532159670755499</v>
      </c>
      <c r="M1229" s="137">
        <v>0.27182818284590399</v>
      </c>
      <c r="N1229" s="136" t="s">
        <v>3327</v>
      </c>
      <c r="O1229" s="32" t="s">
        <v>3328</v>
      </c>
      <c r="P1229" s="98">
        <f t="shared" si="88"/>
        <v>1</v>
      </c>
      <c r="Q1229">
        <v>3</v>
      </c>
      <c r="R1229">
        <v>5</v>
      </c>
      <c r="S1229">
        <v>0</v>
      </c>
      <c r="T1229" t="s">
        <v>5132</v>
      </c>
      <c r="U1229" t="s">
        <v>2933</v>
      </c>
      <c r="V1229" s="1" t="s">
        <v>3329</v>
      </c>
      <c r="W1229" s="319">
        <v>222</v>
      </c>
      <c r="X1229" s="319">
        <v>5</v>
      </c>
      <c r="Y1229" s="319">
        <v>3</v>
      </c>
      <c r="Z1229" s="314"/>
      <c r="AA1229" s="319">
        <v>0.54500000000000004</v>
      </c>
      <c r="AB1229" s="315" t="s">
        <v>5165</v>
      </c>
      <c r="AC1229" s="319">
        <v>2</v>
      </c>
      <c r="AD1229" s="320">
        <v>1.5748031496062902E-2</v>
      </c>
      <c r="AE1229" s="319">
        <v>0</v>
      </c>
      <c r="AF1229" s="320">
        <v>0</v>
      </c>
      <c r="AG1229" s="319">
        <v>0</v>
      </c>
      <c r="AH1229" s="320">
        <v>0</v>
      </c>
      <c r="AI1229" s="319">
        <v>0</v>
      </c>
      <c r="AJ1229" s="320">
        <v>0</v>
      </c>
      <c r="AK1229" s="320">
        <v>0</v>
      </c>
      <c r="AL1229" s="319"/>
      <c r="AM1229" s="319"/>
      <c r="AN1229" s="319"/>
      <c r="AO1229" s="319"/>
      <c r="AP1229">
        <v>3</v>
      </c>
      <c r="AR1229" s="136"/>
      <c r="AT1229" s="69">
        <v>2.3148</v>
      </c>
      <c r="AU1229" s="69">
        <v>2.3148</v>
      </c>
      <c r="AV1229" s="69">
        <v>9.5120000000000005</v>
      </c>
      <c r="AW1229" s="69">
        <v>0.47139999999999999</v>
      </c>
      <c r="BB1229" s="69"/>
    </row>
    <row r="1230" spans="1:54" customFormat="1" ht="40" customHeight="1">
      <c r="A1230" s="313">
        <v>1229</v>
      </c>
      <c r="B1230" s="136" t="s">
        <v>3243</v>
      </c>
      <c r="C1230" s="136" t="s">
        <v>45</v>
      </c>
      <c r="D1230" s="31"/>
      <c r="E1230" s="137" t="s">
        <v>80</v>
      </c>
      <c r="F1230" s="31"/>
      <c r="G1230" s="137" t="s">
        <v>3330</v>
      </c>
      <c r="H1230" s="138">
        <v>74</v>
      </c>
      <c r="I1230" s="158"/>
      <c r="J1230" s="95"/>
      <c r="K1230" s="137">
        <v>0.59593898217911601</v>
      </c>
      <c r="L1230" s="137">
        <v>0.298375592871646</v>
      </c>
      <c r="M1230" s="137">
        <v>0.1</v>
      </c>
      <c r="N1230" s="136" t="s">
        <v>3241</v>
      </c>
      <c r="O1230" s="32" t="s">
        <v>3331</v>
      </c>
      <c r="P1230" s="98">
        <f t="shared" si="88"/>
        <v>1</v>
      </c>
      <c r="Q1230">
        <v>0</v>
      </c>
      <c r="R1230">
        <v>0</v>
      </c>
      <c r="S1230">
        <v>0</v>
      </c>
      <c r="T1230" t="s">
        <v>73</v>
      </c>
      <c r="U1230" s="321" t="s">
        <v>5157</v>
      </c>
      <c r="V1230" t="s">
        <v>3332</v>
      </c>
      <c r="W1230" s="319">
        <v>104</v>
      </c>
      <c r="X1230" s="319">
        <v>8</v>
      </c>
      <c r="Y1230" s="319">
        <v>1</v>
      </c>
      <c r="Z1230" s="314"/>
      <c r="AA1230" s="319">
        <v>0.66549999999999998</v>
      </c>
      <c r="AB1230" s="315" t="s">
        <v>5178</v>
      </c>
      <c r="AC1230" s="319">
        <v>2</v>
      </c>
      <c r="AD1230" s="320">
        <v>3.5714285714285698E-2</v>
      </c>
      <c r="AE1230" s="319">
        <v>2</v>
      </c>
      <c r="AF1230" s="320">
        <v>3.5714285714285698E-2</v>
      </c>
      <c r="AG1230" s="319">
        <v>0</v>
      </c>
      <c r="AH1230" s="320">
        <v>0</v>
      </c>
      <c r="AI1230" s="319">
        <v>0</v>
      </c>
      <c r="AJ1230" s="320">
        <v>0</v>
      </c>
      <c r="AK1230" s="320">
        <v>0</v>
      </c>
      <c r="AL1230" s="319"/>
      <c r="AM1230" s="319"/>
      <c r="AN1230" s="319"/>
      <c r="AO1230" s="319"/>
      <c r="AP1230">
        <v>1</v>
      </c>
      <c r="AR1230" s="136"/>
      <c r="AS1230">
        <v>1</v>
      </c>
      <c r="AT1230" s="69">
        <v>2.3148</v>
      </c>
      <c r="AU1230" s="69">
        <v>7.6852</v>
      </c>
      <c r="AV1230" s="69">
        <v>2.3148</v>
      </c>
      <c r="AW1230" s="69">
        <v>0.41049999999999998</v>
      </c>
      <c r="BB1230" s="69"/>
    </row>
    <row r="1231" spans="1:54" customFormat="1" ht="40" customHeight="1">
      <c r="A1231" s="313">
        <v>1230</v>
      </c>
      <c r="B1231" s="136" t="s">
        <v>3082</v>
      </c>
      <c r="C1231" s="136" t="s">
        <v>45</v>
      </c>
      <c r="D1231" s="31"/>
      <c r="E1231" s="137" t="s">
        <v>46</v>
      </c>
      <c r="F1231" s="31"/>
      <c r="G1231" s="137" t="s">
        <v>3114</v>
      </c>
      <c r="H1231" s="138">
        <v>475</v>
      </c>
      <c r="I1231" s="158"/>
      <c r="J1231" s="95"/>
      <c r="K1231" s="137">
        <v>0.85714285714285698</v>
      </c>
      <c r="L1231" s="137">
        <v>0.40285714285714302</v>
      </c>
      <c r="M1231" s="137">
        <v>0.1</v>
      </c>
      <c r="N1231" s="136" t="s">
        <v>3276</v>
      </c>
      <c r="O1231" s="32" t="s">
        <v>3333</v>
      </c>
      <c r="P1231" s="98">
        <f t="shared" si="88"/>
        <v>1</v>
      </c>
      <c r="Q1231">
        <v>0</v>
      </c>
      <c r="R1231">
        <v>6</v>
      </c>
      <c r="S1231">
        <v>0</v>
      </c>
      <c r="T1231" t="s">
        <v>73</v>
      </c>
      <c r="U1231" s="1" t="s">
        <v>3334</v>
      </c>
      <c r="V1231" s="1" t="s">
        <v>3335</v>
      </c>
      <c r="W1231" s="319">
        <v>119</v>
      </c>
      <c r="X1231" s="319">
        <v>1</v>
      </c>
      <c r="Y1231" s="319">
        <v>3</v>
      </c>
      <c r="Z1231" s="314"/>
      <c r="AA1231" s="319">
        <v>0.45454545454545398</v>
      </c>
      <c r="AB1231" s="315" t="s">
        <v>5176</v>
      </c>
      <c r="AC1231" s="319">
        <v>1</v>
      </c>
      <c r="AD1231" s="320">
        <v>1.4084507042253501E-2</v>
      </c>
      <c r="AE1231" s="319">
        <v>2</v>
      </c>
      <c r="AF1231" s="320">
        <v>2.8169014084507001E-2</v>
      </c>
      <c r="AG1231" s="319">
        <v>0</v>
      </c>
      <c r="AH1231" s="320">
        <v>0</v>
      </c>
      <c r="AI1231" s="319">
        <v>0</v>
      </c>
      <c r="AJ1231" s="320">
        <v>0</v>
      </c>
      <c r="AK1231" s="320">
        <v>0</v>
      </c>
      <c r="AL1231" s="319"/>
      <c r="AM1231" s="319"/>
      <c r="AN1231" s="319"/>
      <c r="AO1231" s="319"/>
      <c r="AP1231">
        <v>3</v>
      </c>
      <c r="AR1231" s="136">
        <v>3</v>
      </c>
      <c r="AT1231" s="69">
        <v>2.3148</v>
      </c>
      <c r="AU1231" s="69">
        <v>2.3148</v>
      </c>
      <c r="AV1231" s="69">
        <v>8.1305999999999994</v>
      </c>
      <c r="AW1231" s="69">
        <v>0.42530000000000001</v>
      </c>
      <c r="BB1231" s="69"/>
    </row>
    <row r="1232" spans="1:54" customFormat="1" ht="40" customHeight="1">
      <c r="A1232" s="313">
        <v>1231</v>
      </c>
      <c r="B1232" s="136" t="s">
        <v>3243</v>
      </c>
      <c r="C1232" s="136" t="s">
        <v>59</v>
      </c>
      <c r="D1232" s="31"/>
      <c r="E1232" s="137" t="s">
        <v>46</v>
      </c>
      <c r="F1232" s="31"/>
      <c r="G1232" s="137" t="s">
        <v>3336</v>
      </c>
      <c r="H1232" s="138">
        <v>94</v>
      </c>
      <c r="I1232" s="158"/>
      <c r="J1232" s="95"/>
      <c r="K1232" s="137">
        <v>0.71428571428571397</v>
      </c>
      <c r="L1232" s="137">
        <v>0.30778705218457197</v>
      </c>
      <c r="M1232" s="137">
        <v>3.67879441171442E-2</v>
      </c>
      <c r="N1232" s="136" t="s">
        <v>3337</v>
      </c>
      <c r="O1232" s="32" t="s">
        <v>3338</v>
      </c>
      <c r="P1232" s="98">
        <f t="shared" si="88"/>
        <v>1</v>
      </c>
      <c r="Q1232">
        <v>0</v>
      </c>
      <c r="R1232">
        <v>2</v>
      </c>
      <c r="S1232">
        <v>0</v>
      </c>
      <c r="T1232" t="s">
        <v>5132</v>
      </c>
      <c r="U1232" t="s">
        <v>3339</v>
      </c>
      <c r="V1232" s="1" t="s">
        <v>3340</v>
      </c>
      <c r="W1232" s="319">
        <v>230</v>
      </c>
      <c r="X1232" s="319">
        <v>4</v>
      </c>
      <c r="Y1232" s="319">
        <v>1</v>
      </c>
      <c r="Z1232" s="314"/>
      <c r="AA1232" s="319">
        <v>0.5</v>
      </c>
      <c r="AB1232" s="315" t="s">
        <v>5176</v>
      </c>
      <c r="AC1232" s="319">
        <v>2</v>
      </c>
      <c r="AD1232" s="320">
        <v>1.5267175572519E-2</v>
      </c>
      <c r="AE1232" s="319">
        <v>4</v>
      </c>
      <c r="AF1232" s="320">
        <v>3.0534351145038101E-2</v>
      </c>
      <c r="AG1232" s="319">
        <v>1</v>
      </c>
      <c r="AH1232" s="320">
        <v>7.63358778625954E-3</v>
      </c>
      <c r="AI1232" s="319">
        <v>0</v>
      </c>
      <c r="AJ1232" s="320">
        <v>0</v>
      </c>
      <c r="AK1232" s="320">
        <v>1.526717557251908E-2</v>
      </c>
      <c r="AL1232" s="319"/>
      <c r="AM1232" s="319"/>
      <c r="AN1232" s="319"/>
      <c r="AO1232" s="319"/>
      <c r="AP1232">
        <v>1</v>
      </c>
      <c r="AR1232" s="136">
        <v>1</v>
      </c>
      <c r="AT1232" s="69">
        <v>2.3148</v>
      </c>
      <c r="AU1232" s="69">
        <v>5</v>
      </c>
      <c r="AV1232" s="69">
        <v>9.6442999999999994</v>
      </c>
      <c r="AW1232" s="69">
        <v>0.56530000000000002</v>
      </c>
      <c r="BB1232" s="69"/>
    </row>
    <row r="1233" spans="1:54" customFormat="1" ht="40" customHeight="1">
      <c r="A1233" s="313">
        <v>1232</v>
      </c>
      <c r="B1233" s="136" t="s">
        <v>1</v>
      </c>
      <c r="C1233" s="136" t="s">
        <v>1191</v>
      </c>
      <c r="D1233" s="31"/>
      <c r="E1233" s="137" t="s">
        <v>46</v>
      </c>
      <c r="F1233" s="31"/>
      <c r="G1233" s="137" t="s">
        <v>3341</v>
      </c>
      <c r="H1233" s="138">
        <v>21</v>
      </c>
      <c r="I1233" s="158"/>
      <c r="J1233" s="95"/>
      <c r="K1233" s="137">
        <v>0.526196458520657</v>
      </c>
      <c r="L1233" s="137">
        <v>0.27047858340826297</v>
      </c>
      <c r="M1233" s="137">
        <v>0.1</v>
      </c>
      <c r="N1233" s="136" t="s">
        <v>3342</v>
      </c>
      <c r="O1233" s="32" t="s">
        <v>3338</v>
      </c>
      <c r="P1233" s="98">
        <f t="shared" si="88"/>
        <v>0</v>
      </c>
      <c r="Q1233">
        <v>6</v>
      </c>
      <c r="R1233">
        <v>0</v>
      </c>
      <c r="S1233">
        <v>0</v>
      </c>
      <c r="T1233" t="s">
        <v>48</v>
      </c>
      <c r="U1233" t="s">
        <v>3343</v>
      </c>
      <c r="V1233" t="s">
        <v>3344</v>
      </c>
      <c r="W1233" s="319">
        <v>44</v>
      </c>
      <c r="X1233" s="319">
        <v>11</v>
      </c>
      <c r="Y1233" s="319">
        <v>1</v>
      </c>
      <c r="Z1233" s="314"/>
      <c r="AA1233" s="319">
        <v>0.60499999999999998</v>
      </c>
      <c r="AB1233" s="315" t="s">
        <v>5176</v>
      </c>
      <c r="AC1233" s="319">
        <v>0</v>
      </c>
      <c r="AD1233" s="320">
        <v>0</v>
      </c>
      <c r="AE1233" s="319">
        <v>1</v>
      </c>
      <c r="AF1233" s="320">
        <v>3.8461538461538401E-2</v>
      </c>
      <c r="AG1233" s="319">
        <v>0</v>
      </c>
      <c r="AH1233" s="320">
        <v>0</v>
      </c>
      <c r="AI1233" s="319">
        <v>0</v>
      </c>
      <c r="AJ1233" s="320">
        <v>0</v>
      </c>
      <c r="AK1233" s="320">
        <v>0</v>
      </c>
      <c r="AL1233" s="319"/>
      <c r="AM1233" s="319"/>
      <c r="AN1233" s="319"/>
      <c r="AO1233" s="319"/>
      <c r="AP1233">
        <v>1</v>
      </c>
      <c r="AR1233" s="136"/>
      <c r="AS1233">
        <v>1</v>
      </c>
      <c r="AT1233" s="69">
        <v>2.3148</v>
      </c>
      <c r="AU1233" s="69">
        <v>7.6852</v>
      </c>
      <c r="AV1233" s="69">
        <v>2.3148</v>
      </c>
      <c r="AW1233" s="69">
        <v>0.41049999999999998</v>
      </c>
      <c r="BB1233" s="69"/>
    </row>
    <row r="1234" spans="1:54" customFormat="1" ht="40" customHeight="1">
      <c r="A1234" s="313">
        <v>1233</v>
      </c>
      <c r="B1234" s="136" t="s">
        <v>217</v>
      </c>
      <c r="C1234" s="136" t="s">
        <v>119</v>
      </c>
      <c r="D1234" s="31"/>
      <c r="E1234" s="137" t="s">
        <v>46</v>
      </c>
      <c r="F1234" s="31"/>
      <c r="G1234" s="137" t="s">
        <v>483</v>
      </c>
      <c r="H1234" s="138">
        <v>31</v>
      </c>
      <c r="I1234" s="158"/>
      <c r="J1234" s="95"/>
      <c r="K1234" s="137">
        <v>0.62203552699077302</v>
      </c>
      <c r="L1234" s="137">
        <v>0.308814210796309</v>
      </c>
      <c r="M1234" s="137">
        <v>0.1</v>
      </c>
      <c r="N1234" s="136" t="s">
        <v>3241</v>
      </c>
      <c r="O1234" s="32" t="s">
        <v>3338</v>
      </c>
      <c r="P1234" s="98">
        <f t="shared" si="88"/>
        <v>0</v>
      </c>
      <c r="Q1234">
        <v>0</v>
      </c>
      <c r="R1234">
        <v>0</v>
      </c>
      <c r="S1234">
        <v>0</v>
      </c>
      <c r="T1234" t="s">
        <v>48</v>
      </c>
      <c r="U1234" t="s">
        <v>491</v>
      </c>
      <c r="V1234" t="s">
        <v>3345</v>
      </c>
      <c r="W1234" s="319">
        <v>85</v>
      </c>
      <c r="X1234" s="319">
        <v>7</v>
      </c>
      <c r="Y1234" s="319">
        <v>1</v>
      </c>
      <c r="Z1234" s="314"/>
      <c r="AA1234" s="319">
        <v>0.60499999999999998</v>
      </c>
      <c r="AB1234" s="315" t="s">
        <v>5165</v>
      </c>
      <c r="AC1234" s="319">
        <v>5</v>
      </c>
      <c r="AD1234" s="320">
        <v>0.10638297872340401</v>
      </c>
      <c r="AE1234" s="319">
        <v>0</v>
      </c>
      <c r="AF1234" s="320">
        <v>0</v>
      </c>
      <c r="AG1234" s="319">
        <v>1</v>
      </c>
      <c r="AH1234" s="320">
        <v>2.1276595744680799E-2</v>
      </c>
      <c r="AI1234" s="319">
        <v>0</v>
      </c>
      <c r="AJ1234" s="320">
        <v>0</v>
      </c>
      <c r="AK1234" s="320">
        <v>0</v>
      </c>
      <c r="AL1234" s="319"/>
      <c r="AM1234" s="319"/>
      <c r="AN1234" s="319"/>
      <c r="AO1234" s="319"/>
      <c r="AP1234">
        <v>1</v>
      </c>
      <c r="AQ1234">
        <v>1</v>
      </c>
      <c r="AR1234" s="136"/>
      <c r="AT1234" s="69">
        <v>2.3148</v>
      </c>
      <c r="AU1234" s="69">
        <v>7.6852</v>
      </c>
      <c r="AV1234" s="69">
        <v>2.3148</v>
      </c>
      <c r="AW1234" s="69">
        <v>0.41049999999999998</v>
      </c>
      <c r="BB1234" s="69"/>
    </row>
    <row r="1235" spans="1:54" customFormat="1" ht="40" customHeight="1">
      <c r="A1235" s="313">
        <v>1234</v>
      </c>
      <c r="B1235" s="136" t="s">
        <v>3243</v>
      </c>
      <c r="C1235" s="136" t="s">
        <v>45</v>
      </c>
      <c r="D1235" s="31"/>
      <c r="E1235" s="137" t="s">
        <v>46</v>
      </c>
      <c r="F1235" s="31"/>
      <c r="G1235" s="137" t="s">
        <v>3346</v>
      </c>
      <c r="H1235" s="138">
        <v>135</v>
      </c>
      <c r="I1235" s="158"/>
      <c r="J1235" s="95"/>
      <c r="K1235" s="137">
        <v>0.48492124636228701</v>
      </c>
      <c r="L1235" s="137">
        <v>0.35706540825245803</v>
      </c>
      <c r="M1235" s="137">
        <v>0.27182818284590399</v>
      </c>
      <c r="N1235" s="136" t="s">
        <v>3347</v>
      </c>
      <c r="O1235" s="32" t="s">
        <v>3348</v>
      </c>
      <c r="P1235" s="98">
        <f t="shared" si="88"/>
        <v>0</v>
      </c>
      <c r="Q1235">
        <v>0</v>
      </c>
      <c r="R1235">
        <v>0</v>
      </c>
      <c r="S1235">
        <v>0</v>
      </c>
      <c r="T1235" t="s">
        <v>48</v>
      </c>
      <c r="U1235" s="322" t="s">
        <v>3349</v>
      </c>
      <c r="V1235" t="s">
        <v>3350</v>
      </c>
      <c r="W1235" s="319">
        <v>72</v>
      </c>
      <c r="X1235" s="319">
        <v>13</v>
      </c>
      <c r="Y1235" s="319">
        <v>1</v>
      </c>
      <c r="Z1235" s="314"/>
      <c r="AA1235" s="319">
        <v>0.5</v>
      </c>
      <c r="AB1235" s="315" t="s">
        <v>5165</v>
      </c>
      <c r="AC1235" s="319">
        <v>2</v>
      </c>
      <c r="AD1235" s="320">
        <v>4.3478260869565202E-2</v>
      </c>
      <c r="AE1235" s="319">
        <v>1</v>
      </c>
      <c r="AF1235" s="320">
        <v>2.1739130434782601E-2</v>
      </c>
      <c r="AG1235" s="319">
        <v>0</v>
      </c>
      <c r="AH1235" s="320">
        <v>0</v>
      </c>
      <c r="AI1235" s="319">
        <v>0</v>
      </c>
      <c r="AJ1235" s="320">
        <v>0</v>
      </c>
      <c r="AK1235" s="320">
        <v>2.1739130434782612E-2</v>
      </c>
      <c r="AL1235" s="319"/>
      <c r="AM1235" s="319"/>
      <c r="AN1235" s="319"/>
      <c r="AO1235" s="319"/>
      <c r="AP1235">
        <v>1</v>
      </c>
      <c r="AQ1235">
        <v>1</v>
      </c>
      <c r="AR1235" s="136"/>
      <c r="AT1235" s="69">
        <v>2.3148</v>
      </c>
      <c r="AU1235" s="69">
        <v>2.3148</v>
      </c>
      <c r="AV1235" s="69">
        <v>2.3148</v>
      </c>
      <c r="AW1235" s="69">
        <v>0.23150000000000001</v>
      </c>
      <c r="BB1235" s="69"/>
    </row>
    <row r="1236" spans="1:54" customFormat="1" ht="40" customHeight="1">
      <c r="A1236" s="313">
        <v>1235</v>
      </c>
      <c r="B1236" s="136" t="s">
        <v>3243</v>
      </c>
      <c r="C1236" s="136" t="s">
        <v>1191</v>
      </c>
      <c r="D1236" s="31"/>
      <c r="E1236" s="137" t="s">
        <v>46</v>
      </c>
      <c r="F1236" s="31"/>
      <c r="G1236" s="137" t="s">
        <v>3351</v>
      </c>
      <c r="H1236" s="138">
        <v>191</v>
      </c>
      <c r="I1236" s="158"/>
      <c r="J1236" s="95"/>
      <c r="K1236" s="137">
        <v>0.50512834069460699</v>
      </c>
      <c r="L1236" s="137">
        <v>0.36514824598538498</v>
      </c>
      <c r="M1236" s="137">
        <v>0.27182818284590399</v>
      </c>
      <c r="N1236" s="136" t="s">
        <v>3251</v>
      </c>
      <c r="O1236" s="32" t="s">
        <v>3352</v>
      </c>
      <c r="P1236" s="98">
        <f t="shared" si="88"/>
        <v>1</v>
      </c>
      <c r="Q1236">
        <v>2</v>
      </c>
      <c r="R1236">
        <v>6</v>
      </c>
      <c r="S1236">
        <v>3</v>
      </c>
      <c r="T1236" t="s">
        <v>5132</v>
      </c>
      <c r="U1236" s="322" t="s">
        <v>3353</v>
      </c>
      <c r="V1236" s="1" t="s">
        <v>3354</v>
      </c>
      <c r="W1236" s="319">
        <v>301</v>
      </c>
      <c r="X1236" s="319">
        <v>12</v>
      </c>
      <c r="Y1236" s="319">
        <v>3</v>
      </c>
      <c r="Z1236" s="314"/>
      <c r="AA1236" s="319">
        <v>0.64895000000000003</v>
      </c>
      <c r="AB1236" s="315" t="s">
        <v>5181</v>
      </c>
      <c r="AC1236" s="319">
        <v>1</v>
      </c>
      <c r="AD1236" s="320">
        <v>5.9171597633136102E-3</v>
      </c>
      <c r="AE1236" s="319">
        <v>1</v>
      </c>
      <c r="AF1236" s="320">
        <v>5.9171597633136102E-3</v>
      </c>
      <c r="AG1236" s="319">
        <v>1</v>
      </c>
      <c r="AH1236" s="320">
        <v>5.9171597633136102E-3</v>
      </c>
      <c r="AI1236" s="319">
        <v>1</v>
      </c>
      <c r="AJ1236" s="320">
        <v>5.9171597633136102E-3</v>
      </c>
      <c r="AK1236" s="320">
        <v>0</v>
      </c>
      <c r="AL1236" s="319"/>
      <c r="AM1236" s="319"/>
      <c r="AN1236" s="319"/>
      <c r="AO1236" s="319"/>
      <c r="AP1236">
        <v>3</v>
      </c>
      <c r="AR1236" s="136"/>
      <c r="AS1236">
        <v>3</v>
      </c>
      <c r="AT1236" s="69">
        <v>6.3414000000000001</v>
      </c>
      <c r="AU1236" s="69">
        <v>2.3148</v>
      </c>
      <c r="AV1236" s="69">
        <v>9.5120000000000005</v>
      </c>
      <c r="AW1236" s="69">
        <v>0.60560000000000003</v>
      </c>
      <c r="BB1236" s="69"/>
    </row>
    <row r="1237" spans="1:54" customFormat="1" ht="40" customHeight="1">
      <c r="A1237" s="313">
        <v>1236</v>
      </c>
      <c r="B1237" s="136" t="s">
        <v>3243</v>
      </c>
      <c r="C1237" s="136" t="s">
        <v>45</v>
      </c>
      <c r="D1237" s="31"/>
      <c r="E1237" s="137" t="s">
        <v>46</v>
      </c>
      <c r="F1237" s="31"/>
      <c r="G1237" s="137" t="s">
        <v>3355</v>
      </c>
      <c r="H1237" s="138">
        <v>211</v>
      </c>
      <c r="I1237" s="158"/>
      <c r="J1237" s="95"/>
      <c r="K1237" s="137">
        <v>0.46547751617515098</v>
      </c>
      <c r="L1237" s="137">
        <v>0.18659528329000599</v>
      </c>
      <c r="M1237" s="137">
        <v>6.7379469990854705E-4</v>
      </c>
      <c r="N1237" s="136" t="s">
        <v>3356</v>
      </c>
      <c r="O1237" s="32" t="s">
        <v>3357</v>
      </c>
      <c r="P1237" s="98">
        <f t="shared" si="88"/>
        <v>1</v>
      </c>
      <c r="Q1237">
        <v>0</v>
      </c>
      <c r="R1237">
        <v>6</v>
      </c>
      <c r="S1237">
        <v>0</v>
      </c>
      <c r="T1237" t="s">
        <v>73</v>
      </c>
      <c r="U1237" s="322" t="s">
        <v>3358</v>
      </c>
      <c r="V1237" s="1" t="s">
        <v>3359</v>
      </c>
      <c r="W1237" s="319">
        <v>351</v>
      </c>
      <c r="X1237" s="319">
        <v>14</v>
      </c>
      <c r="Y1237" s="319">
        <v>3</v>
      </c>
      <c r="Z1237" s="314"/>
      <c r="AA1237" s="319">
        <v>5.4211382852216005E-4</v>
      </c>
      <c r="AB1237" s="315" t="s">
        <v>5165</v>
      </c>
      <c r="AC1237" s="319">
        <v>3</v>
      </c>
      <c r="AD1237" s="320">
        <v>1.44230769230769E-2</v>
      </c>
      <c r="AE1237" s="319">
        <v>0</v>
      </c>
      <c r="AF1237" s="320">
        <v>0</v>
      </c>
      <c r="AG1237" s="319">
        <v>1</v>
      </c>
      <c r="AH1237" s="320">
        <v>4.8076923076923002E-3</v>
      </c>
      <c r="AI1237" s="319">
        <v>0</v>
      </c>
      <c r="AJ1237" s="320">
        <v>0</v>
      </c>
      <c r="AK1237" s="320">
        <v>0</v>
      </c>
      <c r="AL1237" s="319"/>
      <c r="AM1237" s="319"/>
      <c r="AN1237" s="319"/>
      <c r="AO1237" s="319"/>
      <c r="AP1237">
        <v>3</v>
      </c>
      <c r="AR1237" s="136"/>
      <c r="AT1237" s="69">
        <v>2.3148</v>
      </c>
      <c r="AU1237" s="69">
        <v>2.3148</v>
      </c>
      <c r="AV1237" s="69">
        <v>5.7443999999999997</v>
      </c>
      <c r="AW1237" s="69">
        <v>0.3458</v>
      </c>
      <c r="BB1237" s="69"/>
    </row>
    <row r="1238" spans="1:54" customFormat="1" ht="40" customHeight="1">
      <c r="A1238" s="313">
        <v>1237</v>
      </c>
      <c r="B1238" s="136" t="s">
        <v>3243</v>
      </c>
      <c r="C1238" s="136" t="s">
        <v>45</v>
      </c>
      <c r="D1238" s="31"/>
      <c r="E1238" s="137" t="s">
        <v>46</v>
      </c>
      <c r="F1238" s="31"/>
      <c r="G1238" s="137" t="s">
        <v>3360</v>
      </c>
      <c r="H1238" s="138">
        <v>197</v>
      </c>
      <c r="I1238" s="158"/>
      <c r="J1238" s="95"/>
      <c r="K1238" s="137">
        <v>0.48492124636228701</v>
      </c>
      <c r="L1238" s="137">
        <v>0.21604126501520099</v>
      </c>
      <c r="M1238" s="137">
        <v>3.67879441171442E-2</v>
      </c>
      <c r="N1238" s="136" t="s">
        <v>3361</v>
      </c>
      <c r="O1238" s="32" t="s">
        <v>3362</v>
      </c>
      <c r="P1238" s="98">
        <f t="shared" si="88"/>
        <v>1</v>
      </c>
      <c r="Q1238">
        <v>2</v>
      </c>
      <c r="R1238">
        <v>0</v>
      </c>
      <c r="S1238">
        <v>0</v>
      </c>
      <c r="T1238" t="s">
        <v>5088</v>
      </c>
      <c r="U1238" t="s">
        <v>3363</v>
      </c>
      <c r="V1238" t="s">
        <v>3364</v>
      </c>
      <c r="W1238" s="319">
        <v>176</v>
      </c>
      <c r="X1238" s="319">
        <v>13</v>
      </c>
      <c r="Y1238" s="319">
        <v>1</v>
      </c>
      <c r="Z1238" s="314"/>
      <c r="AA1238" s="319">
        <v>0.59450000000000003</v>
      </c>
      <c r="AB1238" s="315" t="s">
        <v>5176</v>
      </c>
      <c r="AC1238" s="319">
        <v>0</v>
      </c>
      <c r="AD1238" s="320">
        <v>0</v>
      </c>
      <c r="AE1238" s="319">
        <v>1</v>
      </c>
      <c r="AF1238" s="320">
        <v>0.01</v>
      </c>
      <c r="AG1238" s="319">
        <v>0</v>
      </c>
      <c r="AH1238" s="320">
        <v>0</v>
      </c>
      <c r="AI1238" s="319">
        <v>0</v>
      </c>
      <c r="AJ1238" s="320">
        <v>0</v>
      </c>
      <c r="AK1238" s="320">
        <v>0</v>
      </c>
      <c r="AL1238" s="319"/>
      <c r="AM1238" s="319"/>
      <c r="AN1238" s="319"/>
      <c r="AO1238" s="319"/>
      <c r="AP1238">
        <v>1</v>
      </c>
      <c r="AR1238" s="136">
        <v>1</v>
      </c>
      <c r="AT1238" s="69">
        <v>7.4837999999999996</v>
      </c>
      <c r="AU1238" s="69">
        <v>8.9379000000000008</v>
      </c>
      <c r="AV1238" s="69">
        <v>9.8416999999999994</v>
      </c>
      <c r="AW1238" s="69">
        <v>0.87539999999999996</v>
      </c>
      <c r="BB1238" s="69"/>
    </row>
    <row r="1239" spans="1:54" customFormat="1" ht="40" customHeight="1">
      <c r="A1239" s="313">
        <v>1238</v>
      </c>
      <c r="B1239" s="136" t="s">
        <v>3243</v>
      </c>
      <c r="C1239" s="136" t="s">
        <v>45</v>
      </c>
      <c r="D1239" s="31"/>
      <c r="E1239" s="137" t="s">
        <v>46</v>
      </c>
      <c r="F1239" s="31"/>
      <c r="G1239" s="137" t="s">
        <v>3365</v>
      </c>
      <c r="H1239" s="138">
        <v>195</v>
      </c>
      <c r="I1239" s="158"/>
      <c r="J1239" s="95"/>
      <c r="K1239" s="137">
        <v>0.36112343500006</v>
      </c>
      <c r="L1239" s="137">
        <v>0.166522140470311</v>
      </c>
      <c r="M1239" s="137">
        <v>3.67879441171442E-2</v>
      </c>
      <c r="N1239" s="136" t="s">
        <v>3366</v>
      </c>
      <c r="O1239" s="32" t="s">
        <v>3362</v>
      </c>
      <c r="P1239" s="98">
        <f t="shared" si="88"/>
        <v>1</v>
      </c>
      <c r="Q1239">
        <v>2</v>
      </c>
      <c r="R1239">
        <v>0</v>
      </c>
      <c r="S1239">
        <v>0</v>
      </c>
      <c r="T1239" t="s">
        <v>5088</v>
      </c>
      <c r="U1239" t="s">
        <v>3367</v>
      </c>
      <c r="V1239" t="s">
        <v>3368</v>
      </c>
      <c r="W1239" s="319">
        <v>266</v>
      </c>
      <c r="X1239" s="319">
        <v>20</v>
      </c>
      <c r="Y1239" s="319">
        <v>2</v>
      </c>
      <c r="Z1239" s="314"/>
      <c r="AA1239" s="319">
        <v>0.59450000000000003</v>
      </c>
      <c r="AB1239" s="315" t="s">
        <v>5178</v>
      </c>
      <c r="AC1239" s="319">
        <v>2</v>
      </c>
      <c r="AD1239" s="320">
        <v>1.32450331125827E-2</v>
      </c>
      <c r="AE1239" s="319">
        <v>2</v>
      </c>
      <c r="AF1239" s="320">
        <v>1.32450331125827E-2</v>
      </c>
      <c r="AG1239" s="319">
        <v>0</v>
      </c>
      <c r="AH1239" s="320">
        <v>0</v>
      </c>
      <c r="AI1239" s="319">
        <v>0</v>
      </c>
      <c r="AJ1239" s="320">
        <v>0</v>
      </c>
      <c r="AK1239" s="320">
        <v>0</v>
      </c>
      <c r="AL1239" s="319"/>
      <c r="AM1239" s="319"/>
      <c r="AN1239" s="319"/>
      <c r="AO1239" s="319"/>
      <c r="AP1239">
        <v>2</v>
      </c>
      <c r="AR1239" s="136">
        <v>2</v>
      </c>
      <c r="AT1239" s="69">
        <v>7.4837999999999996</v>
      </c>
      <c r="AU1239" s="69">
        <v>8.9379000000000008</v>
      </c>
      <c r="AV1239" s="69">
        <v>9.8416999999999994</v>
      </c>
      <c r="AW1239" s="69">
        <v>0.87539999999999996</v>
      </c>
      <c r="BB1239" s="69"/>
    </row>
    <row r="1240" spans="1:54" customFormat="1" ht="40" customHeight="1">
      <c r="A1240" s="313">
        <v>1239</v>
      </c>
      <c r="B1240" s="136" t="s">
        <v>3243</v>
      </c>
      <c r="C1240" s="136" t="s">
        <v>45</v>
      </c>
      <c r="D1240" s="31"/>
      <c r="E1240" s="137" t="s">
        <v>46</v>
      </c>
      <c r="F1240" s="31"/>
      <c r="G1240" s="137" t="s">
        <v>3369</v>
      </c>
      <c r="H1240" s="138">
        <v>195</v>
      </c>
      <c r="I1240" s="158"/>
      <c r="J1240" s="95"/>
      <c r="K1240" s="137">
        <v>0.48492124636228701</v>
      </c>
      <c r="L1240" s="137">
        <v>0.21604126501520099</v>
      </c>
      <c r="M1240" s="137">
        <v>3.67879441171442E-2</v>
      </c>
      <c r="N1240" s="136" t="s">
        <v>3366</v>
      </c>
      <c r="O1240" s="32" t="s">
        <v>3362</v>
      </c>
      <c r="P1240" s="98">
        <f t="shared" si="88"/>
        <v>1</v>
      </c>
      <c r="Q1240">
        <v>2</v>
      </c>
      <c r="R1240">
        <v>0</v>
      </c>
      <c r="S1240">
        <v>0</v>
      </c>
      <c r="T1240" t="s">
        <v>5088</v>
      </c>
      <c r="U1240" t="s">
        <v>3367</v>
      </c>
      <c r="V1240" t="s">
        <v>3364</v>
      </c>
      <c r="W1240" s="319">
        <v>176</v>
      </c>
      <c r="X1240" s="319">
        <v>13</v>
      </c>
      <c r="Y1240" s="319">
        <v>1</v>
      </c>
      <c r="Z1240" s="314"/>
      <c r="AA1240" s="319">
        <v>0.59450000000000003</v>
      </c>
      <c r="AB1240" s="315" t="s">
        <v>5176</v>
      </c>
      <c r="AC1240" s="319">
        <v>0</v>
      </c>
      <c r="AD1240" s="320">
        <v>0</v>
      </c>
      <c r="AE1240" s="319">
        <v>1</v>
      </c>
      <c r="AF1240" s="320">
        <v>0.01</v>
      </c>
      <c r="AG1240" s="319">
        <v>0</v>
      </c>
      <c r="AH1240" s="320">
        <v>0</v>
      </c>
      <c r="AI1240" s="319">
        <v>0</v>
      </c>
      <c r="AJ1240" s="320">
        <v>0</v>
      </c>
      <c r="AK1240" s="320">
        <v>0</v>
      </c>
      <c r="AL1240" s="319"/>
      <c r="AM1240" s="319"/>
      <c r="AN1240" s="319"/>
      <c r="AO1240" s="319"/>
      <c r="AP1240">
        <v>1</v>
      </c>
      <c r="AR1240" s="136">
        <v>1</v>
      </c>
      <c r="AT1240" s="69">
        <v>7.4837999999999996</v>
      </c>
      <c r="AU1240" s="69">
        <v>8.9379000000000008</v>
      </c>
      <c r="AV1240" s="69">
        <v>9.8416999999999994</v>
      </c>
      <c r="AW1240" s="69">
        <v>0.87539999999999996</v>
      </c>
      <c r="BB1240" s="69"/>
    </row>
    <row r="1241" spans="1:54" customFormat="1" ht="40" customHeight="1">
      <c r="A1241" s="313">
        <v>1240</v>
      </c>
      <c r="B1241" s="136" t="s">
        <v>1707</v>
      </c>
      <c r="C1241" s="136" t="s">
        <v>45</v>
      </c>
      <c r="D1241" s="31"/>
      <c r="E1241" s="137" t="s">
        <v>46</v>
      </c>
      <c r="F1241" s="31"/>
      <c r="G1241" s="137" t="s">
        <v>1771</v>
      </c>
      <c r="H1241" s="138">
        <v>97</v>
      </c>
      <c r="I1241" s="158"/>
      <c r="J1241" s="95"/>
      <c r="K1241" s="137">
        <v>0.68056171750003003</v>
      </c>
      <c r="L1241" s="137">
        <v>0.33222468700001201</v>
      </c>
      <c r="M1241" s="137">
        <v>0.1</v>
      </c>
      <c r="N1241" s="136" t="s">
        <v>3370</v>
      </c>
      <c r="O1241" s="32" t="s">
        <v>3371</v>
      </c>
      <c r="P1241" s="98">
        <f t="shared" si="88"/>
        <v>1</v>
      </c>
      <c r="Q1241">
        <v>2</v>
      </c>
      <c r="R1241">
        <v>0</v>
      </c>
      <c r="S1241">
        <v>0</v>
      </c>
      <c r="T1241" t="s">
        <v>5088</v>
      </c>
      <c r="U1241" t="s">
        <v>1772</v>
      </c>
      <c r="V1241" t="s">
        <v>3372</v>
      </c>
      <c r="W1241" s="319">
        <v>83</v>
      </c>
      <c r="X1241" s="319">
        <v>5</v>
      </c>
      <c r="Y1241" s="319">
        <v>1</v>
      </c>
      <c r="Z1241" s="314"/>
      <c r="AA1241" s="319">
        <v>0.55000000000000004</v>
      </c>
      <c r="AB1241" s="315" t="s">
        <v>5165</v>
      </c>
      <c r="AC1241" s="319">
        <v>5</v>
      </c>
      <c r="AD1241" s="320">
        <v>0.11363636363636299</v>
      </c>
      <c r="AE1241" s="319">
        <v>0</v>
      </c>
      <c r="AF1241" s="320">
        <v>0</v>
      </c>
      <c r="AG1241" s="319">
        <v>1</v>
      </c>
      <c r="AH1241" s="320">
        <v>2.27272727272727E-2</v>
      </c>
      <c r="AI1241" s="319">
        <v>0</v>
      </c>
      <c r="AJ1241" s="320">
        <v>0</v>
      </c>
      <c r="AK1241" s="320">
        <v>0</v>
      </c>
      <c r="AL1241" s="319"/>
      <c r="AM1241" s="319"/>
      <c r="AN1241" s="319"/>
      <c r="AO1241" s="319"/>
      <c r="AP1241">
        <v>1</v>
      </c>
      <c r="AQ1241">
        <v>1</v>
      </c>
      <c r="AR1241" s="136"/>
      <c r="AT1241" s="69">
        <v>2.3148</v>
      </c>
      <c r="AU1241" s="69">
        <v>5</v>
      </c>
      <c r="AV1241" s="69">
        <v>2.3148</v>
      </c>
      <c r="AW1241" s="69">
        <v>0.32100000000000001</v>
      </c>
      <c r="BB1241" s="69"/>
    </row>
    <row r="1242" spans="1:54" customFormat="1" ht="40" customHeight="1">
      <c r="A1242" s="313">
        <v>1241</v>
      </c>
      <c r="B1242" s="136" t="s">
        <v>3243</v>
      </c>
      <c r="C1242" s="136" t="s">
        <v>45</v>
      </c>
      <c r="D1242" s="31"/>
      <c r="E1242" s="137" t="s">
        <v>46</v>
      </c>
      <c r="F1242" s="31"/>
      <c r="G1242" s="137" t="s">
        <v>3373</v>
      </c>
      <c r="H1242" s="138">
        <v>147</v>
      </c>
      <c r="I1242" s="158"/>
      <c r="J1242" s="95"/>
      <c r="K1242" s="137">
        <v>0.37730015092276098</v>
      </c>
      <c r="L1242" s="137">
        <v>0.21092006036910399</v>
      </c>
      <c r="M1242" s="137">
        <v>0.1</v>
      </c>
      <c r="N1242" s="136" t="s">
        <v>3374</v>
      </c>
      <c r="O1242" s="32" t="s">
        <v>3375</v>
      </c>
      <c r="P1242" s="98">
        <f t="shared" si="88"/>
        <v>1</v>
      </c>
      <c r="Q1242">
        <v>0</v>
      </c>
      <c r="R1242">
        <v>4</v>
      </c>
      <c r="S1242">
        <v>3</v>
      </c>
      <c r="T1242" t="s">
        <v>5132</v>
      </c>
      <c r="U1242" t="s">
        <v>3376</v>
      </c>
      <c r="V1242" t="s">
        <v>3377</v>
      </c>
      <c r="W1242" s="319">
        <v>545</v>
      </c>
      <c r="X1242" s="319">
        <v>19</v>
      </c>
      <c r="Y1242" s="319">
        <v>5</v>
      </c>
      <c r="Z1242" s="314"/>
      <c r="AA1242" s="319">
        <v>0.54500000000000004</v>
      </c>
      <c r="AB1242" s="315" t="s">
        <v>5179</v>
      </c>
      <c r="AC1242" s="319">
        <v>1</v>
      </c>
      <c r="AD1242" s="320">
        <v>3.05810397553516E-3</v>
      </c>
      <c r="AE1242" s="319">
        <v>1</v>
      </c>
      <c r="AF1242" s="320">
        <v>3.05810397553516E-3</v>
      </c>
      <c r="AG1242" s="319">
        <v>1</v>
      </c>
      <c r="AH1242" s="320">
        <v>3.05810397553516E-3</v>
      </c>
      <c r="AI1242" s="319">
        <v>0</v>
      </c>
      <c r="AJ1242" s="320">
        <v>0</v>
      </c>
      <c r="AK1242" s="320">
        <v>0</v>
      </c>
      <c r="AL1242" s="319"/>
      <c r="AM1242" s="319"/>
      <c r="AN1242" s="319"/>
      <c r="AO1242" s="319"/>
      <c r="AP1242">
        <v>5</v>
      </c>
      <c r="AR1242" s="136"/>
      <c r="AS1242">
        <v>5</v>
      </c>
      <c r="AT1242" s="69">
        <v>2.3148</v>
      </c>
      <c r="AU1242" s="69">
        <v>5</v>
      </c>
      <c r="AV1242" s="69">
        <v>5.7443999999999997</v>
      </c>
      <c r="AW1242" s="69">
        <v>0.43530000000000002</v>
      </c>
      <c r="BB1242" s="69"/>
    </row>
    <row r="1243" spans="1:54" customFormat="1" ht="40" customHeight="1">
      <c r="A1243" s="313">
        <v>1242</v>
      </c>
      <c r="B1243" s="136" t="s">
        <v>3378</v>
      </c>
      <c r="C1243" s="136" t="s">
        <v>59</v>
      </c>
      <c r="D1243" s="31"/>
      <c r="E1243" s="137" t="s">
        <v>46</v>
      </c>
      <c r="F1243" s="31"/>
      <c r="G1243" s="137" t="s">
        <v>3379</v>
      </c>
      <c r="H1243" s="138">
        <v>236</v>
      </c>
      <c r="I1243" s="158"/>
      <c r="J1243" s="95"/>
      <c r="K1243" s="137">
        <v>0.59593898217911601</v>
      </c>
      <c r="L1243" s="137">
        <v>0.260448359341933</v>
      </c>
      <c r="M1243" s="137">
        <v>3.67879441171442E-2</v>
      </c>
      <c r="N1243" s="136" t="s">
        <v>3241</v>
      </c>
      <c r="O1243" s="32" t="s">
        <v>3380</v>
      </c>
      <c r="P1243" s="98">
        <f t="shared" si="88"/>
        <v>1</v>
      </c>
      <c r="Q1243">
        <v>0</v>
      </c>
      <c r="R1243">
        <v>6</v>
      </c>
      <c r="S1243">
        <v>0</v>
      </c>
      <c r="T1243" t="s">
        <v>73</v>
      </c>
      <c r="U1243" t="s">
        <v>3381</v>
      </c>
      <c r="V1243" t="s">
        <v>3382</v>
      </c>
      <c r="W1243" s="319">
        <v>210</v>
      </c>
      <c r="X1243" s="319">
        <v>8</v>
      </c>
      <c r="Y1243" s="319">
        <v>4</v>
      </c>
      <c r="Z1243" s="314"/>
      <c r="AA1243" s="319">
        <v>0.55000000000000004</v>
      </c>
      <c r="AB1243" s="315" t="s">
        <v>5178</v>
      </c>
      <c r="AC1243" s="319">
        <v>1</v>
      </c>
      <c r="AD1243" s="320">
        <v>8.1300813008130003E-3</v>
      </c>
      <c r="AE1243" s="319">
        <v>1</v>
      </c>
      <c r="AF1243" s="320">
        <v>8.1300813008130003E-3</v>
      </c>
      <c r="AG1243" s="319">
        <v>0</v>
      </c>
      <c r="AH1243" s="320">
        <v>0</v>
      </c>
      <c r="AI1243" s="319">
        <v>0</v>
      </c>
      <c r="AJ1243" s="320">
        <v>0</v>
      </c>
      <c r="AK1243" s="320">
        <v>0</v>
      </c>
      <c r="AL1243" s="319"/>
      <c r="AM1243" s="319"/>
      <c r="AN1243" s="319"/>
      <c r="AO1243" s="319"/>
      <c r="AP1243">
        <v>4</v>
      </c>
      <c r="AR1243" s="136">
        <v>4</v>
      </c>
      <c r="AT1243" s="69">
        <v>2.3148</v>
      </c>
      <c r="AU1243" s="69">
        <v>2.3148</v>
      </c>
      <c r="AV1243" s="69">
        <v>5.7443999999999997</v>
      </c>
      <c r="AW1243" s="69">
        <v>0.3458</v>
      </c>
      <c r="BB1243" s="69"/>
    </row>
    <row r="1244" spans="1:54" customFormat="1" ht="40" customHeight="1">
      <c r="A1244" s="313">
        <v>1243</v>
      </c>
      <c r="B1244" s="136" t="s">
        <v>1222</v>
      </c>
      <c r="C1244" s="136" t="s">
        <v>45</v>
      </c>
      <c r="D1244" s="31"/>
      <c r="E1244" s="137" t="s">
        <v>46</v>
      </c>
      <c r="F1244" s="31"/>
      <c r="G1244" s="137" t="s">
        <v>1620</v>
      </c>
      <c r="H1244" s="138">
        <v>100</v>
      </c>
      <c r="I1244" s="158"/>
      <c r="J1244" s="95"/>
      <c r="K1244" s="137">
        <v>0.57142857142857095</v>
      </c>
      <c r="L1244" s="137">
        <v>0.25064419504171498</v>
      </c>
      <c r="M1244" s="137">
        <v>3.67879441171442E-2</v>
      </c>
      <c r="N1244" s="136" t="s">
        <v>3383</v>
      </c>
      <c r="O1244" s="32" t="s">
        <v>3384</v>
      </c>
      <c r="P1244" s="98">
        <f t="shared" si="88"/>
        <v>1</v>
      </c>
      <c r="Q1244">
        <v>1</v>
      </c>
      <c r="R1244">
        <v>0</v>
      </c>
      <c r="S1244">
        <v>3</v>
      </c>
      <c r="T1244" t="s">
        <v>5133</v>
      </c>
      <c r="U1244" t="s">
        <v>1621</v>
      </c>
      <c r="V1244" t="s">
        <v>3385</v>
      </c>
      <c r="W1244" s="319">
        <v>123</v>
      </c>
      <c r="X1244" s="319">
        <v>9</v>
      </c>
      <c r="Y1244" s="319">
        <v>1</v>
      </c>
      <c r="Z1244" s="314"/>
      <c r="AA1244" s="319">
        <v>0.5</v>
      </c>
      <c r="AB1244" s="315" t="s">
        <v>5176</v>
      </c>
      <c r="AC1244" s="319">
        <v>1</v>
      </c>
      <c r="AD1244" s="320">
        <v>1.47058823529411E-2</v>
      </c>
      <c r="AE1244" s="319">
        <v>2</v>
      </c>
      <c r="AF1244" s="320">
        <v>2.94117647058823E-2</v>
      </c>
      <c r="AG1244" s="319">
        <v>1</v>
      </c>
      <c r="AH1244" s="320">
        <v>1.47058823529411E-2</v>
      </c>
      <c r="AI1244" s="319">
        <v>0</v>
      </c>
      <c r="AJ1244" s="320">
        <v>0</v>
      </c>
      <c r="AK1244" s="320">
        <v>1.470588235294118E-2</v>
      </c>
      <c r="AL1244" s="319"/>
      <c r="AM1244" s="319"/>
      <c r="AN1244" s="319"/>
      <c r="AO1244" s="319"/>
      <c r="AP1244">
        <v>1</v>
      </c>
      <c r="AR1244" s="136">
        <v>1</v>
      </c>
      <c r="AT1244" s="69">
        <v>2.3148</v>
      </c>
      <c r="AU1244" s="69">
        <v>5</v>
      </c>
      <c r="AV1244" s="69">
        <v>5.7443999999999997</v>
      </c>
      <c r="AW1244" s="69">
        <v>0.43530000000000002</v>
      </c>
      <c r="BB1244" s="69"/>
    </row>
    <row r="1245" spans="1:54" customFormat="1" ht="40" customHeight="1">
      <c r="A1245" s="313">
        <v>1244</v>
      </c>
      <c r="B1245" s="136" t="s">
        <v>3243</v>
      </c>
      <c r="C1245" s="136" t="s">
        <v>45</v>
      </c>
      <c r="D1245" s="31"/>
      <c r="E1245" s="137" t="s">
        <v>46</v>
      </c>
      <c r="F1245" s="31"/>
      <c r="G1245" s="137" t="s">
        <v>3386</v>
      </c>
      <c r="H1245" s="138">
        <v>260</v>
      </c>
      <c r="I1245" s="158"/>
      <c r="J1245" s="95"/>
      <c r="K1245" s="137">
        <v>0.44671666482751199</v>
      </c>
      <c r="L1245" s="137">
        <v>0.20075943240129099</v>
      </c>
      <c r="M1245" s="137">
        <v>3.67879441171442E-2</v>
      </c>
      <c r="N1245" s="136" t="s">
        <v>3387</v>
      </c>
      <c r="O1245" s="32" t="s">
        <v>3388</v>
      </c>
      <c r="P1245" s="98">
        <f t="shared" si="88"/>
        <v>1</v>
      </c>
      <c r="Q1245">
        <v>0</v>
      </c>
      <c r="R1245">
        <v>6</v>
      </c>
      <c r="S1245">
        <v>0</v>
      </c>
      <c r="T1245" t="s">
        <v>73</v>
      </c>
      <c r="U1245" s="1" t="s">
        <v>3389</v>
      </c>
      <c r="V1245" t="s">
        <v>3390</v>
      </c>
      <c r="W1245" s="319">
        <v>244</v>
      </c>
      <c r="X1245" s="319">
        <v>15</v>
      </c>
      <c r="Y1245" s="319">
        <v>2</v>
      </c>
      <c r="Z1245" s="314"/>
      <c r="AA1245" s="319">
        <v>0.70884499999999995</v>
      </c>
      <c r="AB1245" s="315" t="s">
        <v>5178</v>
      </c>
      <c r="AC1245" s="319">
        <v>3</v>
      </c>
      <c r="AD1245" s="320">
        <v>2.2900763358778602E-2</v>
      </c>
      <c r="AE1245" s="319">
        <v>3</v>
      </c>
      <c r="AF1245" s="320">
        <v>2.2900763358778602E-2</v>
      </c>
      <c r="AG1245" s="319">
        <v>2</v>
      </c>
      <c r="AH1245" s="320">
        <v>1.5267175572519E-2</v>
      </c>
      <c r="AI1245" s="319">
        <v>0</v>
      </c>
      <c r="AJ1245" s="320">
        <v>0</v>
      </c>
      <c r="AK1245" s="320">
        <v>7.6335877862595417E-3</v>
      </c>
      <c r="AL1245" s="319"/>
      <c r="AM1245" s="319"/>
      <c r="AN1245" s="319"/>
      <c r="AO1245" s="319"/>
      <c r="AP1245">
        <v>2</v>
      </c>
      <c r="AR1245" s="136">
        <v>2</v>
      </c>
      <c r="AT1245" s="69">
        <v>2.3148</v>
      </c>
      <c r="AU1245" s="69">
        <v>7.6852</v>
      </c>
      <c r="AV1245" s="69">
        <v>8.1305999999999994</v>
      </c>
      <c r="AW1245" s="69">
        <v>0.60440000000000005</v>
      </c>
      <c r="BB1245" s="69"/>
    </row>
    <row r="1246" spans="1:54" customFormat="1" ht="40" customHeight="1">
      <c r="A1246" s="313">
        <v>1245</v>
      </c>
      <c r="B1246" s="136" t="s">
        <v>3243</v>
      </c>
      <c r="C1246" s="136" t="s">
        <v>119</v>
      </c>
      <c r="D1246" s="31"/>
      <c r="E1246" s="137" t="s">
        <v>46</v>
      </c>
      <c r="F1246" s="31"/>
      <c r="G1246" s="137" t="s">
        <v>3391</v>
      </c>
      <c r="H1246" s="138">
        <v>267</v>
      </c>
      <c r="I1246" s="158"/>
      <c r="J1246" s="95"/>
      <c r="K1246" s="137">
        <v>0.44671666482751199</v>
      </c>
      <c r="L1246" s="137">
        <v>0.20075943240129099</v>
      </c>
      <c r="M1246" s="137">
        <v>3.67879441171442E-2</v>
      </c>
      <c r="N1246" s="136" t="s">
        <v>3392</v>
      </c>
      <c r="O1246" s="32" t="s">
        <v>3388</v>
      </c>
      <c r="P1246" s="98">
        <f t="shared" si="88"/>
        <v>1</v>
      </c>
      <c r="Q1246">
        <v>0</v>
      </c>
      <c r="R1246">
        <v>6</v>
      </c>
      <c r="S1246">
        <v>0</v>
      </c>
      <c r="T1246" t="s">
        <v>73</v>
      </c>
      <c r="U1246" s="1" t="s">
        <v>3389</v>
      </c>
      <c r="V1246" t="s">
        <v>3393</v>
      </c>
      <c r="W1246" s="319">
        <v>244</v>
      </c>
      <c r="X1246" s="319">
        <v>15</v>
      </c>
      <c r="Y1246" s="319">
        <v>2</v>
      </c>
      <c r="Z1246" s="314"/>
      <c r="AA1246" s="319">
        <v>0.70884499999999995</v>
      </c>
      <c r="AB1246" s="315" t="s">
        <v>5178</v>
      </c>
      <c r="AC1246" s="319">
        <v>3</v>
      </c>
      <c r="AD1246" s="320">
        <v>2.2900763358778602E-2</v>
      </c>
      <c r="AE1246" s="319">
        <v>3</v>
      </c>
      <c r="AF1246" s="320">
        <v>2.2900763358778602E-2</v>
      </c>
      <c r="AG1246" s="319">
        <v>2</v>
      </c>
      <c r="AH1246" s="320">
        <v>1.5267175572519E-2</v>
      </c>
      <c r="AI1246" s="319">
        <v>0</v>
      </c>
      <c r="AJ1246" s="320">
        <v>0</v>
      </c>
      <c r="AK1246" s="320">
        <v>7.6335877862595417E-3</v>
      </c>
      <c r="AL1246" s="319"/>
      <c r="AM1246" s="319"/>
      <c r="AN1246" s="319"/>
      <c r="AO1246" s="319"/>
      <c r="AP1246">
        <v>2</v>
      </c>
      <c r="AR1246" s="136">
        <v>2</v>
      </c>
      <c r="AT1246" s="69">
        <v>2.3148</v>
      </c>
      <c r="AU1246" s="69">
        <v>7.6852</v>
      </c>
      <c r="AV1246" s="69">
        <v>8.1305999999999994</v>
      </c>
      <c r="AW1246" s="69">
        <v>0.60440000000000005</v>
      </c>
      <c r="BB1246" s="69"/>
    </row>
    <row r="1247" spans="1:54" customFormat="1" ht="40" customHeight="1">
      <c r="A1247" s="313">
        <v>1246</v>
      </c>
      <c r="B1247" s="136" t="s">
        <v>3243</v>
      </c>
      <c r="C1247" s="136" t="s">
        <v>45</v>
      </c>
      <c r="D1247" s="31"/>
      <c r="E1247" s="137" t="s">
        <v>46</v>
      </c>
      <c r="F1247" s="31"/>
      <c r="G1247" s="137" t="s">
        <v>3394</v>
      </c>
      <c r="H1247" s="138">
        <v>142</v>
      </c>
      <c r="I1247" s="158"/>
      <c r="J1247" s="95"/>
      <c r="K1247" s="137">
        <v>0.50512834069460699</v>
      </c>
      <c r="L1247" s="137">
        <v>0.22412410274812899</v>
      </c>
      <c r="M1247" s="137">
        <v>3.67879441171442E-2</v>
      </c>
      <c r="N1247" s="136" t="s">
        <v>3395</v>
      </c>
      <c r="O1247" s="32" t="s">
        <v>3396</v>
      </c>
      <c r="P1247" s="98">
        <f t="shared" si="88"/>
        <v>1</v>
      </c>
      <c r="Q1247">
        <v>3</v>
      </c>
      <c r="R1247">
        <v>0</v>
      </c>
      <c r="S1247">
        <v>0</v>
      </c>
      <c r="T1247" t="s">
        <v>5088</v>
      </c>
      <c r="U1247" s="1" t="s">
        <v>3397</v>
      </c>
      <c r="V1247" t="s">
        <v>3398</v>
      </c>
      <c r="W1247" s="319">
        <v>34</v>
      </c>
      <c r="X1247" s="319">
        <v>12</v>
      </c>
      <c r="Y1247" s="319">
        <v>1</v>
      </c>
      <c r="Z1247" s="314"/>
      <c r="AA1247" s="319">
        <v>0.5</v>
      </c>
      <c r="AB1247" s="315" t="s">
        <v>5165</v>
      </c>
      <c r="AC1247" s="319">
        <v>2</v>
      </c>
      <c r="AD1247" s="320">
        <v>0.11111111111111099</v>
      </c>
      <c r="AE1247" s="319">
        <v>0</v>
      </c>
      <c r="AF1247" s="320">
        <v>0</v>
      </c>
      <c r="AG1247" s="319">
        <v>0</v>
      </c>
      <c r="AH1247" s="320">
        <v>0</v>
      </c>
      <c r="AI1247" s="319">
        <v>0</v>
      </c>
      <c r="AJ1247" s="320">
        <v>0</v>
      </c>
      <c r="AK1247" s="320">
        <v>0</v>
      </c>
      <c r="AL1247" s="319"/>
      <c r="AM1247" s="319"/>
      <c r="AN1247" s="319"/>
      <c r="AO1247" s="319"/>
      <c r="AP1247">
        <v>1</v>
      </c>
      <c r="AQ1247">
        <v>1</v>
      </c>
      <c r="AR1247" s="136"/>
      <c r="AT1247" s="69">
        <v>2.3148</v>
      </c>
      <c r="AU1247" s="69">
        <v>2.3148</v>
      </c>
      <c r="AV1247" s="69">
        <v>2.3148</v>
      </c>
      <c r="AW1247" s="69">
        <v>0.23150000000000001</v>
      </c>
      <c r="BB1247" s="69"/>
    </row>
    <row r="1248" spans="1:54" customFormat="1" ht="40" customHeight="1">
      <c r="A1248" s="313">
        <v>1247</v>
      </c>
      <c r="B1248" s="136" t="s">
        <v>3243</v>
      </c>
      <c r="C1248" s="136" t="s">
        <v>45</v>
      </c>
      <c r="D1248" s="31"/>
      <c r="E1248" s="137" t="s">
        <v>46</v>
      </c>
      <c r="F1248" s="31"/>
      <c r="G1248" s="137" t="s">
        <v>3399</v>
      </c>
      <c r="H1248" s="138">
        <v>90</v>
      </c>
      <c r="I1248" s="158"/>
      <c r="J1248" s="95"/>
      <c r="K1248" s="137">
        <v>0.71428571428571397</v>
      </c>
      <c r="L1248" s="137">
        <v>0.29383440270848199</v>
      </c>
      <c r="M1248" s="137">
        <v>1.35335283236613E-2</v>
      </c>
      <c r="N1248" s="136" t="s">
        <v>3400</v>
      </c>
      <c r="O1248" s="32" t="s">
        <v>3396</v>
      </c>
      <c r="P1248" s="98">
        <f t="shared" si="88"/>
        <v>1</v>
      </c>
      <c r="Q1248">
        <v>0</v>
      </c>
      <c r="R1248">
        <v>0</v>
      </c>
      <c r="S1248">
        <v>1</v>
      </c>
      <c r="T1248" t="s">
        <v>5133</v>
      </c>
      <c r="U1248" t="s">
        <v>3401</v>
      </c>
      <c r="V1248" t="s">
        <v>3402</v>
      </c>
      <c r="W1248" s="319">
        <v>94</v>
      </c>
      <c r="X1248" s="319">
        <v>4</v>
      </c>
      <c r="Y1248" s="319">
        <v>1</v>
      </c>
      <c r="Z1248" s="314"/>
      <c r="AA1248" s="319">
        <v>0.55000000000000004</v>
      </c>
      <c r="AB1248" s="315" t="s">
        <v>5165</v>
      </c>
      <c r="AC1248" s="319">
        <v>2</v>
      </c>
      <c r="AD1248" s="320">
        <v>3.7037037037037E-2</v>
      </c>
      <c r="AE1248" s="319">
        <v>1</v>
      </c>
      <c r="AF1248" s="320">
        <v>1.85185185185185E-2</v>
      </c>
      <c r="AG1248" s="319">
        <v>0</v>
      </c>
      <c r="AH1248" s="320">
        <v>0</v>
      </c>
      <c r="AI1248" s="319">
        <v>0</v>
      </c>
      <c r="AJ1248" s="320">
        <v>0</v>
      </c>
      <c r="AK1248" s="320">
        <v>0</v>
      </c>
      <c r="AL1248" s="319"/>
      <c r="AM1248" s="319"/>
      <c r="AN1248" s="319"/>
      <c r="AO1248" s="319"/>
      <c r="AP1248">
        <v>1</v>
      </c>
      <c r="AR1248" s="136">
        <v>1</v>
      </c>
      <c r="AT1248" s="69">
        <v>2.3148</v>
      </c>
      <c r="AU1248" s="69">
        <v>2.3148</v>
      </c>
      <c r="AV1248" s="69">
        <v>2.3148</v>
      </c>
      <c r="AW1248" s="69">
        <v>0.23150000000000001</v>
      </c>
      <c r="BB1248" s="69"/>
    </row>
    <row r="1249" spans="1:54" customFormat="1" ht="40" customHeight="1">
      <c r="A1249" s="313">
        <v>1248</v>
      </c>
      <c r="B1249" s="136" t="s">
        <v>3243</v>
      </c>
      <c r="C1249" s="136" t="s">
        <v>1191</v>
      </c>
      <c r="D1249" s="31"/>
      <c r="E1249" s="137" t="s">
        <v>46</v>
      </c>
      <c r="F1249" s="31"/>
      <c r="G1249" s="137" t="s">
        <v>3403</v>
      </c>
      <c r="H1249" s="138">
        <v>62</v>
      </c>
      <c r="I1249" s="158"/>
      <c r="J1249" s="95"/>
      <c r="K1249" s="137">
        <v>0.31488121095532601</v>
      </c>
      <c r="L1249" s="137">
        <v>0.18595248438213</v>
      </c>
      <c r="M1249" s="137">
        <v>0.1</v>
      </c>
      <c r="N1249" s="136" t="s">
        <v>3404</v>
      </c>
      <c r="O1249" s="32" t="s">
        <v>3405</v>
      </c>
      <c r="P1249" s="98">
        <f t="shared" si="88"/>
        <v>2</v>
      </c>
      <c r="Q1249">
        <v>2</v>
      </c>
      <c r="R1249">
        <v>0</v>
      </c>
      <c r="S1249">
        <v>2</v>
      </c>
      <c r="T1249" t="s">
        <v>64</v>
      </c>
      <c r="U1249" t="s">
        <v>3406</v>
      </c>
      <c r="V1249" s="1" t="s">
        <v>3407</v>
      </c>
      <c r="W1249" s="319">
        <v>994</v>
      </c>
      <c r="X1249" s="319">
        <v>23</v>
      </c>
      <c r="Y1249" s="319">
        <v>12</v>
      </c>
      <c r="Z1249" s="314"/>
      <c r="AA1249" s="319">
        <v>0.60499999999999998</v>
      </c>
      <c r="AB1249" s="315" t="s">
        <v>5176</v>
      </c>
      <c r="AC1249" s="319">
        <v>2</v>
      </c>
      <c r="AD1249" s="320">
        <v>3.5149384885764501E-3</v>
      </c>
      <c r="AE1249" s="319">
        <v>3</v>
      </c>
      <c r="AF1249" s="320">
        <v>5.2724077328646698E-3</v>
      </c>
      <c r="AG1249" s="319">
        <v>2</v>
      </c>
      <c r="AH1249" s="320">
        <v>3.5149384885764501E-3</v>
      </c>
      <c r="AI1249" s="319">
        <v>1</v>
      </c>
      <c r="AJ1249" s="320">
        <v>1.7574692442882201E-3</v>
      </c>
      <c r="AK1249" s="320">
        <v>0</v>
      </c>
      <c r="AL1249" s="319"/>
      <c r="AM1249" s="319"/>
      <c r="AN1249" s="319"/>
      <c r="AO1249" s="319"/>
      <c r="AP1249">
        <v>12</v>
      </c>
      <c r="AR1249" s="136"/>
      <c r="AS1249">
        <v>12</v>
      </c>
      <c r="AT1249" s="69">
        <v>2.3148</v>
      </c>
      <c r="AU1249" s="69">
        <v>5</v>
      </c>
      <c r="AV1249" s="69">
        <v>8.1305999999999994</v>
      </c>
      <c r="AW1249" s="69">
        <v>0.51480000000000004</v>
      </c>
      <c r="BB1249" s="69"/>
    </row>
    <row r="1250" spans="1:54" customFormat="1" ht="40" customHeight="1">
      <c r="A1250" s="313">
        <v>1249</v>
      </c>
      <c r="B1250" s="136" t="s">
        <v>3243</v>
      </c>
      <c r="C1250" s="136" t="s">
        <v>45</v>
      </c>
      <c r="D1250" s="31"/>
      <c r="E1250" s="137" t="s">
        <v>80</v>
      </c>
      <c r="F1250" s="31"/>
      <c r="G1250" s="137" t="s">
        <v>3408</v>
      </c>
      <c r="H1250" s="138">
        <v>149</v>
      </c>
      <c r="I1250" s="158"/>
      <c r="J1250" s="95"/>
      <c r="K1250" s="137">
        <v>8.5267966081021607E-2</v>
      </c>
      <c r="L1250" s="137">
        <v>0.19720409613995099</v>
      </c>
      <c r="M1250" s="137">
        <v>0.27182818284590399</v>
      </c>
      <c r="N1250" s="136" t="s">
        <v>3241</v>
      </c>
      <c r="O1250" s="32" t="s">
        <v>3405</v>
      </c>
      <c r="P1250" s="98">
        <f t="shared" si="88"/>
        <v>1</v>
      </c>
      <c r="Q1250">
        <v>2</v>
      </c>
      <c r="R1250">
        <v>0</v>
      </c>
      <c r="S1250">
        <v>0</v>
      </c>
      <c r="T1250" t="s">
        <v>5088</v>
      </c>
      <c r="U1250" t="s">
        <v>3409</v>
      </c>
      <c r="V1250" s="1" t="s">
        <v>3410</v>
      </c>
      <c r="W1250" s="319">
        <v>1146</v>
      </c>
      <c r="X1250" s="319">
        <v>41</v>
      </c>
      <c r="Y1250" s="319">
        <v>13</v>
      </c>
      <c r="Z1250" s="314"/>
      <c r="AA1250" s="319">
        <v>0.66549999999999998</v>
      </c>
      <c r="AB1250" s="315" t="s">
        <v>5165</v>
      </c>
      <c r="AC1250" s="319">
        <v>8</v>
      </c>
      <c r="AD1250" s="320">
        <v>1.26582278481012E-2</v>
      </c>
      <c r="AE1250" s="319">
        <v>3</v>
      </c>
      <c r="AF1250" s="320">
        <v>4.7468354430379696E-3</v>
      </c>
      <c r="AG1250" s="319">
        <v>2</v>
      </c>
      <c r="AH1250" s="320">
        <v>3.1645569620253099E-3</v>
      </c>
      <c r="AI1250" s="319">
        <v>2</v>
      </c>
      <c r="AJ1250" s="320">
        <v>3.1645569620253099E-3</v>
      </c>
      <c r="AK1250" s="320">
        <v>0</v>
      </c>
      <c r="AL1250" s="319"/>
      <c r="AM1250" s="319"/>
      <c r="AN1250" s="319"/>
      <c r="AO1250" s="319"/>
      <c r="AP1250">
        <v>13</v>
      </c>
      <c r="AR1250" s="136">
        <v>13</v>
      </c>
      <c r="AT1250" s="69">
        <v>2.3148</v>
      </c>
      <c r="AU1250" s="69">
        <v>2.3148</v>
      </c>
      <c r="AV1250" s="69">
        <v>2.3148</v>
      </c>
      <c r="AW1250" s="69">
        <v>0.23150000000000001</v>
      </c>
      <c r="BB1250" s="69"/>
    </row>
    <row r="1251" spans="1:54" customFormat="1" ht="40" customHeight="1">
      <c r="A1251" s="313">
        <v>1250</v>
      </c>
      <c r="B1251" s="136" t="s">
        <v>3243</v>
      </c>
      <c r="C1251" s="136" t="s">
        <v>45</v>
      </c>
      <c r="D1251" s="31"/>
      <c r="E1251" s="137" t="s">
        <v>80</v>
      </c>
      <c r="F1251" s="31"/>
      <c r="G1251" s="137" t="s">
        <v>3411</v>
      </c>
      <c r="H1251" s="138">
        <v>51</v>
      </c>
      <c r="I1251" s="158"/>
      <c r="J1251" s="95"/>
      <c r="K1251" s="137">
        <v>0.65007289388811795</v>
      </c>
      <c r="L1251" s="137">
        <v>0.42312606726279001</v>
      </c>
      <c r="M1251" s="137">
        <v>0.27182818284590399</v>
      </c>
      <c r="N1251" s="136" t="s">
        <v>3241</v>
      </c>
      <c r="O1251" s="32" t="s">
        <v>3405</v>
      </c>
      <c r="P1251" s="98">
        <f t="shared" si="88"/>
        <v>0</v>
      </c>
      <c r="Q1251">
        <v>0</v>
      </c>
      <c r="R1251">
        <v>0</v>
      </c>
      <c r="S1251">
        <v>0</v>
      </c>
      <c r="T1251" t="s">
        <v>48</v>
      </c>
      <c r="U1251" s="322" t="s">
        <v>3412</v>
      </c>
      <c r="V1251" t="s">
        <v>3413</v>
      </c>
      <c r="W1251" s="319">
        <v>407</v>
      </c>
      <c r="X1251" s="319">
        <v>6</v>
      </c>
      <c r="Y1251" s="319">
        <v>7</v>
      </c>
      <c r="Z1251" s="314"/>
      <c r="AA1251" s="319">
        <v>0.55000000000000004</v>
      </c>
      <c r="AB1251" s="315" t="s">
        <v>5176</v>
      </c>
      <c r="AC1251" s="319">
        <v>2</v>
      </c>
      <c r="AD1251" s="320">
        <v>8.3333333333333297E-3</v>
      </c>
      <c r="AE1251" s="319">
        <v>3</v>
      </c>
      <c r="AF1251" s="320">
        <v>1.2500000000000001E-2</v>
      </c>
      <c r="AG1251" s="319">
        <v>0</v>
      </c>
      <c r="AH1251" s="320">
        <v>0</v>
      </c>
      <c r="AI1251" s="319">
        <v>1</v>
      </c>
      <c r="AJ1251" s="320">
        <v>4.1666666666666597E-3</v>
      </c>
      <c r="AK1251" s="320">
        <v>0</v>
      </c>
      <c r="AL1251" s="319"/>
      <c r="AM1251" s="319"/>
      <c r="AN1251" s="319"/>
      <c r="AO1251" s="319"/>
      <c r="AP1251">
        <v>7</v>
      </c>
      <c r="AR1251" s="136">
        <v>7</v>
      </c>
      <c r="AT1251" s="69">
        <v>2.3148</v>
      </c>
      <c r="AU1251" s="69">
        <v>2.3148</v>
      </c>
      <c r="AV1251" s="69">
        <v>8.1305999999999994</v>
      </c>
      <c r="AW1251" s="69">
        <v>0.42530000000000001</v>
      </c>
      <c r="BB1251" s="69"/>
    </row>
    <row r="1252" spans="1:54" customFormat="1" ht="40" customHeight="1">
      <c r="A1252" s="313">
        <v>1251</v>
      </c>
      <c r="B1252" s="136" t="s">
        <v>3243</v>
      </c>
      <c r="C1252" s="136" t="s">
        <v>45</v>
      </c>
      <c r="D1252" s="31"/>
      <c r="E1252" s="137" t="s">
        <v>3414</v>
      </c>
      <c r="F1252" s="31"/>
      <c r="G1252" s="137" t="s">
        <v>3415</v>
      </c>
      <c r="H1252" s="138">
        <v>123</v>
      </c>
      <c r="I1252" s="158"/>
      <c r="J1252" s="95"/>
      <c r="K1252" s="137">
        <v>0.48492124636228701</v>
      </c>
      <c r="L1252" s="137">
        <v>0.25396849854491499</v>
      </c>
      <c r="M1252" s="137">
        <v>0.1</v>
      </c>
      <c r="N1252" s="136" t="s">
        <v>3241</v>
      </c>
      <c r="O1252" s="32" t="s">
        <v>3416</v>
      </c>
      <c r="P1252" s="98">
        <f t="shared" si="88"/>
        <v>1</v>
      </c>
      <c r="Q1252">
        <v>1</v>
      </c>
      <c r="R1252">
        <v>2</v>
      </c>
      <c r="S1252">
        <v>6</v>
      </c>
      <c r="T1252" t="s">
        <v>5133</v>
      </c>
      <c r="U1252" t="s">
        <v>3417</v>
      </c>
      <c r="V1252" s="1" t="s">
        <v>3418</v>
      </c>
      <c r="W1252" s="319">
        <v>84</v>
      </c>
      <c r="X1252" s="319">
        <v>13</v>
      </c>
      <c r="Y1252" s="319">
        <v>1</v>
      </c>
      <c r="Z1252" s="314"/>
      <c r="AA1252" s="319">
        <v>0.55000000000000004</v>
      </c>
      <c r="AB1252" s="315" t="s">
        <v>5165</v>
      </c>
      <c r="AC1252" s="319">
        <v>2</v>
      </c>
      <c r="AD1252" s="320">
        <v>4.6511627906976702E-2</v>
      </c>
      <c r="AE1252" s="319">
        <v>0</v>
      </c>
      <c r="AF1252" s="320">
        <v>0</v>
      </c>
      <c r="AG1252" s="319">
        <v>1</v>
      </c>
      <c r="AH1252" s="320">
        <v>2.3255813953488299E-2</v>
      </c>
      <c r="AI1252" s="319">
        <v>0</v>
      </c>
      <c r="AJ1252" s="320">
        <v>0</v>
      </c>
      <c r="AK1252" s="320">
        <v>0</v>
      </c>
      <c r="AL1252" s="319"/>
      <c r="AM1252" s="319"/>
      <c r="AN1252" s="319"/>
      <c r="AO1252" s="319"/>
      <c r="AP1252">
        <v>1</v>
      </c>
      <c r="AQ1252">
        <v>1</v>
      </c>
      <c r="AR1252" s="136"/>
      <c r="AT1252" s="69">
        <v>2.3148</v>
      </c>
      <c r="AU1252" s="69">
        <v>2.3148</v>
      </c>
      <c r="AV1252" s="69">
        <v>8.1305999999999994</v>
      </c>
      <c r="AW1252" s="69">
        <v>0.42530000000000001</v>
      </c>
      <c r="BB1252" s="69"/>
    </row>
    <row r="1253" spans="1:54" customFormat="1" ht="40" customHeight="1">
      <c r="A1253" s="313">
        <v>1252</v>
      </c>
      <c r="B1253" s="136" t="s">
        <v>3243</v>
      </c>
      <c r="C1253" s="136" t="s">
        <v>45</v>
      </c>
      <c r="D1253" s="31"/>
      <c r="E1253" s="137" t="s">
        <v>46</v>
      </c>
      <c r="F1253" s="31"/>
      <c r="G1253" s="137" t="s">
        <v>3419</v>
      </c>
      <c r="H1253" s="138">
        <v>267</v>
      </c>
      <c r="I1253" s="158"/>
      <c r="J1253" s="95"/>
      <c r="K1253" s="137">
        <v>0.48492124636228701</v>
      </c>
      <c r="L1253" s="137">
        <v>0.21604126501520099</v>
      </c>
      <c r="M1253" s="137">
        <v>3.67879441171442E-2</v>
      </c>
      <c r="N1253" s="136" t="s">
        <v>3420</v>
      </c>
      <c r="O1253" s="32" t="s">
        <v>3416</v>
      </c>
      <c r="P1253" s="98">
        <f t="shared" si="88"/>
        <v>1</v>
      </c>
      <c r="Q1253">
        <v>0</v>
      </c>
      <c r="R1253">
        <v>6</v>
      </c>
      <c r="S1253">
        <v>0</v>
      </c>
      <c r="T1253" t="s">
        <v>73</v>
      </c>
      <c r="U1253" s="1" t="s">
        <v>3389</v>
      </c>
      <c r="V1253" s="1" t="s">
        <v>3421</v>
      </c>
      <c r="W1253" s="319">
        <v>195</v>
      </c>
      <c r="X1253" s="319">
        <v>13</v>
      </c>
      <c r="Y1253" s="319">
        <v>3</v>
      </c>
      <c r="Z1253" s="314"/>
      <c r="AA1253" s="319">
        <v>0.70884499999999995</v>
      </c>
      <c r="AB1253" s="315" t="s">
        <v>5178</v>
      </c>
      <c r="AC1253" s="319">
        <v>2</v>
      </c>
      <c r="AD1253" s="320">
        <v>1.9801980198019799E-2</v>
      </c>
      <c r="AE1253" s="319">
        <v>2</v>
      </c>
      <c r="AF1253" s="320">
        <v>1.9801980198019799E-2</v>
      </c>
      <c r="AG1253" s="319">
        <v>1</v>
      </c>
      <c r="AH1253" s="320">
        <v>9.9009900990098994E-3</v>
      </c>
      <c r="AI1253" s="319">
        <v>0</v>
      </c>
      <c r="AJ1253" s="320">
        <v>0</v>
      </c>
      <c r="AK1253" s="320">
        <v>9.9009900990099011E-3</v>
      </c>
      <c r="AL1253" s="319"/>
      <c r="AM1253" s="319"/>
      <c r="AN1253" s="319"/>
      <c r="AO1253" s="319"/>
      <c r="AP1253">
        <v>3</v>
      </c>
      <c r="AR1253" s="136">
        <v>3</v>
      </c>
      <c r="AT1253" s="69">
        <v>2.3148</v>
      </c>
      <c r="AU1253" s="69">
        <v>7.6852</v>
      </c>
      <c r="AV1253" s="69">
        <v>8.1305999999999994</v>
      </c>
      <c r="AW1253" s="69">
        <v>0.60440000000000005</v>
      </c>
      <c r="BB1253" s="69"/>
    </row>
    <row r="1254" spans="1:54" customFormat="1" ht="40" customHeight="1">
      <c r="A1254" s="313">
        <v>1253</v>
      </c>
      <c r="B1254" s="136" t="s">
        <v>3243</v>
      </c>
      <c r="C1254" s="136" t="s">
        <v>45</v>
      </c>
      <c r="D1254" s="31"/>
      <c r="E1254" s="137" t="s">
        <v>46</v>
      </c>
      <c r="F1254" s="31"/>
      <c r="G1254" s="137" t="s">
        <v>3422</v>
      </c>
      <c r="H1254" s="138">
        <v>267</v>
      </c>
      <c r="I1254" s="158"/>
      <c r="J1254" s="95"/>
      <c r="K1254" s="137">
        <v>0.48492124636228701</v>
      </c>
      <c r="L1254" s="137">
        <v>0.21604126501520099</v>
      </c>
      <c r="M1254" s="137">
        <v>3.67879441171442E-2</v>
      </c>
      <c r="N1254" s="136" t="s">
        <v>3423</v>
      </c>
      <c r="O1254" s="32" t="s">
        <v>3416</v>
      </c>
      <c r="P1254" s="98">
        <f t="shared" si="88"/>
        <v>1</v>
      </c>
      <c r="Q1254">
        <v>0</v>
      </c>
      <c r="R1254">
        <v>6</v>
      </c>
      <c r="S1254">
        <v>0</v>
      </c>
      <c r="T1254" t="s">
        <v>73</v>
      </c>
      <c r="U1254" s="1" t="s">
        <v>3389</v>
      </c>
      <c r="V1254" s="1" t="s">
        <v>3424</v>
      </c>
      <c r="W1254" s="319">
        <v>195</v>
      </c>
      <c r="X1254" s="319">
        <v>13</v>
      </c>
      <c r="Y1254" s="319">
        <v>3</v>
      </c>
      <c r="Z1254" s="314"/>
      <c r="AA1254" s="319">
        <v>0.70884499999999995</v>
      </c>
      <c r="AB1254" s="315" t="s">
        <v>5178</v>
      </c>
      <c r="AC1254" s="319">
        <v>2</v>
      </c>
      <c r="AD1254" s="320">
        <v>1.9801980198019799E-2</v>
      </c>
      <c r="AE1254" s="319">
        <v>2</v>
      </c>
      <c r="AF1254" s="320">
        <v>1.9801980198019799E-2</v>
      </c>
      <c r="AG1254" s="319">
        <v>1</v>
      </c>
      <c r="AH1254" s="320">
        <v>9.9009900990098994E-3</v>
      </c>
      <c r="AI1254" s="319">
        <v>0</v>
      </c>
      <c r="AJ1254" s="320">
        <v>0</v>
      </c>
      <c r="AK1254" s="320">
        <v>9.9009900990099011E-3</v>
      </c>
      <c r="AL1254" s="319"/>
      <c r="AM1254" s="319"/>
      <c r="AN1254" s="319"/>
      <c r="AO1254" s="319"/>
      <c r="AP1254">
        <v>3</v>
      </c>
      <c r="AR1254" s="136">
        <v>3</v>
      </c>
      <c r="AT1254" s="69">
        <v>2.3148</v>
      </c>
      <c r="AU1254" s="69">
        <v>7.6852</v>
      </c>
      <c r="AV1254" s="69">
        <v>8.1305999999999994</v>
      </c>
      <c r="AW1254" s="69">
        <v>0.60440000000000005</v>
      </c>
      <c r="BB1254" s="69"/>
    </row>
    <row r="1255" spans="1:54" customFormat="1" ht="40" customHeight="1">
      <c r="A1255" s="313">
        <v>1254</v>
      </c>
      <c r="B1255" s="136" t="s">
        <v>3243</v>
      </c>
      <c r="C1255" s="136" t="s">
        <v>45</v>
      </c>
      <c r="D1255" s="31"/>
      <c r="E1255" s="137" t="s">
        <v>46</v>
      </c>
      <c r="F1255" s="31"/>
      <c r="G1255" s="137" t="s">
        <v>3391</v>
      </c>
      <c r="H1255" s="138">
        <v>258</v>
      </c>
      <c r="I1255" s="158"/>
      <c r="J1255" s="95"/>
      <c r="K1255" s="137">
        <v>0.57142857142857095</v>
      </c>
      <c r="L1255" s="137">
        <v>0.25064419504171498</v>
      </c>
      <c r="M1255" s="137">
        <v>3.67879441171442E-2</v>
      </c>
      <c r="N1255" s="136" t="s">
        <v>3241</v>
      </c>
      <c r="O1255" s="32" t="s">
        <v>3416</v>
      </c>
      <c r="P1255" s="98">
        <f t="shared" si="88"/>
        <v>1</v>
      </c>
      <c r="Q1255">
        <v>0</v>
      </c>
      <c r="R1255">
        <v>6</v>
      </c>
      <c r="S1255">
        <v>0</v>
      </c>
      <c r="T1255" t="s">
        <v>73</v>
      </c>
      <c r="U1255" t="s">
        <v>3425</v>
      </c>
      <c r="V1255" s="1" t="s">
        <v>3426</v>
      </c>
      <c r="W1255" s="319">
        <v>199</v>
      </c>
      <c r="X1255" s="319">
        <v>9</v>
      </c>
      <c r="Y1255" s="319">
        <v>4</v>
      </c>
      <c r="Z1255" s="314"/>
      <c r="AA1255" s="319">
        <v>0.70884499999999995</v>
      </c>
      <c r="AB1255" s="315" t="s">
        <v>5178</v>
      </c>
      <c r="AC1255" s="319">
        <v>2</v>
      </c>
      <c r="AD1255" s="320">
        <v>1.94174757281553E-2</v>
      </c>
      <c r="AE1255" s="319">
        <v>2</v>
      </c>
      <c r="AF1255" s="320">
        <v>1.94174757281553E-2</v>
      </c>
      <c r="AG1255" s="319">
        <v>1</v>
      </c>
      <c r="AH1255" s="320">
        <v>9.7087378640776708E-3</v>
      </c>
      <c r="AI1255" s="319">
        <v>0</v>
      </c>
      <c r="AJ1255" s="320">
        <v>0</v>
      </c>
      <c r="AK1255" s="320">
        <v>9.7087378640776691E-3</v>
      </c>
      <c r="AL1255" s="319"/>
      <c r="AM1255" s="319"/>
      <c r="AN1255" s="319"/>
      <c r="AO1255" s="319"/>
      <c r="AP1255">
        <v>4</v>
      </c>
      <c r="AQ1255">
        <v>4</v>
      </c>
      <c r="AR1255" s="136"/>
      <c r="AT1255" s="69">
        <v>2.3148</v>
      </c>
      <c r="AU1255" s="69">
        <v>7.6852</v>
      </c>
      <c r="AV1255" s="69">
        <v>8.1305999999999994</v>
      </c>
      <c r="AW1255" s="69">
        <v>0.60440000000000005</v>
      </c>
      <c r="BB1255" s="69"/>
    </row>
    <row r="1256" spans="1:54" customFormat="1" ht="40" customHeight="1">
      <c r="A1256" s="313">
        <v>1255</v>
      </c>
      <c r="B1256" s="136" t="s">
        <v>3243</v>
      </c>
      <c r="C1256" s="136" t="s">
        <v>119</v>
      </c>
      <c r="D1256" s="31"/>
      <c r="E1256" s="137" t="s">
        <v>46</v>
      </c>
      <c r="F1256" s="31"/>
      <c r="G1256" s="137" t="s">
        <v>3391</v>
      </c>
      <c r="H1256" s="138">
        <v>249</v>
      </c>
      <c r="I1256" s="158"/>
      <c r="J1256" s="95"/>
      <c r="K1256" s="137">
        <v>0.48492124636228701</v>
      </c>
      <c r="L1256" s="137">
        <v>0.25396849854491499</v>
      </c>
      <c r="M1256" s="137">
        <v>0.1</v>
      </c>
      <c r="N1256" s="136" t="s">
        <v>3427</v>
      </c>
      <c r="O1256" s="32" t="s">
        <v>3416</v>
      </c>
      <c r="P1256" s="98">
        <f t="shared" si="88"/>
        <v>1</v>
      </c>
      <c r="Q1256">
        <v>0</v>
      </c>
      <c r="R1256">
        <v>6</v>
      </c>
      <c r="S1256">
        <v>0</v>
      </c>
      <c r="T1256" t="s">
        <v>73</v>
      </c>
      <c r="U1256" s="1" t="s">
        <v>3428</v>
      </c>
      <c r="V1256" t="s">
        <v>3429</v>
      </c>
      <c r="W1256" s="319">
        <v>199</v>
      </c>
      <c r="X1256" s="319">
        <v>13</v>
      </c>
      <c r="Y1256" s="319">
        <v>4</v>
      </c>
      <c r="Z1256" s="314"/>
      <c r="AA1256" s="319">
        <v>0.70884499999999995</v>
      </c>
      <c r="AB1256" s="315" t="s">
        <v>5178</v>
      </c>
      <c r="AC1256" s="319">
        <v>2</v>
      </c>
      <c r="AD1256" s="320">
        <v>1.94174757281553E-2</v>
      </c>
      <c r="AE1256" s="319">
        <v>2</v>
      </c>
      <c r="AF1256" s="320">
        <v>1.94174757281553E-2</v>
      </c>
      <c r="AG1256" s="319">
        <v>1</v>
      </c>
      <c r="AH1256" s="320">
        <v>9.7087378640776708E-3</v>
      </c>
      <c r="AI1256" s="319">
        <v>0</v>
      </c>
      <c r="AJ1256" s="320">
        <v>0</v>
      </c>
      <c r="AK1256" s="320">
        <v>9.7087378640776691E-3</v>
      </c>
      <c r="AL1256" s="319"/>
      <c r="AM1256" s="319"/>
      <c r="AN1256" s="319"/>
      <c r="AO1256" s="319"/>
      <c r="AP1256">
        <v>4</v>
      </c>
      <c r="AQ1256">
        <v>4</v>
      </c>
      <c r="AR1256" s="136"/>
      <c r="AT1256" s="69">
        <v>2.3148</v>
      </c>
      <c r="AU1256" s="69">
        <v>7.6852</v>
      </c>
      <c r="AV1256" s="69">
        <v>8.1305999999999994</v>
      </c>
      <c r="AW1256" s="69">
        <v>0.60440000000000005</v>
      </c>
      <c r="BB1256" s="69"/>
    </row>
    <row r="1257" spans="1:54" customFormat="1" ht="40" customHeight="1">
      <c r="A1257" s="313">
        <v>1256</v>
      </c>
      <c r="B1257" s="136" t="s">
        <v>3243</v>
      </c>
      <c r="C1257" s="136" t="s">
        <v>45</v>
      </c>
      <c r="D1257" s="31"/>
      <c r="E1257" s="137" t="s">
        <v>46</v>
      </c>
      <c r="F1257" s="31"/>
      <c r="G1257" s="137" t="s">
        <v>3430</v>
      </c>
      <c r="H1257" s="138">
        <v>274</v>
      </c>
      <c r="I1257" s="158"/>
      <c r="J1257" s="95"/>
      <c r="K1257" s="137">
        <v>0.30014578777623502</v>
      </c>
      <c r="L1257" s="137">
        <v>0.14213108158078</v>
      </c>
      <c r="M1257" s="137">
        <v>3.67879441171442E-2</v>
      </c>
      <c r="N1257" s="136" t="s">
        <v>3431</v>
      </c>
      <c r="O1257" s="32" t="s">
        <v>3416</v>
      </c>
      <c r="P1257" s="98">
        <f t="shared" si="88"/>
        <v>1</v>
      </c>
      <c r="Q1257">
        <v>0</v>
      </c>
      <c r="R1257">
        <v>6</v>
      </c>
      <c r="S1257">
        <v>0</v>
      </c>
      <c r="T1257" t="s">
        <v>73</v>
      </c>
      <c r="U1257" s="1" t="s">
        <v>3432</v>
      </c>
      <c r="V1257" s="1" t="s">
        <v>3433</v>
      </c>
      <c r="W1257" s="319">
        <v>196</v>
      </c>
      <c r="X1257" s="319">
        <v>24</v>
      </c>
      <c r="Y1257" s="319">
        <v>4</v>
      </c>
      <c r="Z1257" s="314"/>
      <c r="AA1257" s="319">
        <v>0.70884499999999995</v>
      </c>
      <c r="AB1257" s="315" t="s">
        <v>5179</v>
      </c>
      <c r="AC1257" s="319">
        <v>2</v>
      </c>
      <c r="AD1257" s="320">
        <v>0.02</v>
      </c>
      <c r="AE1257" s="319">
        <v>2</v>
      </c>
      <c r="AF1257" s="320">
        <v>0.02</v>
      </c>
      <c r="AG1257" s="319">
        <v>2</v>
      </c>
      <c r="AH1257" s="320">
        <v>0.02</v>
      </c>
      <c r="AI1257" s="319">
        <v>0</v>
      </c>
      <c r="AJ1257" s="320">
        <v>0</v>
      </c>
      <c r="AK1257" s="320">
        <v>0.01</v>
      </c>
      <c r="AL1257" s="319"/>
      <c r="AM1257" s="319"/>
      <c r="AN1257" s="319"/>
      <c r="AO1257" s="319"/>
      <c r="AP1257">
        <v>4</v>
      </c>
      <c r="AQ1257">
        <v>4</v>
      </c>
      <c r="AR1257" s="136"/>
      <c r="AT1257" s="69">
        <v>2.3148</v>
      </c>
      <c r="AU1257" s="69">
        <v>7.6852</v>
      </c>
      <c r="AV1257" s="69">
        <v>8.1305999999999994</v>
      </c>
      <c r="AW1257" s="69">
        <v>0.60440000000000005</v>
      </c>
      <c r="BB1257" s="69"/>
    </row>
    <row r="1258" spans="1:54" customFormat="1" ht="40" customHeight="1">
      <c r="A1258" s="313">
        <v>1257</v>
      </c>
      <c r="B1258" s="136" t="s">
        <v>3243</v>
      </c>
      <c r="C1258" s="136" t="s">
        <v>45</v>
      </c>
      <c r="D1258" s="31"/>
      <c r="E1258" s="137" t="s">
        <v>46</v>
      </c>
      <c r="F1258" s="31"/>
      <c r="G1258" s="137" t="s">
        <v>3391</v>
      </c>
      <c r="H1258" s="138">
        <v>267</v>
      </c>
      <c r="I1258" s="158"/>
      <c r="J1258" s="95"/>
      <c r="K1258" s="137">
        <v>0.57142857142857095</v>
      </c>
      <c r="L1258" s="137">
        <v>0.25064419504171498</v>
      </c>
      <c r="M1258" s="137">
        <v>3.67879441171442E-2</v>
      </c>
      <c r="N1258" s="136" t="s">
        <v>3434</v>
      </c>
      <c r="O1258" s="32" t="s">
        <v>3416</v>
      </c>
      <c r="P1258" s="98">
        <f t="shared" si="88"/>
        <v>1</v>
      </c>
      <c r="Q1258">
        <v>0</v>
      </c>
      <c r="R1258">
        <v>6</v>
      </c>
      <c r="S1258">
        <v>0</v>
      </c>
      <c r="T1258" t="s">
        <v>73</v>
      </c>
      <c r="U1258" s="1" t="s">
        <v>3389</v>
      </c>
      <c r="V1258" s="1" t="s">
        <v>3435</v>
      </c>
      <c r="W1258" s="319">
        <v>199</v>
      </c>
      <c r="X1258" s="319">
        <v>9</v>
      </c>
      <c r="Y1258" s="319">
        <v>4</v>
      </c>
      <c r="Z1258" s="314"/>
      <c r="AA1258" s="319">
        <v>0.70884499999999995</v>
      </c>
      <c r="AB1258" s="315" t="s">
        <v>5178</v>
      </c>
      <c r="AC1258" s="319">
        <v>2</v>
      </c>
      <c r="AD1258" s="320">
        <v>1.94174757281553E-2</v>
      </c>
      <c r="AE1258" s="319">
        <v>2</v>
      </c>
      <c r="AF1258" s="320">
        <v>1.94174757281553E-2</v>
      </c>
      <c r="AG1258" s="319">
        <v>1</v>
      </c>
      <c r="AH1258" s="320">
        <v>9.7087378640776708E-3</v>
      </c>
      <c r="AI1258" s="319">
        <v>0</v>
      </c>
      <c r="AJ1258" s="320">
        <v>0</v>
      </c>
      <c r="AK1258" s="320">
        <v>9.7087378640776691E-3</v>
      </c>
      <c r="AL1258" s="319"/>
      <c r="AM1258" s="319"/>
      <c r="AN1258" s="319"/>
      <c r="AO1258" s="319"/>
      <c r="AP1258">
        <v>4</v>
      </c>
      <c r="AQ1258">
        <v>4</v>
      </c>
      <c r="AR1258" s="136"/>
      <c r="AT1258" s="69">
        <v>2.3148</v>
      </c>
      <c r="AU1258" s="69">
        <v>7.6852</v>
      </c>
      <c r="AV1258" s="69">
        <v>8.1305999999999994</v>
      </c>
      <c r="AW1258" s="69">
        <v>0.60440000000000005</v>
      </c>
      <c r="BB1258" s="69"/>
    </row>
    <row r="1259" spans="1:54" customFormat="1" ht="40" customHeight="1">
      <c r="A1259" s="313">
        <v>1258</v>
      </c>
      <c r="B1259" s="136" t="s">
        <v>3243</v>
      </c>
      <c r="C1259" s="136" t="s">
        <v>45</v>
      </c>
      <c r="D1259" s="31"/>
      <c r="E1259" s="137" t="s">
        <v>46</v>
      </c>
      <c r="F1259" s="31"/>
      <c r="G1259" s="137" t="s">
        <v>3436</v>
      </c>
      <c r="H1259" s="138">
        <v>173</v>
      </c>
      <c r="I1259" s="158"/>
      <c r="J1259" s="95"/>
      <c r="K1259" s="137">
        <v>0.41098491062604903</v>
      </c>
      <c r="L1259" s="137">
        <v>0.22439396425041899</v>
      </c>
      <c r="M1259" s="137">
        <v>0.1</v>
      </c>
      <c r="N1259" s="136" t="s">
        <v>3437</v>
      </c>
      <c r="O1259" s="32" t="s">
        <v>3416</v>
      </c>
      <c r="P1259" s="98">
        <f t="shared" si="88"/>
        <v>1</v>
      </c>
      <c r="Q1259">
        <v>3</v>
      </c>
      <c r="R1259">
        <v>2</v>
      </c>
      <c r="S1259">
        <v>6</v>
      </c>
      <c r="T1259" t="s">
        <v>5133</v>
      </c>
      <c r="U1259" s="1" t="s">
        <v>3438</v>
      </c>
      <c r="V1259" s="1" t="s">
        <v>3439</v>
      </c>
      <c r="W1259" s="319">
        <v>215</v>
      </c>
      <c r="X1259" s="319">
        <v>17</v>
      </c>
      <c r="Y1259" s="319">
        <v>3</v>
      </c>
      <c r="Z1259" s="314"/>
      <c r="AA1259" s="319">
        <v>0.70884499999999995</v>
      </c>
      <c r="AB1259" s="315" t="s">
        <v>5165</v>
      </c>
      <c r="AC1259" s="319">
        <v>3</v>
      </c>
      <c r="AD1259" s="320">
        <v>2.6086956521739101E-2</v>
      </c>
      <c r="AE1259" s="319">
        <v>1</v>
      </c>
      <c r="AF1259" s="320">
        <v>8.6956521739130401E-3</v>
      </c>
      <c r="AG1259" s="319">
        <v>1</v>
      </c>
      <c r="AH1259" s="320">
        <v>8.6956521739130401E-3</v>
      </c>
      <c r="AI1259" s="319">
        <v>0</v>
      </c>
      <c r="AJ1259" s="320">
        <v>0</v>
      </c>
      <c r="AK1259" s="320">
        <v>0</v>
      </c>
      <c r="AL1259" s="319"/>
      <c r="AM1259" s="319"/>
      <c r="AN1259" s="319"/>
      <c r="AO1259" s="319"/>
      <c r="AP1259">
        <v>3</v>
      </c>
      <c r="AQ1259">
        <v>3</v>
      </c>
      <c r="AR1259" s="136"/>
      <c r="AT1259" s="69">
        <v>2.3148</v>
      </c>
      <c r="AU1259" s="69">
        <v>7.6852</v>
      </c>
      <c r="AV1259" s="69">
        <v>8.1305999999999994</v>
      </c>
      <c r="AW1259" s="69">
        <v>0.60440000000000005</v>
      </c>
      <c r="BB1259" s="69"/>
    </row>
    <row r="1260" spans="1:54" customFormat="1" ht="40" customHeight="1">
      <c r="A1260" s="313">
        <v>1259</v>
      </c>
      <c r="B1260" s="136" t="s">
        <v>3243</v>
      </c>
      <c r="C1260" s="136" t="s">
        <v>45</v>
      </c>
      <c r="D1260" s="31"/>
      <c r="E1260" s="137" t="s">
        <v>46</v>
      </c>
      <c r="F1260" s="31"/>
      <c r="G1260" s="137" t="s">
        <v>3391</v>
      </c>
      <c r="H1260" s="138">
        <v>267</v>
      </c>
      <c r="I1260" s="158"/>
      <c r="J1260" s="95"/>
      <c r="K1260" s="137">
        <v>0.21753920356404799</v>
      </c>
      <c r="L1260" s="137">
        <v>0.10908844789590599</v>
      </c>
      <c r="M1260" s="137">
        <v>3.67879441171442E-2</v>
      </c>
      <c r="N1260" s="136" t="s">
        <v>3337</v>
      </c>
      <c r="O1260" s="32" t="s">
        <v>3440</v>
      </c>
      <c r="P1260" s="98">
        <f t="shared" si="88"/>
        <v>1</v>
      </c>
      <c r="Q1260">
        <v>0</v>
      </c>
      <c r="R1260">
        <v>6</v>
      </c>
      <c r="S1260">
        <v>0</v>
      </c>
      <c r="T1260" t="s">
        <v>73</v>
      </c>
      <c r="U1260" s="1" t="s">
        <v>3389</v>
      </c>
      <c r="V1260" s="1" t="s">
        <v>3441</v>
      </c>
      <c r="W1260" s="319">
        <v>225</v>
      </c>
      <c r="X1260" s="319">
        <v>30</v>
      </c>
      <c r="Y1260" s="319">
        <v>4</v>
      </c>
      <c r="Z1260" s="314"/>
      <c r="AA1260" s="319">
        <v>0.70884499999999995</v>
      </c>
      <c r="AB1260" s="315" t="s">
        <v>5176</v>
      </c>
      <c r="AC1260" s="319">
        <v>2</v>
      </c>
      <c r="AD1260" s="320">
        <v>1.6666666666666601E-2</v>
      </c>
      <c r="AE1260" s="319">
        <v>3</v>
      </c>
      <c r="AF1260" s="320">
        <v>2.5000000000000001E-2</v>
      </c>
      <c r="AG1260" s="319">
        <v>1</v>
      </c>
      <c r="AH1260" s="320">
        <v>8.3333333333333297E-3</v>
      </c>
      <c r="AI1260" s="319">
        <v>0</v>
      </c>
      <c r="AJ1260" s="320">
        <v>0</v>
      </c>
      <c r="AK1260" s="320">
        <v>8.3333333333333332E-3</v>
      </c>
      <c r="AL1260" s="319"/>
      <c r="AM1260" s="319"/>
      <c r="AN1260" s="319"/>
      <c r="AO1260" s="319"/>
      <c r="AP1260">
        <v>4</v>
      </c>
      <c r="AQ1260">
        <v>4</v>
      </c>
      <c r="AR1260" s="136"/>
      <c r="AT1260" s="69">
        <v>2.3148</v>
      </c>
      <c r="AU1260" s="69">
        <v>7.6852</v>
      </c>
      <c r="AV1260" s="69">
        <v>8.1305999999999994</v>
      </c>
      <c r="AW1260" s="69">
        <v>0.60440000000000005</v>
      </c>
      <c r="BB1260" s="69"/>
    </row>
    <row r="1261" spans="1:54" customFormat="1" ht="40" customHeight="1">
      <c r="A1261" s="313">
        <v>1260</v>
      </c>
      <c r="B1261" s="136" t="s">
        <v>3243</v>
      </c>
      <c r="C1261" s="136" t="s">
        <v>59</v>
      </c>
      <c r="D1261" s="31"/>
      <c r="E1261" s="137" t="s">
        <v>46</v>
      </c>
      <c r="F1261" s="31"/>
      <c r="G1261" s="137" t="s">
        <v>3442</v>
      </c>
      <c r="H1261" s="138">
        <v>318</v>
      </c>
      <c r="I1261" s="158"/>
      <c r="J1261" s="95"/>
      <c r="K1261" s="137">
        <v>0.65007289388811795</v>
      </c>
      <c r="L1261" s="137">
        <v>0.28210192402553402</v>
      </c>
      <c r="M1261" s="137">
        <v>3.67879441171442E-2</v>
      </c>
      <c r="N1261" s="136" t="s">
        <v>3443</v>
      </c>
      <c r="O1261" s="32" t="s">
        <v>3440</v>
      </c>
      <c r="P1261" s="98">
        <f t="shared" si="88"/>
        <v>1</v>
      </c>
      <c r="Q1261">
        <v>0</v>
      </c>
      <c r="R1261">
        <v>6</v>
      </c>
      <c r="S1261">
        <v>0</v>
      </c>
      <c r="T1261" t="s">
        <v>73</v>
      </c>
      <c r="U1261" s="1" t="s">
        <v>3444</v>
      </c>
      <c r="V1261" s="1" t="s">
        <v>3445</v>
      </c>
      <c r="W1261" s="319">
        <v>195</v>
      </c>
      <c r="X1261" s="319">
        <v>6</v>
      </c>
      <c r="Y1261" s="319">
        <v>3</v>
      </c>
      <c r="Z1261" s="314"/>
      <c r="AA1261" s="319">
        <v>0.70884499999999995</v>
      </c>
      <c r="AB1261" s="315" t="s">
        <v>5176</v>
      </c>
      <c r="AC1261" s="319">
        <v>2</v>
      </c>
      <c r="AD1261" s="320">
        <v>1.9607843137254902E-2</v>
      </c>
      <c r="AE1261" s="319">
        <v>3</v>
      </c>
      <c r="AF1261" s="320">
        <v>2.94117647058823E-2</v>
      </c>
      <c r="AG1261" s="319">
        <v>1</v>
      </c>
      <c r="AH1261" s="320">
        <v>9.8039215686274508E-3</v>
      </c>
      <c r="AI1261" s="319">
        <v>0</v>
      </c>
      <c r="AJ1261" s="320">
        <v>0</v>
      </c>
      <c r="AK1261" s="320">
        <v>9.8039215686274508E-3</v>
      </c>
      <c r="AL1261" s="319"/>
      <c r="AM1261" s="319"/>
      <c r="AN1261" s="319"/>
      <c r="AO1261" s="319"/>
      <c r="AP1261">
        <v>3</v>
      </c>
      <c r="AQ1261">
        <v>3</v>
      </c>
      <c r="AR1261" s="136"/>
      <c r="AT1261" s="69">
        <v>2.3148</v>
      </c>
      <c r="AU1261" s="69">
        <v>7.6852</v>
      </c>
      <c r="AV1261" s="69">
        <v>8.1305999999999994</v>
      </c>
      <c r="AW1261" s="69">
        <v>0.60440000000000005</v>
      </c>
      <c r="BB1261" s="69"/>
    </row>
    <row r="1262" spans="1:54" customFormat="1" ht="40" customHeight="1">
      <c r="A1262" s="313">
        <v>1261</v>
      </c>
      <c r="B1262" s="136" t="s">
        <v>3243</v>
      </c>
      <c r="C1262" s="136" t="s">
        <v>119</v>
      </c>
      <c r="D1262" s="31"/>
      <c r="E1262" s="137" t="s">
        <v>46</v>
      </c>
      <c r="F1262" s="31"/>
      <c r="G1262" s="137" t="s">
        <v>3446</v>
      </c>
      <c r="H1262" s="138">
        <v>542</v>
      </c>
      <c r="I1262" s="158"/>
      <c r="J1262" s="95"/>
      <c r="K1262" s="137">
        <v>0.42857142857142899</v>
      </c>
      <c r="L1262" s="137">
        <v>0.179548688422768</v>
      </c>
      <c r="M1262" s="137">
        <v>1.35335283236613E-2</v>
      </c>
      <c r="N1262" s="136" t="s">
        <v>3420</v>
      </c>
      <c r="O1262" s="32" t="s">
        <v>3440</v>
      </c>
      <c r="P1262" s="98">
        <f t="shared" si="88"/>
        <v>1</v>
      </c>
      <c r="Q1262">
        <v>0</v>
      </c>
      <c r="R1262">
        <v>6</v>
      </c>
      <c r="S1262">
        <v>0</v>
      </c>
      <c r="T1262" t="s">
        <v>73</v>
      </c>
      <c r="U1262" s="1" t="s">
        <v>3447</v>
      </c>
      <c r="V1262" s="1" t="s">
        <v>3448</v>
      </c>
      <c r="W1262" s="319">
        <v>199</v>
      </c>
      <c r="X1262" s="319">
        <v>16</v>
      </c>
      <c r="Y1262" s="319">
        <v>4</v>
      </c>
      <c r="Z1262" s="314"/>
      <c r="AA1262" s="319">
        <v>0.70884499999999995</v>
      </c>
      <c r="AB1262" s="315" t="s">
        <v>5178</v>
      </c>
      <c r="AC1262" s="319">
        <v>2</v>
      </c>
      <c r="AD1262" s="320">
        <v>1.94174757281553E-2</v>
      </c>
      <c r="AE1262" s="319">
        <v>2</v>
      </c>
      <c r="AF1262" s="320">
        <v>1.94174757281553E-2</v>
      </c>
      <c r="AG1262" s="319">
        <v>1</v>
      </c>
      <c r="AH1262" s="320">
        <v>9.7087378640776708E-3</v>
      </c>
      <c r="AI1262" s="319">
        <v>0</v>
      </c>
      <c r="AJ1262" s="320">
        <v>0</v>
      </c>
      <c r="AK1262" s="320">
        <v>9.7087378640776691E-3</v>
      </c>
      <c r="AL1262" s="319"/>
      <c r="AM1262" s="319"/>
      <c r="AN1262" s="319"/>
      <c r="AO1262" s="319"/>
      <c r="AP1262">
        <v>4</v>
      </c>
      <c r="AQ1262">
        <v>4</v>
      </c>
      <c r="AR1262" s="136"/>
      <c r="AT1262" s="69">
        <v>2.3148</v>
      </c>
      <c r="AU1262" s="69">
        <v>7.6852</v>
      </c>
      <c r="AV1262" s="69">
        <v>8.1305999999999994</v>
      </c>
      <c r="AW1262" s="69">
        <v>0.60440000000000005</v>
      </c>
      <c r="BB1262" s="69"/>
    </row>
    <row r="1263" spans="1:54" customFormat="1" ht="40" customHeight="1">
      <c r="A1263" s="313">
        <v>1262</v>
      </c>
      <c r="B1263" s="136" t="s">
        <v>3243</v>
      </c>
      <c r="C1263" s="136" t="s">
        <v>119</v>
      </c>
      <c r="D1263" s="31"/>
      <c r="E1263" s="137" t="s">
        <v>46</v>
      </c>
      <c r="F1263" s="31"/>
      <c r="G1263" s="137" t="s">
        <v>3391</v>
      </c>
      <c r="H1263" s="138">
        <v>311</v>
      </c>
      <c r="I1263" s="158"/>
      <c r="J1263" s="95"/>
      <c r="K1263" s="137">
        <v>0.42857142857142899</v>
      </c>
      <c r="L1263" s="137">
        <v>0.19350133789885801</v>
      </c>
      <c r="M1263" s="137">
        <v>3.67879441171442E-2</v>
      </c>
      <c r="N1263" s="136" t="s">
        <v>3427</v>
      </c>
      <c r="O1263" s="32" t="s">
        <v>3440</v>
      </c>
      <c r="P1263" s="98">
        <f t="shared" si="88"/>
        <v>1</v>
      </c>
      <c r="Q1263">
        <v>0</v>
      </c>
      <c r="R1263">
        <v>6</v>
      </c>
      <c r="S1263">
        <v>0</v>
      </c>
      <c r="T1263" t="s">
        <v>73</v>
      </c>
      <c r="U1263" s="1" t="s">
        <v>3449</v>
      </c>
      <c r="V1263" s="1" t="s">
        <v>3450</v>
      </c>
      <c r="W1263" s="319">
        <v>199</v>
      </c>
      <c r="X1263" s="319">
        <v>16</v>
      </c>
      <c r="Y1263" s="319">
        <v>4</v>
      </c>
      <c r="Z1263" s="314"/>
      <c r="AA1263" s="319">
        <v>0.70884499999999995</v>
      </c>
      <c r="AB1263" s="315" t="s">
        <v>5178</v>
      </c>
      <c r="AC1263" s="319">
        <v>2</v>
      </c>
      <c r="AD1263" s="320">
        <v>1.94174757281553E-2</v>
      </c>
      <c r="AE1263" s="319">
        <v>2</v>
      </c>
      <c r="AF1263" s="320">
        <v>1.94174757281553E-2</v>
      </c>
      <c r="AG1263" s="319">
        <v>1</v>
      </c>
      <c r="AH1263" s="320">
        <v>9.7087378640776708E-3</v>
      </c>
      <c r="AI1263" s="319">
        <v>0</v>
      </c>
      <c r="AJ1263" s="320">
        <v>0</v>
      </c>
      <c r="AK1263" s="320">
        <v>9.7087378640776691E-3</v>
      </c>
      <c r="AL1263" s="319"/>
      <c r="AM1263" s="319"/>
      <c r="AN1263" s="319"/>
      <c r="AO1263" s="319"/>
      <c r="AP1263">
        <v>4</v>
      </c>
      <c r="AQ1263">
        <v>4</v>
      </c>
      <c r="AR1263" s="136"/>
      <c r="AT1263" s="69">
        <v>2.3148</v>
      </c>
      <c r="AU1263" s="69">
        <v>7.6852</v>
      </c>
      <c r="AV1263" s="69">
        <v>8.1305999999999994</v>
      </c>
      <c r="AW1263" s="69">
        <v>0.60440000000000005</v>
      </c>
      <c r="BB1263" s="69"/>
    </row>
    <row r="1264" spans="1:54" customFormat="1" ht="40" customHeight="1">
      <c r="A1264" s="313">
        <v>1263</v>
      </c>
      <c r="B1264" s="136" t="s">
        <v>3243</v>
      </c>
      <c r="C1264" s="136" t="s">
        <v>45</v>
      </c>
      <c r="D1264" s="31"/>
      <c r="E1264" s="137" t="s">
        <v>46</v>
      </c>
      <c r="F1264" s="31"/>
      <c r="G1264" s="137" t="s">
        <v>3391</v>
      </c>
      <c r="H1264" s="138">
        <v>267</v>
      </c>
      <c r="I1264" s="158"/>
      <c r="J1264" s="95"/>
      <c r="K1264" s="137">
        <v>0.50512834069460699</v>
      </c>
      <c r="L1264" s="137">
        <v>0.22412410274812899</v>
      </c>
      <c r="M1264" s="137">
        <v>3.67879441171442E-2</v>
      </c>
      <c r="N1264" s="136" t="s">
        <v>3451</v>
      </c>
      <c r="O1264" s="32" t="s">
        <v>3440</v>
      </c>
      <c r="P1264" s="98">
        <f t="shared" si="88"/>
        <v>1</v>
      </c>
      <c r="Q1264">
        <v>0</v>
      </c>
      <c r="R1264">
        <v>6</v>
      </c>
      <c r="S1264">
        <v>0</v>
      </c>
      <c r="T1264" t="s">
        <v>73</v>
      </c>
      <c r="U1264" s="1" t="s">
        <v>3389</v>
      </c>
      <c r="V1264" s="1" t="s">
        <v>3452</v>
      </c>
      <c r="W1264" s="319">
        <v>199</v>
      </c>
      <c r="X1264" s="319">
        <v>12</v>
      </c>
      <c r="Y1264" s="319">
        <v>4</v>
      </c>
      <c r="Z1264" s="314"/>
      <c r="AA1264" s="319">
        <v>0.70884499999999995</v>
      </c>
      <c r="AB1264" s="315" t="s">
        <v>5178</v>
      </c>
      <c r="AC1264" s="319">
        <v>2</v>
      </c>
      <c r="AD1264" s="320">
        <v>1.94174757281553E-2</v>
      </c>
      <c r="AE1264" s="319">
        <v>2</v>
      </c>
      <c r="AF1264" s="320">
        <v>1.94174757281553E-2</v>
      </c>
      <c r="AG1264" s="319">
        <v>1</v>
      </c>
      <c r="AH1264" s="320">
        <v>9.7087378640776708E-3</v>
      </c>
      <c r="AI1264" s="319">
        <v>0</v>
      </c>
      <c r="AJ1264" s="320">
        <v>0</v>
      </c>
      <c r="AK1264" s="320">
        <v>9.7087378640776691E-3</v>
      </c>
      <c r="AL1264" s="319"/>
      <c r="AM1264" s="319"/>
      <c r="AN1264" s="319"/>
      <c r="AO1264" s="319"/>
      <c r="AP1264">
        <v>4</v>
      </c>
      <c r="AQ1264">
        <v>4</v>
      </c>
      <c r="AR1264" s="136"/>
      <c r="AT1264" s="69">
        <v>2.3148</v>
      </c>
      <c r="AU1264" s="69">
        <v>7.6852</v>
      </c>
      <c r="AV1264" s="69">
        <v>8.1305999999999994</v>
      </c>
      <c r="AW1264" s="69">
        <v>0.60440000000000005</v>
      </c>
      <c r="BB1264" s="69"/>
    </row>
    <row r="1265" spans="1:54" customFormat="1" ht="40" customHeight="1">
      <c r="A1265" s="313">
        <v>1264</v>
      </c>
      <c r="B1265" s="136" t="s">
        <v>2752</v>
      </c>
      <c r="C1265" s="136" t="s">
        <v>119</v>
      </c>
      <c r="D1265" s="31"/>
      <c r="E1265" s="137" t="s">
        <v>46</v>
      </c>
      <c r="F1265" s="31"/>
      <c r="G1265" s="137" t="s">
        <v>3453</v>
      </c>
      <c r="H1265" s="138">
        <v>876</v>
      </c>
      <c r="I1265" s="158"/>
      <c r="J1265" s="95"/>
      <c r="K1265" s="137">
        <v>0.48492124636228701</v>
      </c>
      <c r="L1265" s="137">
        <v>0.25396849854491499</v>
      </c>
      <c r="M1265" s="137">
        <v>0.1</v>
      </c>
      <c r="N1265" s="136" t="s">
        <v>3251</v>
      </c>
      <c r="O1265" s="32" t="s">
        <v>3454</v>
      </c>
      <c r="P1265" s="98">
        <f t="shared" si="88"/>
        <v>1</v>
      </c>
      <c r="Q1265">
        <v>0</v>
      </c>
      <c r="R1265">
        <v>6</v>
      </c>
      <c r="S1265">
        <v>0</v>
      </c>
      <c r="T1265" t="s">
        <v>73</v>
      </c>
      <c r="U1265" t="s">
        <v>3455</v>
      </c>
      <c r="V1265" s="1" t="s">
        <v>3456</v>
      </c>
      <c r="W1265" s="319">
        <v>346</v>
      </c>
      <c r="X1265" s="319">
        <v>13</v>
      </c>
      <c r="Y1265" s="319">
        <v>4</v>
      </c>
      <c r="Z1265" s="314"/>
      <c r="AA1265" s="319">
        <v>0.5</v>
      </c>
      <c r="AB1265" s="315" t="s">
        <v>5176</v>
      </c>
      <c r="AC1265" s="319">
        <v>3</v>
      </c>
      <c r="AD1265" s="320">
        <v>1.5625E-2</v>
      </c>
      <c r="AE1265" s="319">
        <v>4</v>
      </c>
      <c r="AF1265" s="320">
        <v>2.0833333333333301E-2</v>
      </c>
      <c r="AG1265" s="319">
        <v>0</v>
      </c>
      <c r="AH1265" s="320">
        <v>0</v>
      </c>
      <c r="AI1265" s="319">
        <v>0</v>
      </c>
      <c r="AJ1265" s="320">
        <v>0</v>
      </c>
      <c r="AK1265" s="320">
        <v>5.208333333333333E-3</v>
      </c>
      <c r="AL1265" s="319"/>
      <c r="AM1265" s="319"/>
      <c r="AN1265" s="319"/>
      <c r="AO1265" s="319"/>
      <c r="AP1265">
        <v>4</v>
      </c>
      <c r="AR1265" s="136"/>
      <c r="AT1265" s="69">
        <v>2.3148</v>
      </c>
      <c r="AU1265" s="69">
        <v>7.6852</v>
      </c>
      <c r="AV1265" s="69">
        <v>9.8867999999999991</v>
      </c>
      <c r="AW1265" s="69">
        <v>0.66290000000000004</v>
      </c>
      <c r="BB1265" s="69"/>
    </row>
    <row r="1266" spans="1:54" customFormat="1" ht="40" customHeight="1">
      <c r="A1266" s="313">
        <v>1265</v>
      </c>
      <c r="B1266" s="136" t="s">
        <v>3243</v>
      </c>
      <c r="C1266" s="136" t="s">
        <v>59</v>
      </c>
      <c r="D1266" s="31"/>
      <c r="E1266" s="137" t="s">
        <v>46</v>
      </c>
      <c r="F1266" s="31"/>
      <c r="G1266" s="137" t="s">
        <v>3457</v>
      </c>
      <c r="H1266" s="138">
        <v>5</v>
      </c>
      <c r="I1266" s="158"/>
      <c r="J1266" s="95"/>
      <c r="K1266" s="137">
        <v>0.75256417034730305</v>
      </c>
      <c r="L1266" s="137">
        <v>0.36102566813892101</v>
      </c>
      <c r="M1266" s="137">
        <v>0.1</v>
      </c>
      <c r="N1266" s="136" t="s">
        <v>3458</v>
      </c>
      <c r="O1266" s="32" t="s">
        <v>3459</v>
      </c>
      <c r="P1266" s="98">
        <f t="shared" si="88"/>
        <v>0</v>
      </c>
      <c r="Q1266">
        <v>6</v>
      </c>
      <c r="R1266">
        <v>0</v>
      </c>
      <c r="S1266">
        <v>0</v>
      </c>
      <c r="T1266" t="s">
        <v>48</v>
      </c>
      <c r="U1266" t="s">
        <v>3460</v>
      </c>
      <c r="V1266" t="s">
        <v>3461</v>
      </c>
      <c r="W1266" s="319">
        <v>65</v>
      </c>
      <c r="X1266" s="319">
        <v>3</v>
      </c>
      <c r="Y1266" s="319">
        <v>1</v>
      </c>
      <c r="Z1266" s="314"/>
      <c r="AA1266" s="319">
        <v>0.5</v>
      </c>
      <c r="AB1266" s="315" t="s">
        <v>5165</v>
      </c>
      <c r="AC1266" s="319">
        <v>2</v>
      </c>
      <c r="AD1266" s="320">
        <v>5.8823529411764698E-2</v>
      </c>
      <c r="AE1266" s="319">
        <v>0</v>
      </c>
      <c r="AF1266" s="320">
        <v>0</v>
      </c>
      <c r="AG1266" s="319">
        <v>1</v>
      </c>
      <c r="AH1266" s="320">
        <v>2.94117647058823E-2</v>
      </c>
      <c r="AI1266" s="319">
        <v>0</v>
      </c>
      <c r="AJ1266" s="320">
        <v>0</v>
      </c>
      <c r="AK1266" s="320">
        <v>0</v>
      </c>
      <c r="AL1266" s="319"/>
      <c r="AM1266" s="319"/>
      <c r="AN1266" s="319"/>
      <c r="AO1266" s="319"/>
      <c r="AP1266">
        <v>1</v>
      </c>
      <c r="AQ1266">
        <v>1</v>
      </c>
      <c r="AR1266" s="136"/>
      <c r="AT1266" s="69">
        <v>2.3148</v>
      </c>
      <c r="AU1266" s="69">
        <v>2.3148</v>
      </c>
      <c r="AV1266" s="69">
        <v>2.3148</v>
      </c>
      <c r="AW1266" s="69">
        <v>0.23150000000000001</v>
      </c>
      <c r="BB1266" s="69"/>
    </row>
    <row r="1267" spans="1:54" customFormat="1" ht="40" customHeight="1">
      <c r="A1267" s="313">
        <v>1266</v>
      </c>
      <c r="B1267" s="136" t="s">
        <v>3243</v>
      </c>
      <c r="C1267" s="136" t="s">
        <v>45</v>
      </c>
      <c r="D1267" s="31"/>
      <c r="E1267" s="137" t="s">
        <v>46</v>
      </c>
      <c r="F1267" s="31"/>
      <c r="G1267" s="137" t="s">
        <v>3462</v>
      </c>
      <c r="H1267" s="138">
        <v>138</v>
      </c>
      <c r="I1267" s="158"/>
      <c r="J1267" s="95"/>
      <c r="K1267" s="137">
        <v>0.62203552699077302</v>
      </c>
      <c r="L1267" s="137">
        <v>0.308814210796309</v>
      </c>
      <c r="M1267" s="137">
        <v>0.1</v>
      </c>
      <c r="N1267" s="136" t="s">
        <v>3463</v>
      </c>
      <c r="O1267" s="32" t="s">
        <v>3464</v>
      </c>
      <c r="P1267" s="98">
        <f t="shared" si="88"/>
        <v>1</v>
      </c>
      <c r="Q1267">
        <v>1</v>
      </c>
      <c r="R1267">
        <v>2</v>
      </c>
      <c r="S1267">
        <v>2</v>
      </c>
      <c r="T1267" t="s">
        <v>73</v>
      </c>
      <c r="U1267" t="s">
        <v>3465</v>
      </c>
      <c r="V1267" t="s">
        <v>3466</v>
      </c>
      <c r="W1267" s="319">
        <v>66</v>
      </c>
      <c r="X1267" s="319">
        <v>7</v>
      </c>
      <c r="Y1267" s="319">
        <v>1</v>
      </c>
      <c r="Z1267" s="314"/>
      <c r="AA1267" s="319">
        <v>0.54500000000000004</v>
      </c>
      <c r="AB1267" s="315" t="s">
        <v>5165</v>
      </c>
      <c r="AC1267" s="319">
        <v>2</v>
      </c>
      <c r="AD1267" s="320">
        <v>5.8823529411764698E-2</v>
      </c>
      <c r="AE1267" s="319">
        <v>0</v>
      </c>
      <c r="AF1267" s="320">
        <v>0</v>
      </c>
      <c r="AG1267" s="319">
        <v>1</v>
      </c>
      <c r="AH1267" s="320">
        <v>2.94117647058823E-2</v>
      </c>
      <c r="AI1267" s="319">
        <v>0</v>
      </c>
      <c r="AJ1267" s="320">
        <v>0</v>
      </c>
      <c r="AK1267" s="320">
        <v>0</v>
      </c>
      <c r="AL1267" s="319"/>
      <c r="AM1267" s="319"/>
      <c r="AN1267" s="319"/>
      <c r="AO1267" s="319"/>
      <c r="AP1267">
        <v>1</v>
      </c>
      <c r="AQ1267">
        <v>1</v>
      </c>
      <c r="AR1267" s="136"/>
      <c r="AT1267" s="69">
        <v>2.3148</v>
      </c>
      <c r="AU1267" s="69">
        <v>2.3148</v>
      </c>
      <c r="AV1267" s="69">
        <v>9.5120000000000005</v>
      </c>
      <c r="AW1267" s="69">
        <v>0.47139999999999999</v>
      </c>
      <c r="BB1267" s="69"/>
    </row>
    <row r="1268" spans="1:54" customFormat="1" ht="40" customHeight="1">
      <c r="A1268" s="313">
        <v>1267</v>
      </c>
      <c r="B1268" s="136" t="s">
        <v>3243</v>
      </c>
      <c r="C1268" s="136" t="s">
        <v>45</v>
      </c>
      <c r="D1268" s="31"/>
      <c r="E1268" s="137" t="s">
        <v>80</v>
      </c>
      <c r="F1268" s="31"/>
      <c r="G1268" s="137" t="s">
        <v>3467</v>
      </c>
      <c r="H1268" s="138">
        <v>64</v>
      </c>
      <c r="I1268" s="158"/>
      <c r="J1268" s="95"/>
      <c r="K1268" s="137">
        <v>0.68056171750003003</v>
      </c>
      <c r="L1268" s="137">
        <v>0.33222468700001201</v>
      </c>
      <c r="M1268" s="137">
        <v>0.1</v>
      </c>
      <c r="N1268" s="136" t="s">
        <v>3272</v>
      </c>
      <c r="O1268" s="32" t="s">
        <v>3468</v>
      </c>
      <c r="P1268" s="98">
        <f t="shared" si="88"/>
        <v>1</v>
      </c>
      <c r="Q1268">
        <v>2</v>
      </c>
      <c r="R1268">
        <v>0</v>
      </c>
      <c r="S1268">
        <v>0</v>
      </c>
      <c r="T1268" t="s">
        <v>5088</v>
      </c>
      <c r="U1268" t="s">
        <v>3469</v>
      </c>
      <c r="V1268" s="1" t="s">
        <v>3470</v>
      </c>
      <c r="W1268" s="319">
        <v>88</v>
      </c>
      <c r="X1268" s="319">
        <v>5</v>
      </c>
      <c r="Y1268" s="319">
        <v>3</v>
      </c>
      <c r="Z1268" s="314"/>
      <c r="AA1268" s="319">
        <v>0.60499999999999998</v>
      </c>
      <c r="AB1268" s="315" t="s">
        <v>5176</v>
      </c>
      <c r="AC1268" s="319">
        <v>1</v>
      </c>
      <c r="AD1268" s="320">
        <v>1.9607843137254902E-2</v>
      </c>
      <c r="AE1268" s="319">
        <v>3</v>
      </c>
      <c r="AF1268" s="320">
        <v>5.8823529411764698E-2</v>
      </c>
      <c r="AG1268" s="319">
        <v>0</v>
      </c>
      <c r="AH1268" s="320">
        <v>0</v>
      </c>
      <c r="AI1268" s="319">
        <v>0</v>
      </c>
      <c r="AJ1268" s="320">
        <v>0</v>
      </c>
      <c r="AK1268" s="320">
        <v>0</v>
      </c>
      <c r="AL1268" s="319"/>
      <c r="AM1268" s="319"/>
      <c r="AN1268" s="319"/>
      <c r="AO1268" s="319"/>
      <c r="AP1268">
        <v>3</v>
      </c>
      <c r="AR1268" s="136"/>
      <c r="AT1268" s="69">
        <v>2.3148</v>
      </c>
      <c r="AU1268" s="69">
        <v>5</v>
      </c>
      <c r="AV1268" s="69">
        <v>2.3148</v>
      </c>
      <c r="AW1268" s="69">
        <v>0.32100000000000001</v>
      </c>
      <c r="BB1268" s="69"/>
    </row>
    <row r="1269" spans="1:54" customFormat="1" ht="40" customHeight="1">
      <c r="A1269" s="313">
        <v>1268</v>
      </c>
      <c r="B1269" s="136" t="s">
        <v>3243</v>
      </c>
      <c r="C1269" s="136" t="s">
        <v>119</v>
      </c>
      <c r="D1269" s="31"/>
      <c r="E1269" s="137" t="s">
        <v>46</v>
      </c>
      <c r="F1269" s="31"/>
      <c r="G1269" s="137" t="s">
        <v>3471</v>
      </c>
      <c r="H1269" s="138">
        <v>71</v>
      </c>
      <c r="I1269" s="158"/>
      <c r="J1269" s="95"/>
      <c r="K1269" s="137">
        <v>0.526196458520657</v>
      </c>
      <c r="L1269" s="137">
        <v>0.27047858340826297</v>
      </c>
      <c r="M1269" s="137">
        <v>0.1</v>
      </c>
      <c r="N1269" s="136" t="s">
        <v>3472</v>
      </c>
      <c r="O1269" s="32" t="s">
        <v>3473</v>
      </c>
      <c r="P1269" s="98">
        <f t="shared" si="88"/>
        <v>1</v>
      </c>
      <c r="Q1269">
        <v>2</v>
      </c>
      <c r="R1269">
        <v>0</v>
      </c>
      <c r="S1269">
        <v>0</v>
      </c>
      <c r="T1269" t="s">
        <v>5088</v>
      </c>
      <c r="U1269" t="s">
        <v>3474</v>
      </c>
      <c r="V1269" s="1" t="s">
        <v>3475</v>
      </c>
      <c r="W1269" s="319">
        <v>66</v>
      </c>
      <c r="X1269" s="319">
        <v>11</v>
      </c>
      <c r="Y1269" s="319">
        <v>1</v>
      </c>
      <c r="Z1269" s="314"/>
      <c r="AA1269" s="319">
        <v>0.5</v>
      </c>
      <c r="AB1269" s="331" t="s">
        <v>5172</v>
      </c>
      <c r="AC1269" s="319">
        <v>0</v>
      </c>
      <c r="AD1269" s="320">
        <v>0</v>
      </c>
      <c r="AE1269" s="319">
        <v>0</v>
      </c>
      <c r="AF1269" s="320">
        <v>0</v>
      </c>
      <c r="AG1269" s="319">
        <v>0</v>
      </c>
      <c r="AH1269" s="320">
        <v>0</v>
      </c>
      <c r="AI1269" s="319">
        <v>0</v>
      </c>
      <c r="AJ1269" s="320">
        <v>0</v>
      </c>
      <c r="AK1269" s="320">
        <v>0</v>
      </c>
      <c r="AL1269" s="319"/>
      <c r="AM1269" s="319"/>
      <c r="AN1269" s="319"/>
      <c r="AO1269" s="319"/>
      <c r="AP1269">
        <v>1</v>
      </c>
      <c r="AQ1269">
        <v>1</v>
      </c>
      <c r="AR1269" s="136"/>
      <c r="AT1269" s="69">
        <v>2.3148</v>
      </c>
      <c r="AU1269" s="69">
        <v>5</v>
      </c>
      <c r="AV1269" s="69">
        <v>5.7443999999999997</v>
      </c>
      <c r="AW1269" s="69">
        <v>0.43530000000000002</v>
      </c>
      <c r="BB1269" s="69"/>
    </row>
    <row r="1270" spans="1:54" customFormat="1" ht="40" customHeight="1">
      <c r="A1270" s="313">
        <v>1269</v>
      </c>
      <c r="B1270" s="136" t="s">
        <v>3243</v>
      </c>
      <c r="C1270" s="136" t="s">
        <v>45</v>
      </c>
      <c r="D1270" s="31"/>
      <c r="E1270" s="137" t="s">
        <v>46</v>
      </c>
      <c r="F1270" s="31"/>
      <c r="G1270" s="137" t="s">
        <v>3476</v>
      </c>
      <c r="H1270" s="138">
        <v>29</v>
      </c>
      <c r="I1270" s="158"/>
      <c r="J1270" s="95"/>
      <c r="K1270" s="137">
        <v>0.23069074183792801</v>
      </c>
      <c r="L1270" s="137">
        <v>0.15227629673517101</v>
      </c>
      <c r="M1270" s="137">
        <v>0.1</v>
      </c>
      <c r="N1270" s="136" t="s">
        <v>3477</v>
      </c>
      <c r="O1270" s="32" t="s">
        <v>3478</v>
      </c>
      <c r="P1270" s="98">
        <f t="shared" si="88"/>
        <v>0</v>
      </c>
      <c r="Q1270">
        <v>6</v>
      </c>
      <c r="R1270">
        <v>0</v>
      </c>
      <c r="S1270">
        <v>0</v>
      </c>
      <c r="T1270" t="s">
        <v>48</v>
      </c>
      <c r="U1270" t="s">
        <v>3479</v>
      </c>
      <c r="V1270" t="s">
        <v>3480</v>
      </c>
      <c r="W1270" s="319">
        <v>371</v>
      </c>
      <c r="X1270" s="319">
        <v>29</v>
      </c>
      <c r="Y1270" s="319">
        <v>5</v>
      </c>
      <c r="Z1270" s="314"/>
      <c r="AA1270" s="319">
        <v>0.45454545454545398</v>
      </c>
      <c r="AB1270" s="315" t="s">
        <v>5176</v>
      </c>
      <c r="AC1270" s="319">
        <v>2</v>
      </c>
      <c r="AD1270" s="320">
        <v>9.1743119266054999E-3</v>
      </c>
      <c r="AE1270" s="319">
        <v>5</v>
      </c>
      <c r="AF1270" s="320">
        <v>2.29357798165137E-2</v>
      </c>
      <c r="AG1270" s="319">
        <v>1</v>
      </c>
      <c r="AH1270" s="320">
        <v>4.5871559633027499E-3</v>
      </c>
      <c r="AI1270" s="319">
        <v>1</v>
      </c>
      <c r="AJ1270" s="320">
        <v>4.5871559633027499E-3</v>
      </c>
      <c r="AK1270" s="320">
        <v>0</v>
      </c>
      <c r="AL1270" s="319"/>
      <c r="AM1270" s="319"/>
      <c r="AN1270" s="319"/>
      <c r="AO1270" s="319"/>
      <c r="AP1270">
        <v>5</v>
      </c>
      <c r="AR1270" s="136"/>
      <c r="AS1270">
        <v>5</v>
      </c>
      <c r="AT1270" s="69">
        <v>2.3148</v>
      </c>
      <c r="AU1270" s="69">
        <v>2.3148</v>
      </c>
      <c r="AV1270" s="69">
        <v>2.3148</v>
      </c>
      <c r="AW1270" s="69">
        <v>0.23150000000000001</v>
      </c>
      <c r="BB1270" s="69"/>
    </row>
    <row r="1271" spans="1:54" customFormat="1" ht="40" customHeight="1">
      <c r="A1271" s="313">
        <v>1270</v>
      </c>
      <c r="B1271" s="136" t="s">
        <v>1</v>
      </c>
      <c r="C1271" s="136" t="s">
        <v>119</v>
      </c>
      <c r="D1271" s="31"/>
      <c r="E1271" s="137" t="s">
        <v>46</v>
      </c>
      <c r="F1271" s="31"/>
      <c r="G1271" s="137" t="s">
        <v>3481</v>
      </c>
      <c r="H1271" s="138">
        <v>48</v>
      </c>
      <c r="I1271" s="158"/>
      <c r="J1271" s="95"/>
      <c r="K1271" s="137">
        <v>0.32994060573951001</v>
      </c>
      <c r="L1271" s="137">
        <v>0.29507315200334699</v>
      </c>
      <c r="M1271" s="137">
        <v>0.27182818284590399</v>
      </c>
      <c r="N1271" s="136" t="s">
        <v>3482</v>
      </c>
      <c r="O1271" s="32" t="s">
        <v>3483</v>
      </c>
      <c r="P1271" s="98">
        <f t="shared" si="88"/>
        <v>1</v>
      </c>
      <c r="Q1271">
        <v>0</v>
      </c>
      <c r="R1271">
        <v>0</v>
      </c>
      <c r="S1271">
        <v>1</v>
      </c>
      <c r="T1271" t="s">
        <v>5133</v>
      </c>
      <c r="U1271" t="s">
        <v>3484</v>
      </c>
      <c r="V1271" t="s">
        <v>3485</v>
      </c>
      <c r="W1271" s="319">
        <v>140</v>
      </c>
      <c r="X1271" s="319">
        <v>22</v>
      </c>
      <c r="Y1271" s="319">
        <v>2</v>
      </c>
      <c r="Z1271" s="314"/>
      <c r="AA1271" s="319">
        <v>0.55000000000000004</v>
      </c>
      <c r="AB1271" s="315" t="s">
        <v>5165</v>
      </c>
      <c r="AC1271" s="319">
        <v>2</v>
      </c>
      <c r="AD1271" s="320">
        <v>2.3809523809523801E-2</v>
      </c>
      <c r="AE1271" s="319">
        <v>1</v>
      </c>
      <c r="AF1271" s="320">
        <v>1.1904761904761901E-2</v>
      </c>
      <c r="AG1271" s="319">
        <v>1</v>
      </c>
      <c r="AH1271" s="320">
        <v>1.1904761904761901E-2</v>
      </c>
      <c r="AI1271" s="319">
        <v>0</v>
      </c>
      <c r="AJ1271" s="320">
        <v>0</v>
      </c>
      <c r="AK1271" s="320">
        <v>0</v>
      </c>
      <c r="AL1271" s="319"/>
      <c r="AM1271" s="319"/>
      <c r="AN1271" s="319"/>
      <c r="AO1271" s="319"/>
      <c r="AP1271">
        <v>2</v>
      </c>
      <c r="AR1271" s="136"/>
      <c r="AT1271" s="69">
        <v>2.3148</v>
      </c>
      <c r="AU1271" s="69">
        <v>2.3148</v>
      </c>
      <c r="AV1271" s="69">
        <v>2.3148</v>
      </c>
      <c r="AW1271" s="69">
        <v>0.23150000000000001</v>
      </c>
      <c r="BB1271" s="69"/>
    </row>
    <row r="1272" spans="1:54" customFormat="1" ht="40" customHeight="1">
      <c r="A1272" s="313">
        <v>1271</v>
      </c>
      <c r="B1272" s="136" t="s">
        <v>3243</v>
      </c>
      <c r="C1272" s="136" t="s">
        <v>45</v>
      </c>
      <c r="D1272" s="31"/>
      <c r="E1272" s="137" t="s">
        <v>80</v>
      </c>
      <c r="F1272" s="31"/>
      <c r="G1272" s="137" t="s">
        <v>3486</v>
      </c>
      <c r="H1272" s="138">
        <v>173</v>
      </c>
      <c r="I1272" s="158"/>
      <c r="J1272" s="95"/>
      <c r="K1272" s="137">
        <v>0.31488121095532601</v>
      </c>
      <c r="L1272" s="137">
        <v>0.13407260137632701</v>
      </c>
      <c r="M1272" s="137">
        <v>1.35335283236613E-2</v>
      </c>
      <c r="N1272" s="136" t="s">
        <v>3241</v>
      </c>
      <c r="O1272" s="32" t="s">
        <v>3487</v>
      </c>
      <c r="P1272" s="98">
        <f t="shared" si="88"/>
        <v>1</v>
      </c>
      <c r="Q1272">
        <v>2</v>
      </c>
      <c r="R1272">
        <v>1</v>
      </c>
      <c r="S1272">
        <v>0</v>
      </c>
      <c r="T1272" t="s">
        <v>5088</v>
      </c>
      <c r="U1272" t="s">
        <v>3488</v>
      </c>
      <c r="V1272" t="s">
        <v>3489</v>
      </c>
      <c r="W1272" s="319">
        <v>176</v>
      </c>
      <c r="X1272" s="319">
        <v>23</v>
      </c>
      <c r="Y1272" s="319">
        <v>2</v>
      </c>
      <c r="Z1272" s="314"/>
      <c r="AA1272" s="319">
        <v>0.45909090909090899</v>
      </c>
      <c r="AB1272" s="331" t="s">
        <v>5172</v>
      </c>
      <c r="AC1272" s="319">
        <v>0</v>
      </c>
      <c r="AD1272" s="320">
        <v>0</v>
      </c>
      <c r="AE1272" s="319">
        <v>0</v>
      </c>
      <c r="AF1272" s="320">
        <v>0</v>
      </c>
      <c r="AG1272" s="319">
        <v>0</v>
      </c>
      <c r="AH1272" s="320">
        <v>0</v>
      </c>
      <c r="AI1272" s="319">
        <v>0</v>
      </c>
      <c r="AJ1272" s="320">
        <v>0</v>
      </c>
      <c r="AK1272" s="320">
        <v>0</v>
      </c>
      <c r="AL1272" s="319"/>
      <c r="AM1272" s="319"/>
      <c r="AN1272" s="319"/>
      <c r="AO1272" s="319"/>
      <c r="AP1272">
        <v>2</v>
      </c>
      <c r="AR1272" s="136"/>
      <c r="AT1272" s="69">
        <v>2.3148</v>
      </c>
      <c r="AU1272" s="69">
        <v>2.3148</v>
      </c>
      <c r="AV1272" s="69">
        <v>5.7443999999999997</v>
      </c>
      <c r="AW1272" s="69">
        <v>0.3458</v>
      </c>
      <c r="BB1272" s="69"/>
    </row>
    <row r="1273" spans="1:54" customFormat="1" ht="40" customHeight="1">
      <c r="A1273" s="313">
        <v>1272</v>
      </c>
      <c r="B1273" s="136" t="s">
        <v>3243</v>
      </c>
      <c r="C1273" s="136" t="s">
        <v>45</v>
      </c>
      <c r="D1273" s="31"/>
      <c r="E1273" s="137" t="s">
        <v>46</v>
      </c>
      <c r="F1273" s="31"/>
      <c r="G1273" s="137" t="s">
        <v>2045</v>
      </c>
      <c r="H1273" s="138">
        <v>76</v>
      </c>
      <c r="I1273" s="158"/>
      <c r="J1273" s="95"/>
      <c r="K1273" s="137">
        <v>0.44671666482751199</v>
      </c>
      <c r="L1273" s="137">
        <v>0.23868666593100499</v>
      </c>
      <c r="M1273" s="137">
        <v>0.1</v>
      </c>
      <c r="N1273" s="136" t="s">
        <v>3337</v>
      </c>
      <c r="O1273" s="32" t="s">
        <v>3490</v>
      </c>
      <c r="P1273" s="98">
        <f t="shared" si="88"/>
        <v>1</v>
      </c>
      <c r="Q1273">
        <v>2</v>
      </c>
      <c r="R1273">
        <v>2</v>
      </c>
      <c r="S1273">
        <v>2</v>
      </c>
      <c r="T1273" t="s">
        <v>73</v>
      </c>
      <c r="U1273" s="321" t="s">
        <v>5148</v>
      </c>
      <c r="V1273" t="s">
        <v>3491</v>
      </c>
      <c r="W1273" s="319">
        <v>67</v>
      </c>
      <c r="X1273" s="319">
        <v>15</v>
      </c>
      <c r="Y1273" s="319">
        <v>1</v>
      </c>
      <c r="Z1273" s="314"/>
      <c r="AA1273" s="319">
        <v>0.60499999999999998</v>
      </c>
      <c r="AB1273" s="315" t="s">
        <v>5170</v>
      </c>
      <c r="AC1273" s="319">
        <v>0</v>
      </c>
      <c r="AD1273" s="320">
        <v>0</v>
      </c>
      <c r="AE1273" s="319">
        <v>0</v>
      </c>
      <c r="AF1273" s="320">
        <v>0</v>
      </c>
      <c r="AG1273" s="319">
        <v>1</v>
      </c>
      <c r="AH1273" s="320">
        <v>2.7027027027027001E-2</v>
      </c>
      <c r="AI1273" s="319">
        <v>1</v>
      </c>
      <c r="AJ1273" s="320">
        <v>2.7027027027027001E-2</v>
      </c>
      <c r="AK1273" s="320">
        <v>0</v>
      </c>
      <c r="AL1273" s="319"/>
      <c r="AM1273" s="319"/>
      <c r="AN1273" s="319"/>
      <c r="AO1273" s="319"/>
      <c r="AP1273">
        <v>1</v>
      </c>
      <c r="AR1273" s="136"/>
      <c r="AS1273">
        <v>1</v>
      </c>
      <c r="AT1273" s="69">
        <v>2.3148</v>
      </c>
      <c r="AU1273" s="69">
        <v>2.3148</v>
      </c>
      <c r="AV1273" s="69">
        <v>8.1305999999999994</v>
      </c>
      <c r="AW1273" s="69">
        <v>0.42530000000000001</v>
      </c>
      <c r="BB1273" s="69"/>
    </row>
    <row r="1274" spans="1:54" customFormat="1" ht="40" customHeight="1">
      <c r="A1274" s="313">
        <v>1273</v>
      </c>
      <c r="B1274" s="136" t="s">
        <v>589</v>
      </c>
      <c r="C1274" s="136" t="s">
        <v>45</v>
      </c>
      <c r="D1274" s="31"/>
      <c r="E1274" s="137" t="s">
        <v>46</v>
      </c>
      <c r="F1274" s="31"/>
      <c r="G1274" s="137" t="s">
        <v>3492</v>
      </c>
      <c r="H1274" s="138">
        <v>34</v>
      </c>
      <c r="I1274" s="158"/>
      <c r="J1274" s="95"/>
      <c r="K1274" s="137">
        <v>0.59593898217911601</v>
      </c>
      <c r="L1274" s="137">
        <v>0.40147250257918898</v>
      </c>
      <c r="M1274" s="137">
        <v>0.27182818284590399</v>
      </c>
      <c r="N1274" s="136" t="s">
        <v>3493</v>
      </c>
      <c r="O1274" s="32" t="s">
        <v>3494</v>
      </c>
      <c r="P1274" s="98">
        <f t="shared" si="88"/>
        <v>1</v>
      </c>
      <c r="Q1274">
        <v>1</v>
      </c>
      <c r="R1274">
        <v>0</v>
      </c>
      <c r="S1274">
        <v>0</v>
      </c>
      <c r="T1274" t="s">
        <v>5088</v>
      </c>
      <c r="U1274" t="s">
        <v>3495</v>
      </c>
      <c r="V1274" t="s">
        <v>3496</v>
      </c>
      <c r="W1274" s="319">
        <v>99</v>
      </c>
      <c r="X1274" s="319">
        <v>8</v>
      </c>
      <c r="Y1274" s="319">
        <v>1</v>
      </c>
      <c r="Z1274" s="314"/>
      <c r="AA1274" s="319">
        <v>0.60499999999999998</v>
      </c>
      <c r="AB1274" s="315" t="s">
        <v>5168</v>
      </c>
      <c r="AC1274" s="319">
        <v>1</v>
      </c>
      <c r="AD1274" s="320">
        <v>1.6949152542372801E-2</v>
      </c>
      <c r="AE1274" s="319">
        <v>0</v>
      </c>
      <c r="AF1274" s="320">
        <v>0</v>
      </c>
      <c r="AG1274" s="319">
        <v>2</v>
      </c>
      <c r="AH1274" s="320">
        <v>3.38983050847457E-2</v>
      </c>
      <c r="AI1274" s="319">
        <v>0</v>
      </c>
      <c r="AJ1274" s="320">
        <v>0</v>
      </c>
      <c r="AK1274" s="320">
        <v>0</v>
      </c>
      <c r="AL1274" s="319"/>
      <c r="AM1274" s="319"/>
      <c r="AN1274" s="319"/>
      <c r="AO1274" s="319"/>
      <c r="AP1274">
        <v>1</v>
      </c>
      <c r="AQ1274">
        <v>1</v>
      </c>
      <c r="AR1274" s="136"/>
      <c r="AT1274" s="69">
        <v>2.3148</v>
      </c>
      <c r="AU1274" s="69">
        <v>2.3148</v>
      </c>
      <c r="AV1274" s="69">
        <v>8.1305999999999994</v>
      </c>
      <c r="AW1274" s="69">
        <v>0.42530000000000001</v>
      </c>
      <c r="BB1274" s="69"/>
    </row>
    <row r="1275" spans="1:54" customFormat="1" ht="40" customHeight="1">
      <c r="A1275" s="313">
        <v>1274</v>
      </c>
      <c r="B1275" s="136" t="s">
        <v>3243</v>
      </c>
      <c r="C1275" s="136" t="s">
        <v>45</v>
      </c>
      <c r="D1275" s="31"/>
      <c r="E1275" s="137" t="s">
        <v>46</v>
      </c>
      <c r="F1275" s="31"/>
      <c r="G1275" s="137" t="s">
        <v>3497</v>
      </c>
      <c r="H1275" s="138">
        <v>119</v>
      </c>
      <c r="I1275" s="158"/>
      <c r="J1275" s="95"/>
      <c r="K1275" s="137">
        <v>0.46547751617515098</v>
      </c>
      <c r="L1275" s="137">
        <v>0.18728994480338501</v>
      </c>
      <c r="M1275" s="137">
        <v>1.83156388887342E-3</v>
      </c>
      <c r="N1275" s="136" t="s">
        <v>3498</v>
      </c>
      <c r="O1275" s="32" t="s">
        <v>3499</v>
      </c>
      <c r="P1275" s="98">
        <f t="shared" si="88"/>
        <v>1</v>
      </c>
      <c r="Q1275">
        <v>2</v>
      </c>
      <c r="R1275">
        <v>0</v>
      </c>
      <c r="S1275">
        <v>0</v>
      </c>
      <c r="T1275" t="s">
        <v>5088</v>
      </c>
      <c r="U1275" t="s">
        <v>3500</v>
      </c>
      <c r="V1275" t="s">
        <v>3501</v>
      </c>
      <c r="W1275" s="319">
        <v>167</v>
      </c>
      <c r="X1275" s="319">
        <v>14</v>
      </c>
      <c r="Y1275" s="319">
        <v>1</v>
      </c>
      <c r="Z1275" s="314"/>
      <c r="AA1275" s="319">
        <v>2.2856790477973898E-2</v>
      </c>
      <c r="AB1275" s="315" t="s">
        <v>5168</v>
      </c>
      <c r="AC1275" s="319">
        <v>0</v>
      </c>
      <c r="AD1275" s="320">
        <v>0</v>
      </c>
      <c r="AE1275" s="319">
        <v>0</v>
      </c>
      <c r="AF1275" s="320">
        <v>0</v>
      </c>
      <c r="AG1275" s="319">
        <v>1</v>
      </c>
      <c r="AH1275" s="320">
        <v>1.0526315789473601E-2</v>
      </c>
      <c r="AI1275" s="319">
        <v>0</v>
      </c>
      <c r="AJ1275" s="320">
        <v>0</v>
      </c>
      <c r="AK1275" s="320">
        <v>0</v>
      </c>
      <c r="AL1275" s="319"/>
      <c r="AM1275" s="319"/>
      <c r="AN1275" s="319"/>
      <c r="AO1275" s="319"/>
      <c r="AP1275">
        <v>1</v>
      </c>
      <c r="AR1275" s="136"/>
      <c r="AS1275">
        <v>1</v>
      </c>
      <c r="AT1275" s="69">
        <v>2.3148</v>
      </c>
      <c r="AU1275" s="69">
        <v>2.3148</v>
      </c>
      <c r="AV1275" s="69">
        <v>8.1305999999999994</v>
      </c>
      <c r="AW1275" s="69">
        <v>0.42530000000000001</v>
      </c>
      <c r="BB1275" s="69"/>
    </row>
    <row r="1276" spans="1:54" customFormat="1" ht="40" customHeight="1">
      <c r="A1276" s="313">
        <v>1275</v>
      </c>
      <c r="B1276" s="136" t="s">
        <v>3243</v>
      </c>
      <c r="C1276" s="136" t="s">
        <v>119</v>
      </c>
      <c r="D1276" s="31"/>
      <c r="E1276" s="137" t="s">
        <v>46</v>
      </c>
      <c r="F1276" s="31"/>
      <c r="G1276" s="137" t="s">
        <v>3502</v>
      </c>
      <c r="H1276" s="138">
        <v>30</v>
      </c>
      <c r="I1276" s="158"/>
      <c r="J1276" s="95"/>
      <c r="K1276" s="137">
        <v>0.39390847326867401</v>
      </c>
      <c r="L1276" s="137">
        <v>0.21756338930746899</v>
      </c>
      <c r="M1276" s="137">
        <v>0.1</v>
      </c>
      <c r="N1276" s="136" t="s">
        <v>3272</v>
      </c>
      <c r="O1276" s="32" t="s">
        <v>3503</v>
      </c>
      <c r="P1276" s="98">
        <f t="shared" si="88"/>
        <v>0</v>
      </c>
      <c r="Q1276">
        <v>6</v>
      </c>
      <c r="R1276">
        <v>0</v>
      </c>
      <c r="S1276">
        <v>0</v>
      </c>
      <c r="T1276" t="s">
        <v>48</v>
      </c>
      <c r="U1276" t="s">
        <v>3504</v>
      </c>
      <c r="V1276" s="1" t="s">
        <v>3505</v>
      </c>
      <c r="W1276" s="319">
        <v>337</v>
      </c>
      <c r="X1276" s="319">
        <v>18</v>
      </c>
      <c r="Y1276" s="319">
        <v>4</v>
      </c>
      <c r="Z1276" s="314"/>
      <c r="AA1276" s="319">
        <v>0.5</v>
      </c>
      <c r="AB1276" s="315" t="s">
        <v>5165</v>
      </c>
      <c r="AC1276" s="319">
        <v>2</v>
      </c>
      <c r="AD1276" s="320">
        <v>1.09289617486338E-2</v>
      </c>
      <c r="AE1276" s="319">
        <v>1</v>
      </c>
      <c r="AF1276" s="320">
        <v>5.4644808743169399E-3</v>
      </c>
      <c r="AG1276" s="319">
        <v>0</v>
      </c>
      <c r="AH1276" s="320">
        <v>0</v>
      </c>
      <c r="AI1276" s="319">
        <v>0</v>
      </c>
      <c r="AJ1276" s="320">
        <v>0</v>
      </c>
      <c r="AK1276" s="320">
        <v>0</v>
      </c>
      <c r="AL1276" s="319"/>
      <c r="AM1276" s="319"/>
      <c r="AN1276" s="319"/>
      <c r="AO1276" s="319"/>
      <c r="AP1276">
        <v>4</v>
      </c>
      <c r="AR1276" s="136">
        <v>4</v>
      </c>
      <c r="AT1276" s="69">
        <v>2.3148</v>
      </c>
      <c r="AU1276" s="69">
        <v>5</v>
      </c>
      <c r="AV1276" s="69">
        <v>5.7443999999999997</v>
      </c>
      <c r="AW1276" s="69">
        <v>0.43530000000000002</v>
      </c>
      <c r="BB1276" s="69"/>
    </row>
    <row r="1277" spans="1:54" customFormat="1" ht="40" customHeight="1">
      <c r="A1277" s="313">
        <v>1276</v>
      </c>
      <c r="B1277" s="136" t="s">
        <v>3243</v>
      </c>
      <c r="C1277" s="136" t="s">
        <v>45</v>
      </c>
      <c r="D1277" s="31"/>
      <c r="E1277" s="137" t="s">
        <v>80</v>
      </c>
      <c r="F1277" s="31"/>
      <c r="G1277" s="137" t="s">
        <v>3486</v>
      </c>
      <c r="H1277" s="138">
        <v>143</v>
      </c>
      <c r="I1277" s="158"/>
      <c r="J1277" s="95"/>
      <c r="K1277" s="137">
        <v>0.16700687216495699</v>
      </c>
      <c r="L1277" s="137">
        <v>6.97899729680546E-2</v>
      </c>
      <c r="M1277" s="137">
        <v>4.9787068367863896E-3</v>
      </c>
      <c r="N1277" s="136" t="s">
        <v>3241</v>
      </c>
      <c r="O1277" s="32" t="s">
        <v>3506</v>
      </c>
      <c r="P1277" s="98">
        <f t="shared" si="88"/>
        <v>1</v>
      </c>
      <c r="Q1277">
        <v>2</v>
      </c>
      <c r="R1277">
        <v>0</v>
      </c>
      <c r="S1277">
        <v>0</v>
      </c>
      <c r="T1277" t="s">
        <v>5088</v>
      </c>
      <c r="U1277" t="s">
        <v>3507</v>
      </c>
      <c r="V1277" t="s">
        <v>3508</v>
      </c>
      <c r="W1277" s="319">
        <v>408</v>
      </c>
      <c r="X1277" s="319">
        <v>34</v>
      </c>
      <c r="Y1277" s="319">
        <v>10</v>
      </c>
      <c r="Z1277" s="314"/>
      <c r="AA1277" s="319">
        <v>0.5</v>
      </c>
      <c r="AB1277" s="315" t="s">
        <v>5165</v>
      </c>
      <c r="AC1277" s="319">
        <v>7</v>
      </c>
      <c r="AD1277" s="320">
        <v>2.8806584362139901E-2</v>
      </c>
      <c r="AE1277" s="319">
        <v>4</v>
      </c>
      <c r="AF1277" s="320">
        <v>1.6460905349794198E-2</v>
      </c>
      <c r="AG1277" s="319">
        <v>1</v>
      </c>
      <c r="AH1277" s="320">
        <v>4.11522633744856E-3</v>
      </c>
      <c r="AI1277" s="319">
        <v>0</v>
      </c>
      <c r="AJ1277" s="320">
        <v>0</v>
      </c>
      <c r="AK1277" s="320">
        <v>0</v>
      </c>
      <c r="AL1277" s="319"/>
      <c r="AM1277" s="319"/>
      <c r="AN1277" s="319"/>
      <c r="AO1277" s="319"/>
      <c r="AP1277">
        <v>10</v>
      </c>
      <c r="AR1277" s="136"/>
      <c r="AT1277" s="69">
        <v>2.3148</v>
      </c>
      <c r="AU1277" s="69">
        <v>2.3148</v>
      </c>
      <c r="AV1277" s="69">
        <v>2.3148</v>
      </c>
      <c r="AW1277" s="69">
        <v>0.23150000000000001</v>
      </c>
      <c r="BB1277" s="69"/>
    </row>
    <row r="1278" spans="1:54" customFormat="1" ht="40" customHeight="1">
      <c r="A1278" s="313">
        <v>1277</v>
      </c>
      <c r="B1278" s="136" t="s">
        <v>3243</v>
      </c>
      <c r="C1278" s="136" t="s">
        <v>45</v>
      </c>
      <c r="D1278" s="31"/>
      <c r="E1278" s="137" t="s">
        <v>46</v>
      </c>
      <c r="F1278" s="31"/>
      <c r="G1278" s="137" t="s">
        <v>3509</v>
      </c>
      <c r="H1278" s="138">
        <v>45</v>
      </c>
      <c r="I1278" s="158"/>
      <c r="J1278" s="95"/>
      <c r="K1278" s="137">
        <v>0.41098491062604903</v>
      </c>
      <c r="L1278" s="137">
        <v>0.327490873957962</v>
      </c>
      <c r="M1278" s="137">
        <v>0.27182818284590399</v>
      </c>
      <c r="N1278" s="136" t="s">
        <v>3510</v>
      </c>
      <c r="O1278" s="32" t="s">
        <v>3511</v>
      </c>
      <c r="P1278" s="98">
        <f t="shared" si="88"/>
        <v>1</v>
      </c>
      <c r="Q1278">
        <v>0</v>
      </c>
      <c r="R1278">
        <v>0</v>
      </c>
      <c r="S1278">
        <v>1</v>
      </c>
      <c r="T1278" t="s">
        <v>5133</v>
      </c>
      <c r="U1278" t="s">
        <v>3512</v>
      </c>
      <c r="V1278" s="1" t="s">
        <v>3513</v>
      </c>
      <c r="W1278" s="319">
        <v>130</v>
      </c>
      <c r="X1278" s="319">
        <v>17</v>
      </c>
      <c r="Y1278" s="319">
        <v>3</v>
      </c>
      <c r="Z1278" s="314"/>
      <c r="AA1278" s="319">
        <v>0.55000000000000004</v>
      </c>
      <c r="AB1278" s="315" t="s">
        <v>5178</v>
      </c>
      <c r="AC1278" s="319">
        <v>1</v>
      </c>
      <c r="AD1278" s="320">
        <v>1.3157894736842099E-2</v>
      </c>
      <c r="AE1278" s="319">
        <v>1</v>
      </c>
      <c r="AF1278" s="320">
        <v>1.3157894736842099E-2</v>
      </c>
      <c r="AG1278" s="319">
        <v>0</v>
      </c>
      <c r="AH1278" s="320">
        <v>0</v>
      </c>
      <c r="AI1278" s="319">
        <v>0</v>
      </c>
      <c r="AJ1278" s="320">
        <v>0</v>
      </c>
      <c r="AK1278" s="320">
        <v>0</v>
      </c>
      <c r="AL1278" s="319"/>
      <c r="AM1278" s="319"/>
      <c r="AN1278" s="319"/>
      <c r="AO1278" s="319"/>
      <c r="AP1278">
        <v>3</v>
      </c>
      <c r="AR1278" s="136"/>
      <c r="AT1278" s="69">
        <v>2.3148</v>
      </c>
      <c r="AU1278" s="69">
        <v>2.3148</v>
      </c>
      <c r="AV1278" s="69">
        <v>2.3148</v>
      </c>
      <c r="AW1278" s="69">
        <v>0.23150000000000001</v>
      </c>
      <c r="BB1278" s="69"/>
    </row>
    <row r="1279" spans="1:54" customFormat="1" ht="40" customHeight="1">
      <c r="A1279" s="313">
        <v>1278</v>
      </c>
      <c r="B1279" s="136" t="s">
        <v>3243</v>
      </c>
      <c r="C1279" s="136" t="s">
        <v>45</v>
      </c>
      <c r="D1279" s="31"/>
      <c r="E1279" s="137" t="s">
        <v>46</v>
      </c>
      <c r="F1279" s="31"/>
      <c r="G1279" s="137" t="s">
        <v>3514</v>
      </c>
      <c r="H1279" s="138">
        <v>40</v>
      </c>
      <c r="I1279" s="158"/>
      <c r="J1279" s="95"/>
      <c r="K1279" s="137">
        <v>0.62203552699077302</v>
      </c>
      <c r="L1279" s="137">
        <v>0.308814210796309</v>
      </c>
      <c r="M1279" s="137">
        <v>0.1</v>
      </c>
      <c r="N1279" s="136" t="s">
        <v>3515</v>
      </c>
      <c r="O1279" s="32" t="s">
        <v>3516</v>
      </c>
      <c r="P1279" s="98">
        <f t="shared" ref="P1279:P1342" si="89">IF(T1279="利己",0,IF(T1279="生态",2,IF(T1279="无",3,1)))</f>
        <v>1</v>
      </c>
      <c r="Q1279">
        <v>1</v>
      </c>
      <c r="R1279">
        <v>0</v>
      </c>
      <c r="S1279">
        <v>0</v>
      </c>
      <c r="T1279" t="s">
        <v>5088</v>
      </c>
      <c r="U1279" t="s">
        <v>3517</v>
      </c>
      <c r="V1279" s="1" t="s">
        <v>3518</v>
      </c>
      <c r="W1279" s="319">
        <v>185</v>
      </c>
      <c r="X1279" s="319">
        <v>7</v>
      </c>
      <c r="Y1279" s="319">
        <v>3</v>
      </c>
      <c r="Z1279" s="314"/>
      <c r="AA1279" s="319">
        <v>0.5</v>
      </c>
      <c r="AB1279" s="315" t="s">
        <v>5178</v>
      </c>
      <c r="AC1279" s="319">
        <v>2</v>
      </c>
      <c r="AD1279" s="320">
        <v>1.86915887850467E-2</v>
      </c>
      <c r="AE1279" s="319">
        <v>2</v>
      </c>
      <c r="AF1279" s="320">
        <v>1.86915887850467E-2</v>
      </c>
      <c r="AG1279" s="319">
        <v>0</v>
      </c>
      <c r="AH1279" s="320">
        <v>0</v>
      </c>
      <c r="AI1279" s="319">
        <v>0</v>
      </c>
      <c r="AJ1279" s="320">
        <v>0</v>
      </c>
      <c r="AK1279" s="320">
        <v>0</v>
      </c>
      <c r="AL1279" s="319"/>
      <c r="AM1279" s="319"/>
      <c r="AN1279" s="319"/>
      <c r="AO1279" s="319"/>
      <c r="AP1279">
        <v>3</v>
      </c>
      <c r="AR1279" s="136"/>
      <c r="AT1279" s="69">
        <v>2.3148</v>
      </c>
      <c r="AU1279" s="69">
        <v>2.3148</v>
      </c>
      <c r="AV1279" s="69">
        <v>2.3148</v>
      </c>
      <c r="AW1279" s="69">
        <v>0.23150000000000001</v>
      </c>
      <c r="BB1279" s="69"/>
    </row>
    <row r="1280" spans="1:54" customFormat="1" ht="40" customHeight="1">
      <c r="A1280" s="313">
        <v>1279</v>
      </c>
      <c r="B1280" s="136" t="s">
        <v>3243</v>
      </c>
      <c r="C1280" s="136" t="s">
        <v>45</v>
      </c>
      <c r="D1280" s="31"/>
      <c r="E1280" s="137" t="s">
        <v>46</v>
      </c>
      <c r="F1280" s="31"/>
      <c r="G1280" s="137" t="s">
        <v>3519</v>
      </c>
      <c r="H1280" s="138">
        <v>818</v>
      </c>
      <c r="I1280" s="158"/>
      <c r="J1280" s="95"/>
      <c r="K1280" s="137">
        <v>0.62203552699077302</v>
      </c>
      <c r="L1280" s="137">
        <v>0.41191112050385198</v>
      </c>
      <c r="M1280" s="137">
        <v>0.27182818284590399</v>
      </c>
      <c r="N1280" s="136" t="s">
        <v>3520</v>
      </c>
      <c r="O1280" s="32" t="s">
        <v>3521</v>
      </c>
      <c r="P1280" s="98">
        <f t="shared" si="89"/>
        <v>1</v>
      </c>
      <c r="Q1280">
        <v>0</v>
      </c>
      <c r="R1280">
        <v>6</v>
      </c>
      <c r="S1280">
        <v>0</v>
      </c>
      <c r="T1280" t="s">
        <v>73</v>
      </c>
      <c r="U1280" s="1" t="s">
        <v>3522</v>
      </c>
      <c r="V1280" t="s">
        <v>3523</v>
      </c>
      <c r="W1280" s="319">
        <v>42</v>
      </c>
      <c r="X1280" s="319">
        <v>7</v>
      </c>
      <c r="Y1280" s="319">
        <v>1</v>
      </c>
      <c r="Z1280" s="314"/>
      <c r="AA1280" s="319">
        <v>0.5</v>
      </c>
      <c r="AB1280" s="315" t="s">
        <v>5165</v>
      </c>
      <c r="AC1280" s="319">
        <v>2</v>
      </c>
      <c r="AD1280" s="320">
        <v>9.0909090909090898E-2</v>
      </c>
      <c r="AE1280" s="319">
        <v>0</v>
      </c>
      <c r="AF1280" s="320">
        <v>0</v>
      </c>
      <c r="AG1280" s="319">
        <v>0</v>
      </c>
      <c r="AH1280" s="320">
        <v>0</v>
      </c>
      <c r="AI1280" s="319">
        <v>0</v>
      </c>
      <c r="AJ1280" s="320">
        <v>0</v>
      </c>
      <c r="AK1280" s="320">
        <v>0</v>
      </c>
      <c r="AL1280" s="319"/>
      <c r="AM1280" s="319"/>
      <c r="AN1280" s="319"/>
      <c r="AO1280" s="319"/>
      <c r="AP1280">
        <v>1</v>
      </c>
      <c r="AQ1280">
        <v>1</v>
      </c>
      <c r="AR1280" s="136"/>
      <c r="AT1280" s="69">
        <v>2.3148</v>
      </c>
      <c r="AU1280" s="69">
        <v>2.3148</v>
      </c>
      <c r="AV1280" s="69">
        <v>9.9641999999999999</v>
      </c>
      <c r="AW1280" s="69">
        <v>0.48649999999999999</v>
      </c>
      <c r="BB1280" s="69"/>
    </row>
    <row r="1281" spans="1:54" customFormat="1" ht="40" customHeight="1">
      <c r="A1281" s="313">
        <v>1280</v>
      </c>
      <c r="B1281" s="136" t="s">
        <v>2264</v>
      </c>
      <c r="C1281" s="136" t="s">
        <v>45</v>
      </c>
      <c r="D1281" s="31"/>
      <c r="E1281" s="137" t="s">
        <v>46</v>
      </c>
      <c r="F1281" s="31"/>
      <c r="G1281" s="137" t="s">
        <v>3524</v>
      </c>
      <c r="H1281" s="138">
        <v>97</v>
      </c>
      <c r="I1281" s="158"/>
      <c r="J1281" s="95"/>
      <c r="K1281" s="137">
        <v>0.28571428571428598</v>
      </c>
      <c r="L1281" s="137">
        <v>0.13635848075600099</v>
      </c>
      <c r="M1281" s="137">
        <v>3.67879441171442E-2</v>
      </c>
      <c r="N1281" s="136" t="s">
        <v>3272</v>
      </c>
      <c r="O1281" s="32" t="s">
        <v>3525</v>
      </c>
      <c r="P1281" s="98">
        <f t="shared" si="89"/>
        <v>1</v>
      </c>
      <c r="Q1281">
        <v>0</v>
      </c>
      <c r="R1281">
        <v>1</v>
      </c>
      <c r="S1281">
        <v>1</v>
      </c>
      <c r="T1281" t="s">
        <v>73</v>
      </c>
      <c r="U1281" s="321" t="s">
        <v>5147</v>
      </c>
      <c r="V1281" t="s">
        <v>3526</v>
      </c>
      <c r="W1281" s="319">
        <v>218</v>
      </c>
      <c r="X1281" s="319">
        <v>25</v>
      </c>
      <c r="Y1281" s="319">
        <v>4</v>
      </c>
      <c r="Z1281" s="314"/>
      <c r="AA1281" s="319">
        <v>0.45454545454545398</v>
      </c>
      <c r="AB1281" s="315" t="s">
        <v>5165</v>
      </c>
      <c r="AC1281" s="319">
        <v>4</v>
      </c>
      <c r="AD1281" s="320">
        <v>3.3057851239669402E-2</v>
      </c>
      <c r="AE1281" s="319">
        <v>0</v>
      </c>
      <c r="AF1281" s="320">
        <v>0</v>
      </c>
      <c r="AG1281" s="319">
        <v>0</v>
      </c>
      <c r="AH1281" s="320">
        <v>0</v>
      </c>
      <c r="AI1281" s="319">
        <v>0</v>
      </c>
      <c r="AJ1281" s="320">
        <v>0</v>
      </c>
      <c r="AK1281" s="320">
        <v>0</v>
      </c>
      <c r="AL1281" s="319"/>
      <c r="AM1281" s="319"/>
      <c r="AN1281" s="319"/>
      <c r="AO1281" s="319"/>
      <c r="AP1281">
        <v>4</v>
      </c>
      <c r="AR1281" s="136"/>
      <c r="AS1281">
        <v>4</v>
      </c>
      <c r="AT1281" s="69">
        <v>2.3148</v>
      </c>
      <c r="AU1281" s="69">
        <v>2.3148</v>
      </c>
      <c r="AV1281" s="69">
        <v>2.3148</v>
      </c>
      <c r="AW1281" s="69">
        <v>0.23150000000000001</v>
      </c>
      <c r="BB1281" s="69"/>
    </row>
    <row r="1282" spans="1:54" customFormat="1" ht="40" customHeight="1">
      <c r="A1282" s="313">
        <v>1281</v>
      </c>
      <c r="B1282" s="136" t="s">
        <v>3243</v>
      </c>
      <c r="C1282" s="136" t="s">
        <v>45</v>
      </c>
      <c r="D1282" s="31"/>
      <c r="E1282" s="137" t="s">
        <v>80</v>
      </c>
      <c r="F1282" s="31"/>
      <c r="G1282" s="137" t="s">
        <v>3527</v>
      </c>
      <c r="H1282" s="138">
        <v>49</v>
      </c>
      <c r="I1282" s="158"/>
      <c r="J1282" s="95"/>
      <c r="K1282" s="137">
        <v>0.37730015092276098</v>
      </c>
      <c r="L1282" s="137">
        <v>0.21092006036910399</v>
      </c>
      <c r="M1282" s="137">
        <v>0.1</v>
      </c>
      <c r="N1282" s="136" t="s">
        <v>3241</v>
      </c>
      <c r="O1282" s="32" t="s">
        <v>3528</v>
      </c>
      <c r="P1282" s="98">
        <f t="shared" si="89"/>
        <v>1</v>
      </c>
      <c r="Q1282">
        <v>1</v>
      </c>
      <c r="R1282">
        <v>0</v>
      </c>
      <c r="S1282">
        <v>0</v>
      </c>
      <c r="T1282" t="s">
        <v>5088</v>
      </c>
      <c r="U1282" t="s">
        <v>3529</v>
      </c>
      <c r="V1282" s="1" t="s">
        <v>3530</v>
      </c>
      <c r="W1282" s="319">
        <v>353</v>
      </c>
      <c r="X1282" s="319">
        <v>19</v>
      </c>
      <c r="Y1282" s="319">
        <v>4</v>
      </c>
      <c r="Z1282" s="314"/>
      <c r="AA1282" s="319">
        <v>0.54500000000000004</v>
      </c>
      <c r="AB1282" s="315" t="s">
        <v>5176</v>
      </c>
      <c r="AC1282" s="319">
        <v>2</v>
      </c>
      <c r="AD1282" s="320">
        <v>9.6618357487922701E-3</v>
      </c>
      <c r="AE1282" s="319">
        <v>3</v>
      </c>
      <c r="AF1282" s="320">
        <v>1.4492753623188401E-2</v>
      </c>
      <c r="AG1282" s="319">
        <v>0</v>
      </c>
      <c r="AH1282" s="320">
        <v>0</v>
      </c>
      <c r="AI1282" s="319">
        <v>1</v>
      </c>
      <c r="AJ1282" s="320">
        <v>4.8309178743961298E-3</v>
      </c>
      <c r="AK1282" s="320">
        <v>9.7560975609756097E-3</v>
      </c>
      <c r="AL1282" s="319"/>
      <c r="AM1282" s="319"/>
      <c r="AN1282" s="319"/>
      <c r="AO1282" s="319"/>
      <c r="AP1282">
        <v>4</v>
      </c>
      <c r="AR1282" s="136"/>
      <c r="AS1282">
        <v>4</v>
      </c>
      <c r="AT1282" s="69">
        <v>2.3148</v>
      </c>
      <c r="AU1282" s="69">
        <v>2.3148</v>
      </c>
      <c r="AV1282" s="69">
        <v>9.8416999999999994</v>
      </c>
      <c r="AW1282" s="69">
        <v>0.4824</v>
      </c>
      <c r="BB1282" s="69"/>
    </row>
    <row r="1283" spans="1:54" customFormat="1" ht="40" customHeight="1">
      <c r="A1283" s="313">
        <v>1282</v>
      </c>
      <c r="B1283" s="136" t="s">
        <v>3243</v>
      </c>
      <c r="C1283" s="136" t="s">
        <v>1191</v>
      </c>
      <c r="D1283" s="31"/>
      <c r="E1283" s="137" t="s">
        <v>46</v>
      </c>
      <c r="F1283" s="31"/>
      <c r="G1283" s="137" t="s">
        <v>3531</v>
      </c>
      <c r="H1283" s="138">
        <v>60</v>
      </c>
      <c r="I1283" s="158"/>
      <c r="J1283" s="95"/>
      <c r="K1283" s="137">
        <v>0.526196458520657</v>
      </c>
      <c r="L1283" s="137">
        <v>0.37357549311580601</v>
      </c>
      <c r="M1283" s="137">
        <v>0.27182818284590399</v>
      </c>
      <c r="N1283" s="136" t="s">
        <v>3532</v>
      </c>
      <c r="O1283" s="32" t="s">
        <v>3533</v>
      </c>
      <c r="P1283" s="98">
        <f t="shared" si="89"/>
        <v>1</v>
      </c>
      <c r="Q1283">
        <v>0</v>
      </c>
      <c r="R1283">
        <v>2</v>
      </c>
      <c r="S1283">
        <v>3</v>
      </c>
      <c r="T1283" t="s">
        <v>5133</v>
      </c>
      <c r="U1283" t="s">
        <v>3534</v>
      </c>
      <c r="V1283" t="s">
        <v>3535</v>
      </c>
      <c r="W1283" s="319">
        <v>65</v>
      </c>
      <c r="X1283" s="319">
        <v>11</v>
      </c>
      <c r="Y1283" s="319">
        <v>1</v>
      </c>
      <c r="Z1283" s="314"/>
      <c r="AA1283" s="319">
        <v>0.66549999999999998</v>
      </c>
      <c r="AB1283" s="315" t="s">
        <v>5176</v>
      </c>
      <c r="AC1283" s="319">
        <v>0</v>
      </c>
      <c r="AD1283" s="320">
        <v>0</v>
      </c>
      <c r="AE1283" s="319">
        <v>1</v>
      </c>
      <c r="AF1283" s="320">
        <v>2.6315789473684199E-2</v>
      </c>
      <c r="AG1283" s="319">
        <v>0</v>
      </c>
      <c r="AH1283" s="320">
        <v>0</v>
      </c>
      <c r="AI1283" s="319">
        <v>0</v>
      </c>
      <c r="AJ1283" s="320">
        <v>0</v>
      </c>
      <c r="AK1283" s="320">
        <v>0</v>
      </c>
      <c r="AL1283" s="319"/>
      <c r="AM1283" s="319"/>
      <c r="AN1283" s="319"/>
      <c r="AO1283" s="319"/>
      <c r="AP1283">
        <v>1</v>
      </c>
      <c r="AQ1283">
        <v>1</v>
      </c>
      <c r="AR1283" s="136"/>
      <c r="AT1283" s="69">
        <v>2.3148</v>
      </c>
      <c r="AU1283" s="69">
        <v>2.3148</v>
      </c>
      <c r="AV1283" s="69">
        <v>2.3148</v>
      </c>
      <c r="AW1283" s="69">
        <v>0.23150000000000001</v>
      </c>
      <c r="BB1283" s="69"/>
    </row>
    <row r="1284" spans="1:54" customFormat="1" ht="40" customHeight="1">
      <c r="A1284" s="313">
        <v>1283</v>
      </c>
      <c r="B1284" s="136" t="s">
        <v>3243</v>
      </c>
      <c r="C1284" s="136" t="s">
        <v>45</v>
      </c>
      <c r="D1284" s="31"/>
      <c r="E1284" s="137" t="s">
        <v>46</v>
      </c>
      <c r="F1284" s="31"/>
      <c r="G1284" s="137" t="s">
        <v>3536</v>
      </c>
      <c r="H1284" s="138">
        <v>15</v>
      </c>
      <c r="I1284" s="158"/>
      <c r="J1284" s="95"/>
      <c r="K1284" s="137">
        <v>0.50512834069460699</v>
      </c>
      <c r="L1284" s="137">
        <v>0.26205133627784299</v>
      </c>
      <c r="M1284" s="137">
        <v>0.1</v>
      </c>
      <c r="N1284" s="136" t="s">
        <v>3537</v>
      </c>
      <c r="O1284" s="32" t="s">
        <v>3538</v>
      </c>
      <c r="P1284" s="98">
        <f t="shared" si="89"/>
        <v>0</v>
      </c>
      <c r="Q1284">
        <v>6</v>
      </c>
      <c r="R1284">
        <v>0</v>
      </c>
      <c r="S1284">
        <v>0</v>
      </c>
      <c r="T1284" t="s">
        <v>48</v>
      </c>
      <c r="U1284" t="s">
        <v>3539</v>
      </c>
      <c r="V1284" t="s">
        <v>3540</v>
      </c>
      <c r="W1284" s="319">
        <v>208</v>
      </c>
      <c r="X1284" s="319">
        <v>12</v>
      </c>
      <c r="Y1284" s="319">
        <v>2</v>
      </c>
      <c r="Z1284" s="314"/>
      <c r="AA1284" s="319">
        <v>0.5</v>
      </c>
      <c r="AB1284" s="315" t="s">
        <v>5176</v>
      </c>
      <c r="AC1284" s="319">
        <v>2</v>
      </c>
      <c r="AD1284" s="320">
        <v>1.6806722689075598E-2</v>
      </c>
      <c r="AE1284" s="319">
        <v>4</v>
      </c>
      <c r="AF1284" s="320">
        <v>3.3613445378151197E-2</v>
      </c>
      <c r="AG1284" s="319">
        <v>0</v>
      </c>
      <c r="AH1284" s="320">
        <v>0</v>
      </c>
      <c r="AI1284" s="319">
        <v>3</v>
      </c>
      <c r="AJ1284" s="320">
        <v>2.5210084033613401E-2</v>
      </c>
      <c r="AK1284" s="320">
        <v>8.4033613445378148E-3</v>
      </c>
      <c r="AL1284" s="319"/>
      <c r="AM1284" s="319"/>
      <c r="AN1284" s="319"/>
      <c r="AO1284" s="319"/>
      <c r="AP1284">
        <v>2</v>
      </c>
      <c r="AR1284" s="136"/>
      <c r="AS1284">
        <v>2</v>
      </c>
      <c r="AT1284" s="69">
        <v>2.3148</v>
      </c>
      <c r="AU1284" s="69">
        <v>2.3148</v>
      </c>
      <c r="AV1284" s="69">
        <v>2.3148</v>
      </c>
      <c r="AW1284" s="69">
        <v>0.23150000000000001</v>
      </c>
      <c r="BB1284" s="69"/>
    </row>
    <row r="1285" spans="1:54" customFormat="1" ht="40" customHeight="1">
      <c r="A1285" s="313">
        <v>1284</v>
      </c>
      <c r="B1285" s="136" t="s">
        <v>3243</v>
      </c>
      <c r="C1285" s="136" t="s">
        <v>45</v>
      </c>
      <c r="D1285" s="31"/>
      <c r="E1285" s="137" t="s">
        <v>46</v>
      </c>
      <c r="F1285" s="31"/>
      <c r="G1285" s="137" t="s">
        <v>3541</v>
      </c>
      <c r="H1285" s="138">
        <v>221</v>
      </c>
      <c r="I1285" s="158"/>
      <c r="J1285" s="95"/>
      <c r="K1285" s="137">
        <v>0.46547751617515098</v>
      </c>
      <c r="L1285" s="137">
        <v>0.24619100647006101</v>
      </c>
      <c r="M1285" s="137">
        <v>0.1</v>
      </c>
      <c r="N1285" s="136" t="s">
        <v>3542</v>
      </c>
      <c r="O1285" s="32" t="s">
        <v>3543</v>
      </c>
      <c r="P1285" s="98">
        <f t="shared" si="89"/>
        <v>1</v>
      </c>
      <c r="Q1285">
        <v>0</v>
      </c>
      <c r="R1285">
        <v>6</v>
      </c>
      <c r="S1285">
        <v>0</v>
      </c>
      <c r="T1285" t="s">
        <v>73</v>
      </c>
      <c r="U1285" t="s">
        <v>3544</v>
      </c>
      <c r="V1285" t="s">
        <v>3545</v>
      </c>
      <c r="W1285" s="319">
        <v>127</v>
      </c>
      <c r="X1285" s="319">
        <v>14</v>
      </c>
      <c r="Y1285" s="319">
        <v>2</v>
      </c>
      <c r="Z1285" s="314"/>
      <c r="AA1285" s="319">
        <v>0.5</v>
      </c>
      <c r="AB1285" s="315" t="s">
        <v>5166</v>
      </c>
      <c r="AC1285" s="319">
        <v>1</v>
      </c>
      <c r="AD1285" s="320">
        <v>1.4084507042253501E-2</v>
      </c>
      <c r="AE1285" s="319">
        <v>0</v>
      </c>
      <c r="AF1285" s="320">
        <v>0</v>
      </c>
      <c r="AG1285" s="319">
        <v>0</v>
      </c>
      <c r="AH1285" s="320">
        <v>0</v>
      </c>
      <c r="AI1285" s="319">
        <v>1</v>
      </c>
      <c r="AJ1285" s="320">
        <v>1.4084507042253501E-2</v>
      </c>
      <c r="AK1285" s="320">
        <v>2.8169014084507039E-2</v>
      </c>
      <c r="AL1285" s="319"/>
      <c r="AM1285" s="319"/>
      <c r="AN1285" s="319"/>
      <c r="AO1285" s="319"/>
      <c r="AP1285">
        <v>2</v>
      </c>
      <c r="AR1285" s="136"/>
      <c r="AT1285" s="69">
        <v>2.3148</v>
      </c>
      <c r="AU1285" s="69">
        <v>5</v>
      </c>
      <c r="AV1285" s="69">
        <v>8.1305999999999994</v>
      </c>
      <c r="AW1285" s="69">
        <v>0.51480000000000004</v>
      </c>
      <c r="BB1285" s="69"/>
    </row>
    <row r="1286" spans="1:54" customFormat="1" ht="40" customHeight="1">
      <c r="A1286" s="313">
        <v>1285</v>
      </c>
      <c r="B1286" s="136" t="s">
        <v>3243</v>
      </c>
      <c r="C1286" s="136" t="s">
        <v>45</v>
      </c>
      <c r="D1286" s="31"/>
      <c r="E1286" s="137" t="s">
        <v>80</v>
      </c>
      <c r="F1286" s="31"/>
      <c r="G1286" s="137" t="s">
        <v>3546</v>
      </c>
      <c r="H1286" s="138">
        <v>49</v>
      </c>
      <c r="I1286" s="158"/>
      <c r="J1286" s="95"/>
      <c r="K1286" s="137">
        <v>0.48492124636228701</v>
      </c>
      <c r="L1286" s="137">
        <v>0.35706540825245803</v>
      </c>
      <c r="M1286" s="137">
        <v>0.27182818284590399</v>
      </c>
      <c r="N1286" s="136" t="s">
        <v>3241</v>
      </c>
      <c r="O1286" s="32" t="s">
        <v>3547</v>
      </c>
      <c r="P1286" s="98">
        <f t="shared" si="89"/>
        <v>1</v>
      </c>
      <c r="Q1286">
        <v>2</v>
      </c>
      <c r="R1286">
        <v>0</v>
      </c>
      <c r="S1286">
        <v>0</v>
      </c>
      <c r="T1286" t="s">
        <v>5088</v>
      </c>
      <c r="U1286" t="s">
        <v>3548</v>
      </c>
      <c r="V1286" t="s">
        <v>3549</v>
      </c>
      <c r="W1286" s="319">
        <v>88</v>
      </c>
      <c r="X1286" s="319">
        <v>13</v>
      </c>
      <c r="Y1286" s="319">
        <v>1</v>
      </c>
      <c r="Z1286" s="314"/>
      <c r="AA1286" s="319">
        <v>0.73204999999999998</v>
      </c>
      <c r="AB1286" s="315" t="s">
        <v>5176</v>
      </c>
      <c r="AC1286" s="319">
        <v>0</v>
      </c>
      <c r="AD1286" s="320">
        <v>0</v>
      </c>
      <c r="AE1286" s="319">
        <v>1</v>
      </c>
      <c r="AF1286" s="320">
        <v>2.1739130434782601E-2</v>
      </c>
      <c r="AG1286" s="319">
        <v>0</v>
      </c>
      <c r="AH1286" s="320">
        <v>0</v>
      </c>
      <c r="AI1286" s="319">
        <v>0</v>
      </c>
      <c r="AJ1286" s="320">
        <v>0</v>
      </c>
      <c r="AK1286" s="320">
        <v>4.3478260869565223E-2</v>
      </c>
      <c r="AL1286" s="319"/>
      <c r="AM1286" s="319"/>
      <c r="AN1286" s="319"/>
      <c r="AO1286" s="319"/>
      <c r="AP1286">
        <v>1</v>
      </c>
      <c r="AR1286" s="136"/>
      <c r="AS1286">
        <v>1</v>
      </c>
      <c r="AT1286" s="69">
        <v>2.3148</v>
      </c>
      <c r="AU1286" s="69">
        <v>5</v>
      </c>
      <c r="AV1286" s="69">
        <v>2.3148</v>
      </c>
      <c r="AW1286" s="69">
        <v>0.32100000000000001</v>
      </c>
      <c r="BB1286" s="69"/>
    </row>
    <row r="1287" spans="1:54" customFormat="1" ht="40" customHeight="1">
      <c r="A1287" s="313">
        <v>1286</v>
      </c>
      <c r="B1287" s="136" t="s">
        <v>3243</v>
      </c>
      <c r="C1287" s="136" t="s">
        <v>45</v>
      </c>
      <c r="D1287" s="31"/>
      <c r="E1287" s="137" t="s">
        <v>46</v>
      </c>
      <c r="F1287" s="31"/>
      <c r="G1287" s="137" t="s">
        <v>3550</v>
      </c>
      <c r="H1287" s="138">
        <v>90</v>
      </c>
      <c r="I1287" s="158"/>
      <c r="J1287" s="95"/>
      <c r="K1287" s="137">
        <v>0.28571428571428598</v>
      </c>
      <c r="L1287" s="137">
        <v>0.27738262399325703</v>
      </c>
      <c r="M1287" s="137">
        <v>0.27182818284590399</v>
      </c>
      <c r="N1287" s="136" t="s">
        <v>3551</v>
      </c>
      <c r="O1287" s="32" t="s">
        <v>3552</v>
      </c>
      <c r="P1287" s="98">
        <f t="shared" si="89"/>
        <v>0</v>
      </c>
      <c r="Q1287">
        <v>0</v>
      </c>
      <c r="R1287">
        <v>0</v>
      </c>
      <c r="S1287">
        <v>0</v>
      </c>
      <c r="T1287" t="s">
        <v>48</v>
      </c>
      <c r="U1287" t="s">
        <v>3553</v>
      </c>
      <c r="V1287" t="s">
        <v>3554</v>
      </c>
      <c r="W1287" s="319">
        <v>126</v>
      </c>
      <c r="X1287" s="319">
        <v>25</v>
      </c>
      <c r="Y1287" s="319">
        <v>2</v>
      </c>
      <c r="Z1287" s="314"/>
      <c r="AA1287" s="319">
        <v>0.60499999999999998</v>
      </c>
      <c r="AB1287" s="315" t="s">
        <v>5178</v>
      </c>
      <c r="AC1287" s="319">
        <v>1</v>
      </c>
      <c r="AD1287" s="320">
        <v>1.42857142857142E-2</v>
      </c>
      <c r="AE1287" s="319">
        <v>1</v>
      </c>
      <c r="AF1287" s="320">
        <v>1.42857142857142E-2</v>
      </c>
      <c r="AG1287" s="319">
        <v>0</v>
      </c>
      <c r="AH1287" s="320">
        <v>0</v>
      </c>
      <c r="AI1287" s="319">
        <v>0</v>
      </c>
      <c r="AJ1287" s="320">
        <v>0</v>
      </c>
      <c r="AK1287" s="320">
        <v>0</v>
      </c>
      <c r="AL1287" s="319"/>
      <c r="AM1287" s="319"/>
      <c r="AN1287" s="319"/>
      <c r="AO1287" s="319"/>
      <c r="AP1287">
        <v>2</v>
      </c>
      <c r="AR1287" s="136"/>
      <c r="AT1287" s="69">
        <v>2.3148</v>
      </c>
      <c r="AU1287" s="69">
        <v>5</v>
      </c>
      <c r="AV1287" s="69">
        <v>2.3148</v>
      </c>
      <c r="AW1287" s="69">
        <v>0.32100000000000001</v>
      </c>
      <c r="BB1287" s="69"/>
    </row>
    <row r="1288" spans="1:54" customFormat="1" ht="40" customHeight="1">
      <c r="A1288" s="313">
        <v>1287</v>
      </c>
      <c r="B1288" s="136" t="s">
        <v>3243</v>
      </c>
      <c r="C1288" s="136" t="s">
        <v>45</v>
      </c>
      <c r="D1288" s="31"/>
      <c r="E1288" s="137" t="s">
        <v>80</v>
      </c>
      <c r="F1288" s="31"/>
      <c r="G1288" s="137" t="s">
        <v>3555</v>
      </c>
      <c r="H1288" s="138">
        <v>47</v>
      </c>
      <c r="I1288" s="158"/>
      <c r="J1288" s="95"/>
      <c r="K1288" s="137">
        <v>0.119369428147289</v>
      </c>
      <c r="L1288" s="137">
        <v>0.10774777125891601</v>
      </c>
      <c r="M1288" s="137">
        <v>0.1</v>
      </c>
      <c r="N1288" s="136" t="s">
        <v>3241</v>
      </c>
      <c r="O1288" s="32" t="s">
        <v>3556</v>
      </c>
      <c r="P1288" s="98">
        <f t="shared" si="89"/>
        <v>1</v>
      </c>
      <c r="Q1288">
        <v>0</v>
      </c>
      <c r="R1288">
        <v>0</v>
      </c>
      <c r="S1288">
        <v>0</v>
      </c>
      <c r="T1288" t="s">
        <v>73</v>
      </c>
      <c r="U1288" t="s">
        <v>3557</v>
      </c>
      <c r="V1288" t="s">
        <v>3558</v>
      </c>
      <c r="W1288" s="319">
        <v>522</v>
      </c>
      <c r="X1288" s="319">
        <v>38</v>
      </c>
      <c r="Y1288" s="319">
        <v>10</v>
      </c>
      <c r="Z1288" s="314"/>
      <c r="AA1288" s="319">
        <v>0.66549999999999998</v>
      </c>
      <c r="AB1288" s="315" t="s">
        <v>5178</v>
      </c>
      <c r="AC1288" s="319">
        <v>3</v>
      </c>
      <c r="AD1288" s="320">
        <v>1.0204081632653E-2</v>
      </c>
      <c r="AE1288" s="319">
        <v>3</v>
      </c>
      <c r="AF1288" s="320">
        <v>1.0204081632653E-2</v>
      </c>
      <c r="AG1288" s="319">
        <v>2</v>
      </c>
      <c r="AH1288" s="320">
        <v>6.8027210884353704E-3</v>
      </c>
      <c r="AI1288" s="319">
        <v>1</v>
      </c>
      <c r="AJ1288" s="320">
        <v>3.40136054421768E-3</v>
      </c>
      <c r="AK1288" s="320">
        <v>0</v>
      </c>
      <c r="AL1288" s="319"/>
      <c r="AM1288" s="319"/>
      <c r="AN1288" s="319"/>
      <c r="AO1288" s="319"/>
      <c r="AP1288">
        <v>10</v>
      </c>
      <c r="AR1288" s="136"/>
      <c r="AS1288">
        <v>10</v>
      </c>
      <c r="AT1288" s="69">
        <v>2.3148</v>
      </c>
      <c r="AU1288" s="69">
        <v>2.3148</v>
      </c>
      <c r="AV1288" s="69">
        <v>2.3148</v>
      </c>
      <c r="AW1288" s="69">
        <v>0.23150000000000001</v>
      </c>
      <c r="BB1288" s="69"/>
    </row>
    <row r="1289" spans="1:54" customFormat="1" ht="40" customHeight="1">
      <c r="A1289" s="313">
        <v>1288</v>
      </c>
      <c r="B1289" s="136" t="s">
        <v>3243</v>
      </c>
      <c r="C1289" s="136" t="s">
        <v>45</v>
      </c>
      <c r="D1289" s="31"/>
      <c r="E1289" s="137" t="s">
        <v>46</v>
      </c>
      <c r="F1289" s="31"/>
      <c r="G1289" s="137" t="s">
        <v>3559</v>
      </c>
      <c r="H1289" s="138">
        <v>745</v>
      </c>
      <c r="I1289" s="158"/>
      <c r="J1289" s="95"/>
      <c r="K1289" s="137">
        <v>0.44671666482751199</v>
      </c>
      <c r="L1289" s="137">
        <v>0.186806782925202</v>
      </c>
      <c r="M1289" s="137">
        <v>1.35335283236613E-2</v>
      </c>
      <c r="N1289" s="136" t="s">
        <v>3560</v>
      </c>
      <c r="O1289" s="32" t="s">
        <v>3556</v>
      </c>
      <c r="P1289" s="98">
        <f t="shared" si="89"/>
        <v>1</v>
      </c>
      <c r="Q1289">
        <v>0</v>
      </c>
      <c r="R1289">
        <v>6</v>
      </c>
      <c r="S1289">
        <v>0</v>
      </c>
      <c r="T1289" t="s">
        <v>73</v>
      </c>
      <c r="U1289" s="1" t="s">
        <v>3561</v>
      </c>
      <c r="V1289" t="s">
        <v>3562</v>
      </c>
      <c r="W1289" s="319">
        <v>118</v>
      </c>
      <c r="X1289" s="319">
        <v>15</v>
      </c>
      <c r="Y1289" s="319">
        <v>2</v>
      </c>
      <c r="Z1289" s="314"/>
      <c r="AA1289" s="319">
        <v>0.46818181818181798</v>
      </c>
      <c r="AB1289" s="315" t="s">
        <v>5176</v>
      </c>
      <c r="AC1289" s="319">
        <v>1</v>
      </c>
      <c r="AD1289" s="320">
        <v>1.5625E-2</v>
      </c>
      <c r="AE1289" s="319">
        <v>3</v>
      </c>
      <c r="AF1289" s="320">
        <v>4.6875E-2</v>
      </c>
      <c r="AG1289" s="319">
        <v>0</v>
      </c>
      <c r="AH1289" s="320">
        <v>0</v>
      </c>
      <c r="AI1289" s="319">
        <v>0</v>
      </c>
      <c r="AJ1289" s="320">
        <v>0</v>
      </c>
      <c r="AK1289" s="320">
        <v>3.125E-2</v>
      </c>
      <c r="AL1289" s="319"/>
      <c r="AM1289" s="319"/>
      <c r="AN1289" s="319"/>
      <c r="AO1289" s="319"/>
      <c r="AP1289">
        <v>2</v>
      </c>
      <c r="AR1289" s="136">
        <v>2</v>
      </c>
      <c r="AT1289" s="69">
        <v>2.3148</v>
      </c>
      <c r="AU1289" s="69">
        <v>5</v>
      </c>
      <c r="AV1289" s="69">
        <v>9.9641999999999999</v>
      </c>
      <c r="AW1289" s="69">
        <v>0.57599999999999996</v>
      </c>
      <c r="BB1289" s="69"/>
    </row>
    <row r="1290" spans="1:54" customFormat="1" ht="40" customHeight="1">
      <c r="A1290" s="313">
        <v>1289</v>
      </c>
      <c r="B1290" s="136" t="s">
        <v>1871</v>
      </c>
      <c r="C1290" s="136" t="s">
        <v>45</v>
      </c>
      <c r="D1290" s="31"/>
      <c r="E1290" s="137" t="s">
        <v>46</v>
      </c>
      <c r="F1290" s="31"/>
      <c r="G1290" s="137" t="s">
        <v>3563</v>
      </c>
      <c r="H1290" s="138">
        <v>186</v>
      </c>
      <c r="I1290" s="158"/>
      <c r="J1290" s="95"/>
      <c r="K1290" s="137">
        <v>0.50512834069460699</v>
      </c>
      <c r="L1290" s="137">
        <v>0.22412410274812899</v>
      </c>
      <c r="M1290" s="137">
        <v>3.67879441171442E-2</v>
      </c>
      <c r="N1290" s="136" t="s">
        <v>3564</v>
      </c>
      <c r="O1290" s="32" t="s">
        <v>3565</v>
      </c>
      <c r="P1290" s="98">
        <f t="shared" si="89"/>
        <v>2</v>
      </c>
      <c r="Q1290">
        <v>2</v>
      </c>
      <c r="R1290">
        <v>0</v>
      </c>
      <c r="S1290">
        <v>2</v>
      </c>
      <c r="T1290" t="s">
        <v>64</v>
      </c>
      <c r="U1290" s="321" t="s">
        <v>5146</v>
      </c>
      <c r="V1290" t="s">
        <v>3566</v>
      </c>
      <c r="W1290" s="319">
        <v>110</v>
      </c>
      <c r="X1290" s="319">
        <v>12</v>
      </c>
      <c r="Y1290" s="319">
        <v>2</v>
      </c>
      <c r="Z1290" s="314"/>
      <c r="AA1290" s="319">
        <v>0.54500000000000004</v>
      </c>
      <c r="AB1290" s="315" t="s">
        <v>5165</v>
      </c>
      <c r="AC1290" s="319">
        <v>2</v>
      </c>
      <c r="AD1290" s="320">
        <v>3.3333333333333298E-2</v>
      </c>
      <c r="AE1290" s="319">
        <v>1</v>
      </c>
      <c r="AF1290" s="320">
        <v>1.6666666666666601E-2</v>
      </c>
      <c r="AG1290" s="319">
        <v>1</v>
      </c>
      <c r="AH1290" s="320">
        <v>1.6666666666666601E-2</v>
      </c>
      <c r="AI1290" s="319">
        <v>0</v>
      </c>
      <c r="AJ1290" s="320">
        <v>0</v>
      </c>
      <c r="AK1290" s="320">
        <v>0</v>
      </c>
      <c r="AL1290" s="319"/>
      <c r="AM1290" s="319"/>
      <c r="AN1290" s="319"/>
      <c r="AO1290" s="319"/>
      <c r="AP1290">
        <v>1</v>
      </c>
      <c r="AR1290" s="136">
        <v>1</v>
      </c>
      <c r="AT1290" s="69">
        <v>2.3148</v>
      </c>
      <c r="AU1290" s="69">
        <v>2.3148</v>
      </c>
      <c r="AV1290" s="69">
        <v>2.3148</v>
      </c>
      <c r="AW1290" s="69">
        <v>0.23150000000000001</v>
      </c>
      <c r="BB1290" s="69"/>
    </row>
    <row r="1291" spans="1:54" customFormat="1" ht="40" customHeight="1">
      <c r="A1291" s="313">
        <v>1290</v>
      </c>
      <c r="B1291" s="136" t="s">
        <v>3243</v>
      </c>
      <c r="C1291" s="136" t="s">
        <v>45</v>
      </c>
      <c r="D1291" s="31"/>
      <c r="E1291" s="137" t="s">
        <v>46</v>
      </c>
      <c r="F1291" s="31"/>
      <c r="G1291" s="137" t="s">
        <v>3567</v>
      </c>
      <c r="H1291" s="138">
        <v>35</v>
      </c>
      <c r="I1291" s="158"/>
      <c r="J1291" s="95"/>
      <c r="K1291" s="137">
        <v>0.46547751617515098</v>
      </c>
      <c r="L1291" s="137">
        <v>0.18728994480338501</v>
      </c>
      <c r="M1291" s="137">
        <v>1.83156388887342E-3</v>
      </c>
      <c r="N1291" s="136" t="s">
        <v>3551</v>
      </c>
      <c r="O1291" s="32" t="s">
        <v>3568</v>
      </c>
      <c r="P1291" s="98">
        <f t="shared" si="89"/>
        <v>2</v>
      </c>
      <c r="Q1291">
        <v>0</v>
      </c>
      <c r="R1291">
        <v>0</v>
      </c>
      <c r="S1291">
        <v>0</v>
      </c>
      <c r="T1291" t="s">
        <v>64</v>
      </c>
      <c r="U1291" t="s">
        <v>3569</v>
      </c>
      <c r="V1291" t="s">
        <v>3570</v>
      </c>
      <c r="W1291" s="319">
        <v>105</v>
      </c>
      <c r="X1291" s="319">
        <v>14</v>
      </c>
      <c r="Y1291" s="319">
        <v>1</v>
      </c>
      <c r="Z1291" s="314"/>
      <c r="AA1291" s="319">
        <v>0.5</v>
      </c>
      <c r="AB1291" s="315" t="s">
        <v>5165</v>
      </c>
      <c r="AC1291" s="319">
        <v>2</v>
      </c>
      <c r="AD1291" s="320">
        <v>3.2786885245901599E-2</v>
      </c>
      <c r="AE1291" s="319">
        <v>0</v>
      </c>
      <c r="AF1291" s="320">
        <v>0</v>
      </c>
      <c r="AG1291" s="319">
        <v>0</v>
      </c>
      <c r="AH1291" s="320">
        <v>0</v>
      </c>
      <c r="AI1291" s="319">
        <v>0</v>
      </c>
      <c r="AJ1291" s="320">
        <v>0</v>
      </c>
      <c r="AK1291" s="320">
        <v>0</v>
      </c>
      <c r="AL1291" s="319"/>
      <c r="AM1291" s="319"/>
      <c r="AN1291" s="319"/>
      <c r="AO1291" s="319"/>
      <c r="AP1291">
        <v>2</v>
      </c>
      <c r="AR1291" s="136">
        <v>2</v>
      </c>
      <c r="AT1291" s="69">
        <v>2.3148</v>
      </c>
      <c r="AU1291" s="69">
        <v>2.3148</v>
      </c>
      <c r="AV1291" s="69">
        <v>2.3148</v>
      </c>
      <c r="AW1291" s="69">
        <v>0.23150000000000001</v>
      </c>
      <c r="BB1291" s="69"/>
    </row>
    <row r="1292" spans="1:54" customFormat="1" ht="40" customHeight="1">
      <c r="A1292" s="313">
        <v>1291</v>
      </c>
      <c r="B1292" s="136" t="s">
        <v>3243</v>
      </c>
      <c r="C1292" s="136" t="s">
        <v>59</v>
      </c>
      <c r="D1292" s="31"/>
      <c r="E1292" s="137" t="s">
        <v>46</v>
      </c>
      <c r="F1292" s="31"/>
      <c r="G1292" s="137" t="s">
        <v>3571</v>
      </c>
      <c r="H1292" s="138">
        <v>214</v>
      </c>
      <c r="I1292" s="158"/>
      <c r="J1292" s="95"/>
      <c r="K1292" s="137">
        <v>0.54824604854737402</v>
      </c>
      <c r="L1292" s="137">
        <v>0.38239532912649199</v>
      </c>
      <c r="M1292" s="137">
        <v>0.27182818284590399</v>
      </c>
      <c r="N1292" s="136" t="s">
        <v>3572</v>
      </c>
      <c r="O1292" s="32" t="s">
        <v>3573</v>
      </c>
      <c r="P1292" s="98">
        <f t="shared" si="89"/>
        <v>1</v>
      </c>
      <c r="Q1292">
        <v>0</v>
      </c>
      <c r="R1292">
        <v>6</v>
      </c>
      <c r="S1292">
        <v>0</v>
      </c>
      <c r="T1292" t="s">
        <v>73</v>
      </c>
      <c r="U1292" s="322" t="s">
        <v>3574</v>
      </c>
      <c r="V1292" s="322" t="s">
        <v>3575</v>
      </c>
      <c r="W1292" s="319">
        <v>130</v>
      </c>
      <c r="X1292" s="319">
        <v>10</v>
      </c>
      <c r="Y1292" s="319">
        <v>2</v>
      </c>
      <c r="Z1292" s="314"/>
      <c r="AA1292" s="319">
        <v>0.55000000000000004</v>
      </c>
      <c r="AB1292" s="315" t="s">
        <v>5176</v>
      </c>
      <c r="AC1292" s="319">
        <v>0</v>
      </c>
      <c r="AD1292" s="320">
        <v>0</v>
      </c>
      <c r="AE1292" s="319">
        <v>2</v>
      </c>
      <c r="AF1292" s="320">
        <v>2.77777777777777E-2</v>
      </c>
      <c r="AG1292" s="319">
        <v>0</v>
      </c>
      <c r="AH1292" s="320">
        <v>0</v>
      </c>
      <c r="AI1292" s="319">
        <v>0</v>
      </c>
      <c r="AJ1292" s="320">
        <v>0</v>
      </c>
      <c r="AK1292" s="320">
        <v>0</v>
      </c>
      <c r="AL1292" s="319"/>
      <c r="AM1292" s="319"/>
      <c r="AN1292" s="319"/>
      <c r="AO1292" s="319"/>
      <c r="AP1292">
        <v>4</v>
      </c>
      <c r="AR1292" s="136"/>
      <c r="AT1292" s="69">
        <v>7.4837999999999996</v>
      </c>
      <c r="AU1292" s="69">
        <v>2.3148</v>
      </c>
      <c r="AV1292" s="69">
        <v>9.8416999999999994</v>
      </c>
      <c r="AW1292" s="69">
        <v>0.65469999999999995</v>
      </c>
      <c r="BB1292" s="69"/>
    </row>
    <row r="1293" spans="1:54" customFormat="1" ht="40" customHeight="1">
      <c r="A1293" s="313">
        <v>1292</v>
      </c>
      <c r="B1293" s="136" t="s">
        <v>1</v>
      </c>
      <c r="C1293" s="136" t="s">
        <v>59</v>
      </c>
      <c r="D1293" s="31"/>
      <c r="E1293" s="137" t="s">
        <v>46</v>
      </c>
      <c r="F1293" s="31"/>
      <c r="G1293" s="137" t="s">
        <v>3576</v>
      </c>
      <c r="H1293" s="138">
        <v>30</v>
      </c>
      <c r="I1293" s="158"/>
      <c r="J1293" s="95"/>
      <c r="K1293" s="137">
        <v>0.62203552699077302</v>
      </c>
      <c r="L1293" s="137">
        <v>0.270886977266596</v>
      </c>
      <c r="M1293" s="137">
        <v>3.67879441171442E-2</v>
      </c>
      <c r="N1293" s="136" t="s">
        <v>3272</v>
      </c>
      <c r="O1293" s="32" t="s">
        <v>3577</v>
      </c>
      <c r="P1293" s="98">
        <f t="shared" si="89"/>
        <v>0</v>
      </c>
      <c r="Q1293">
        <v>6</v>
      </c>
      <c r="R1293">
        <v>0</v>
      </c>
      <c r="S1293">
        <v>0</v>
      </c>
      <c r="T1293" t="s">
        <v>48</v>
      </c>
      <c r="U1293" t="s">
        <v>3576</v>
      </c>
      <c r="V1293" s="46" t="s">
        <v>3578</v>
      </c>
      <c r="W1293" s="319">
        <v>328</v>
      </c>
      <c r="X1293" s="319">
        <v>7</v>
      </c>
      <c r="Y1293" s="319">
        <v>4</v>
      </c>
      <c r="Z1293" s="314"/>
      <c r="AA1293" s="319">
        <v>0.5</v>
      </c>
      <c r="AB1293" s="315" t="s">
        <v>5165</v>
      </c>
      <c r="AC1293" s="319">
        <v>4</v>
      </c>
      <c r="AD1293" s="320">
        <v>1.9607843137254902E-2</v>
      </c>
      <c r="AE1293" s="319">
        <v>1</v>
      </c>
      <c r="AF1293" s="320">
        <v>4.9019607843137202E-3</v>
      </c>
      <c r="AG1293" s="319">
        <v>1</v>
      </c>
      <c r="AH1293" s="320">
        <v>4.9019607843137202E-3</v>
      </c>
      <c r="AI1293" s="319">
        <v>0</v>
      </c>
      <c r="AJ1293" s="320">
        <v>0</v>
      </c>
      <c r="AK1293" s="320">
        <v>4.9019607843137254E-3</v>
      </c>
      <c r="AL1293" s="319"/>
      <c r="AM1293" s="319"/>
      <c r="AN1293" s="319"/>
      <c r="AO1293" s="319"/>
      <c r="AP1293">
        <v>4</v>
      </c>
      <c r="AR1293" s="136"/>
      <c r="AT1293" s="69">
        <v>2.3148</v>
      </c>
      <c r="AU1293" s="69">
        <v>2.3148</v>
      </c>
      <c r="AV1293" s="69">
        <v>2.3148</v>
      </c>
      <c r="AW1293" s="69">
        <v>0.23150000000000001</v>
      </c>
      <c r="BB1293" s="69"/>
    </row>
    <row r="1294" spans="1:54" customFormat="1" ht="40" customHeight="1">
      <c r="A1294" s="313">
        <v>1293</v>
      </c>
      <c r="B1294" s="136" t="s">
        <v>1</v>
      </c>
      <c r="C1294" s="136" t="s">
        <v>59</v>
      </c>
      <c r="D1294" s="31"/>
      <c r="E1294" s="137" t="s">
        <v>46</v>
      </c>
      <c r="F1294" s="31"/>
      <c r="G1294" s="137" t="s">
        <v>3579</v>
      </c>
      <c r="H1294" s="138">
        <v>26</v>
      </c>
      <c r="I1294" s="158"/>
      <c r="J1294" s="95"/>
      <c r="K1294" s="137">
        <v>0.65007289388811795</v>
      </c>
      <c r="L1294" s="137">
        <v>0.28210192402553402</v>
      </c>
      <c r="M1294" s="137">
        <v>3.67879441171442E-2</v>
      </c>
      <c r="N1294" s="136" t="s">
        <v>3272</v>
      </c>
      <c r="O1294" s="32" t="s">
        <v>3580</v>
      </c>
      <c r="P1294" s="98">
        <f t="shared" si="89"/>
        <v>0</v>
      </c>
      <c r="Q1294">
        <v>6</v>
      </c>
      <c r="R1294">
        <v>0</v>
      </c>
      <c r="S1294">
        <v>0</v>
      </c>
      <c r="T1294" t="s">
        <v>48</v>
      </c>
      <c r="U1294" t="s">
        <v>3579</v>
      </c>
      <c r="V1294" s="46" t="s">
        <v>3581</v>
      </c>
      <c r="W1294" s="319">
        <v>381</v>
      </c>
      <c r="X1294" s="319">
        <v>6</v>
      </c>
      <c r="Y1294" s="319">
        <v>4</v>
      </c>
      <c r="Z1294" s="314"/>
      <c r="AA1294" s="319">
        <v>0.5</v>
      </c>
      <c r="AB1294" s="315" t="s">
        <v>5165</v>
      </c>
      <c r="AC1294" s="319">
        <v>3</v>
      </c>
      <c r="AD1294" s="320">
        <v>1.3274336283185801E-2</v>
      </c>
      <c r="AE1294" s="319">
        <v>0</v>
      </c>
      <c r="AF1294" s="320">
        <v>0</v>
      </c>
      <c r="AG1294" s="319">
        <v>2</v>
      </c>
      <c r="AH1294" s="320">
        <v>8.8495575221238902E-3</v>
      </c>
      <c r="AI1294" s="319">
        <v>0</v>
      </c>
      <c r="AJ1294" s="320">
        <v>0</v>
      </c>
      <c r="AK1294" s="320">
        <v>0</v>
      </c>
      <c r="AL1294" s="319"/>
      <c r="AM1294" s="319"/>
      <c r="AN1294" s="319"/>
      <c r="AO1294" s="319"/>
      <c r="AP1294">
        <v>3</v>
      </c>
      <c r="AR1294" s="136"/>
      <c r="AT1294" s="69">
        <v>2.3148</v>
      </c>
      <c r="AU1294" s="69">
        <v>2.3148</v>
      </c>
      <c r="AV1294" s="69">
        <v>2.3148</v>
      </c>
      <c r="AW1294" s="69">
        <v>0.23150000000000001</v>
      </c>
      <c r="BB1294" s="69"/>
    </row>
    <row r="1295" spans="1:54" customFormat="1" ht="40" customHeight="1">
      <c r="A1295" s="313">
        <v>1294</v>
      </c>
      <c r="B1295" s="136" t="s">
        <v>3243</v>
      </c>
      <c r="C1295" s="136" t="s">
        <v>45</v>
      </c>
      <c r="D1295" s="31"/>
      <c r="E1295" s="137" t="s">
        <v>46</v>
      </c>
      <c r="F1295" s="31"/>
      <c r="G1295" s="137" t="s">
        <v>3582</v>
      </c>
      <c r="H1295" s="138">
        <v>12</v>
      </c>
      <c r="I1295" s="158"/>
      <c r="J1295" s="95"/>
      <c r="K1295" s="137">
        <v>0.526196458520657</v>
      </c>
      <c r="L1295" s="137">
        <v>0.232551349878549</v>
      </c>
      <c r="M1295" s="137">
        <v>3.67879441171442E-2</v>
      </c>
      <c r="N1295" s="136" t="s">
        <v>3272</v>
      </c>
      <c r="O1295" s="32" t="s">
        <v>3583</v>
      </c>
      <c r="P1295" s="98">
        <f t="shared" si="89"/>
        <v>0</v>
      </c>
      <c r="Q1295">
        <v>6</v>
      </c>
      <c r="R1295">
        <v>0</v>
      </c>
      <c r="S1295">
        <v>0</v>
      </c>
      <c r="T1295" t="s">
        <v>48</v>
      </c>
      <c r="U1295" t="s">
        <v>3582</v>
      </c>
      <c r="V1295" t="s">
        <v>3584</v>
      </c>
      <c r="W1295" s="319">
        <v>246</v>
      </c>
      <c r="X1295" s="319">
        <v>11</v>
      </c>
      <c r="Y1295" s="319">
        <v>3</v>
      </c>
      <c r="Z1295" s="314"/>
      <c r="AA1295" s="319">
        <v>0.5</v>
      </c>
      <c r="AB1295" s="315" t="s">
        <v>5165</v>
      </c>
      <c r="AC1295" s="319">
        <v>2</v>
      </c>
      <c r="AD1295" s="320">
        <v>1.4388489208633001E-2</v>
      </c>
      <c r="AE1295" s="319">
        <v>0</v>
      </c>
      <c r="AF1295" s="320">
        <v>0</v>
      </c>
      <c r="AG1295" s="319">
        <v>1</v>
      </c>
      <c r="AH1295" s="320">
        <v>7.1942446043165402E-3</v>
      </c>
      <c r="AI1295" s="319">
        <v>0</v>
      </c>
      <c r="AJ1295" s="320">
        <v>0</v>
      </c>
      <c r="AK1295" s="320">
        <v>0</v>
      </c>
      <c r="AL1295" s="319"/>
      <c r="AM1295" s="319"/>
      <c r="AN1295" s="319"/>
      <c r="AO1295" s="319"/>
      <c r="AP1295">
        <v>4</v>
      </c>
      <c r="AR1295" s="136">
        <v>4</v>
      </c>
      <c r="AT1295" s="69">
        <v>2.3148</v>
      </c>
      <c r="AU1295" s="69">
        <v>2.3148</v>
      </c>
      <c r="AV1295" s="69">
        <v>2.3148</v>
      </c>
      <c r="AW1295" s="69">
        <v>0.23150000000000001</v>
      </c>
      <c r="BB1295" s="69"/>
    </row>
    <row r="1296" spans="1:54" customFormat="1" ht="40" customHeight="1">
      <c r="A1296" s="313">
        <v>1295</v>
      </c>
      <c r="B1296" s="136" t="s">
        <v>3243</v>
      </c>
      <c r="C1296" s="136" t="s">
        <v>1191</v>
      </c>
      <c r="D1296" s="31"/>
      <c r="E1296" s="137" t="s">
        <v>46</v>
      </c>
      <c r="F1296" s="31"/>
      <c r="G1296" s="137" t="s">
        <v>3585</v>
      </c>
      <c r="H1296" s="138">
        <v>175</v>
      </c>
      <c r="I1296" s="158"/>
      <c r="J1296" s="95"/>
      <c r="K1296" s="137">
        <v>0.54824604854737402</v>
      </c>
      <c r="L1296" s="137">
        <v>0.24137118588923601</v>
      </c>
      <c r="M1296" s="137">
        <v>3.67879441171442E-2</v>
      </c>
      <c r="N1296" s="136" t="s">
        <v>3586</v>
      </c>
      <c r="O1296" s="32" t="s">
        <v>3587</v>
      </c>
      <c r="P1296" s="98">
        <f t="shared" si="89"/>
        <v>1</v>
      </c>
      <c r="Q1296">
        <v>2</v>
      </c>
      <c r="R1296">
        <v>0</v>
      </c>
      <c r="S1296">
        <v>0</v>
      </c>
      <c r="T1296" t="s">
        <v>5088</v>
      </c>
      <c r="U1296" t="s">
        <v>3588</v>
      </c>
      <c r="V1296" t="s">
        <v>3589</v>
      </c>
      <c r="W1296" s="319">
        <v>282</v>
      </c>
      <c r="X1296" s="319">
        <v>10</v>
      </c>
      <c r="Y1296" s="319">
        <v>4</v>
      </c>
      <c r="Z1296" s="314"/>
      <c r="AA1296" s="319">
        <v>0.54500000000000004</v>
      </c>
      <c r="AB1296" s="315" t="s">
        <v>5178</v>
      </c>
      <c r="AC1296" s="319">
        <v>2</v>
      </c>
      <c r="AD1296" s="320">
        <v>1.32450331125827E-2</v>
      </c>
      <c r="AE1296" s="319">
        <v>2</v>
      </c>
      <c r="AF1296" s="320">
        <v>1.32450331125827E-2</v>
      </c>
      <c r="AG1296" s="319">
        <v>0</v>
      </c>
      <c r="AH1296" s="320">
        <v>0</v>
      </c>
      <c r="AI1296" s="319">
        <v>0</v>
      </c>
      <c r="AJ1296" s="320">
        <v>0</v>
      </c>
      <c r="AK1296" s="320">
        <v>0</v>
      </c>
      <c r="AL1296" s="319"/>
      <c r="AM1296" s="319"/>
      <c r="AN1296" s="319"/>
      <c r="AO1296" s="319"/>
      <c r="AP1296">
        <v>2</v>
      </c>
      <c r="AR1296" s="136"/>
      <c r="AT1296" s="69">
        <v>2.3148</v>
      </c>
      <c r="AU1296" s="69">
        <v>2.3148</v>
      </c>
      <c r="AV1296" s="69">
        <v>8.1305999999999994</v>
      </c>
      <c r="AW1296" s="69">
        <v>0.42530000000000001</v>
      </c>
      <c r="BB1296" s="69"/>
    </row>
    <row r="1297" spans="1:54" customFormat="1" ht="40" customHeight="1">
      <c r="A1297" s="313">
        <v>1296</v>
      </c>
      <c r="B1297" s="136" t="s">
        <v>1871</v>
      </c>
      <c r="C1297" s="136" t="s">
        <v>59</v>
      </c>
      <c r="D1297" s="31"/>
      <c r="E1297" s="137" t="s">
        <v>46</v>
      </c>
      <c r="F1297" s="31"/>
      <c r="G1297" s="137" t="s">
        <v>3590</v>
      </c>
      <c r="H1297" s="138">
        <v>469</v>
      </c>
      <c r="I1297" s="158"/>
      <c r="J1297" s="95"/>
      <c r="K1297" s="137">
        <v>0.62203552699077302</v>
      </c>
      <c r="L1297" s="137">
        <v>0.308814210796309</v>
      </c>
      <c r="M1297" s="137">
        <v>0.1</v>
      </c>
      <c r="N1297" s="136" t="s">
        <v>3591</v>
      </c>
      <c r="O1297" s="32" t="s">
        <v>3592</v>
      </c>
      <c r="P1297" s="98">
        <f t="shared" si="89"/>
        <v>1</v>
      </c>
      <c r="Q1297">
        <v>0</v>
      </c>
      <c r="R1297">
        <v>6</v>
      </c>
      <c r="S1297">
        <v>0</v>
      </c>
      <c r="T1297" t="s">
        <v>73</v>
      </c>
      <c r="U1297" s="1" t="s">
        <v>3593</v>
      </c>
      <c r="V1297" t="s">
        <v>3594</v>
      </c>
      <c r="W1297" s="319">
        <v>97</v>
      </c>
      <c r="X1297" s="319">
        <v>7</v>
      </c>
      <c r="Y1297" s="319">
        <v>2</v>
      </c>
      <c r="Z1297" s="314"/>
      <c r="AA1297" s="319">
        <v>0.5</v>
      </c>
      <c r="AB1297" s="315" t="s">
        <v>5176</v>
      </c>
      <c r="AC1297" s="319">
        <v>1</v>
      </c>
      <c r="AD1297" s="320">
        <v>1.8867924528301799E-2</v>
      </c>
      <c r="AE1297" s="319">
        <v>2</v>
      </c>
      <c r="AF1297" s="320">
        <v>3.7735849056603703E-2</v>
      </c>
      <c r="AG1297" s="319">
        <v>1</v>
      </c>
      <c r="AH1297" s="320">
        <v>1.8867924528301799E-2</v>
      </c>
      <c r="AI1297" s="319">
        <v>0</v>
      </c>
      <c r="AJ1297" s="320">
        <v>0</v>
      </c>
      <c r="AK1297" s="320">
        <v>1.886792452830189E-2</v>
      </c>
      <c r="AL1297" s="319"/>
      <c r="AM1297" s="319"/>
      <c r="AN1297" s="319"/>
      <c r="AO1297" s="319"/>
      <c r="AP1297">
        <v>1</v>
      </c>
      <c r="AR1297" s="136">
        <v>1</v>
      </c>
      <c r="AT1297" s="69">
        <v>2.3148</v>
      </c>
      <c r="AU1297" s="69">
        <v>5</v>
      </c>
      <c r="AV1297" s="69">
        <v>2.3148</v>
      </c>
      <c r="AW1297" s="69">
        <v>0.32100000000000001</v>
      </c>
      <c r="BB1297" s="69"/>
    </row>
    <row r="1298" spans="1:54" customFormat="1" ht="40" customHeight="1">
      <c r="A1298" s="313">
        <v>1297</v>
      </c>
      <c r="B1298" s="136" t="s">
        <v>3243</v>
      </c>
      <c r="C1298" s="136" t="s">
        <v>119</v>
      </c>
      <c r="D1298" s="31"/>
      <c r="E1298" s="137" t="s">
        <v>46</v>
      </c>
      <c r="F1298" s="31"/>
      <c r="G1298" s="137" t="s">
        <v>3595</v>
      </c>
      <c r="H1298" s="138">
        <v>49</v>
      </c>
      <c r="I1298" s="158"/>
      <c r="J1298" s="95"/>
      <c r="K1298" s="137">
        <v>0.59593898217911601</v>
      </c>
      <c r="L1298" s="137">
        <v>0.298375592871646</v>
      </c>
      <c r="M1298" s="137">
        <v>0.1</v>
      </c>
      <c r="N1298" s="136" t="s">
        <v>3596</v>
      </c>
      <c r="O1298" s="32" t="s">
        <v>3592</v>
      </c>
      <c r="P1298" s="98">
        <f t="shared" si="89"/>
        <v>0</v>
      </c>
      <c r="Q1298">
        <v>2</v>
      </c>
      <c r="R1298">
        <v>2</v>
      </c>
      <c r="S1298">
        <v>0</v>
      </c>
      <c r="T1298" t="s">
        <v>48</v>
      </c>
      <c r="U1298" s="321" t="s">
        <v>5144</v>
      </c>
      <c r="V1298" t="s">
        <v>3597</v>
      </c>
      <c r="W1298" s="319">
        <v>68</v>
      </c>
      <c r="X1298" s="319">
        <v>8</v>
      </c>
      <c r="Y1298" s="319">
        <v>1</v>
      </c>
      <c r="Z1298" s="314"/>
      <c r="AA1298" s="319">
        <v>0.64895000000000003</v>
      </c>
      <c r="AB1298" s="315" t="s">
        <v>5179</v>
      </c>
      <c r="AC1298" s="319">
        <v>1</v>
      </c>
      <c r="AD1298" s="320">
        <v>2.7027027027027001E-2</v>
      </c>
      <c r="AE1298" s="319">
        <v>1</v>
      </c>
      <c r="AF1298" s="320">
        <v>2.7027027027027001E-2</v>
      </c>
      <c r="AG1298" s="319">
        <v>1</v>
      </c>
      <c r="AH1298" s="320">
        <v>2.7027027027027001E-2</v>
      </c>
      <c r="AI1298" s="319">
        <v>0</v>
      </c>
      <c r="AJ1298" s="320">
        <v>0</v>
      </c>
      <c r="AK1298" s="320">
        <v>0</v>
      </c>
      <c r="AL1298" s="319"/>
      <c r="AM1298" s="319"/>
      <c r="AN1298" s="319"/>
      <c r="AO1298" s="319"/>
      <c r="AP1298">
        <v>8</v>
      </c>
      <c r="AR1298" s="136">
        <v>8</v>
      </c>
      <c r="AT1298" s="69">
        <v>2.3148</v>
      </c>
      <c r="AU1298" s="69">
        <v>7.6852</v>
      </c>
      <c r="AV1298" s="69">
        <v>8.1305999999999994</v>
      </c>
      <c r="AW1298" s="69">
        <v>0.60440000000000005</v>
      </c>
      <c r="BB1298" s="69"/>
    </row>
    <row r="1299" spans="1:54" customFormat="1" ht="40" customHeight="1">
      <c r="A1299" s="313">
        <v>1298</v>
      </c>
      <c r="B1299" s="136" t="s">
        <v>2264</v>
      </c>
      <c r="C1299" s="136" t="s">
        <v>45</v>
      </c>
      <c r="D1299" s="31"/>
      <c r="E1299" s="137" t="s">
        <v>46</v>
      </c>
      <c r="F1299" s="31"/>
      <c r="G1299" s="137" t="s">
        <v>3598</v>
      </c>
      <c r="H1299" s="138">
        <v>113</v>
      </c>
      <c r="I1299" s="158"/>
      <c r="J1299" s="95"/>
      <c r="K1299" s="137">
        <v>0.34534632929202302</v>
      </c>
      <c r="L1299" s="137">
        <v>0.146258648711006</v>
      </c>
      <c r="M1299" s="137">
        <v>1.35335283236613E-2</v>
      </c>
      <c r="N1299" s="136" t="s">
        <v>3599</v>
      </c>
      <c r="O1299" s="32" t="s">
        <v>3600</v>
      </c>
      <c r="P1299" s="98">
        <f t="shared" si="89"/>
        <v>1</v>
      </c>
      <c r="Q1299">
        <v>2</v>
      </c>
      <c r="R1299">
        <v>3</v>
      </c>
      <c r="S1299">
        <v>0</v>
      </c>
      <c r="T1299" t="s">
        <v>5132</v>
      </c>
      <c r="U1299" s="321" t="s">
        <v>5154</v>
      </c>
      <c r="V1299" t="s">
        <v>3601</v>
      </c>
      <c r="W1299" s="319">
        <v>524</v>
      </c>
      <c r="X1299" s="319">
        <v>21</v>
      </c>
      <c r="Y1299" s="319">
        <v>8</v>
      </c>
      <c r="Z1299" s="314"/>
      <c r="AA1299" s="319">
        <v>0.59450000000000003</v>
      </c>
      <c r="AB1299" s="315" t="s">
        <v>5165</v>
      </c>
      <c r="AC1299" s="319">
        <v>5</v>
      </c>
      <c r="AD1299" s="320">
        <v>1.71821305841924E-2</v>
      </c>
      <c r="AE1299" s="319">
        <v>1</v>
      </c>
      <c r="AF1299" s="320">
        <v>3.4364261168384801E-3</v>
      </c>
      <c r="AG1299" s="319">
        <v>0</v>
      </c>
      <c r="AH1299" s="320">
        <v>0</v>
      </c>
      <c r="AI1299" s="319">
        <v>1</v>
      </c>
      <c r="AJ1299" s="320">
        <v>3.4364261168384801E-3</v>
      </c>
      <c r="AK1299" s="320">
        <v>0</v>
      </c>
      <c r="AL1299" s="319"/>
      <c r="AM1299" s="319"/>
      <c r="AN1299" s="319"/>
      <c r="AO1299" s="319"/>
      <c r="AP1299">
        <v>1</v>
      </c>
      <c r="AR1299" s="136">
        <v>1</v>
      </c>
      <c r="AT1299" s="69">
        <v>2.3148</v>
      </c>
      <c r="AU1299" s="69">
        <v>2.3148</v>
      </c>
      <c r="AV1299" s="69">
        <v>8.5815000000000001</v>
      </c>
      <c r="AW1299" s="69">
        <v>0.44040000000000001</v>
      </c>
      <c r="BB1299" s="69"/>
    </row>
    <row r="1300" spans="1:54" customFormat="1" ht="40" customHeight="1">
      <c r="A1300" s="313">
        <v>1299</v>
      </c>
      <c r="B1300" s="136" t="s">
        <v>1222</v>
      </c>
      <c r="C1300" s="136" t="s">
        <v>45</v>
      </c>
      <c r="D1300" s="31"/>
      <c r="E1300" s="137" t="s">
        <v>46</v>
      </c>
      <c r="F1300" s="31"/>
      <c r="G1300" s="137" t="s">
        <v>3602</v>
      </c>
      <c r="H1300" s="138">
        <v>116</v>
      </c>
      <c r="I1300" s="158"/>
      <c r="J1300" s="95"/>
      <c r="K1300" s="137">
        <v>0.46547751617515098</v>
      </c>
      <c r="L1300" s="137">
        <v>0.24619100647006101</v>
      </c>
      <c r="M1300" s="137">
        <v>0.1</v>
      </c>
      <c r="N1300" s="136" t="s">
        <v>3603</v>
      </c>
      <c r="O1300" s="32" t="s">
        <v>3604</v>
      </c>
      <c r="P1300" s="98">
        <f t="shared" si="89"/>
        <v>2</v>
      </c>
      <c r="Q1300">
        <v>0</v>
      </c>
      <c r="R1300">
        <v>0</v>
      </c>
      <c r="S1300">
        <v>0</v>
      </c>
      <c r="T1300" t="s">
        <v>64</v>
      </c>
      <c r="U1300" t="s">
        <v>3605</v>
      </c>
      <c r="V1300" t="s">
        <v>3606</v>
      </c>
      <c r="W1300" s="319">
        <v>159</v>
      </c>
      <c r="X1300" s="319">
        <v>14</v>
      </c>
      <c r="Y1300" s="319">
        <v>1</v>
      </c>
      <c r="Z1300" s="314"/>
      <c r="AA1300" s="319">
        <v>0.55000000000000004</v>
      </c>
      <c r="AB1300" s="315" t="s">
        <v>5165</v>
      </c>
      <c r="AC1300" s="319">
        <v>3</v>
      </c>
      <c r="AD1300" s="320">
        <v>3.2258064516128997E-2</v>
      </c>
      <c r="AE1300" s="319">
        <v>2</v>
      </c>
      <c r="AF1300" s="320">
        <v>2.1505376344085999E-2</v>
      </c>
      <c r="AG1300" s="319">
        <v>0</v>
      </c>
      <c r="AH1300" s="320">
        <v>0</v>
      </c>
      <c r="AI1300" s="319">
        <v>0</v>
      </c>
      <c r="AJ1300" s="320">
        <v>0</v>
      </c>
      <c r="AK1300" s="320">
        <v>0</v>
      </c>
      <c r="AL1300" s="319"/>
      <c r="AM1300" s="319"/>
      <c r="AN1300" s="319"/>
      <c r="AO1300" s="319"/>
      <c r="AP1300">
        <v>9</v>
      </c>
      <c r="AR1300" s="136">
        <v>9</v>
      </c>
      <c r="AT1300" s="69">
        <v>2.3148</v>
      </c>
      <c r="AU1300" s="69">
        <v>7.6852</v>
      </c>
      <c r="AV1300" s="69">
        <v>2.3148</v>
      </c>
      <c r="AW1300" s="69">
        <v>0.41049999999999998</v>
      </c>
      <c r="BB1300" s="69"/>
    </row>
    <row r="1301" spans="1:54" customFormat="1" ht="40" customHeight="1">
      <c r="A1301" s="313">
        <v>1300</v>
      </c>
      <c r="B1301" s="136" t="s">
        <v>3243</v>
      </c>
      <c r="C1301" s="136" t="s">
        <v>45</v>
      </c>
      <c r="D1301" s="31"/>
      <c r="E1301" s="137" t="s">
        <v>46</v>
      </c>
      <c r="F1301" s="31"/>
      <c r="G1301" s="137" t="s">
        <v>3607</v>
      </c>
      <c r="H1301" s="138">
        <v>300</v>
      </c>
      <c r="I1301" s="158"/>
      <c r="J1301" s="95"/>
      <c r="K1301" s="137">
        <v>0.20460509102428301</v>
      </c>
      <c r="L1301" s="137">
        <v>8.9962153403909798E-2</v>
      </c>
      <c r="M1301" s="137">
        <v>1.35335283236613E-2</v>
      </c>
      <c r="N1301" s="136" t="s">
        <v>3608</v>
      </c>
      <c r="O1301" s="32" t="s">
        <v>3609</v>
      </c>
      <c r="P1301" s="98">
        <f t="shared" si="89"/>
        <v>1</v>
      </c>
      <c r="Q1301">
        <v>0</v>
      </c>
      <c r="R1301">
        <v>6</v>
      </c>
      <c r="S1301">
        <v>0</v>
      </c>
      <c r="T1301" t="s">
        <v>73</v>
      </c>
      <c r="U1301" t="s">
        <v>3610</v>
      </c>
      <c r="V1301" s="1" t="s">
        <v>3611</v>
      </c>
      <c r="W1301" s="319">
        <v>1205</v>
      </c>
      <c r="X1301" s="319">
        <v>31</v>
      </c>
      <c r="Y1301" s="319">
        <v>9</v>
      </c>
      <c r="Z1301" s="314"/>
      <c r="AA1301" s="319">
        <v>0.45454545454545398</v>
      </c>
      <c r="AB1301" s="315" t="s">
        <v>5165</v>
      </c>
      <c r="AC1301" s="319">
        <v>7</v>
      </c>
      <c r="AD1301" s="320">
        <v>1.0447761194029801E-2</v>
      </c>
      <c r="AE1301" s="319">
        <v>3</v>
      </c>
      <c r="AF1301" s="320">
        <v>4.4776119402984999E-3</v>
      </c>
      <c r="AG1301" s="319">
        <v>2</v>
      </c>
      <c r="AH1301" s="320">
        <v>2.9850746268656699E-3</v>
      </c>
      <c r="AI1301" s="319">
        <v>1</v>
      </c>
      <c r="AJ1301" s="320">
        <v>1.49253731343283E-3</v>
      </c>
      <c r="AK1301" s="320">
        <v>1.497005988023952E-3</v>
      </c>
      <c r="AL1301" s="319"/>
      <c r="AM1301" s="319"/>
      <c r="AN1301" s="319"/>
      <c r="AO1301" s="319"/>
      <c r="AP1301">
        <v>31</v>
      </c>
      <c r="AR1301" s="136"/>
      <c r="AS1301">
        <v>1</v>
      </c>
      <c r="AT1301" s="69">
        <v>2.3148</v>
      </c>
      <c r="AU1301" s="69">
        <v>2.3148</v>
      </c>
      <c r="AV1301" s="69">
        <v>9.8416999999999994</v>
      </c>
      <c r="AW1301" s="69">
        <v>0.4824</v>
      </c>
      <c r="BB1301" s="69"/>
    </row>
    <row r="1302" spans="1:54" customFormat="1" ht="40" customHeight="1">
      <c r="A1302" s="313">
        <v>1301</v>
      </c>
      <c r="B1302" s="136" t="s">
        <v>3243</v>
      </c>
      <c r="C1302" s="136" t="s">
        <v>45</v>
      </c>
      <c r="D1302" s="31"/>
      <c r="E1302" s="137" t="s">
        <v>46</v>
      </c>
      <c r="F1302" s="31"/>
      <c r="G1302" s="137" t="s">
        <v>3612</v>
      </c>
      <c r="H1302" s="138">
        <v>35</v>
      </c>
      <c r="I1302" s="158"/>
      <c r="J1302" s="95"/>
      <c r="K1302" s="137">
        <v>0.46547751617515098</v>
      </c>
      <c r="L1302" s="137">
        <v>0.24619100647006101</v>
      </c>
      <c r="M1302" s="137">
        <v>0.1</v>
      </c>
      <c r="N1302" s="136" t="s">
        <v>3564</v>
      </c>
      <c r="O1302" s="32" t="s">
        <v>3613</v>
      </c>
      <c r="P1302" s="98">
        <f t="shared" si="89"/>
        <v>1</v>
      </c>
      <c r="Q1302">
        <v>2</v>
      </c>
      <c r="R1302">
        <v>1</v>
      </c>
      <c r="S1302">
        <v>0</v>
      </c>
      <c r="T1302" t="s">
        <v>5088</v>
      </c>
      <c r="U1302" t="s">
        <v>3614</v>
      </c>
      <c r="V1302" t="s">
        <v>3615</v>
      </c>
      <c r="W1302" s="319">
        <v>73</v>
      </c>
      <c r="X1302" s="319">
        <v>14</v>
      </c>
      <c r="Y1302" s="319">
        <v>1</v>
      </c>
      <c r="Z1302" s="314"/>
      <c r="AA1302" s="319">
        <v>0.5</v>
      </c>
      <c r="AB1302" s="315" t="s">
        <v>5177</v>
      </c>
      <c r="AC1302" s="319">
        <v>0</v>
      </c>
      <c r="AD1302" s="320">
        <v>0</v>
      </c>
      <c r="AE1302" s="319">
        <v>1</v>
      </c>
      <c r="AF1302" s="320">
        <v>2.5000000000000001E-2</v>
      </c>
      <c r="AG1302" s="319">
        <v>1</v>
      </c>
      <c r="AH1302" s="320">
        <v>2.5000000000000001E-2</v>
      </c>
      <c r="AI1302" s="319">
        <v>0</v>
      </c>
      <c r="AJ1302" s="320">
        <v>0</v>
      </c>
      <c r="AK1302" s="320">
        <v>0</v>
      </c>
      <c r="AL1302" s="319"/>
      <c r="AM1302" s="319"/>
      <c r="AN1302" s="319"/>
      <c r="AO1302" s="319"/>
      <c r="AP1302">
        <v>1</v>
      </c>
      <c r="AR1302" s="136">
        <v>1</v>
      </c>
      <c r="AT1302" s="69">
        <v>2.3148</v>
      </c>
      <c r="AU1302" s="69">
        <v>2.3148</v>
      </c>
      <c r="AV1302" s="69">
        <v>2.3148</v>
      </c>
      <c r="AW1302" s="69">
        <v>0.23150000000000001</v>
      </c>
      <c r="BB1302" s="69"/>
    </row>
    <row r="1303" spans="1:54" customFormat="1" ht="40" customHeight="1">
      <c r="A1303" s="313">
        <v>1302</v>
      </c>
      <c r="B1303" s="136" t="s">
        <v>3243</v>
      </c>
      <c r="C1303" s="136" t="s">
        <v>45</v>
      </c>
      <c r="D1303" s="31"/>
      <c r="E1303" s="137" t="s">
        <v>46</v>
      </c>
      <c r="F1303" s="31"/>
      <c r="G1303" s="137" t="s">
        <v>3616</v>
      </c>
      <c r="H1303" s="138">
        <v>277</v>
      </c>
      <c r="I1303" s="158"/>
      <c r="J1303" s="95"/>
      <c r="K1303" s="137">
        <v>0.85714285714285698</v>
      </c>
      <c r="L1303" s="137">
        <v>0.35097725985133998</v>
      </c>
      <c r="M1303" s="137">
        <v>1.35335283236613E-2</v>
      </c>
      <c r="N1303" s="136" t="s">
        <v>3272</v>
      </c>
      <c r="O1303" s="32" t="s">
        <v>3617</v>
      </c>
      <c r="P1303" s="98">
        <f t="shared" si="89"/>
        <v>1</v>
      </c>
      <c r="Q1303">
        <v>0</v>
      </c>
      <c r="R1303">
        <v>6</v>
      </c>
      <c r="S1303">
        <v>0</v>
      </c>
      <c r="T1303" t="s">
        <v>73</v>
      </c>
      <c r="U1303" s="1" t="s">
        <v>3618</v>
      </c>
      <c r="V1303" t="s">
        <v>3619</v>
      </c>
      <c r="W1303" s="319">
        <v>132</v>
      </c>
      <c r="X1303" s="319">
        <v>1</v>
      </c>
      <c r="Y1303" s="319">
        <v>1</v>
      </c>
      <c r="Z1303" s="314"/>
      <c r="AA1303" s="319">
        <v>0.5</v>
      </c>
      <c r="AB1303" s="315" t="s">
        <v>5165</v>
      </c>
      <c r="AC1303" s="319">
        <v>3</v>
      </c>
      <c r="AD1303" s="320">
        <v>4.1095890410958902E-2</v>
      </c>
      <c r="AE1303" s="319">
        <v>0</v>
      </c>
      <c r="AF1303" s="320">
        <v>0</v>
      </c>
      <c r="AG1303" s="319">
        <v>0</v>
      </c>
      <c r="AH1303" s="320">
        <v>0</v>
      </c>
      <c r="AI1303" s="319">
        <v>0</v>
      </c>
      <c r="AJ1303" s="320">
        <v>0</v>
      </c>
      <c r="AK1303" s="320">
        <v>0</v>
      </c>
      <c r="AL1303" s="319"/>
      <c r="AM1303" s="319"/>
      <c r="AN1303" s="319"/>
      <c r="AO1303" s="319"/>
      <c r="AP1303">
        <v>1</v>
      </c>
      <c r="AR1303" s="136">
        <v>1</v>
      </c>
      <c r="AT1303" s="69">
        <v>2.3148</v>
      </c>
      <c r="AU1303" s="69">
        <v>2.3148</v>
      </c>
      <c r="AV1303" s="69">
        <v>9.8416999999999994</v>
      </c>
      <c r="AW1303" s="69">
        <v>0.4824</v>
      </c>
      <c r="BB1303" s="69"/>
    </row>
    <row r="1304" spans="1:54" customFormat="1" ht="40" customHeight="1">
      <c r="A1304" s="313">
        <v>1303</v>
      </c>
      <c r="B1304" s="136" t="s">
        <v>1</v>
      </c>
      <c r="C1304" s="136" t="s">
        <v>45</v>
      </c>
      <c r="D1304" s="31"/>
      <c r="E1304" s="137" t="s">
        <v>46</v>
      </c>
      <c r="F1304" s="31"/>
      <c r="G1304" s="137" t="s">
        <v>3620</v>
      </c>
      <c r="H1304" s="138">
        <v>132</v>
      </c>
      <c r="I1304" s="158"/>
      <c r="J1304" s="95"/>
      <c r="K1304" s="137">
        <v>0.68056171750003003</v>
      </c>
      <c r="L1304" s="137">
        <v>0.87222468700001199</v>
      </c>
      <c r="M1304" s="137">
        <v>1</v>
      </c>
      <c r="N1304" s="136" t="s">
        <v>3621</v>
      </c>
      <c r="O1304" s="32" t="s">
        <v>3622</v>
      </c>
      <c r="P1304" s="98">
        <f t="shared" si="89"/>
        <v>1</v>
      </c>
      <c r="Q1304">
        <v>2</v>
      </c>
      <c r="R1304">
        <v>0</v>
      </c>
      <c r="S1304">
        <v>0</v>
      </c>
      <c r="T1304" t="s">
        <v>5088</v>
      </c>
      <c r="U1304" s="1" t="s">
        <v>3623</v>
      </c>
      <c r="V1304" t="s">
        <v>3624</v>
      </c>
      <c r="W1304" s="319">
        <v>84</v>
      </c>
      <c r="X1304" s="319">
        <v>5</v>
      </c>
      <c r="Y1304" s="319">
        <v>1</v>
      </c>
      <c r="Z1304" s="314"/>
      <c r="AA1304" s="319">
        <v>0.54</v>
      </c>
      <c r="AB1304" s="315" t="s">
        <v>5178</v>
      </c>
      <c r="AC1304" s="319">
        <v>1</v>
      </c>
      <c r="AD1304" s="320">
        <v>2.1276595744680799E-2</v>
      </c>
      <c r="AE1304" s="319">
        <v>1</v>
      </c>
      <c r="AF1304" s="320">
        <v>2.1276595744680799E-2</v>
      </c>
      <c r="AG1304" s="319">
        <v>0</v>
      </c>
      <c r="AH1304" s="320">
        <v>0</v>
      </c>
      <c r="AI1304" s="319">
        <v>0</v>
      </c>
      <c r="AJ1304" s="320">
        <v>0</v>
      </c>
      <c r="AK1304" s="320">
        <v>0</v>
      </c>
      <c r="AL1304" s="319"/>
      <c r="AM1304" s="319"/>
      <c r="AN1304" s="319"/>
      <c r="AO1304" s="319"/>
      <c r="AP1304">
        <v>1</v>
      </c>
      <c r="AR1304" s="136"/>
      <c r="AT1304" s="69">
        <v>2.3148</v>
      </c>
      <c r="AU1304" s="69">
        <v>2.3148</v>
      </c>
      <c r="AV1304" s="69">
        <v>9.5120000000000005</v>
      </c>
      <c r="AW1304" s="69">
        <v>0.47139999999999999</v>
      </c>
      <c r="BB1304" s="69"/>
    </row>
    <row r="1305" spans="1:54" customFormat="1" ht="40" customHeight="1">
      <c r="A1305" s="313">
        <v>1304</v>
      </c>
      <c r="B1305" s="136" t="s">
        <v>3243</v>
      </c>
      <c r="C1305" s="136" t="s">
        <v>119</v>
      </c>
      <c r="D1305" s="31"/>
      <c r="E1305" s="137" t="s">
        <v>46</v>
      </c>
      <c r="F1305" s="31"/>
      <c r="G1305" s="137" t="s">
        <v>3625</v>
      </c>
      <c r="H1305" s="138">
        <v>174</v>
      </c>
      <c r="I1305" s="158"/>
      <c r="J1305" s="95"/>
      <c r="K1305" s="137">
        <v>0.54824604854737402</v>
      </c>
      <c r="L1305" s="137">
        <v>0.22039735775227401</v>
      </c>
      <c r="M1305" s="137">
        <v>1.83156388887342E-3</v>
      </c>
      <c r="N1305" s="136" t="s">
        <v>3626</v>
      </c>
      <c r="O1305" s="32" t="s">
        <v>3627</v>
      </c>
      <c r="P1305" s="98">
        <f t="shared" si="89"/>
        <v>1</v>
      </c>
      <c r="Q1305">
        <v>5</v>
      </c>
      <c r="R1305">
        <v>3</v>
      </c>
      <c r="S1305">
        <v>3</v>
      </c>
      <c r="T1305" t="s">
        <v>5088</v>
      </c>
      <c r="U1305" t="s">
        <v>3628</v>
      </c>
      <c r="V1305" t="s">
        <v>3629</v>
      </c>
      <c r="W1305" s="319">
        <v>47</v>
      </c>
      <c r="X1305" s="319">
        <v>10</v>
      </c>
      <c r="Y1305" s="319">
        <v>1</v>
      </c>
      <c r="Z1305" s="314"/>
      <c r="AA1305" s="319">
        <v>1.0888647319352501E-2</v>
      </c>
      <c r="AB1305" s="331" t="s">
        <v>5172</v>
      </c>
      <c r="AC1305" s="319">
        <v>0</v>
      </c>
      <c r="AD1305" s="320">
        <v>0</v>
      </c>
      <c r="AE1305" s="319">
        <v>0</v>
      </c>
      <c r="AF1305" s="320">
        <v>0</v>
      </c>
      <c r="AG1305" s="319">
        <v>0</v>
      </c>
      <c r="AH1305" s="320">
        <v>0</v>
      </c>
      <c r="AI1305" s="319">
        <v>0</v>
      </c>
      <c r="AJ1305" s="320">
        <v>0</v>
      </c>
      <c r="AK1305" s="320">
        <v>0</v>
      </c>
      <c r="AL1305" s="319"/>
      <c r="AM1305" s="319"/>
      <c r="AN1305" s="319"/>
      <c r="AO1305" s="319"/>
      <c r="AP1305">
        <v>3</v>
      </c>
      <c r="AR1305" s="136">
        <v>3</v>
      </c>
      <c r="AT1305" s="69">
        <v>2.3148</v>
      </c>
      <c r="AU1305" s="69">
        <v>5</v>
      </c>
      <c r="AV1305" s="69">
        <v>5.7443999999999997</v>
      </c>
      <c r="AW1305" s="69">
        <v>0.43530000000000002</v>
      </c>
      <c r="BB1305" s="69"/>
    </row>
    <row r="1306" spans="1:54" customFormat="1" ht="40" customHeight="1">
      <c r="A1306" s="313">
        <v>1305</v>
      </c>
      <c r="B1306" s="136" t="s">
        <v>2752</v>
      </c>
      <c r="C1306" s="136" t="s">
        <v>45</v>
      </c>
      <c r="D1306" s="31"/>
      <c r="E1306" s="137" t="s">
        <v>46</v>
      </c>
      <c r="F1306" s="31"/>
      <c r="G1306" s="137" t="s">
        <v>3630</v>
      </c>
      <c r="H1306" s="138">
        <v>715</v>
      </c>
      <c r="I1306" s="158"/>
      <c r="J1306" s="95"/>
      <c r="K1306" s="137">
        <v>0.46547751617515098</v>
      </c>
      <c r="L1306" s="137">
        <v>0.24619100647006101</v>
      </c>
      <c r="M1306" s="137">
        <v>0.1</v>
      </c>
      <c r="N1306" s="136" t="s">
        <v>3631</v>
      </c>
      <c r="O1306" s="32" t="s">
        <v>3632</v>
      </c>
      <c r="P1306" s="98">
        <f t="shared" si="89"/>
        <v>1</v>
      </c>
      <c r="Q1306">
        <v>0</v>
      </c>
      <c r="R1306">
        <v>6</v>
      </c>
      <c r="S1306">
        <v>0</v>
      </c>
      <c r="T1306" t="s">
        <v>73</v>
      </c>
      <c r="U1306" s="1" t="s">
        <v>3633</v>
      </c>
      <c r="V1306" s="1" t="s">
        <v>3634</v>
      </c>
      <c r="W1306" s="319">
        <v>201</v>
      </c>
      <c r="X1306" s="319">
        <v>14</v>
      </c>
      <c r="Y1306" s="319">
        <v>3</v>
      </c>
      <c r="Z1306" s="314"/>
      <c r="AA1306" s="319">
        <v>0.54500000000000004</v>
      </c>
      <c r="AB1306" s="315" t="s">
        <v>5168</v>
      </c>
      <c r="AC1306" s="319">
        <v>1</v>
      </c>
      <c r="AD1306" s="320">
        <v>8.8495575221238902E-3</v>
      </c>
      <c r="AE1306" s="319">
        <v>0</v>
      </c>
      <c r="AF1306" s="320">
        <v>0</v>
      </c>
      <c r="AG1306" s="319">
        <v>2</v>
      </c>
      <c r="AH1306" s="320">
        <v>1.7699115044247701E-2</v>
      </c>
      <c r="AI1306" s="319">
        <v>0</v>
      </c>
      <c r="AJ1306" s="320">
        <v>0</v>
      </c>
      <c r="AK1306" s="320">
        <v>0</v>
      </c>
      <c r="AL1306" s="319"/>
      <c r="AM1306" s="319"/>
      <c r="AN1306" s="319"/>
      <c r="AO1306" s="319"/>
      <c r="AP1306">
        <v>2</v>
      </c>
      <c r="AQ1306">
        <v>2</v>
      </c>
      <c r="AR1306" s="136"/>
      <c r="AT1306" s="69">
        <v>2.3148</v>
      </c>
      <c r="AU1306" s="69">
        <v>2.3148</v>
      </c>
      <c r="AV1306" s="69">
        <v>5.7443999999999997</v>
      </c>
      <c r="AW1306" s="69">
        <v>0.3458</v>
      </c>
      <c r="BB1306" s="69"/>
    </row>
    <row r="1307" spans="1:54" customFormat="1" ht="40" customHeight="1">
      <c r="A1307" s="313">
        <v>1306</v>
      </c>
      <c r="B1307" s="136" t="s">
        <v>3243</v>
      </c>
      <c r="C1307" s="136" t="s">
        <v>1191</v>
      </c>
      <c r="D1307" s="31"/>
      <c r="E1307" s="137" t="s">
        <v>80</v>
      </c>
      <c r="F1307" s="31"/>
      <c r="G1307" s="137" t="s">
        <v>3635</v>
      </c>
      <c r="H1307" s="138">
        <v>68</v>
      </c>
      <c r="I1307" s="158"/>
      <c r="J1307" s="95"/>
      <c r="K1307" s="137">
        <v>0.48492124636228701</v>
      </c>
      <c r="L1307" s="137">
        <v>0.35706540825245803</v>
      </c>
      <c r="M1307" s="137">
        <v>0.27182818284590399</v>
      </c>
      <c r="N1307" s="136" t="s">
        <v>3272</v>
      </c>
      <c r="O1307" s="32" t="s">
        <v>3636</v>
      </c>
      <c r="P1307" s="98">
        <f t="shared" si="89"/>
        <v>1</v>
      </c>
      <c r="Q1307">
        <v>2</v>
      </c>
      <c r="R1307">
        <v>0</v>
      </c>
      <c r="S1307">
        <v>0</v>
      </c>
      <c r="T1307" t="s">
        <v>5088</v>
      </c>
      <c r="U1307" t="s">
        <v>3637</v>
      </c>
      <c r="V1307" t="s">
        <v>3638</v>
      </c>
      <c r="W1307" s="319">
        <v>170</v>
      </c>
      <c r="X1307" s="319">
        <v>13</v>
      </c>
      <c r="Y1307" s="319">
        <v>2</v>
      </c>
      <c r="Z1307" s="314"/>
      <c r="AA1307" s="319">
        <v>0.413223140495868</v>
      </c>
      <c r="AB1307" s="315" t="s">
        <v>5169</v>
      </c>
      <c r="AC1307" s="319">
        <v>3</v>
      </c>
      <c r="AD1307" s="320">
        <v>3.06122448979591E-2</v>
      </c>
      <c r="AE1307" s="319">
        <v>2</v>
      </c>
      <c r="AF1307" s="320">
        <v>2.04081632653061E-2</v>
      </c>
      <c r="AG1307" s="319">
        <v>3</v>
      </c>
      <c r="AH1307" s="320">
        <v>3.06122448979591E-2</v>
      </c>
      <c r="AI1307" s="319">
        <v>0</v>
      </c>
      <c r="AJ1307" s="320">
        <v>0</v>
      </c>
      <c r="AK1307" s="320">
        <v>0</v>
      </c>
      <c r="AL1307" s="319"/>
      <c r="AM1307" s="319"/>
      <c r="AN1307" s="319"/>
      <c r="AO1307" s="319"/>
      <c r="AP1307">
        <v>2</v>
      </c>
      <c r="AR1307" s="136">
        <v>2</v>
      </c>
      <c r="AT1307" s="69">
        <v>2.3148</v>
      </c>
      <c r="AU1307" s="69">
        <v>2.3148</v>
      </c>
      <c r="AV1307" s="69">
        <v>2.3148</v>
      </c>
      <c r="AW1307" s="69">
        <v>0.23150000000000001</v>
      </c>
      <c r="BB1307" s="69"/>
    </row>
    <row r="1308" spans="1:54" customFormat="1" ht="40" customHeight="1">
      <c r="A1308" s="313">
        <v>1307</v>
      </c>
      <c r="B1308" s="136" t="s">
        <v>3243</v>
      </c>
      <c r="C1308" s="136" t="s">
        <v>45</v>
      </c>
      <c r="D1308" s="31"/>
      <c r="E1308" s="137" t="s">
        <v>46</v>
      </c>
      <c r="F1308" s="31"/>
      <c r="G1308" s="137" t="s">
        <v>3639</v>
      </c>
      <c r="H1308" s="138">
        <v>40</v>
      </c>
      <c r="I1308" s="158"/>
      <c r="J1308" s="95"/>
      <c r="K1308" s="137">
        <v>0.34534632929202302</v>
      </c>
      <c r="L1308" s="137">
        <v>0.16021129818709601</v>
      </c>
      <c r="M1308" s="137">
        <v>3.67879441171442E-2</v>
      </c>
      <c r="N1308" s="136" t="s">
        <v>3640</v>
      </c>
      <c r="O1308" s="32" t="s">
        <v>3641</v>
      </c>
      <c r="P1308" s="98">
        <f t="shared" si="89"/>
        <v>1</v>
      </c>
      <c r="Q1308">
        <v>0</v>
      </c>
      <c r="R1308">
        <v>2</v>
      </c>
      <c r="S1308">
        <v>3</v>
      </c>
      <c r="T1308" t="s">
        <v>5133</v>
      </c>
      <c r="U1308" t="s">
        <v>3642</v>
      </c>
      <c r="V1308" t="s">
        <v>3643</v>
      </c>
      <c r="W1308" s="319">
        <v>137</v>
      </c>
      <c r="X1308" s="319">
        <v>21</v>
      </c>
      <c r="Y1308" s="319">
        <v>2</v>
      </c>
      <c r="Z1308" s="314"/>
      <c r="AA1308" s="319">
        <v>0.60499999999999998</v>
      </c>
      <c r="AB1308" s="315" t="s">
        <v>5178</v>
      </c>
      <c r="AC1308" s="319">
        <v>2</v>
      </c>
      <c r="AD1308" s="320">
        <v>2.4390243902439001E-2</v>
      </c>
      <c r="AE1308" s="319">
        <v>2</v>
      </c>
      <c r="AF1308" s="320">
        <v>2.4390243902439001E-2</v>
      </c>
      <c r="AG1308" s="319">
        <v>0</v>
      </c>
      <c r="AH1308" s="320">
        <v>0</v>
      </c>
      <c r="AI1308" s="319">
        <v>0</v>
      </c>
      <c r="AJ1308" s="320">
        <v>0</v>
      </c>
      <c r="AK1308" s="320">
        <v>0</v>
      </c>
      <c r="AL1308" s="319"/>
      <c r="AM1308" s="319"/>
      <c r="AN1308" s="319"/>
      <c r="AO1308" s="319"/>
      <c r="AP1308">
        <v>5</v>
      </c>
      <c r="AR1308" s="136">
        <v>5</v>
      </c>
      <c r="AT1308" s="69">
        <v>2.3148</v>
      </c>
      <c r="AU1308" s="69">
        <v>2.3148</v>
      </c>
      <c r="AV1308" s="69">
        <v>8.1305999999999994</v>
      </c>
      <c r="AW1308" s="69">
        <v>0.42530000000000001</v>
      </c>
      <c r="BB1308" s="69"/>
    </row>
    <row r="1309" spans="1:54" customFormat="1" ht="40" customHeight="1">
      <c r="A1309" s="313">
        <v>1308</v>
      </c>
      <c r="B1309" s="136" t="s">
        <v>3243</v>
      </c>
      <c r="C1309" s="136" t="s">
        <v>45</v>
      </c>
      <c r="D1309" s="31"/>
      <c r="E1309" s="137" t="s">
        <v>3414</v>
      </c>
      <c r="F1309" s="31"/>
      <c r="G1309" s="137" t="s">
        <v>3644</v>
      </c>
      <c r="H1309" s="138">
        <v>104</v>
      </c>
      <c r="I1309" s="158"/>
      <c r="J1309" s="95"/>
      <c r="K1309" s="137">
        <v>0.46547751617515098</v>
      </c>
      <c r="L1309" s="137">
        <v>0.194311123464257</v>
      </c>
      <c r="M1309" s="137">
        <v>1.35335283236613E-2</v>
      </c>
      <c r="N1309" s="136" t="s">
        <v>3241</v>
      </c>
      <c r="O1309" s="32" t="s">
        <v>3645</v>
      </c>
      <c r="P1309" s="98">
        <f t="shared" si="89"/>
        <v>1</v>
      </c>
      <c r="Q1309">
        <v>0</v>
      </c>
      <c r="R1309">
        <v>4</v>
      </c>
      <c r="S1309">
        <v>3</v>
      </c>
      <c r="T1309" t="s">
        <v>5132</v>
      </c>
      <c r="U1309" t="s">
        <v>3646</v>
      </c>
      <c r="V1309" t="s">
        <v>3647</v>
      </c>
      <c r="W1309" s="319">
        <v>318</v>
      </c>
      <c r="X1309" s="319">
        <v>14</v>
      </c>
      <c r="Y1309" s="319">
        <v>5</v>
      </c>
      <c r="Z1309" s="314"/>
      <c r="AA1309" s="319">
        <v>0.60499999999999998</v>
      </c>
      <c r="AB1309" s="315" t="s">
        <v>5165</v>
      </c>
      <c r="AC1309" s="319">
        <v>3</v>
      </c>
      <c r="AD1309" s="320">
        <v>1.68539325842696E-2</v>
      </c>
      <c r="AE1309" s="319">
        <v>2</v>
      </c>
      <c r="AF1309" s="320">
        <v>1.12359550561797E-2</v>
      </c>
      <c r="AG1309" s="319">
        <v>1</v>
      </c>
      <c r="AH1309" s="320">
        <v>5.6179775280898797E-3</v>
      </c>
      <c r="AI1309" s="319">
        <v>1</v>
      </c>
      <c r="AJ1309" s="320">
        <v>5.6179775280898797E-3</v>
      </c>
      <c r="AK1309" s="320">
        <v>0</v>
      </c>
      <c r="AL1309" s="319"/>
      <c r="AM1309" s="319"/>
      <c r="AN1309" s="319"/>
      <c r="AO1309" s="319"/>
      <c r="AP1309">
        <v>5</v>
      </c>
      <c r="AR1309" s="136"/>
      <c r="AS1309">
        <v>5</v>
      </c>
      <c r="AT1309" s="69">
        <v>2.3148</v>
      </c>
      <c r="AU1309" s="69">
        <v>5</v>
      </c>
      <c r="AV1309" s="69">
        <v>2.3148</v>
      </c>
      <c r="AW1309" s="69">
        <v>0.32100000000000001</v>
      </c>
      <c r="BB1309" s="69"/>
    </row>
    <row r="1310" spans="1:54" customFormat="1" ht="40" customHeight="1">
      <c r="A1310" s="313">
        <v>1309</v>
      </c>
      <c r="B1310" s="136" t="s">
        <v>3243</v>
      </c>
      <c r="C1310" s="136" t="s">
        <v>45</v>
      </c>
      <c r="D1310" s="31"/>
      <c r="E1310" s="137" t="s">
        <v>46</v>
      </c>
      <c r="F1310" s="31"/>
      <c r="G1310" s="137" t="s">
        <v>3648</v>
      </c>
      <c r="H1310" s="138">
        <v>112</v>
      </c>
      <c r="I1310" s="158"/>
      <c r="J1310" s="95"/>
      <c r="K1310" s="137">
        <v>0.24407105398154499</v>
      </c>
      <c r="L1310" s="137">
        <v>0.119701188062905</v>
      </c>
      <c r="M1310" s="137">
        <v>3.67879441171442E-2</v>
      </c>
      <c r="N1310" s="136" t="s">
        <v>3649</v>
      </c>
      <c r="O1310" s="32" t="s">
        <v>3650</v>
      </c>
      <c r="P1310" s="98">
        <f t="shared" si="89"/>
        <v>1</v>
      </c>
      <c r="Q1310">
        <v>2</v>
      </c>
      <c r="R1310">
        <v>3</v>
      </c>
      <c r="S1310">
        <v>0</v>
      </c>
      <c r="T1310" t="s">
        <v>5132</v>
      </c>
      <c r="U1310" t="s">
        <v>3651</v>
      </c>
      <c r="V1310" t="s">
        <v>3652</v>
      </c>
      <c r="W1310" s="319">
        <v>577</v>
      </c>
      <c r="X1310" s="319">
        <v>28</v>
      </c>
      <c r="Y1310" s="319">
        <v>5</v>
      </c>
      <c r="Z1310" s="314"/>
      <c r="AA1310" s="319">
        <v>0.59450000000000003</v>
      </c>
      <c r="AB1310" s="315" t="s">
        <v>5168</v>
      </c>
      <c r="AC1310" s="319">
        <v>3</v>
      </c>
      <c r="AD1310" s="320">
        <v>9.2024539877300603E-3</v>
      </c>
      <c r="AE1310" s="319">
        <v>1</v>
      </c>
      <c r="AF1310" s="320">
        <v>3.0674846625766798E-3</v>
      </c>
      <c r="AG1310" s="319">
        <v>4</v>
      </c>
      <c r="AH1310" s="320">
        <v>1.22699386503067E-2</v>
      </c>
      <c r="AI1310" s="319">
        <v>1</v>
      </c>
      <c r="AJ1310" s="320">
        <v>3.0674846625766798E-3</v>
      </c>
      <c r="AK1310" s="320">
        <v>0</v>
      </c>
      <c r="AL1310" s="319"/>
      <c r="AM1310" s="319"/>
      <c r="AN1310" s="319"/>
      <c r="AO1310" s="319"/>
      <c r="AP1310">
        <v>5</v>
      </c>
      <c r="AR1310" s="136">
        <v>5</v>
      </c>
      <c r="AT1310" s="69">
        <v>2.3148</v>
      </c>
      <c r="AU1310" s="69">
        <v>7.6852</v>
      </c>
      <c r="AV1310" s="69">
        <v>9.8416999999999994</v>
      </c>
      <c r="AW1310" s="69">
        <v>0.66139999999999999</v>
      </c>
      <c r="BB1310" s="69"/>
    </row>
    <row r="1311" spans="1:54" customFormat="1" ht="40" customHeight="1">
      <c r="A1311" s="313">
        <v>1310</v>
      </c>
      <c r="B1311" s="136" t="s">
        <v>3243</v>
      </c>
      <c r="C1311" s="136" t="s">
        <v>59</v>
      </c>
      <c r="D1311" s="31"/>
      <c r="E1311" s="137" t="s">
        <v>46</v>
      </c>
      <c r="F1311" s="31"/>
      <c r="G1311" s="137" t="s">
        <v>3653</v>
      </c>
      <c r="H1311" s="138">
        <v>187</v>
      </c>
      <c r="I1311" s="158"/>
      <c r="J1311" s="95"/>
      <c r="K1311" s="137">
        <v>0.526196458520657</v>
      </c>
      <c r="L1311" s="137">
        <v>0.21049871116593699</v>
      </c>
      <c r="M1311" s="137">
        <v>3.3546262790251203E-5</v>
      </c>
      <c r="N1311" s="136" t="s">
        <v>3272</v>
      </c>
      <c r="O1311" s="32" t="s">
        <v>3654</v>
      </c>
      <c r="P1311" s="98">
        <f t="shared" si="89"/>
        <v>1</v>
      </c>
      <c r="Q1311">
        <v>2</v>
      </c>
      <c r="R1311">
        <v>3</v>
      </c>
      <c r="S1311">
        <v>0</v>
      </c>
      <c r="T1311" t="s">
        <v>5132</v>
      </c>
      <c r="U1311" s="1" t="s">
        <v>3655</v>
      </c>
      <c r="V1311" t="s">
        <v>3656</v>
      </c>
      <c r="W1311" s="319">
        <v>473</v>
      </c>
      <c r="X1311" s="319">
        <v>11</v>
      </c>
      <c r="Y1311" s="319">
        <v>5</v>
      </c>
      <c r="Z1311" s="314"/>
      <c r="AA1311" s="319">
        <v>1.82827132206869E-4</v>
      </c>
      <c r="AB1311" s="315" t="s">
        <v>5165</v>
      </c>
      <c r="AC1311" s="319">
        <v>5</v>
      </c>
      <c r="AD1311" s="320">
        <v>1.7857142857142801E-2</v>
      </c>
      <c r="AE1311" s="319">
        <v>1</v>
      </c>
      <c r="AF1311" s="320">
        <v>3.57142857142857E-3</v>
      </c>
      <c r="AG1311" s="319">
        <v>0</v>
      </c>
      <c r="AH1311" s="320">
        <v>0</v>
      </c>
      <c r="AI1311" s="319">
        <v>0</v>
      </c>
      <c r="AJ1311" s="320">
        <v>0</v>
      </c>
      <c r="AK1311" s="320">
        <v>0</v>
      </c>
      <c r="AL1311" s="319"/>
      <c r="AM1311" s="319"/>
      <c r="AN1311" s="319"/>
      <c r="AO1311" s="319"/>
      <c r="AP1311">
        <v>2</v>
      </c>
      <c r="AR1311" s="136">
        <v>2</v>
      </c>
      <c r="AT1311" s="69">
        <v>2.3148</v>
      </c>
      <c r="AU1311" s="69">
        <v>9.8933</v>
      </c>
      <c r="AV1311" s="69">
        <v>8.1305999999999994</v>
      </c>
      <c r="AW1311" s="69">
        <v>0.67800000000000005</v>
      </c>
      <c r="BB1311" s="69"/>
    </row>
    <row r="1312" spans="1:54" customFormat="1" ht="40" customHeight="1">
      <c r="A1312" s="313">
        <v>1311</v>
      </c>
      <c r="B1312" s="136" t="s">
        <v>3657</v>
      </c>
      <c r="C1312" s="136" t="s">
        <v>119</v>
      </c>
      <c r="D1312" s="31"/>
      <c r="E1312" s="137" t="s">
        <v>80</v>
      </c>
      <c r="F1312" s="31"/>
      <c r="G1312" s="137" t="s">
        <v>3658</v>
      </c>
      <c r="H1312" s="138">
        <v>135</v>
      </c>
      <c r="I1312" s="158"/>
      <c r="J1312" s="95"/>
      <c r="K1312" s="137">
        <v>0.48492124636228701</v>
      </c>
      <c r="L1312" s="137">
        <v>0.25396849854491499</v>
      </c>
      <c r="M1312" s="137">
        <v>0.1</v>
      </c>
      <c r="N1312" s="136" t="s">
        <v>3564</v>
      </c>
      <c r="O1312" s="32" t="s">
        <v>3659</v>
      </c>
      <c r="P1312" s="98">
        <f t="shared" si="89"/>
        <v>1</v>
      </c>
      <c r="Q1312">
        <v>0</v>
      </c>
      <c r="R1312">
        <v>1</v>
      </c>
      <c r="S1312">
        <v>0</v>
      </c>
      <c r="T1312" t="s">
        <v>5132</v>
      </c>
      <c r="U1312" t="s">
        <v>3660</v>
      </c>
      <c r="V1312" s="1" t="s">
        <v>3661</v>
      </c>
      <c r="W1312" s="319">
        <v>377</v>
      </c>
      <c r="X1312" s="319">
        <v>13</v>
      </c>
      <c r="Y1312" s="319">
        <v>2</v>
      </c>
      <c r="Z1312" s="314"/>
      <c r="AA1312" s="319">
        <v>0.46363636363636401</v>
      </c>
      <c r="AB1312" s="315" t="s">
        <v>5176</v>
      </c>
      <c r="AC1312" s="319">
        <v>1</v>
      </c>
      <c r="AD1312" s="320">
        <v>4.3103448275861999E-3</v>
      </c>
      <c r="AE1312" s="319">
        <v>4</v>
      </c>
      <c r="AF1312" s="320">
        <v>1.72413793103448E-2</v>
      </c>
      <c r="AG1312" s="319">
        <v>0</v>
      </c>
      <c r="AH1312" s="320">
        <v>0</v>
      </c>
      <c r="AI1312" s="319">
        <v>1</v>
      </c>
      <c r="AJ1312" s="320">
        <v>4.3103448275861999E-3</v>
      </c>
      <c r="AK1312" s="320">
        <v>4.4247787610619468E-3</v>
      </c>
      <c r="AL1312" s="319"/>
      <c r="AM1312" s="319"/>
      <c r="AN1312" s="319"/>
      <c r="AO1312" s="319"/>
      <c r="AP1312">
        <v>1</v>
      </c>
      <c r="AR1312" s="136"/>
      <c r="AT1312" s="69">
        <v>2.3148</v>
      </c>
      <c r="AU1312" s="69">
        <v>5</v>
      </c>
      <c r="AV1312" s="69">
        <v>5.7443999999999997</v>
      </c>
      <c r="AW1312" s="69">
        <v>0.43530000000000002</v>
      </c>
      <c r="BB1312" s="69"/>
    </row>
    <row r="1313" spans="1:54" customFormat="1" ht="40" customHeight="1">
      <c r="A1313" s="313">
        <v>1312</v>
      </c>
      <c r="B1313" s="136" t="s">
        <v>3243</v>
      </c>
      <c r="C1313" s="136" t="s">
        <v>45</v>
      </c>
      <c r="D1313" s="31"/>
      <c r="E1313" s="137" t="s">
        <v>46</v>
      </c>
      <c r="F1313" s="31"/>
      <c r="G1313" s="137" t="s">
        <v>3662</v>
      </c>
      <c r="H1313" s="138">
        <v>95</v>
      </c>
      <c r="I1313" s="158"/>
      <c r="J1313" s="95"/>
      <c r="K1313" s="137">
        <v>0.50512834069460699</v>
      </c>
      <c r="L1313" s="137">
        <v>0.205038560379914</v>
      </c>
      <c r="M1313" s="137">
        <v>4.9787068367863896E-3</v>
      </c>
      <c r="N1313" s="136" t="s">
        <v>3663</v>
      </c>
      <c r="O1313" s="32" t="s">
        <v>3664</v>
      </c>
      <c r="P1313" s="98">
        <f t="shared" si="89"/>
        <v>1</v>
      </c>
      <c r="Q1313">
        <v>2</v>
      </c>
      <c r="R1313">
        <v>0</v>
      </c>
      <c r="S1313">
        <v>0</v>
      </c>
      <c r="T1313" t="s">
        <v>5088</v>
      </c>
      <c r="U1313" t="s">
        <v>3665</v>
      </c>
      <c r="V1313" t="s">
        <v>3666</v>
      </c>
      <c r="W1313" s="319">
        <v>27</v>
      </c>
      <c r="X1313" s="319">
        <v>12</v>
      </c>
      <c r="Y1313" s="319">
        <v>1</v>
      </c>
      <c r="Z1313" s="314"/>
      <c r="AA1313" s="319">
        <v>0.45454545454545398</v>
      </c>
      <c r="AB1313" s="331" t="s">
        <v>5172</v>
      </c>
      <c r="AC1313" s="319">
        <v>0</v>
      </c>
      <c r="AD1313" s="320">
        <v>0</v>
      </c>
      <c r="AE1313" s="319">
        <v>0</v>
      </c>
      <c r="AF1313" s="320">
        <v>0</v>
      </c>
      <c r="AG1313" s="319">
        <v>0</v>
      </c>
      <c r="AH1313" s="320">
        <v>0</v>
      </c>
      <c r="AI1313" s="319">
        <v>0</v>
      </c>
      <c r="AJ1313" s="320">
        <v>0</v>
      </c>
      <c r="AK1313" s="320">
        <v>0</v>
      </c>
      <c r="AL1313" s="319"/>
      <c r="AM1313" s="319"/>
      <c r="AN1313" s="319"/>
      <c r="AO1313" s="319"/>
      <c r="AP1313">
        <v>4</v>
      </c>
      <c r="AR1313" s="136">
        <v>4</v>
      </c>
      <c r="AT1313" s="69">
        <v>2.3148</v>
      </c>
      <c r="AU1313" s="69">
        <v>2.3148</v>
      </c>
      <c r="AV1313" s="69">
        <v>2.3148</v>
      </c>
      <c r="AW1313" s="69">
        <v>0.23150000000000001</v>
      </c>
      <c r="BB1313" s="69"/>
    </row>
    <row r="1314" spans="1:54" customFormat="1" ht="40" customHeight="1">
      <c r="A1314" s="313">
        <v>1313</v>
      </c>
      <c r="B1314" s="136" t="s">
        <v>3243</v>
      </c>
      <c r="C1314" s="136" t="s">
        <v>45</v>
      </c>
      <c r="D1314" s="31"/>
      <c r="E1314" s="137" t="s">
        <v>46</v>
      </c>
      <c r="F1314" s="31"/>
      <c r="G1314" s="137" t="s">
        <v>3667</v>
      </c>
      <c r="H1314" s="138">
        <v>332</v>
      </c>
      <c r="I1314" s="158"/>
      <c r="J1314" s="95"/>
      <c r="K1314" s="137">
        <v>0.36112343500006</v>
      </c>
      <c r="L1314" s="137">
        <v>0.204449374000024</v>
      </c>
      <c r="M1314" s="137">
        <v>0.1</v>
      </c>
      <c r="N1314" s="136" t="s">
        <v>3668</v>
      </c>
      <c r="O1314" s="32" t="s">
        <v>3669</v>
      </c>
      <c r="P1314" s="98">
        <f t="shared" si="89"/>
        <v>1</v>
      </c>
      <c r="Q1314">
        <v>0</v>
      </c>
      <c r="R1314">
        <v>6</v>
      </c>
      <c r="S1314">
        <v>0</v>
      </c>
      <c r="T1314" t="s">
        <v>73</v>
      </c>
      <c r="U1314" t="s">
        <v>3670</v>
      </c>
      <c r="V1314" t="s">
        <v>3671</v>
      </c>
      <c r="W1314" s="319">
        <v>326</v>
      </c>
      <c r="X1314" s="319">
        <v>20</v>
      </c>
      <c r="Y1314" s="319">
        <v>4</v>
      </c>
      <c r="Z1314" s="314"/>
      <c r="AA1314" s="319">
        <v>0.5</v>
      </c>
      <c r="AB1314" s="315" t="s">
        <v>5168</v>
      </c>
      <c r="AC1314" s="319">
        <v>1</v>
      </c>
      <c r="AD1314" s="320">
        <v>5.4054054054053996E-3</v>
      </c>
      <c r="AE1314" s="319">
        <v>1</v>
      </c>
      <c r="AF1314" s="320">
        <v>5.4054054054053996E-3</v>
      </c>
      <c r="AG1314" s="319">
        <v>4</v>
      </c>
      <c r="AH1314" s="320">
        <v>2.1621621621621599E-2</v>
      </c>
      <c r="AI1314" s="319">
        <v>0</v>
      </c>
      <c r="AJ1314" s="320">
        <v>0</v>
      </c>
      <c r="AK1314" s="320">
        <v>0</v>
      </c>
      <c r="AL1314" s="319"/>
      <c r="AM1314" s="319"/>
      <c r="AN1314" s="319"/>
      <c r="AO1314" s="319"/>
      <c r="AP1314">
        <v>5</v>
      </c>
      <c r="AR1314" s="136">
        <v>5</v>
      </c>
      <c r="AT1314" s="69">
        <v>2.3148</v>
      </c>
      <c r="AU1314" s="69">
        <v>5</v>
      </c>
      <c r="AV1314" s="69">
        <v>8.1305999999999994</v>
      </c>
      <c r="AW1314" s="69">
        <v>0.51480000000000004</v>
      </c>
      <c r="BB1314" s="69"/>
    </row>
    <row r="1315" spans="1:54" customFormat="1" ht="40" customHeight="1">
      <c r="A1315" s="313">
        <v>1314</v>
      </c>
      <c r="B1315" s="136" t="s">
        <v>3243</v>
      </c>
      <c r="C1315" s="136" t="s">
        <v>45</v>
      </c>
      <c r="D1315" s="31"/>
      <c r="E1315" s="137" t="s">
        <v>46</v>
      </c>
      <c r="F1315" s="31"/>
      <c r="G1315" s="137" t="s">
        <v>3672</v>
      </c>
      <c r="H1315" s="138">
        <v>83</v>
      </c>
      <c r="I1315" s="158"/>
      <c r="J1315" s="95"/>
      <c r="K1315" s="137">
        <v>0.30014578777623502</v>
      </c>
      <c r="L1315" s="137">
        <v>0.28315522481803701</v>
      </c>
      <c r="M1315" s="137">
        <v>0.27182818284590399</v>
      </c>
      <c r="N1315" s="136" t="s">
        <v>3673</v>
      </c>
      <c r="O1315" s="32" t="s">
        <v>3674</v>
      </c>
      <c r="P1315" s="98">
        <f t="shared" si="89"/>
        <v>1</v>
      </c>
      <c r="Q1315">
        <v>2</v>
      </c>
      <c r="R1315">
        <v>1</v>
      </c>
      <c r="S1315">
        <v>0</v>
      </c>
      <c r="T1315" t="s">
        <v>5088</v>
      </c>
      <c r="U1315" t="s">
        <v>3675</v>
      </c>
      <c r="V1315" t="s">
        <v>3676</v>
      </c>
      <c r="W1315" s="319">
        <v>691</v>
      </c>
      <c r="X1315" s="319">
        <v>24</v>
      </c>
      <c r="Y1315" s="319">
        <v>5</v>
      </c>
      <c r="Z1315" s="314"/>
      <c r="AA1315" s="319">
        <v>0.55000000000000004</v>
      </c>
      <c r="AB1315" s="315" t="s">
        <v>5165</v>
      </c>
      <c r="AC1315" s="319">
        <v>4</v>
      </c>
      <c r="AD1315" s="320">
        <v>1.0840108401084E-2</v>
      </c>
      <c r="AE1315" s="319">
        <v>2</v>
      </c>
      <c r="AF1315" s="320">
        <v>5.4200542005420002E-3</v>
      </c>
      <c r="AG1315" s="319">
        <v>2</v>
      </c>
      <c r="AH1315" s="320">
        <v>5.4200542005420002E-3</v>
      </c>
      <c r="AI1315" s="319">
        <v>2</v>
      </c>
      <c r="AJ1315" s="320">
        <v>5.4200542005420002E-3</v>
      </c>
      <c r="AK1315" s="320">
        <v>0</v>
      </c>
      <c r="AL1315" s="319"/>
      <c r="AM1315" s="319"/>
      <c r="AN1315" s="319"/>
      <c r="AO1315" s="319"/>
      <c r="AP1315">
        <v>1</v>
      </c>
      <c r="AR1315" s="136"/>
      <c r="AS1315">
        <v>1</v>
      </c>
      <c r="AT1315" s="69">
        <v>2.3148</v>
      </c>
      <c r="AU1315" s="69">
        <v>2.3148</v>
      </c>
      <c r="AV1315" s="69">
        <v>8.1305999999999994</v>
      </c>
      <c r="AW1315" s="69">
        <v>0.42530000000000001</v>
      </c>
      <c r="BB1315" s="69"/>
    </row>
    <row r="1316" spans="1:54" customFormat="1" ht="40" customHeight="1">
      <c r="A1316" s="313">
        <v>1315</v>
      </c>
      <c r="B1316" s="136" t="s">
        <v>3243</v>
      </c>
      <c r="C1316" s="136" t="s">
        <v>45</v>
      </c>
      <c r="D1316" s="31"/>
      <c r="E1316" s="137" t="s">
        <v>46</v>
      </c>
      <c r="F1316" s="31"/>
      <c r="G1316" s="137" t="s">
        <v>3677</v>
      </c>
      <c r="H1316" s="138">
        <v>64</v>
      </c>
      <c r="I1316" s="158"/>
      <c r="J1316" s="95"/>
      <c r="K1316" s="137">
        <v>0.57142857142857095</v>
      </c>
      <c r="L1316" s="137">
        <v>0.28857142857142898</v>
      </c>
      <c r="M1316" s="137">
        <v>0.1</v>
      </c>
      <c r="N1316" s="136" t="s">
        <v>3678</v>
      </c>
      <c r="O1316" s="32" t="s">
        <v>3679</v>
      </c>
      <c r="P1316" s="98">
        <f t="shared" si="89"/>
        <v>1</v>
      </c>
      <c r="Q1316">
        <v>1</v>
      </c>
      <c r="R1316">
        <v>2</v>
      </c>
      <c r="S1316">
        <v>0</v>
      </c>
      <c r="T1316" t="s">
        <v>5132</v>
      </c>
      <c r="U1316" t="s">
        <v>3680</v>
      </c>
      <c r="V1316" t="s">
        <v>3681</v>
      </c>
      <c r="W1316" s="319">
        <v>137</v>
      </c>
      <c r="X1316" s="319">
        <v>9</v>
      </c>
      <c r="Y1316" s="319">
        <v>1</v>
      </c>
      <c r="Z1316" s="314"/>
      <c r="AA1316" s="319">
        <v>0.70884499999999995</v>
      </c>
      <c r="AB1316" s="315" t="s">
        <v>5179</v>
      </c>
      <c r="AC1316" s="319">
        <v>1</v>
      </c>
      <c r="AD1316" s="320">
        <v>1.3157894736842099E-2</v>
      </c>
      <c r="AE1316" s="319">
        <v>1</v>
      </c>
      <c r="AF1316" s="320">
        <v>1.3157894736842099E-2</v>
      </c>
      <c r="AG1316" s="319">
        <v>1</v>
      </c>
      <c r="AH1316" s="320">
        <v>1.3157894736842099E-2</v>
      </c>
      <c r="AI1316" s="319">
        <v>0</v>
      </c>
      <c r="AJ1316" s="320">
        <v>0</v>
      </c>
      <c r="AK1316" s="320">
        <v>0</v>
      </c>
      <c r="AL1316" s="319"/>
      <c r="AM1316" s="319"/>
      <c r="AN1316" s="319"/>
      <c r="AO1316" s="319"/>
      <c r="AP1316">
        <v>5</v>
      </c>
      <c r="AR1316" s="136">
        <v>5</v>
      </c>
      <c r="AT1316" s="69">
        <v>2.3148</v>
      </c>
      <c r="AU1316" s="69">
        <v>2.3148</v>
      </c>
      <c r="AV1316" s="69">
        <v>8.1305999999999994</v>
      </c>
      <c r="AW1316" s="69">
        <v>0.42530000000000001</v>
      </c>
      <c r="BB1316" s="69"/>
    </row>
    <row r="1317" spans="1:54" customFormat="1" ht="40" customHeight="1">
      <c r="A1317" s="313">
        <v>1316</v>
      </c>
      <c r="B1317" s="136" t="s">
        <v>3243</v>
      </c>
      <c r="C1317" s="136" t="s">
        <v>45</v>
      </c>
      <c r="D1317" s="31"/>
      <c r="E1317" s="137" t="s">
        <v>46</v>
      </c>
      <c r="F1317" s="31"/>
      <c r="G1317" s="137" t="s">
        <v>3682</v>
      </c>
      <c r="H1317" s="138">
        <v>253</v>
      </c>
      <c r="I1317" s="158"/>
      <c r="J1317" s="95"/>
      <c r="K1317" s="137">
        <v>0.25769251104190999</v>
      </c>
      <c r="L1317" s="137">
        <v>0.104175942750088</v>
      </c>
      <c r="M1317" s="137">
        <v>1.83156388887342E-3</v>
      </c>
      <c r="N1317" s="136" t="s">
        <v>3337</v>
      </c>
      <c r="O1317" s="32" t="s">
        <v>3683</v>
      </c>
      <c r="P1317" s="98">
        <f t="shared" si="89"/>
        <v>1</v>
      </c>
      <c r="Q1317">
        <v>0</v>
      </c>
      <c r="R1317">
        <v>6</v>
      </c>
      <c r="S1317">
        <v>0</v>
      </c>
      <c r="T1317" t="s">
        <v>73</v>
      </c>
      <c r="U1317" s="1" t="s">
        <v>3684</v>
      </c>
      <c r="V1317" t="s">
        <v>3685</v>
      </c>
      <c r="W1317" s="319">
        <v>811</v>
      </c>
      <c r="X1317" s="319">
        <v>27</v>
      </c>
      <c r="Y1317" s="319">
        <v>5</v>
      </c>
      <c r="Z1317" s="314"/>
      <c r="AA1317" s="319">
        <v>8.4085433080097801E-3</v>
      </c>
      <c r="AB1317" s="315" t="s">
        <v>5178</v>
      </c>
      <c r="AC1317" s="319">
        <v>5</v>
      </c>
      <c r="AD1317" s="320">
        <v>1.0706638115631601E-2</v>
      </c>
      <c r="AE1317" s="319">
        <v>5</v>
      </c>
      <c r="AF1317" s="320">
        <v>1.0706638115631601E-2</v>
      </c>
      <c r="AG1317" s="319">
        <v>2</v>
      </c>
      <c r="AH1317" s="320">
        <v>4.28265524625267E-3</v>
      </c>
      <c r="AI1317" s="319">
        <v>0</v>
      </c>
      <c r="AJ1317" s="320">
        <v>0</v>
      </c>
      <c r="AK1317" s="320">
        <v>4.2826552462526769E-3</v>
      </c>
      <c r="AL1317" s="319"/>
      <c r="AM1317" s="319"/>
      <c r="AN1317" s="319"/>
      <c r="AO1317" s="319"/>
      <c r="AP1317">
        <v>1</v>
      </c>
      <c r="AR1317" s="136">
        <v>1</v>
      </c>
      <c r="AT1317" s="69">
        <v>2.3148</v>
      </c>
      <c r="AU1317" s="69">
        <v>2.3148</v>
      </c>
      <c r="AV1317" s="69">
        <v>9.8867999999999991</v>
      </c>
      <c r="AW1317" s="69">
        <v>0.4839</v>
      </c>
      <c r="BB1317" s="69"/>
    </row>
    <row r="1318" spans="1:54" customFormat="1" ht="40" customHeight="1">
      <c r="A1318" s="313">
        <v>1317</v>
      </c>
      <c r="B1318" s="136" t="s">
        <v>3243</v>
      </c>
      <c r="C1318" s="136" t="s">
        <v>45</v>
      </c>
      <c r="D1318" s="31"/>
      <c r="E1318" s="137" t="s">
        <v>80</v>
      </c>
      <c r="F1318" s="31"/>
      <c r="G1318" s="137" t="s">
        <v>3686</v>
      </c>
      <c r="H1318" s="138">
        <v>53</v>
      </c>
      <c r="I1318" s="158"/>
      <c r="J1318" s="95"/>
      <c r="K1318" s="137">
        <v>0.50512834069460699</v>
      </c>
      <c r="L1318" s="137">
        <v>0.26205133627784299</v>
      </c>
      <c r="M1318" s="137">
        <v>0.1</v>
      </c>
      <c r="N1318" s="136" t="s">
        <v>3687</v>
      </c>
      <c r="O1318" s="32" t="s">
        <v>3688</v>
      </c>
      <c r="P1318" s="98">
        <f t="shared" si="89"/>
        <v>0</v>
      </c>
      <c r="Q1318">
        <v>0</v>
      </c>
      <c r="R1318">
        <v>0</v>
      </c>
      <c r="S1318">
        <v>0</v>
      </c>
      <c r="T1318" t="s">
        <v>48</v>
      </c>
      <c r="U1318" t="s">
        <v>3689</v>
      </c>
      <c r="V1318" t="s">
        <v>3690</v>
      </c>
      <c r="W1318" s="319">
        <v>34</v>
      </c>
      <c r="X1318" s="319">
        <v>12</v>
      </c>
      <c r="Y1318" s="319">
        <v>1</v>
      </c>
      <c r="Z1318" s="314"/>
      <c r="AA1318" s="319">
        <v>0.55000000000000004</v>
      </c>
      <c r="AB1318" s="331" t="s">
        <v>5172</v>
      </c>
      <c r="AC1318" s="319">
        <v>0</v>
      </c>
      <c r="AD1318" s="320">
        <v>0</v>
      </c>
      <c r="AE1318" s="319">
        <v>0</v>
      </c>
      <c r="AF1318" s="320">
        <v>0</v>
      </c>
      <c r="AG1318" s="319">
        <v>0</v>
      </c>
      <c r="AH1318" s="320">
        <v>0</v>
      </c>
      <c r="AI1318" s="319">
        <v>0</v>
      </c>
      <c r="AJ1318" s="320">
        <v>0</v>
      </c>
      <c r="AK1318" s="320">
        <v>0</v>
      </c>
      <c r="AL1318" s="319"/>
      <c r="AM1318" s="319"/>
      <c r="AN1318" s="319"/>
      <c r="AO1318" s="319"/>
      <c r="AP1318">
        <v>1</v>
      </c>
      <c r="AQ1318">
        <v>1</v>
      </c>
      <c r="AR1318" s="136"/>
      <c r="AT1318" s="69">
        <v>2.3148</v>
      </c>
      <c r="AU1318" s="69">
        <v>5</v>
      </c>
      <c r="AV1318" s="69">
        <v>8.1305999999999994</v>
      </c>
      <c r="AW1318" s="69">
        <v>0.51480000000000004</v>
      </c>
      <c r="BB1318" s="69"/>
    </row>
    <row r="1319" spans="1:54" customFormat="1" ht="40" customHeight="1">
      <c r="A1319" s="313">
        <v>1318</v>
      </c>
      <c r="B1319" s="136" t="s">
        <v>3243</v>
      </c>
      <c r="C1319" s="136" t="s">
        <v>59</v>
      </c>
      <c r="D1319" s="31"/>
      <c r="E1319" s="137" t="s">
        <v>46</v>
      </c>
      <c r="F1319" s="31"/>
      <c r="G1319" s="137" t="s">
        <v>3691</v>
      </c>
      <c r="H1319" s="138">
        <v>93</v>
      </c>
      <c r="I1319" s="158"/>
      <c r="J1319" s="95"/>
      <c r="K1319" s="137">
        <v>0.79796949108955795</v>
      </c>
      <c r="L1319" s="137">
        <v>0.37918779643582301</v>
      </c>
      <c r="M1319" s="137">
        <v>0.1</v>
      </c>
      <c r="N1319" s="136" t="s">
        <v>3286</v>
      </c>
      <c r="O1319" s="32" t="s">
        <v>3692</v>
      </c>
      <c r="P1319" s="98">
        <f t="shared" si="89"/>
        <v>1</v>
      </c>
      <c r="Q1319">
        <v>2</v>
      </c>
      <c r="R1319">
        <v>4</v>
      </c>
      <c r="S1319">
        <v>0</v>
      </c>
      <c r="T1319" t="s">
        <v>5132</v>
      </c>
      <c r="U1319" t="s">
        <v>3693</v>
      </c>
      <c r="V1319" t="s">
        <v>3694</v>
      </c>
      <c r="W1319" s="319">
        <v>17</v>
      </c>
      <c r="X1319" s="319">
        <v>2</v>
      </c>
      <c r="Y1319" s="319">
        <v>1</v>
      </c>
      <c r="Z1319" s="314"/>
      <c r="AA1319" s="319">
        <v>0.54500000000000004</v>
      </c>
      <c r="AB1319" s="331" t="s">
        <v>5172</v>
      </c>
      <c r="AC1319" s="319">
        <v>0</v>
      </c>
      <c r="AD1319" s="320">
        <v>0</v>
      </c>
      <c r="AE1319" s="319">
        <v>0</v>
      </c>
      <c r="AF1319" s="320">
        <v>0</v>
      </c>
      <c r="AG1319" s="319">
        <v>0</v>
      </c>
      <c r="AH1319" s="320">
        <v>0</v>
      </c>
      <c r="AI1319" s="319">
        <v>0</v>
      </c>
      <c r="AJ1319" s="320">
        <v>0</v>
      </c>
      <c r="AK1319" s="320">
        <v>0</v>
      </c>
      <c r="AL1319" s="319"/>
      <c r="AM1319" s="319"/>
      <c r="AN1319" s="319"/>
      <c r="AO1319" s="319"/>
      <c r="AP1319">
        <v>5</v>
      </c>
      <c r="AR1319" s="136">
        <v>5</v>
      </c>
      <c r="AT1319" s="69">
        <v>2.3148</v>
      </c>
      <c r="AU1319" s="69">
        <v>2.3148</v>
      </c>
      <c r="AV1319" s="69">
        <v>8.5815000000000001</v>
      </c>
      <c r="AW1319" s="69">
        <v>0.44040000000000001</v>
      </c>
      <c r="BB1319" s="69"/>
    </row>
    <row r="1320" spans="1:54" customFormat="1" ht="40" customHeight="1">
      <c r="A1320" s="313">
        <v>1319</v>
      </c>
      <c r="B1320" s="136" t="s">
        <v>3243</v>
      </c>
      <c r="C1320" s="136" t="s">
        <v>45</v>
      </c>
      <c r="D1320" s="31"/>
      <c r="E1320" s="137" t="s">
        <v>80</v>
      </c>
      <c r="F1320" s="31"/>
      <c r="G1320" s="137" t="s">
        <v>3695</v>
      </c>
      <c r="H1320" s="138">
        <v>55</v>
      </c>
      <c r="I1320" s="158"/>
      <c r="J1320" s="95"/>
      <c r="K1320" s="137">
        <v>0.50512834069460699</v>
      </c>
      <c r="L1320" s="137">
        <v>0.21017145327203901</v>
      </c>
      <c r="M1320" s="137">
        <v>1.35335283236613E-2</v>
      </c>
      <c r="N1320" s="136" t="s">
        <v>3272</v>
      </c>
      <c r="O1320" s="32" t="s">
        <v>3692</v>
      </c>
      <c r="P1320" s="98">
        <f t="shared" si="89"/>
        <v>2</v>
      </c>
      <c r="Q1320">
        <v>0</v>
      </c>
      <c r="R1320">
        <v>0</v>
      </c>
      <c r="S1320">
        <v>0</v>
      </c>
      <c r="T1320" t="s">
        <v>64</v>
      </c>
      <c r="U1320" t="s">
        <v>3696</v>
      </c>
      <c r="V1320" t="s">
        <v>3697</v>
      </c>
      <c r="W1320" s="319">
        <v>979</v>
      </c>
      <c r="X1320" s="319">
        <v>12</v>
      </c>
      <c r="Y1320" s="319">
        <v>5</v>
      </c>
      <c r="Z1320" s="314"/>
      <c r="AA1320" s="319">
        <v>0.5</v>
      </c>
      <c r="AB1320" s="315" t="s">
        <v>5165</v>
      </c>
      <c r="AC1320" s="319">
        <v>3</v>
      </c>
      <c r="AD1320" s="320">
        <v>5.2264808362369299E-3</v>
      </c>
      <c r="AE1320" s="319">
        <v>1</v>
      </c>
      <c r="AF1320" s="320">
        <v>1.74216027874564E-3</v>
      </c>
      <c r="AG1320" s="319">
        <v>1</v>
      </c>
      <c r="AH1320" s="320">
        <v>1.74216027874564E-3</v>
      </c>
      <c r="AI1320" s="319">
        <v>1</v>
      </c>
      <c r="AJ1320" s="320">
        <v>1.74216027874564E-3</v>
      </c>
      <c r="AK1320" s="320">
        <v>0</v>
      </c>
      <c r="AL1320" s="319"/>
      <c r="AM1320" s="319"/>
      <c r="AN1320" s="319"/>
      <c r="AO1320" s="319"/>
      <c r="AP1320">
        <v>2</v>
      </c>
      <c r="AR1320" s="136">
        <v>2</v>
      </c>
      <c r="AT1320" s="69">
        <v>2.3148</v>
      </c>
      <c r="AU1320" s="69">
        <v>2.3148</v>
      </c>
      <c r="AV1320" s="69">
        <v>8.1305999999999994</v>
      </c>
      <c r="AW1320" s="69">
        <v>0.42530000000000001</v>
      </c>
      <c r="BB1320" s="69"/>
    </row>
    <row r="1321" spans="1:54" customFormat="1" ht="40" customHeight="1">
      <c r="A1321" s="313">
        <v>1320</v>
      </c>
      <c r="B1321" s="136" t="s">
        <v>3243</v>
      </c>
      <c r="C1321" s="136" t="s">
        <v>45</v>
      </c>
      <c r="D1321" s="31"/>
      <c r="E1321" s="137" t="s">
        <v>46</v>
      </c>
      <c r="F1321" s="31"/>
      <c r="G1321" s="137" t="s">
        <v>3698</v>
      </c>
      <c r="H1321" s="138">
        <v>36</v>
      </c>
      <c r="I1321" s="158"/>
      <c r="J1321" s="95"/>
      <c r="K1321" s="137">
        <v>0.54824604854737402</v>
      </c>
      <c r="L1321" s="137">
        <v>0.27929841941895001</v>
      </c>
      <c r="M1321" s="137">
        <v>0.1</v>
      </c>
      <c r="N1321" s="136" t="s">
        <v>3699</v>
      </c>
      <c r="O1321" s="32" t="s">
        <v>3700</v>
      </c>
      <c r="P1321" s="98">
        <f t="shared" si="89"/>
        <v>1</v>
      </c>
      <c r="Q1321">
        <v>0</v>
      </c>
      <c r="R1321">
        <v>2</v>
      </c>
      <c r="S1321">
        <v>3</v>
      </c>
      <c r="T1321" t="s">
        <v>5133</v>
      </c>
      <c r="U1321" t="s">
        <v>3701</v>
      </c>
      <c r="V1321" t="s">
        <v>3702</v>
      </c>
      <c r="W1321" s="319">
        <v>143</v>
      </c>
      <c r="X1321" s="319">
        <v>10</v>
      </c>
      <c r="Y1321" s="319">
        <v>2</v>
      </c>
      <c r="Z1321" s="314"/>
      <c r="AA1321" s="319">
        <v>0.55000000000000004</v>
      </c>
      <c r="AB1321" s="315" t="s">
        <v>5168</v>
      </c>
      <c r="AC1321" s="319">
        <v>0</v>
      </c>
      <c r="AD1321" s="320">
        <v>0</v>
      </c>
      <c r="AE1321" s="319">
        <v>0</v>
      </c>
      <c r="AF1321" s="320">
        <v>0</v>
      </c>
      <c r="AG1321" s="319">
        <v>1</v>
      </c>
      <c r="AH1321" s="320">
        <v>1.1627906976744099E-2</v>
      </c>
      <c r="AI1321" s="319">
        <v>0</v>
      </c>
      <c r="AJ1321" s="320">
        <v>0</v>
      </c>
      <c r="AK1321" s="320">
        <v>0</v>
      </c>
      <c r="AL1321" s="319"/>
      <c r="AM1321" s="319"/>
      <c r="AN1321" s="319"/>
      <c r="AO1321" s="319"/>
      <c r="AP1321">
        <v>3</v>
      </c>
      <c r="AR1321" s="136"/>
      <c r="AS1321">
        <v>3</v>
      </c>
      <c r="AT1321" s="69">
        <v>2.3148</v>
      </c>
      <c r="AU1321" s="69">
        <v>2.3148</v>
      </c>
      <c r="AV1321" s="69">
        <v>8.1305999999999994</v>
      </c>
      <c r="AW1321" s="69">
        <v>0.42530000000000001</v>
      </c>
      <c r="BB1321" s="69"/>
    </row>
    <row r="1322" spans="1:54" customFormat="1" ht="40" customHeight="1">
      <c r="A1322" s="313">
        <v>1321</v>
      </c>
      <c r="B1322" s="136" t="s">
        <v>3243</v>
      </c>
      <c r="C1322" s="136" t="s">
        <v>45</v>
      </c>
      <c r="D1322" s="31"/>
      <c r="E1322" s="137" t="s">
        <v>46</v>
      </c>
      <c r="F1322" s="31"/>
      <c r="G1322" s="137" t="s">
        <v>2045</v>
      </c>
      <c r="H1322" s="138">
        <v>78</v>
      </c>
      <c r="I1322" s="158"/>
      <c r="J1322" s="95"/>
      <c r="K1322" s="137">
        <v>0.41098491062604903</v>
      </c>
      <c r="L1322" s="137">
        <v>0.18646673072070599</v>
      </c>
      <c r="M1322" s="137">
        <v>3.67879441171442E-2</v>
      </c>
      <c r="N1322" s="136" t="s">
        <v>3703</v>
      </c>
      <c r="O1322" s="32" t="s">
        <v>3704</v>
      </c>
      <c r="P1322" s="98">
        <f t="shared" si="89"/>
        <v>1</v>
      </c>
      <c r="Q1322">
        <v>2</v>
      </c>
      <c r="R1322">
        <v>0</v>
      </c>
      <c r="S1322">
        <v>0</v>
      </c>
      <c r="T1322" t="s">
        <v>5088</v>
      </c>
      <c r="U1322" t="s">
        <v>3705</v>
      </c>
      <c r="V1322" t="s">
        <v>3706</v>
      </c>
      <c r="W1322" s="319">
        <v>203</v>
      </c>
      <c r="X1322" s="319">
        <v>17</v>
      </c>
      <c r="Y1322" s="319">
        <v>3</v>
      </c>
      <c r="Z1322" s="314"/>
      <c r="AA1322" s="319">
        <v>0.60499999999999998</v>
      </c>
      <c r="AB1322" s="315" t="s">
        <v>5176</v>
      </c>
      <c r="AC1322" s="319">
        <v>0</v>
      </c>
      <c r="AD1322" s="320">
        <v>0</v>
      </c>
      <c r="AE1322" s="319">
        <v>1</v>
      </c>
      <c r="AF1322" s="320">
        <v>7.8125E-3</v>
      </c>
      <c r="AG1322" s="319">
        <v>0</v>
      </c>
      <c r="AH1322" s="320">
        <v>0</v>
      </c>
      <c r="AI1322" s="319">
        <v>0</v>
      </c>
      <c r="AJ1322" s="320">
        <v>0</v>
      </c>
      <c r="AK1322" s="320">
        <v>0</v>
      </c>
      <c r="AL1322" s="319"/>
      <c r="AM1322" s="319"/>
      <c r="AN1322" s="319"/>
      <c r="AO1322" s="319"/>
      <c r="AP1322">
        <v>8</v>
      </c>
      <c r="AR1322" s="136">
        <v>8</v>
      </c>
      <c r="AT1322" s="69">
        <v>2.3148</v>
      </c>
      <c r="AU1322" s="69">
        <v>2.3148</v>
      </c>
      <c r="AV1322" s="69">
        <v>8.1305999999999994</v>
      </c>
      <c r="AW1322" s="69">
        <v>0.42530000000000001</v>
      </c>
      <c r="BB1322" s="69"/>
    </row>
    <row r="1323" spans="1:54" customFormat="1" ht="40" customHeight="1">
      <c r="A1323" s="313">
        <v>1322</v>
      </c>
      <c r="B1323" s="136" t="s">
        <v>3243</v>
      </c>
      <c r="C1323" s="136" t="s">
        <v>45</v>
      </c>
      <c r="D1323" s="31"/>
      <c r="E1323" s="137" t="s">
        <v>46</v>
      </c>
      <c r="F1323" s="31"/>
      <c r="G1323" s="137" t="s">
        <v>3707</v>
      </c>
      <c r="H1323" s="138">
        <v>152</v>
      </c>
      <c r="I1323" s="158"/>
      <c r="J1323" s="95"/>
      <c r="K1323" s="137">
        <v>0.25769251104190999</v>
      </c>
      <c r="L1323" s="137">
        <v>0.16307700441676401</v>
      </c>
      <c r="M1323" s="137">
        <v>0.1</v>
      </c>
      <c r="N1323" s="136" t="s">
        <v>3708</v>
      </c>
      <c r="O1323" s="32" t="s">
        <v>3709</v>
      </c>
      <c r="P1323" s="98">
        <f t="shared" si="89"/>
        <v>1</v>
      </c>
      <c r="Q1323">
        <v>3</v>
      </c>
      <c r="R1323">
        <v>4</v>
      </c>
      <c r="S1323">
        <v>3</v>
      </c>
      <c r="T1323" t="s">
        <v>5132</v>
      </c>
      <c r="U1323" t="s">
        <v>3710</v>
      </c>
      <c r="V1323" t="s">
        <v>3711</v>
      </c>
      <c r="W1323" s="319">
        <v>1035</v>
      </c>
      <c r="X1323" s="319">
        <v>27</v>
      </c>
      <c r="Y1323" s="319">
        <v>8</v>
      </c>
      <c r="Z1323" s="314"/>
      <c r="AA1323" s="319">
        <v>0.5</v>
      </c>
      <c r="AB1323" s="315" t="s">
        <v>5165</v>
      </c>
      <c r="AC1323" s="319">
        <v>7</v>
      </c>
      <c r="AD1323" s="320">
        <v>1.1686143572621E-2</v>
      </c>
      <c r="AE1323" s="319">
        <v>3</v>
      </c>
      <c r="AF1323" s="320">
        <v>5.0083472454090098E-3</v>
      </c>
      <c r="AG1323" s="319">
        <v>2</v>
      </c>
      <c r="AH1323" s="320">
        <v>3.3388981636060101E-3</v>
      </c>
      <c r="AI1323" s="319">
        <v>1</v>
      </c>
      <c r="AJ1323" s="320">
        <v>1.6694490818030001E-3</v>
      </c>
      <c r="AK1323" s="320">
        <v>6.6777963272120202E-3</v>
      </c>
      <c r="AL1323" s="319"/>
      <c r="AM1323" s="319"/>
      <c r="AN1323" s="319"/>
      <c r="AO1323" s="319"/>
      <c r="AP1323">
        <v>1</v>
      </c>
      <c r="AR1323" s="136"/>
      <c r="AS1323">
        <v>1</v>
      </c>
      <c r="AT1323" s="69">
        <v>2.3148</v>
      </c>
      <c r="AU1323" s="69">
        <v>5</v>
      </c>
      <c r="AV1323" s="69">
        <v>9.9920000000000009</v>
      </c>
      <c r="AW1323" s="69">
        <v>0.57689999999999997</v>
      </c>
      <c r="BB1323" s="69"/>
    </row>
    <row r="1324" spans="1:54" customFormat="1" ht="40" customHeight="1">
      <c r="A1324" s="313">
        <v>1323</v>
      </c>
      <c r="B1324" s="136" t="s">
        <v>3243</v>
      </c>
      <c r="C1324" s="136" t="s">
        <v>45</v>
      </c>
      <c r="D1324" s="31"/>
      <c r="E1324" s="137" t="s">
        <v>46</v>
      </c>
      <c r="F1324" s="31"/>
      <c r="G1324" s="137" t="s">
        <v>3712</v>
      </c>
      <c r="H1324" s="138">
        <v>209</v>
      </c>
      <c r="I1324" s="158"/>
      <c r="J1324" s="95"/>
      <c r="K1324" s="137">
        <v>0.44671666482751199</v>
      </c>
      <c r="L1324" s="137">
        <v>0.20075943240129099</v>
      </c>
      <c r="M1324" s="137">
        <v>3.67879441171442E-2</v>
      </c>
      <c r="N1324" s="136" t="s">
        <v>3713</v>
      </c>
      <c r="O1324" s="32" t="s">
        <v>3714</v>
      </c>
      <c r="P1324" s="98">
        <f t="shared" si="89"/>
        <v>1</v>
      </c>
      <c r="Q1324">
        <v>0</v>
      </c>
      <c r="R1324">
        <v>6</v>
      </c>
      <c r="S1324">
        <v>0</v>
      </c>
      <c r="T1324" t="s">
        <v>73</v>
      </c>
      <c r="U1324" s="321" t="s">
        <v>5145</v>
      </c>
      <c r="V1324" t="s">
        <v>3715</v>
      </c>
      <c r="W1324" s="319">
        <v>176</v>
      </c>
      <c r="X1324" s="319">
        <v>15</v>
      </c>
      <c r="Y1324" s="319">
        <v>1</v>
      </c>
      <c r="Z1324" s="314"/>
      <c r="AA1324" s="319">
        <v>0.60499999999999998</v>
      </c>
      <c r="AB1324" s="315" t="s">
        <v>5165</v>
      </c>
      <c r="AC1324" s="319">
        <v>2</v>
      </c>
      <c r="AD1324" s="320">
        <v>2.04081632653061E-2</v>
      </c>
      <c r="AE1324" s="319">
        <v>0</v>
      </c>
      <c r="AF1324" s="320">
        <v>0</v>
      </c>
      <c r="AG1324" s="319">
        <v>0</v>
      </c>
      <c r="AH1324" s="320">
        <v>0</v>
      </c>
      <c r="AI1324" s="319">
        <v>0</v>
      </c>
      <c r="AJ1324" s="320">
        <v>0</v>
      </c>
      <c r="AK1324" s="320">
        <v>0</v>
      </c>
      <c r="AL1324" s="319"/>
      <c r="AM1324" s="319"/>
      <c r="AN1324" s="319"/>
      <c r="AO1324" s="319"/>
      <c r="AP1324">
        <v>12</v>
      </c>
      <c r="AR1324" s="136">
        <v>12</v>
      </c>
      <c r="AT1324" s="69">
        <v>2.3148</v>
      </c>
      <c r="AU1324" s="69">
        <v>2.3148</v>
      </c>
      <c r="AV1324" s="69">
        <v>5.7443999999999997</v>
      </c>
      <c r="AW1324" s="69">
        <v>0.3458</v>
      </c>
      <c r="BB1324" s="69"/>
    </row>
    <row r="1325" spans="1:54" customFormat="1" ht="40" customHeight="1">
      <c r="A1325" s="313">
        <v>1324</v>
      </c>
      <c r="B1325" s="136" t="s">
        <v>3243</v>
      </c>
      <c r="C1325" s="136" t="s">
        <v>45</v>
      </c>
      <c r="D1325" s="31"/>
      <c r="E1325" s="137" t="s">
        <v>80</v>
      </c>
      <c r="F1325" s="31"/>
      <c r="G1325" s="137" t="s">
        <v>3716</v>
      </c>
      <c r="H1325" s="138">
        <v>49</v>
      </c>
      <c r="I1325" s="158"/>
      <c r="J1325" s="95"/>
      <c r="K1325" s="137">
        <v>9.6492097094748694E-2</v>
      </c>
      <c r="L1325" s="137">
        <v>6.0669605308185999E-2</v>
      </c>
      <c r="M1325" s="137">
        <v>3.67879441171442E-2</v>
      </c>
      <c r="N1325" s="136" t="s">
        <v>3251</v>
      </c>
      <c r="O1325" s="32" t="s">
        <v>3717</v>
      </c>
      <c r="P1325" s="98">
        <f t="shared" si="89"/>
        <v>0</v>
      </c>
      <c r="Q1325">
        <v>0</v>
      </c>
      <c r="R1325">
        <v>0</v>
      </c>
      <c r="S1325">
        <v>0</v>
      </c>
      <c r="T1325" t="s">
        <v>48</v>
      </c>
      <c r="U1325" t="s">
        <v>3718</v>
      </c>
      <c r="V1325" t="s">
        <v>3719</v>
      </c>
      <c r="W1325" s="319">
        <v>1062</v>
      </c>
      <c r="X1325" s="319">
        <v>40</v>
      </c>
      <c r="Y1325" s="319">
        <v>12</v>
      </c>
      <c r="Z1325" s="314"/>
      <c r="AA1325" s="319">
        <v>0.60499999999999998</v>
      </c>
      <c r="AB1325" s="315" t="s">
        <v>5193</v>
      </c>
      <c r="AC1325" s="319">
        <v>3</v>
      </c>
      <c r="AD1325" s="320">
        <v>5.0000000000000001E-3</v>
      </c>
      <c r="AE1325" s="319">
        <v>3</v>
      </c>
      <c r="AF1325" s="320">
        <v>5.0000000000000001E-3</v>
      </c>
      <c r="AG1325" s="319">
        <v>2</v>
      </c>
      <c r="AH1325" s="320">
        <v>3.3333333333333301E-3</v>
      </c>
      <c r="AI1325" s="319">
        <v>3</v>
      </c>
      <c r="AJ1325" s="320">
        <v>5.0000000000000001E-3</v>
      </c>
      <c r="AK1325" s="320">
        <v>1.666666666666667E-3</v>
      </c>
      <c r="AL1325" s="319"/>
      <c r="AM1325" s="319"/>
      <c r="AN1325" s="319"/>
      <c r="AO1325" s="319"/>
      <c r="AP1325">
        <v>1</v>
      </c>
      <c r="AR1325" s="136">
        <v>1</v>
      </c>
      <c r="AT1325" s="69">
        <v>2.3148</v>
      </c>
      <c r="AU1325" s="69">
        <v>5</v>
      </c>
      <c r="AV1325" s="69">
        <v>8.1305999999999994</v>
      </c>
      <c r="AW1325" s="69">
        <v>0.51480000000000004</v>
      </c>
      <c r="BB1325" s="69"/>
    </row>
    <row r="1326" spans="1:54" customFormat="1" ht="40" customHeight="1">
      <c r="A1326" s="313">
        <v>1325</v>
      </c>
      <c r="B1326" s="136" t="s">
        <v>589</v>
      </c>
      <c r="C1326" s="136" t="s">
        <v>59</v>
      </c>
      <c r="D1326" s="31"/>
      <c r="E1326" s="137" t="s">
        <v>46</v>
      </c>
      <c r="F1326" s="31"/>
      <c r="G1326" s="137" t="s">
        <v>3720</v>
      </c>
      <c r="H1326" s="138">
        <v>46</v>
      </c>
      <c r="I1326" s="158"/>
      <c r="J1326" s="95"/>
      <c r="K1326" s="137">
        <v>0.65007289388811795</v>
      </c>
      <c r="L1326" s="137">
        <v>0.32002915755524702</v>
      </c>
      <c r="M1326" s="137">
        <v>0.1</v>
      </c>
      <c r="N1326" s="136" t="s">
        <v>3721</v>
      </c>
      <c r="O1326" s="32" t="s">
        <v>3722</v>
      </c>
      <c r="P1326" s="98">
        <f t="shared" si="89"/>
        <v>1</v>
      </c>
      <c r="Q1326">
        <v>0</v>
      </c>
      <c r="R1326">
        <v>0</v>
      </c>
      <c r="S1326">
        <v>0</v>
      </c>
      <c r="T1326" t="s">
        <v>73</v>
      </c>
      <c r="U1326" t="s">
        <v>3723</v>
      </c>
      <c r="V1326" t="s">
        <v>3724</v>
      </c>
      <c r="W1326" s="319">
        <v>34</v>
      </c>
      <c r="X1326" s="319">
        <v>6</v>
      </c>
      <c r="Y1326" s="319">
        <v>1</v>
      </c>
      <c r="Z1326" s="314"/>
      <c r="AA1326" s="319">
        <v>0.45454545454545398</v>
      </c>
      <c r="AB1326" s="315" t="s">
        <v>5165</v>
      </c>
      <c r="AC1326" s="319">
        <v>1</v>
      </c>
      <c r="AD1326" s="320">
        <v>0.05</v>
      </c>
      <c r="AE1326" s="319">
        <v>0</v>
      </c>
      <c r="AF1326" s="320">
        <v>0</v>
      </c>
      <c r="AG1326" s="319">
        <v>0</v>
      </c>
      <c r="AH1326" s="320">
        <v>0</v>
      </c>
      <c r="AI1326" s="319">
        <v>0</v>
      </c>
      <c r="AJ1326" s="320">
        <v>0</v>
      </c>
      <c r="AK1326" s="320">
        <v>0</v>
      </c>
      <c r="AL1326" s="319"/>
      <c r="AM1326" s="319"/>
      <c r="AN1326" s="319"/>
      <c r="AO1326" s="319"/>
      <c r="AP1326">
        <v>1</v>
      </c>
      <c r="AR1326" s="136">
        <v>1</v>
      </c>
      <c r="AT1326" s="69">
        <v>2.3148</v>
      </c>
      <c r="AU1326" s="69">
        <v>2.3148</v>
      </c>
      <c r="AV1326" s="69">
        <v>5.7443999999999997</v>
      </c>
      <c r="AW1326" s="69">
        <v>0.3458</v>
      </c>
      <c r="BB1326" s="69"/>
    </row>
    <row r="1327" spans="1:54" customFormat="1" ht="40" customHeight="1">
      <c r="A1327" s="313">
        <v>1326</v>
      </c>
      <c r="B1327" s="136" t="s">
        <v>3243</v>
      </c>
      <c r="C1327" s="136" t="s">
        <v>45</v>
      </c>
      <c r="D1327" s="31"/>
      <c r="E1327" s="137" t="s">
        <v>46</v>
      </c>
      <c r="F1327" s="31"/>
      <c r="G1327" s="137" t="s">
        <v>3725</v>
      </c>
      <c r="H1327" s="138">
        <v>30</v>
      </c>
      <c r="I1327" s="158"/>
      <c r="J1327" s="95"/>
      <c r="K1327" s="137">
        <v>0.50512834069460699</v>
      </c>
      <c r="L1327" s="137">
        <v>0.36514824598538498</v>
      </c>
      <c r="M1327" s="137">
        <v>0.27182818284590399</v>
      </c>
      <c r="N1327" s="136" t="s">
        <v>3726</v>
      </c>
      <c r="O1327" s="32" t="s">
        <v>3727</v>
      </c>
      <c r="P1327" s="98">
        <f t="shared" si="89"/>
        <v>0</v>
      </c>
      <c r="Q1327">
        <v>6</v>
      </c>
      <c r="R1327">
        <v>0</v>
      </c>
      <c r="S1327">
        <v>0</v>
      </c>
      <c r="T1327" t="s">
        <v>48</v>
      </c>
      <c r="U1327" t="s">
        <v>3728</v>
      </c>
      <c r="V1327" t="s">
        <v>3729</v>
      </c>
      <c r="W1327" s="319">
        <v>117</v>
      </c>
      <c r="X1327" s="319">
        <v>12</v>
      </c>
      <c r="Y1327" s="319">
        <v>1</v>
      </c>
      <c r="Z1327" s="314"/>
      <c r="AA1327" s="319">
        <v>0.55000000000000004</v>
      </c>
      <c r="AB1327" s="315" t="s">
        <v>5165</v>
      </c>
      <c r="AC1327" s="319">
        <v>1</v>
      </c>
      <c r="AD1327" s="320">
        <v>1.5873015873015799E-2</v>
      </c>
      <c r="AE1327" s="319">
        <v>0</v>
      </c>
      <c r="AF1327" s="320">
        <v>0</v>
      </c>
      <c r="AG1327" s="319">
        <v>0</v>
      </c>
      <c r="AH1327" s="320">
        <v>0</v>
      </c>
      <c r="AI1327" s="319">
        <v>0</v>
      </c>
      <c r="AJ1327" s="320">
        <v>0</v>
      </c>
      <c r="AK1327" s="320">
        <v>0</v>
      </c>
      <c r="AL1327" s="319"/>
      <c r="AM1327" s="319"/>
      <c r="AN1327" s="319"/>
      <c r="AO1327" s="319"/>
      <c r="AP1327">
        <v>2</v>
      </c>
      <c r="AR1327" s="136">
        <v>2</v>
      </c>
      <c r="AT1327" s="69">
        <v>2.3148</v>
      </c>
      <c r="AU1327" s="69">
        <v>2.3148</v>
      </c>
      <c r="AV1327" s="69">
        <v>2.3148</v>
      </c>
      <c r="AW1327" s="69">
        <v>0.23150000000000001</v>
      </c>
      <c r="BB1327" s="69"/>
    </row>
    <row r="1328" spans="1:54" customFormat="1" ht="40" customHeight="1">
      <c r="A1328" s="313">
        <v>1327</v>
      </c>
      <c r="B1328" s="136" t="s">
        <v>3243</v>
      </c>
      <c r="C1328" s="136" t="s">
        <v>1191</v>
      </c>
      <c r="D1328" s="31"/>
      <c r="E1328" s="137" t="s">
        <v>80</v>
      </c>
      <c r="F1328" s="31"/>
      <c r="G1328" s="137" t="s">
        <v>3730</v>
      </c>
      <c r="H1328" s="138">
        <v>45</v>
      </c>
      <c r="I1328" s="158"/>
      <c r="J1328" s="95"/>
      <c r="K1328" s="137">
        <v>0.85714285714285698</v>
      </c>
      <c r="L1328" s="137">
        <v>0.50595405256468595</v>
      </c>
      <c r="M1328" s="137">
        <v>0.27182818284590399</v>
      </c>
      <c r="N1328" s="136" t="s">
        <v>3272</v>
      </c>
      <c r="O1328" s="32" t="s">
        <v>3731</v>
      </c>
      <c r="P1328" s="98">
        <f t="shared" si="89"/>
        <v>2</v>
      </c>
      <c r="Q1328">
        <v>0</v>
      </c>
      <c r="R1328">
        <v>0</v>
      </c>
      <c r="S1328">
        <v>0</v>
      </c>
      <c r="T1328" t="s">
        <v>64</v>
      </c>
      <c r="U1328" t="s">
        <v>3732</v>
      </c>
      <c r="V1328" t="s">
        <v>3733</v>
      </c>
      <c r="W1328" s="319">
        <v>176</v>
      </c>
      <c r="X1328" s="319">
        <v>1</v>
      </c>
      <c r="Y1328" s="319">
        <v>2</v>
      </c>
      <c r="Z1328" s="314"/>
      <c r="AA1328" s="319">
        <v>0.60499999999999998</v>
      </c>
      <c r="AB1328" s="315" t="s">
        <v>5176</v>
      </c>
      <c r="AC1328" s="319">
        <v>1</v>
      </c>
      <c r="AD1328" s="320">
        <v>1.01010101010101E-2</v>
      </c>
      <c r="AE1328" s="319">
        <v>2</v>
      </c>
      <c r="AF1328" s="320">
        <v>2.02020202020202E-2</v>
      </c>
      <c r="AG1328" s="319">
        <v>1</v>
      </c>
      <c r="AH1328" s="320">
        <v>1.01010101010101E-2</v>
      </c>
      <c r="AI1328" s="319">
        <v>0</v>
      </c>
      <c r="AJ1328" s="320">
        <v>0</v>
      </c>
      <c r="AK1328" s="320">
        <v>0</v>
      </c>
      <c r="AL1328" s="319"/>
      <c r="AM1328" s="319"/>
      <c r="AN1328" s="319"/>
      <c r="AO1328" s="319"/>
      <c r="AP1328">
        <v>1</v>
      </c>
      <c r="AR1328" s="136">
        <v>1</v>
      </c>
      <c r="AT1328" s="69">
        <v>2.3148</v>
      </c>
      <c r="AU1328" s="69">
        <v>2.3148</v>
      </c>
      <c r="AV1328" s="69">
        <v>2.3148</v>
      </c>
      <c r="AW1328" s="69">
        <v>0.23150000000000001</v>
      </c>
      <c r="BB1328" s="69"/>
    </row>
    <row r="1329" spans="1:54" customFormat="1" ht="40" customHeight="1">
      <c r="A1329" s="313">
        <v>1328</v>
      </c>
      <c r="B1329" s="136" t="s">
        <v>1222</v>
      </c>
      <c r="C1329" s="136" t="s">
        <v>45</v>
      </c>
      <c r="D1329" s="31"/>
      <c r="E1329" s="137" t="s">
        <v>46</v>
      </c>
      <c r="F1329" s="31"/>
      <c r="G1329" s="137" t="s">
        <v>3734</v>
      </c>
      <c r="H1329" s="138">
        <v>90</v>
      </c>
      <c r="I1329" s="158"/>
      <c r="J1329" s="95"/>
      <c r="K1329" s="137">
        <v>0.526196458520657</v>
      </c>
      <c r="L1329" s="137">
        <v>0.37357549311580601</v>
      </c>
      <c r="M1329" s="137">
        <v>0.27182818284590399</v>
      </c>
      <c r="N1329" s="136" t="s">
        <v>3735</v>
      </c>
      <c r="O1329" s="32" t="s">
        <v>3736</v>
      </c>
      <c r="P1329" s="98">
        <f t="shared" si="89"/>
        <v>1</v>
      </c>
      <c r="Q1329">
        <v>0</v>
      </c>
      <c r="R1329">
        <v>0</v>
      </c>
      <c r="S1329">
        <v>0</v>
      </c>
      <c r="T1329" t="s">
        <v>73</v>
      </c>
      <c r="U1329" s="322" t="s">
        <v>3737</v>
      </c>
      <c r="V1329" t="s">
        <v>3738</v>
      </c>
      <c r="W1329" s="319">
        <v>60</v>
      </c>
      <c r="X1329" s="319">
        <v>11</v>
      </c>
      <c r="Y1329" s="319">
        <v>1</v>
      </c>
      <c r="Z1329" s="314"/>
      <c r="AA1329" s="319">
        <v>0.55000000000000004</v>
      </c>
      <c r="AB1329" s="315" t="s">
        <v>5169</v>
      </c>
      <c r="AC1329" s="319">
        <v>1</v>
      </c>
      <c r="AD1329" s="320">
        <v>2.8571428571428501E-2</v>
      </c>
      <c r="AE1329" s="319">
        <v>0</v>
      </c>
      <c r="AF1329" s="320">
        <v>0</v>
      </c>
      <c r="AG1329" s="319">
        <v>1</v>
      </c>
      <c r="AH1329" s="320">
        <v>2.8571428571428501E-2</v>
      </c>
      <c r="AI1329" s="319">
        <v>0</v>
      </c>
      <c r="AJ1329" s="320">
        <v>0</v>
      </c>
      <c r="AK1329" s="320">
        <v>0</v>
      </c>
      <c r="AL1329" s="319"/>
      <c r="AM1329" s="319"/>
      <c r="AN1329" s="319"/>
      <c r="AO1329" s="319"/>
      <c r="AP1329">
        <v>1</v>
      </c>
      <c r="AR1329" s="136">
        <v>1</v>
      </c>
      <c r="AT1329" s="69">
        <v>2.3148</v>
      </c>
      <c r="AU1329" s="69">
        <v>2.3148</v>
      </c>
      <c r="AV1329" s="69">
        <v>2.3148</v>
      </c>
      <c r="AW1329" s="69">
        <v>0.23150000000000001</v>
      </c>
      <c r="BB1329" s="69"/>
    </row>
    <row r="1330" spans="1:54" customFormat="1" ht="40" customHeight="1">
      <c r="A1330" s="313">
        <v>1329</v>
      </c>
      <c r="B1330" s="136" t="s">
        <v>3243</v>
      </c>
      <c r="C1330" s="136" t="s">
        <v>45</v>
      </c>
      <c r="D1330" s="31"/>
      <c r="E1330" s="137" t="s">
        <v>46</v>
      </c>
      <c r="F1330" s="31"/>
      <c r="G1330" s="137" t="s">
        <v>3739</v>
      </c>
      <c r="H1330" s="138">
        <v>130</v>
      </c>
      <c r="I1330" s="158"/>
      <c r="J1330" s="95"/>
      <c r="K1330" s="137">
        <v>0.526196458520657</v>
      </c>
      <c r="L1330" s="137">
        <v>0.21859870040245999</v>
      </c>
      <c r="M1330" s="137">
        <v>1.35335283236613E-2</v>
      </c>
      <c r="N1330" s="136" t="s">
        <v>3740</v>
      </c>
      <c r="O1330" s="32" t="s">
        <v>3741</v>
      </c>
      <c r="P1330" s="98">
        <f t="shared" si="89"/>
        <v>1</v>
      </c>
      <c r="Q1330">
        <v>2</v>
      </c>
      <c r="R1330">
        <v>1</v>
      </c>
      <c r="S1330">
        <v>0</v>
      </c>
      <c r="T1330" t="s">
        <v>5088</v>
      </c>
      <c r="U1330" t="s">
        <v>3742</v>
      </c>
      <c r="V1330" t="s">
        <v>3743</v>
      </c>
      <c r="W1330" s="319">
        <v>86</v>
      </c>
      <c r="X1330" s="319">
        <v>11</v>
      </c>
      <c r="Y1330" s="319">
        <v>1</v>
      </c>
      <c r="Z1330" s="314"/>
      <c r="AA1330" s="319">
        <v>0.5</v>
      </c>
      <c r="AB1330" s="315" t="s">
        <v>5178</v>
      </c>
      <c r="AC1330" s="319">
        <v>2</v>
      </c>
      <c r="AD1330" s="320">
        <v>4.4444444444444398E-2</v>
      </c>
      <c r="AE1330" s="319">
        <v>2</v>
      </c>
      <c r="AF1330" s="320">
        <v>4.4444444444444398E-2</v>
      </c>
      <c r="AG1330" s="319">
        <v>0</v>
      </c>
      <c r="AH1330" s="320">
        <v>0</v>
      </c>
      <c r="AI1330" s="319">
        <v>0</v>
      </c>
      <c r="AJ1330" s="320">
        <v>0</v>
      </c>
      <c r="AK1330" s="320">
        <v>0</v>
      </c>
      <c r="AL1330" s="319"/>
      <c r="AM1330" s="319"/>
      <c r="AN1330" s="319"/>
      <c r="AO1330" s="319"/>
      <c r="AP1330">
        <v>1</v>
      </c>
      <c r="AR1330" s="136"/>
      <c r="AS1330">
        <v>1</v>
      </c>
      <c r="AT1330" s="69">
        <v>2.3148</v>
      </c>
      <c r="AU1330" s="69">
        <v>2.3148</v>
      </c>
      <c r="AV1330" s="69">
        <v>2.3148</v>
      </c>
      <c r="AW1330" s="69">
        <v>0.23150000000000001</v>
      </c>
      <c r="BB1330" s="69"/>
    </row>
    <row r="1331" spans="1:54" customFormat="1" ht="40" customHeight="1">
      <c r="A1331" s="313">
        <v>1330</v>
      </c>
      <c r="B1331" s="136" t="s">
        <v>3243</v>
      </c>
      <c r="C1331" s="136" t="s">
        <v>45</v>
      </c>
      <c r="D1331" s="31"/>
      <c r="E1331" s="137" t="s">
        <v>80</v>
      </c>
      <c r="F1331" s="31"/>
      <c r="G1331" s="137" t="s">
        <v>3744</v>
      </c>
      <c r="H1331" s="138">
        <v>125</v>
      </c>
      <c r="I1331" s="158"/>
      <c r="J1331" s="95"/>
      <c r="K1331" s="137">
        <v>0.41098491062604903</v>
      </c>
      <c r="L1331" s="137">
        <v>0.165492902583743</v>
      </c>
      <c r="M1331" s="137">
        <v>1.83156388887342E-3</v>
      </c>
      <c r="N1331" s="136" t="s">
        <v>3745</v>
      </c>
      <c r="O1331" s="32" t="s">
        <v>3746</v>
      </c>
      <c r="P1331" s="98">
        <f t="shared" si="89"/>
        <v>1</v>
      </c>
      <c r="Q1331">
        <v>2</v>
      </c>
      <c r="R1331">
        <v>0</v>
      </c>
      <c r="S1331">
        <v>0</v>
      </c>
      <c r="T1331" t="s">
        <v>5088</v>
      </c>
      <c r="U1331" t="s">
        <v>3747</v>
      </c>
      <c r="V1331" t="s">
        <v>3748</v>
      </c>
      <c r="W1331" s="319">
        <v>146</v>
      </c>
      <c r="X1331" s="319">
        <v>17</v>
      </c>
      <c r="Y1331" s="319">
        <v>1</v>
      </c>
      <c r="Z1331" s="314"/>
      <c r="AA1331" s="319">
        <v>1.10809615276842E-2</v>
      </c>
      <c r="AB1331" s="315" t="s">
        <v>5169</v>
      </c>
      <c r="AC1331" s="319">
        <v>1</v>
      </c>
      <c r="AD1331" s="320">
        <v>1.20481927710843E-2</v>
      </c>
      <c r="AE1331" s="319">
        <v>0</v>
      </c>
      <c r="AF1331" s="320">
        <v>0</v>
      </c>
      <c r="AG1331" s="319">
        <v>1</v>
      </c>
      <c r="AH1331" s="320">
        <v>1.20481927710843E-2</v>
      </c>
      <c r="AI1331" s="319">
        <v>0</v>
      </c>
      <c r="AJ1331" s="320">
        <v>0</v>
      </c>
      <c r="AK1331" s="320">
        <v>0</v>
      </c>
      <c r="AL1331" s="319"/>
      <c r="AM1331" s="319"/>
      <c r="AN1331" s="319"/>
      <c r="AO1331" s="319"/>
      <c r="AP1331">
        <v>1</v>
      </c>
      <c r="AR1331" s="136">
        <v>1</v>
      </c>
      <c r="AT1331" s="69">
        <v>2.3148</v>
      </c>
      <c r="AU1331" s="69">
        <v>5</v>
      </c>
      <c r="AV1331" s="69">
        <v>8.1305999999999994</v>
      </c>
      <c r="AW1331" s="69">
        <v>0.51480000000000004</v>
      </c>
      <c r="BB1331" s="69"/>
    </row>
    <row r="1332" spans="1:54" customFormat="1" ht="40" customHeight="1">
      <c r="A1332" s="313">
        <v>1331</v>
      </c>
      <c r="B1332" s="136" t="s">
        <v>3243</v>
      </c>
      <c r="C1332" s="136" t="s">
        <v>59</v>
      </c>
      <c r="D1332" s="31"/>
      <c r="E1332" s="137" t="s">
        <v>46</v>
      </c>
      <c r="F1332" s="31"/>
      <c r="G1332" s="137" t="s">
        <v>3749</v>
      </c>
      <c r="H1332" s="138">
        <v>229</v>
      </c>
      <c r="I1332" s="158"/>
      <c r="J1332" s="95"/>
      <c r="K1332" s="137">
        <v>0.59593898217911601</v>
      </c>
      <c r="L1332" s="137">
        <v>0.40147250257918898</v>
      </c>
      <c r="M1332" s="137">
        <v>0.27182818284590399</v>
      </c>
      <c r="N1332" s="136" t="s">
        <v>3750</v>
      </c>
      <c r="O1332" s="32" t="s">
        <v>3751</v>
      </c>
      <c r="P1332" s="98">
        <f t="shared" si="89"/>
        <v>1</v>
      </c>
      <c r="Q1332">
        <v>0</v>
      </c>
      <c r="R1332">
        <v>6</v>
      </c>
      <c r="S1332">
        <v>0</v>
      </c>
      <c r="T1332" t="s">
        <v>73</v>
      </c>
      <c r="U1332" t="s">
        <v>3752</v>
      </c>
      <c r="V1332" t="s">
        <v>3753</v>
      </c>
      <c r="W1332" s="319">
        <v>117</v>
      </c>
      <c r="X1332" s="319">
        <v>8</v>
      </c>
      <c r="Y1332" s="319">
        <v>1</v>
      </c>
      <c r="Z1332" s="314"/>
      <c r="AA1332" s="319">
        <v>0.59450000000000003</v>
      </c>
      <c r="AB1332" s="315" t="s">
        <v>5181</v>
      </c>
      <c r="AC1332" s="319">
        <v>1</v>
      </c>
      <c r="AD1332" s="320">
        <v>1.4084507042253501E-2</v>
      </c>
      <c r="AE1332" s="319">
        <v>1</v>
      </c>
      <c r="AF1332" s="320">
        <v>1.4084507042253501E-2</v>
      </c>
      <c r="AG1332" s="319">
        <v>1</v>
      </c>
      <c r="AH1332" s="320">
        <v>1.4084507042253501E-2</v>
      </c>
      <c r="AI1332" s="319">
        <v>1</v>
      </c>
      <c r="AJ1332" s="320">
        <v>1.4084507042253501E-2</v>
      </c>
      <c r="AK1332" s="320">
        <v>0</v>
      </c>
      <c r="AL1332" s="319"/>
      <c r="AM1332" s="319"/>
      <c r="AN1332" s="319"/>
      <c r="AO1332" s="319"/>
      <c r="AP1332">
        <v>1</v>
      </c>
      <c r="AR1332" s="136">
        <v>1</v>
      </c>
      <c r="AT1332" s="69">
        <v>2.3148</v>
      </c>
      <c r="AU1332" s="69">
        <v>2.3148</v>
      </c>
      <c r="AV1332" s="69">
        <v>2.3148</v>
      </c>
      <c r="AW1332" s="69">
        <v>0.23150000000000001</v>
      </c>
      <c r="BB1332" s="69"/>
    </row>
    <row r="1333" spans="1:54" customFormat="1" ht="40" customHeight="1">
      <c r="A1333" s="313">
        <v>1332</v>
      </c>
      <c r="B1333" s="136" t="s">
        <v>3243</v>
      </c>
      <c r="C1333" s="136" t="s">
        <v>45</v>
      </c>
      <c r="D1333" s="31"/>
      <c r="E1333" s="137" t="s">
        <v>46</v>
      </c>
      <c r="F1333" s="31"/>
      <c r="G1333" s="137" t="s">
        <v>3754</v>
      </c>
      <c r="H1333" s="138">
        <v>29</v>
      </c>
      <c r="I1333" s="158"/>
      <c r="J1333" s="95"/>
      <c r="K1333" s="137">
        <v>0.71428571428571397</v>
      </c>
      <c r="L1333" s="137">
        <v>0.44881119542182901</v>
      </c>
      <c r="M1333" s="137">
        <v>0.27182818284590399</v>
      </c>
      <c r="N1333" s="136" t="s">
        <v>3755</v>
      </c>
      <c r="O1333" s="32" t="s">
        <v>3756</v>
      </c>
      <c r="P1333" s="98">
        <f t="shared" si="89"/>
        <v>0</v>
      </c>
      <c r="Q1333">
        <v>6</v>
      </c>
      <c r="R1333">
        <v>0</v>
      </c>
      <c r="S1333">
        <v>0</v>
      </c>
      <c r="T1333" t="s">
        <v>48</v>
      </c>
      <c r="U1333" t="s">
        <v>3757</v>
      </c>
      <c r="V1333" t="s">
        <v>3758</v>
      </c>
      <c r="W1333" s="319">
        <v>82</v>
      </c>
      <c r="X1333" s="319">
        <v>4</v>
      </c>
      <c r="Y1333" s="319">
        <v>1</v>
      </c>
      <c r="Z1333" s="314"/>
      <c r="AA1333" s="319">
        <v>0.60499999999999998</v>
      </c>
      <c r="AB1333" s="315" t="s">
        <v>5167</v>
      </c>
      <c r="AC1333" s="319">
        <v>0</v>
      </c>
      <c r="AD1333" s="320">
        <v>0</v>
      </c>
      <c r="AE1333" s="319">
        <v>0</v>
      </c>
      <c r="AF1333" s="320">
        <v>0</v>
      </c>
      <c r="AG1333" s="319">
        <v>0</v>
      </c>
      <c r="AH1333" s="320">
        <v>0</v>
      </c>
      <c r="AI1333" s="319">
        <v>2</v>
      </c>
      <c r="AJ1333" s="320">
        <v>4.6511627906976702E-2</v>
      </c>
      <c r="AK1333" s="320">
        <v>0</v>
      </c>
      <c r="AL1333" s="319"/>
      <c r="AM1333" s="319"/>
      <c r="AN1333" s="319"/>
      <c r="AO1333" s="319"/>
      <c r="AP1333">
        <v>1</v>
      </c>
      <c r="AR1333" s="136">
        <v>1</v>
      </c>
      <c r="AT1333" s="69">
        <v>2.3148</v>
      </c>
      <c r="AU1333" s="69">
        <v>2.3148</v>
      </c>
      <c r="AV1333" s="69">
        <v>2.3148</v>
      </c>
      <c r="AW1333" s="69">
        <v>0.23150000000000001</v>
      </c>
      <c r="BB1333" s="69"/>
    </row>
    <row r="1334" spans="1:54" customFormat="1" ht="40" customHeight="1">
      <c r="A1334" s="313">
        <v>1333</v>
      </c>
      <c r="B1334" s="136" t="s">
        <v>3243</v>
      </c>
      <c r="C1334" s="136" t="s">
        <v>1191</v>
      </c>
      <c r="D1334" s="31"/>
      <c r="E1334" s="137" t="s">
        <v>80</v>
      </c>
      <c r="F1334" s="31"/>
      <c r="G1334" s="137" t="s">
        <v>3759</v>
      </c>
      <c r="H1334" s="138">
        <v>43</v>
      </c>
      <c r="I1334" s="158"/>
      <c r="J1334" s="95"/>
      <c r="K1334" s="137">
        <v>0.79796949108955795</v>
      </c>
      <c r="L1334" s="137">
        <v>0.76253116237166196</v>
      </c>
      <c r="M1334" s="137">
        <v>0.73890560989306497</v>
      </c>
      <c r="N1334" s="136" t="s">
        <v>3370</v>
      </c>
      <c r="O1334" s="32" t="s">
        <v>3760</v>
      </c>
      <c r="P1334" s="98">
        <f t="shared" si="89"/>
        <v>1</v>
      </c>
      <c r="Q1334">
        <v>0</v>
      </c>
      <c r="R1334">
        <v>1</v>
      </c>
      <c r="S1334">
        <v>0</v>
      </c>
      <c r="T1334" t="s">
        <v>5132</v>
      </c>
      <c r="U1334" t="s">
        <v>3761</v>
      </c>
      <c r="V1334" t="s">
        <v>3762</v>
      </c>
      <c r="W1334" s="319">
        <v>121</v>
      </c>
      <c r="X1334" s="319">
        <v>2</v>
      </c>
      <c r="Y1334" s="319">
        <v>1</v>
      </c>
      <c r="Z1334" s="314"/>
      <c r="AA1334" s="319">
        <v>0.60499999999999998</v>
      </c>
      <c r="AB1334" s="315" t="s">
        <v>5176</v>
      </c>
      <c r="AC1334" s="319">
        <v>1</v>
      </c>
      <c r="AD1334" s="320">
        <v>1.4084507042253501E-2</v>
      </c>
      <c r="AE1334" s="319">
        <v>3</v>
      </c>
      <c r="AF1334" s="320">
        <v>4.22535211267605E-2</v>
      </c>
      <c r="AG1334" s="319">
        <v>0</v>
      </c>
      <c r="AH1334" s="320">
        <v>0</v>
      </c>
      <c r="AI1334" s="319">
        <v>0</v>
      </c>
      <c r="AJ1334" s="320">
        <v>0</v>
      </c>
      <c r="AK1334" s="320">
        <v>0</v>
      </c>
      <c r="AL1334" s="319"/>
      <c r="AM1334" s="319"/>
      <c r="AN1334" s="319"/>
      <c r="AO1334" s="319"/>
      <c r="AP1334">
        <v>7</v>
      </c>
      <c r="AR1334" s="136">
        <v>7</v>
      </c>
      <c r="AT1334" s="69">
        <v>2.3148</v>
      </c>
      <c r="AU1334" s="69">
        <v>2.3148</v>
      </c>
      <c r="AV1334" s="69">
        <v>2.3148</v>
      </c>
      <c r="AW1334" s="69">
        <v>0.23150000000000001</v>
      </c>
      <c r="BB1334" s="69"/>
    </row>
    <row r="1335" spans="1:54" customFormat="1" ht="40" customHeight="1">
      <c r="A1335" s="313">
        <v>1334</v>
      </c>
      <c r="B1335" s="136" t="s">
        <v>3243</v>
      </c>
      <c r="C1335" s="136" t="s">
        <v>45</v>
      </c>
      <c r="D1335" s="31"/>
      <c r="E1335" s="137" t="s">
        <v>46</v>
      </c>
      <c r="F1335" s="31"/>
      <c r="G1335" s="137" t="s">
        <v>3763</v>
      </c>
      <c r="H1335" s="138">
        <v>279</v>
      </c>
      <c r="I1335" s="158"/>
      <c r="J1335" s="95"/>
      <c r="K1335" s="137">
        <v>0.526196458520657</v>
      </c>
      <c r="L1335" s="137">
        <v>0.213465807510335</v>
      </c>
      <c r="M1335" s="137">
        <v>4.9787068367863896E-3</v>
      </c>
      <c r="N1335" s="136" t="s">
        <v>3591</v>
      </c>
      <c r="O1335" s="32" t="s">
        <v>3764</v>
      </c>
      <c r="P1335" s="98">
        <f t="shared" si="89"/>
        <v>1</v>
      </c>
      <c r="Q1335">
        <v>0</v>
      </c>
      <c r="R1335">
        <v>6</v>
      </c>
      <c r="S1335">
        <v>0</v>
      </c>
      <c r="T1335" t="s">
        <v>73</v>
      </c>
      <c r="U1335" s="1" t="s">
        <v>3765</v>
      </c>
      <c r="V1335" s="1" t="s">
        <v>5190</v>
      </c>
      <c r="W1335" s="319">
        <v>585</v>
      </c>
      <c r="X1335" s="319">
        <v>11</v>
      </c>
      <c r="Y1335" s="319">
        <v>7</v>
      </c>
      <c r="Z1335" s="314"/>
      <c r="AA1335" s="319">
        <v>2.4893534183932E-2</v>
      </c>
      <c r="AB1335" s="315" t="s">
        <v>5176</v>
      </c>
      <c r="AC1335" s="319">
        <v>3</v>
      </c>
      <c r="AD1335" s="320">
        <v>9.3167701863354005E-3</v>
      </c>
      <c r="AE1335" s="319">
        <v>6</v>
      </c>
      <c r="AF1335" s="320">
        <v>1.8633540372670801E-2</v>
      </c>
      <c r="AG1335" s="319">
        <v>2</v>
      </c>
      <c r="AH1335" s="320">
        <v>6.2111801242236003E-3</v>
      </c>
      <c r="AI1335" s="319">
        <v>1</v>
      </c>
      <c r="AJ1335" s="320">
        <v>3.1055900621118002E-3</v>
      </c>
      <c r="AK1335" s="320">
        <v>0</v>
      </c>
      <c r="AL1335" s="319"/>
      <c r="AM1335" s="319"/>
      <c r="AN1335" s="319"/>
      <c r="AO1335" s="319"/>
      <c r="AP1335">
        <v>1</v>
      </c>
      <c r="AR1335" s="136">
        <v>1</v>
      </c>
      <c r="AT1335" s="69">
        <v>2.3148</v>
      </c>
      <c r="AU1335" s="69">
        <v>7.6852</v>
      </c>
      <c r="AV1335" s="69">
        <v>9.5120000000000005</v>
      </c>
      <c r="AW1335" s="69">
        <v>0.65039999999999998</v>
      </c>
      <c r="BB1335" s="69"/>
    </row>
    <row r="1336" spans="1:54" customFormat="1" ht="40" customHeight="1">
      <c r="A1336" s="313">
        <v>1335</v>
      </c>
      <c r="B1336" s="136" t="s">
        <v>1222</v>
      </c>
      <c r="C1336" s="136" t="s">
        <v>45</v>
      </c>
      <c r="D1336" s="31"/>
      <c r="E1336" s="137" t="s">
        <v>46</v>
      </c>
      <c r="F1336" s="31"/>
      <c r="G1336" s="137" t="s">
        <v>3766</v>
      </c>
      <c r="H1336" s="138">
        <v>129</v>
      </c>
      <c r="I1336" s="158"/>
      <c r="J1336" s="95"/>
      <c r="K1336" s="137">
        <v>0.526196458520657</v>
      </c>
      <c r="L1336" s="137">
        <v>0.232551349878549</v>
      </c>
      <c r="M1336" s="137">
        <v>3.67879441171442E-2</v>
      </c>
      <c r="N1336" s="136" t="s">
        <v>3767</v>
      </c>
      <c r="O1336" s="32" t="s">
        <v>3768</v>
      </c>
      <c r="P1336" s="98">
        <f t="shared" si="89"/>
        <v>1</v>
      </c>
      <c r="Q1336">
        <v>2</v>
      </c>
      <c r="R1336">
        <v>6</v>
      </c>
      <c r="S1336">
        <v>3</v>
      </c>
      <c r="T1336" t="s">
        <v>5132</v>
      </c>
      <c r="U1336" t="s">
        <v>3769</v>
      </c>
      <c r="V1336" t="s">
        <v>3770</v>
      </c>
      <c r="W1336" s="319">
        <v>127</v>
      </c>
      <c r="X1336" s="319">
        <v>11</v>
      </c>
      <c r="Y1336" s="319">
        <v>1</v>
      </c>
      <c r="Z1336" s="314"/>
      <c r="AA1336" s="319">
        <v>0.60499999999999998</v>
      </c>
      <c r="AB1336" s="315" t="s">
        <v>5179</v>
      </c>
      <c r="AC1336" s="319">
        <v>1</v>
      </c>
      <c r="AD1336" s="320">
        <v>1.47058823529411E-2</v>
      </c>
      <c r="AE1336" s="319">
        <v>1</v>
      </c>
      <c r="AF1336" s="320">
        <v>1.47058823529411E-2</v>
      </c>
      <c r="AG1336" s="319">
        <v>1</v>
      </c>
      <c r="AH1336" s="320">
        <v>1.47058823529411E-2</v>
      </c>
      <c r="AI1336" s="319">
        <v>0</v>
      </c>
      <c r="AJ1336" s="320">
        <v>0</v>
      </c>
      <c r="AK1336" s="320">
        <v>0</v>
      </c>
      <c r="AL1336" s="319"/>
      <c r="AM1336" s="319"/>
      <c r="AN1336" s="319"/>
      <c r="AO1336" s="319"/>
      <c r="AP1336">
        <v>1</v>
      </c>
      <c r="AR1336" s="136">
        <v>1</v>
      </c>
      <c r="AT1336" s="69">
        <v>2.3148</v>
      </c>
      <c r="AU1336" s="69">
        <v>5</v>
      </c>
      <c r="AV1336" s="69">
        <v>8.1305999999999994</v>
      </c>
      <c r="AW1336" s="69">
        <v>0.51480000000000004</v>
      </c>
      <c r="BB1336" s="69"/>
    </row>
    <row r="1337" spans="1:54" customFormat="1" ht="40" customHeight="1">
      <c r="A1337" s="313">
        <v>1336</v>
      </c>
      <c r="B1337" s="136" t="s">
        <v>3243</v>
      </c>
      <c r="C1337" s="136" t="s">
        <v>59</v>
      </c>
      <c r="D1337" s="31"/>
      <c r="E1337" s="137" t="s">
        <v>46</v>
      </c>
      <c r="F1337" s="31"/>
      <c r="G1337" s="137" t="s">
        <v>3771</v>
      </c>
      <c r="H1337" s="138">
        <v>62</v>
      </c>
      <c r="I1337" s="158"/>
      <c r="J1337" s="95"/>
      <c r="K1337" s="137">
        <v>0.65007289388811795</v>
      </c>
      <c r="L1337" s="137">
        <v>0.26814927454944398</v>
      </c>
      <c r="M1337" s="137">
        <v>1.35335283236613E-2</v>
      </c>
      <c r="N1337" s="136" t="s">
        <v>3772</v>
      </c>
      <c r="O1337" s="32" t="s">
        <v>3773</v>
      </c>
      <c r="P1337" s="98">
        <f t="shared" si="89"/>
        <v>1</v>
      </c>
      <c r="Q1337">
        <v>2</v>
      </c>
      <c r="R1337">
        <v>4</v>
      </c>
      <c r="S1337">
        <v>0</v>
      </c>
      <c r="T1337" t="s">
        <v>5132</v>
      </c>
      <c r="U1337" t="s">
        <v>3774</v>
      </c>
      <c r="V1337" t="s">
        <v>3775</v>
      </c>
      <c r="W1337" s="319">
        <v>151</v>
      </c>
      <c r="X1337" s="319">
        <v>6</v>
      </c>
      <c r="Y1337" s="319">
        <v>1</v>
      </c>
      <c r="Z1337" s="314"/>
      <c r="AA1337" s="319">
        <v>0.55000000000000004</v>
      </c>
      <c r="AB1337" s="315" t="s">
        <v>5176</v>
      </c>
      <c r="AC1337" s="319">
        <v>2</v>
      </c>
      <c r="AD1337" s="320">
        <v>2.4390243902439001E-2</v>
      </c>
      <c r="AE1337" s="319">
        <v>4</v>
      </c>
      <c r="AF1337" s="320">
        <v>4.8780487804878002E-2</v>
      </c>
      <c r="AG1337" s="319">
        <v>2</v>
      </c>
      <c r="AH1337" s="320">
        <v>2.4390243902439001E-2</v>
      </c>
      <c r="AI1337" s="319">
        <v>0</v>
      </c>
      <c r="AJ1337" s="320">
        <v>0</v>
      </c>
      <c r="AK1337" s="320">
        <v>0</v>
      </c>
      <c r="AL1337" s="319"/>
      <c r="AM1337" s="319"/>
      <c r="AN1337" s="319"/>
      <c r="AO1337" s="319"/>
      <c r="AP1337">
        <v>1</v>
      </c>
      <c r="AR1337" s="136">
        <v>1</v>
      </c>
      <c r="AT1337" s="69">
        <v>2.3148</v>
      </c>
      <c r="AU1337" s="69">
        <v>2.3148</v>
      </c>
      <c r="AV1337" s="69">
        <v>5.7443999999999997</v>
      </c>
      <c r="AW1337" s="69">
        <v>0.3458</v>
      </c>
      <c r="BB1337" s="69"/>
    </row>
    <row r="1338" spans="1:54" customFormat="1" ht="40" customHeight="1">
      <c r="A1338" s="313">
        <v>1337</v>
      </c>
      <c r="B1338" s="136" t="s">
        <v>3243</v>
      </c>
      <c r="C1338" s="136" t="s">
        <v>45</v>
      </c>
      <c r="D1338" s="31"/>
      <c r="E1338" s="137" t="s">
        <v>46</v>
      </c>
      <c r="F1338" s="31"/>
      <c r="G1338" s="137" t="s">
        <v>539</v>
      </c>
      <c r="H1338" s="138">
        <v>37</v>
      </c>
      <c r="I1338" s="158"/>
      <c r="J1338" s="95"/>
      <c r="K1338" s="137">
        <v>0.48492124636228701</v>
      </c>
      <c r="L1338" s="137">
        <v>0.21604126501520099</v>
      </c>
      <c r="M1338" s="137">
        <v>3.67879441171442E-2</v>
      </c>
      <c r="N1338" s="136" t="s">
        <v>3776</v>
      </c>
      <c r="O1338" s="32" t="s">
        <v>3777</v>
      </c>
      <c r="P1338" s="98">
        <f t="shared" si="89"/>
        <v>0</v>
      </c>
      <c r="Q1338">
        <v>0</v>
      </c>
      <c r="R1338">
        <v>0</v>
      </c>
      <c r="S1338">
        <v>0</v>
      </c>
      <c r="T1338" t="s">
        <v>48</v>
      </c>
      <c r="U1338" t="s">
        <v>3778</v>
      </c>
      <c r="V1338" t="s">
        <v>3779</v>
      </c>
      <c r="W1338" s="319">
        <v>123</v>
      </c>
      <c r="X1338" s="319">
        <v>13</v>
      </c>
      <c r="Y1338" s="319">
        <v>1</v>
      </c>
      <c r="Z1338" s="314"/>
      <c r="AA1338" s="319">
        <v>0.5</v>
      </c>
      <c r="AB1338" s="315" t="s">
        <v>5165</v>
      </c>
      <c r="AC1338" s="319">
        <v>2</v>
      </c>
      <c r="AD1338" s="320">
        <v>2.7397260273972601E-2</v>
      </c>
      <c r="AE1338" s="319">
        <v>0</v>
      </c>
      <c r="AF1338" s="320">
        <v>0</v>
      </c>
      <c r="AG1338" s="319">
        <v>0</v>
      </c>
      <c r="AH1338" s="320">
        <v>0</v>
      </c>
      <c r="AI1338" s="319">
        <v>0</v>
      </c>
      <c r="AJ1338" s="320">
        <v>0</v>
      </c>
      <c r="AK1338" s="320">
        <v>0</v>
      </c>
      <c r="AL1338" s="319"/>
      <c r="AM1338" s="319"/>
      <c r="AN1338" s="319"/>
      <c r="AO1338" s="319"/>
      <c r="AP1338">
        <v>2</v>
      </c>
      <c r="AR1338" s="136">
        <v>2</v>
      </c>
      <c r="AT1338" s="69">
        <v>2.3148</v>
      </c>
      <c r="AU1338" s="69">
        <v>2.3148</v>
      </c>
      <c r="AV1338" s="69">
        <v>2.3148</v>
      </c>
      <c r="AW1338" s="69">
        <v>0.23150000000000001</v>
      </c>
      <c r="BB1338" s="69"/>
    </row>
    <row r="1339" spans="1:54" customFormat="1" ht="40" customHeight="1">
      <c r="A1339" s="313">
        <v>1338</v>
      </c>
      <c r="B1339" s="136" t="s">
        <v>1</v>
      </c>
      <c r="C1339" s="136" t="s">
        <v>45</v>
      </c>
      <c r="D1339" s="31"/>
      <c r="E1339" s="137" t="s">
        <v>46</v>
      </c>
      <c r="F1339" s="31"/>
      <c r="G1339" s="137" t="s">
        <v>3780</v>
      </c>
      <c r="H1339" s="138">
        <v>628</v>
      </c>
      <c r="I1339" s="158"/>
      <c r="J1339" s="95"/>
      <c r="K1339" s="137">
        <v>0.44671666482751199</v>
      </c>
      <c r="L1339" s="137">
        <v>0.23868666593100499</v>
      </c>
      <c r="M1339" s="137">
        <v>0.1</v>
      </c>
      <c r="N1339" s="136" t="s">
        <v>3781</v>
      </c>
      <c r="O1339" s="32" t="s">
        <v>3782</v>
      </c>
      <c r="P1339" s="98">
        <f t="shared" si="89"/>
        <v>1</v>
      </c>
      <c r="Q1339">
        <v>0</v>
      </c>
      <c r="R1339">
        <v>6</v>
      </c>
      <c r="S1339">
        <v>0</v>
      </c>
      <c r="T1339" t="s">
        <v>73</v>
      </c>
      <c r="U1339" s="324" t="s">
        <v>5143</v>
      </c>
      <c r="V1339" t="s">
        <v>3783</v>
      </c>
      <c r="W1339" s="319">
        <v>233</v>
      </c>
      <c r="X1339" s="319">
        <v>15</v>
      </c>
      <c r="Y1339" s="319">
        <v>2</v>
      </c>
      <c r="Z1339" s="314"/>
      <c r="AA1339" s="319">
        <v>0.55000000000000004</v>
      </c>
      <c r="AB1339" s="315" t="s">
        <v>5165</v>
      </c>
      <c r="AC1339" s="319">
        <v>3</v>
      </c>
      <c r="AD1339" s="320">
        <v>2.3622047244094401E-2</v>
      </c>
      <c r="AE1339" s="319">
        <v>2</v>
      </c>
      <c r="AF1339" s="320">
        <v>1.5748031496062902E-2</v>
      </c>
      <c r="AG1339" s="319">
        <v>0</v>
      </c>
      <c r="AH1339" s="320">
        <v>0</v>
      </c>
      <c r="AI1339" s="319">
        <v>0</v>
      </c>
      <c r="AJ1339" s="320">
        <v>0</v>
      </c>
      <c r="AK1339" s="320">
        <v>0</v>
      </c>
      <c r="AL1339" s="319"/>
      <c r="AM1339" s="319"/>
      <c r="AN1339" s="319"/>
      <c r="AO1339" s="319"/>
      <c r="AP1339">
        <v>1</v>
      </c>
      <c r="AR1339" s="136"/>
      <c r="AS1339">
        <v>1</v>
      </c>
      <c r="AT1339" s="69">
        <v>2.3148</v>
      </c>
      <c r="AU1339" s="69">
        <v>5</v>
      </c>
      <c r="AV1339" s="69">
        <v>2.3148</v>
      </c>
      <c r="AW1339" s="69">
        <v>0.32100000000000001</v>
      </c>
      <c r="BB1339" s="69"/>
    </row>
    <row r="1340" spans="1:54" customFormat="1" ht="40" customHeight="1">
      <c r="A1340" s="313">
        <v>1339</v>
      </c>
      <c r="B1340" s="136" t="s">
        <v>3243</v>
      </c>
      <c r="C1340" s="136" t="s">
        <v>45</v>
      </c>
      <c r="D1340" s="31"/>
      <c r="E1340" s="137" t="s">
        <v>3414</v>
      </c>
      <c r="F1340" s="31"/>
      <c r="G1340" s="137" t="s">
        <v>3784</v>
      </c>
      <c r="H1340" s="138">
        <v>229</v>
      </c>
      <c r="I1340" s="158"/>
      <c r="J1340" s="95"/>
      <c r="K1340" s="137">
        <v>0.526196458520657</v>
      </c>
      <c r="L1340" s="137">
        <v>0.27047858340826297</v>
      </c>
      <c r="M1340" s="137">
        <v>0.1</v>
      </c>
      <c r="N1340" s="136" t="s">
        <v>3785</v>
      </c>
      <c r="O1340" s="32" t="s">
        <v>3786</v>
      </c>
      <c r="P1340" s="98">
        <f t="shared" si="89"/>
        <v>1</v>
      </c>
      <c r="Q1340">
        <v>0</v>
      </c>
      <c r="R1340">
        <v>6</v>
      </c>
      <c r="S1340">
        <v>0</v>
      </c>
      <c r="T1340" t="s">
        <v>73</v>
      </c>
      <c r="U1340" t="s">
        <v>3787</v>
      </c>
      <c r="V1340" t="s">
        <v>3788</v>
      </c>
      <c r="W1340" s="319">
        <v>28</v>
      </c>
      <c r="X1340" s="319">
        <v>11</v>
      </c>
      <c r="Y1340" s="319">
        <v>1</v>
      </c>
      <c r="Z1340" s="314"/>
      <c r="AA1340" s="319">
        <v>0.5</v>
      </c>
      <c r="AB1340" s="331" t="s">
        <v>5172</v>
      </c>
      <c r="AC1340" s="319">
        <v>0</v>
      </c>
      <c r="AD1340" s="320">
        <v>0</v>
      </c>
      <c r="AE1340" s="319">
        <v>0</v>
      </c>
      <c r="AF1340" s="320">
        <v>0</v>
      </c>
      <c r="AG1340" s="319">
        <v>0</v>
      </c>
      <c r="AH1340" s="320">
        <v>0</v>
      </c>
      <c r="AI1340" s="319">
        <v>0</v>
      </c>
      <c r="AJ1340" s="320">
        <v>0</v>
      </c>
      <c r="AK1340" s="320">
        <v>0</v>
      </c>
      <c r="AL1340" s="319"/>
      <c r="AM1340" s="319"/>
      <c r="AN1340" s="319"/>
      <c r="AO1340" s="319"/>
      <c r="AP1340">
        <v>4</v>
      </c>
      <c r="AR1340" s="136"/>
      <c r="AS1340">
        <v>4</v>
      </c>
      <c r="AT1340" s="69">
        <v>2.3148</v>
      </c>
      <c r="AU1340" s="69">
        <v>5</v>
      </c>
      <c r="AV1340" s="69">
        <v>2.3148</v>
      </c>
      <c r="AW1340" s="69">
        <v>0.32100000000000001</v>
      </c>
      <c r="BB1340" s="69"/>
    </row>
    <row r="1341" spans="1:54" customFormat="1" ht="40" customHeight="1">
      <c r="A1341" s="313">
        <v>1340</v>
      </c>
      <c r="B1341" s="136" t="s">
        <v>2355</v>
      </c>
      <c r="C1341" s="136" t="s">
        <v>45</v>
      </c>
      <c r="D1341" s="31"/>
      <c r="E1341" s="137" t="s">
        <v>46</v>
      </c>
      <c r="F1341" s="31"/>
      <c r="G1341" s="137" t="s">
        <v>3789</v>
      </c>
      <c r="H1341" s="138">
        <v>207</v>
      </c>
      <c r="I1341" s="158"/>
      <c r="J1341" s="95"/>
      <c r="K1341" s="137">
        <v>0.46547751617515098</v>
      </c>
      <c r="L1341" s="137">
        <v>0.24619100647006101</v>
      </c>
      <c r="M1341" s="137">
        <v>0.1</v>
      </c>
      <c r="N1341" s="136" t="s">
        <v>3337</v>
      </c>
      <c r="O1341" s="32" t="s">
        <v>3790</v>
      </c>
      <c r="P1341" s="98">
        <f t="shared" si="89"/>
        <v>1</v>
      </c>
      <c r="Q1341">
        <v>2</v>
      </c>
      <c r="R1341">
        <v>0</v>
      </c>
      <c r="S1341">
        <v>1</v>
      </c>
      <c r="T1341" t="s">
        <v>5088</v>
      </c>
      <c r="U1341" s="1" t="s">
        <v>3791</v>
      </c>
      <c r="V1341" t="s">
        <v>3792</v>
      </c>
      <c r="W1341" s="319">
        <v>521</v>
      </c>
      <c r="X1341" s="319">
        <v>14</v>
      </c>
      <c r="Y1341" s="319">
        <v>4</v>
      </c>
      <c r="Z1341" s="314"/>
      <c r="AA1341" s="319">
        <v>0.60499999999999998</v>
      </c>
      <c r="AB1341" s="315" t="s">
        <v>5165</v>
      </c>
      <c r="AC1341" s="319">
        <v>6</v>
      </c>
      <c r="AD1341" s="320">
        <v>1.98675496688741E-2</v>
      </c>
      <c r="AE1341" s="319">
        <v>5</v>
      </c>
      <c r="AF1341" s="320">
        <v>1.6556291390728398E-2</v>
      </c>
      <c r="AG1341" s="319">
        <v>3</v>
      </c>
      <c r="AH1341" s="320">
        <v>9.9337748344370796E-3</v>
      </c>
      <c r="AI1341" s="319">
        <v>2</v>
      </c>
      <c r="AJ1341" s="320">
        <v>6.6225165562913899E-3</v>
      </c>
      <c r="AK1341" s="320">
        <v>3.3112582781456949E-3</v>
      </c>
      <c r="AL1341" s="319"/>
      <c r="AM1341" s="319"/>
      <c r="AN1341" s="319"/>
      <c r="AO1341" s="319"/>
      <c r="AP1341">
        <v>1</v>
      </c>
      <c r="AR1341" s="136"/>
      <c r="AS1341">
        <v>1</v>
      </c>
      <c r="AT1341" s="69">
        <v>2.3148</v>
      </c>
      <c r="AU1341" s="69">
        <v>5</v>
      </c>
      <c r="AV1341" s="69">
        <v>8.1305999999999994</v>
      </c>
      <c r="AW1341" s="69">
        <v>0.51480000000000004</v>
      </c>
      <c r="BB1341" s="69"/>
    </row>
    <row r="1342" spans="1:54" customFormat="1" ht="40" customHeight="1">
      <c r="A1342" s="313">
        <v>1341</v>
      </c>
      <c r="B1342" s="136" t="s">
        <v>3243</v>
      </c>
      <c r="C1342" s="136" t="s">
        <v>45</v>
      </c>
      <c r="D1342" s="31"/>
      <c r="E1342" s="137" t="s">
        <v>46</v>
      </c>
      <c r="F1342" s="31"/>
      <c r="G1342" s="137" t="s">
        <v>3793</v>
      </c>
      <c r="H1342" s="138">
        <v>425</v>
      </c>
      <c r="I1342" s="158"/>
      <c r="J1342" s="95"/>
      <c r="K1342" s="137">
        <v>0.44671666482751199</v>
      </c>
      <c r="L1342" s="137">
        <v>0.17909094275095</v>
      </c>
      <c r="M1342" s="137">
        <v>6.7379469990854705E-4</v>
      </c>
      <c r="N1342" s="136" t="s">
        <v>3794</v>
      </c>
      <c r="O1342" s="32" t="s">
        <v>3795</v>
      </c>
      <c r="P1342" s="98">
        <f t="shared" si="89"/>
        <v>1</v>
      </c>
      <c r="Q1342">
        <v>0</v>
      </c>
      <c r="R1342">
        <v>6</v>
      </c>
      <c r="S1342">
        <v>0</v>
      </c>
      <c r="T1342" t="s">
        <v>73</v>
      </c>
      <c r="U1342" s="1" t="s">
        <v>3796</v>
      </c>
      <c r="V1342" t="s">
        <v>3797</v>
      </c>
      <c r="W1342" s="319">
        <v>581</v>
      </c>
      <c r="X1342" s="319">
        <v>15</v>
      </c>
      <c r="Y1342" s="319">
        <v>1</v>
      </c>
      <c r="Z1342" s="314"/>
      <c r="AA1342" s="319">
        <v>3.36897349954273E-3</v>
      </c>
      <c r="AB1342" s="315" t="s">
        <v>5168</v>
      </c>
      <c r="AC1342" s="319">
        <v>1</v>
      </c>
      <c r="AD1342" s="320">
        <v>3.1152647975077798E-3</v>
      </c>
      <c r="AE1342" s="319">
        <v>2</v>
      </c>
      <c r="AF1342" s="320">
        <v>6.2305295950155701E-3</v>
      </c>
      <c r="AG1342" s="319">
        <v>3</v>
      </c>
      <c r="AH1342" s="320">
        <v>9.3457943925233603E-3</v>
      </c>
      <c r="AI1342" s="319">
        <v>1</v>
      </c>
      <c r="AJ1342" s="320">
        <v>3.1152647975077798E-3</v>
      </c>
      <c r="AK1342" s="320">
        <v>0</v>
      </c>
      <c r="AL1342" s="319"/>
      <c r="AM1342" s="319"/>
      <c r="AN1342" s="319"/>
      <c r="AO1342" s="319"/>
      <c r="AP1342">
        <v>2</v>
      </c>
      <c r="AR1342" s="136">
        <v>2</v>
      </c>
      <c r="AT1342" s="69">
        <v>7.4837999999999996</v>
      </c>
      <c r="AU1342" s="69">
        <v>2.3148</v>
      </c>
      <c r="AV1342" s="69">
        <v>9.8416999999999994</v>
      </c>
      <c r="AW1342" s="69">
        <v>0.65469999999999995</v>
      </c>
      <c r="BB1342" s="69"/>
    </row>
    <row r="1343" spans="1:54" customFormat="1" ht="40" customHeight="1">
      <c r="A1343" s="313">
        <v>1342</v>
      </c>
      <c r="B1343" s="136" t="s">
        <v>3243</v>
      </c>
      <c r="C1343" s="136" t="s">
        <v>45</v>
      </c>
      <c r="D1343" s="31"/>
      <c r="E1343" s="137" t="s">
        <v>46</v>
      </c>
      <c r="F1343" s="31"/>
      <c r="G1343" s="137" t="s">
        <v>3798</v>
      </c>
      <c r="H1343" s="138">
        <v>70</v>
      </c>
      <c r="I1343" s="158"/>
      <c r="J1343" s="95"/>
      <c r="K1343" s="137">
        <v>0.119369428147289</v>
      </c>
      <c r="L1343" s="137">
        <v>0.10774777125891601</v>
      </c>
      <c r="M1343" s="137">
        <v>0.1</v>
      </c>
      <c r="N1343" s="136" t="s">
        <v>3799</v>
      </c>
      <c r="O1343" s="32" t="s">
        <v>3800</v>
      </c>
      <c r="P1343" s="98">
        <f t="shared" ref="P1343:P1406" si="90">IF(T1343="利己",0,IF(T1343="生态",2,IF(T1343="无",3,1)))</f>
        <v>1</v>
      </c>
      <c r="Q1343">
        <v>1</v>
      </c>
      <c r="R1343">
        <v>0</v>
      </c>
      <c r="S1343">
        <v>0</v>
      </c>
      <c r="T1343" t="s">
        <v>5088</v>
      </c>
      <c r="U1343" t="s">
        <v>3801</v>
      </c>
      <c r="V1343" t="s">
        <v>3802</v>
      </c>
      <c r="W1343" s="319">
        <v>390</v>
      </c>
      <c r="X1343" s="319">
        <v>38</v>
      </c>
      <c r="Y1343" s="319">
        <v>2</v>
      </c>
      <c r="Z1343" s="314"/>
      <c r="AA1343" s="319">
        <v>0.55000000000000004</v>
      </c>
      <c r="AB1343" s="315" t="s">
        <v>5176</v>
      </c>
      <c r="AC1343" s="319">
        <v>3</v>
      </c>
      <c r="AD1343" s="320">
        <v>1.33928571428571E-2</v>
      </c>
      <c r="AE1343" s="319">
        <v>4</v>
      </c>
      <c r="AF1343" s="320">
        <v>1.7857142857142801E-2</v>
      </c>
      <c r="AG1343" s="319">
        <v>0</v>
      </c>
      <c r="AH1343" s="320">
        <v>0</v>
      </c>
      <c r="AI1343" s="319">
        <v>0</v>
      </c>
      <c r="AJ1343" s="320">
        <v>0</v>
      </c>
      <c r="AK1343" s="320">
        <v>0</v>
      </c>
      <c r="AL1343" s="319"/>
      <c r="AM1343" s="319"/>
      <c r="AN1343" s="319"/>
      <c r="AO1343" s="319"/>
      <c r="AP1343">
        <v>1</v>
      </c>
      <c r="AQ1343">
        <v>1</v>
      </c>
      <c r="AR1343" s="136"/>
      <c r="AT1343" s="69">
        <v>2.3148</v>
      </c>
      <c r="AU1343" s="69">
        <v>7.6852</v>
      </c>
      <c r="AV1343" s="69">
        <v>8.1305999999999994</v>
      </c>
      <c r="AW1343" s="69">
        <v>0.60440000000000005</v>
      </c>
      <c r="BB1343" s="69"/>
    </row>
    <row r="1344" spans="1:54" customFormat="1" ht="40" customHeight="1">
      <c r="A1344" s="313">
        <v>1343</v>
      </c>
      <c r="B1344" s="136" t="s">
        <v>3243</v>
      </c>
      <c r="C1344" s="136" t="s">
        <v>59</v>
      </c>
      <c r="D1344" s="31"/>
      <c r="E1344" s="137" t="s">
        <v>46</v>
      </c>
      <c r="F1344" s="31"/>
      <c r="G1344" s="137" t="s">
        <v>3803</v>
      </c>
      <c r="H1344" s="138">
        <v>64</v>
      </c>
      <c r="I1344" s="158"/>
      <c r="J1344" s="95"/>
      <c r="K1344" s="137">
        <v>0.57142857142857095</v>
      </c>
      <c r="L1344" s="137">
        <v>0.23669154556562499</v>
      </c>
      <c r="M1344" s="137">
        <v>1.35335283236613E-2</v>
      </c>
      <c r="N1344" s="136" t="s">
        <v>3804</v>
      </c>
      <c r="O1344" s="32" t="s">
        <v>3805</v>
      </c>
      <c r="P1344" s="98">
        <f t="shared" si="90"/>
        <v>1</v>
      </c>
      <c r="Q1344">
        <v>0</v>
      </c>
      <c r="R1344">
        <v>3</v>
      </c>
      <c r="S1344">
        <v>0</v>
      </c>
      <c r="T1344" t="s">
        <v>5132</v>
      </c>
      <c r="U1344" t="s">
        <v>3806</v>
      </c>
      <c r="V1344" t="s">
        <v>3807</v>
      </c>
      <c r="W1344" s="319">
        <v>28</v>
      </c>
      <c r="X1344" s="319">
        <v>9</v>
      </c>
      <c r="Y1344" s="319">
        <v>1</v>
      </c>
      <c r="Z1344" s="314"/>
      <c r="AA1344" s="319">
        <v>0.5</v>
      </c>
      <c r="AB1344" s="315" t="s">
        <v>5165</v>
      </c>
      <c r="AC1344" s="319">
        <v>1</v>
      </c>
      <c r="AD1344" s="320">
        <v>7.69230769230769E-2</v>
      </c>
      <c r="AE1344" s="319">
        <v>0</v>
      </c>
      <c r="AF1344" s="320">
        <v>0</v>
      </c>
      <c r="AG1344" s="319">
        <v>0</v>
      </c>
      <c r="AH1344" s="320">
        <v>0</v>
      </c>
      <c r="AI1344" s="319">
        <v>0</v>
      </c>
      <c r="AJ1344" s="320">
        <v>0</v>
      </c>
      <c r="AK1344" s="320">
        <v>0</v>
      </c>
      <c r="AL1344" s="319"/>
      <c r="AM1344" s="319"/>
      <c r="AN1344" s="319"/>
      <c r="AO1344" s="319"/>
      <c r="AP1344">
        <v>1</v>
      </c>
      <c r="AR1344" s="136">
        <v>1</v>
      </c>
      <c r="AT1344" s="69">
        <v>2.3148</v>
      </c>
      <c r="AU1344" s="69">
        <v>2.3148</v>
      </c>
      <c r="AV1344" s="69">
        <v>5.7443999999999997</v>
      </c>
      <c r="AW1344" s="69">
        <v>0.3458</v>
      </c>
      <c r="BB1344" s="69"/>
    </row>
    <row r="1345" spans="1:54" customFormat="1" ht="40" customHeight="1">
      <c r="A1345" s="313">
        <v>1344</v>
      </c>
      <c r="B1345" s="136" t="s">
        <v>3243</v>
      </c>
      <c r="C1345" s="136" t="s">
        <v>45</v>
      </c>
      <c r="D1345" s="31"/>
      <c r="E1345" s="137" t="s">
        <v>46</v>
      </c>
      <c r="F1345" s="31"/>
      <c r="G1345" s="137" t="s">
        <v>3808</v>
      </c>
      <c r="H1345" s="138">
        <v>72</v>
      </c>
      <c r="I1345" s="158"/>
      <c r="J1345" s="95"/>
      <c r="K1345" s="137">
        <v>0.57142857142857095</v>
      </c>
      <c r="L1345" s="137">
        <v>0.23155865267350001</v>
      </c>
      <c r="M1345" s="137">
        <v>4.9787068367863896E-3</v>
      </c>
      <c r="N1345" s="136" t="s">
        <v>3809</v>
      </c>
      <c r="O1345" s="32" t="s">
        <v>3810</v>
      </c>
      <c r="P1345" s="98">
        <f t="shared" si="90"/>
        <v>1</v>
      </c>
      <c r="Q1345">
        <v>0</v>
      </c>
      <c r="R1345">
        <v>3</v>
      </c>
      <c r="S1345">
        <v>0</v>
      </c>
      <c r="T1345" t="s">
        <v>5132</v>
      </c>
      <c r="U1345" t="s">
        <v>3811</v>
      </c>
      <c r="V1345" t="s">
        <v>3812</v>
      </c>
      <c r="W1345" s="319">
        <v>124</v>
      </c>
      <c r="X1345" s="319">
        <v>9</v>
      </c>
      <c r="Y1345" s="319">
        <v>1</v>
      </c>
      <c r="Z1345" s="314"/>
      <c r="AA1345" s="319">
        <v>0.55000000000000004</v>
      </c>
      <c r="AB1345" s="315" t="s">
        <v>5165</v>
      </c>
      <c r="AC1345" s="319">
        <v>3</v>
      </c>
      <c r="AD1345" s="320">
        <v>4.1666666666666602E-2</v>
      </c>
      <c r="AE1345" s="319">
        <v>0</v>
      </c>
      <c r="AF1345" s="320">
        <v>0</v>
      </c>
      <c r="AG1345" s="319">
        <v>1</v>
      </c>
      <c r="AH1345" s="320">
        <v>1.38888888888888E-2</v>
      </c>
      <c r="AI1345" s="319">
        <v>0</v>
      </c>
      <c r="AJ1345" s="320">
        <v>0</v>
      </c>
      <c r="AK1345" s="320">
        <v>0</v>
      </c>
      <c r="AL1345" s="319"/>
      <c r="AM1345" s="319"/>
      <c r="AN1345" s="319"/>
      <c r="AO1345" s="319"/>
      <c r="AP1345">
        <v>1</v>
      </c>
      <c r="AR1345" s="136">
        <v>1</v>
      </c>
      <c r="AT1345" s="69">
        <v>2.3148</v>
      </c>
      <c r="AU1345" s="69">
        <v>5</v>
      </c>
      <c r="AV1345" s="69">
        <v>9.9641999999999999</v>
      </c>
      <c r="AW1345" s="69">
        <v>0.57599999999999996</v>
      </c>
      <c r="BB1345" s="69"/>
    </row>
    <row r="1346" spans="1:54" customFormat="1" ht="40" customHeight="1">
      <c r="A1346" s="313">
        <v>1345</v>
      </c>
      <c r="B1346" s="136" t="s">
        <v>3243</v>
      </c>
      <c r="C1346" s="136" t="s">
        <v>45</v>
      </c>
      <c r="D1346" s="31"/>
      <c r="E1346" s="137" t="s">
        <v>46</v>
      </c>
      <c r="F1346" s="31"/>
      <c r="G1346" s="137" t="s">
        <v>3813</v>
      </c>
      <c r="H1346" s="138">
        <v>155</v>
      </c>
      <c r="I1346" s="158"/>
      <c r="J1346" s="95"/>
      <c r="K1346" s="137">
        <v>0.79796949108955795</v>
      </c>
      <c r="L1346" s="137">
        <v>0.48228470614336599</v>
      </c>
      <c r="M1346" s="137">
        <v>0.27182818284590399</v>
      </c>
      <c r="N1346" s="136" t="s">
        <v>3814</v>
      </c>
      <c r="O1346" s="32" t="s">
        <v>3815</v>
      </c>
      <c r="P1346" s="98">
        <f t="shared" si="90"/>
        <v>1</v>
      </c>
      <c r="Q1346">
        <v>0</v>
      </c>
      <c r="R1346">
        <v>0</v>
      </c>
      <c r="S1346">
        <v>2</v>
      </c>
      <c r="T1346" t="s">
        <v>5133</v>
      </c>
      <c r="U1346" t="s">
        <v>3816</v>
      </c>
      <c r="V1346" t="s">
        <v>3817</v>
      </c>
      <c r="W1346" s="319">
        <v>157</v>
      </c>
      <c r="X1346" s="319">
        <v>2</v>
      </c>
      <c r="Y1346" s="319">
        <v>1</v>
      </c>
      <c r="Z1346" s="314"/>
      <c r="AA1346" s="319">
        <v>0.54</v>
      </c>
      <c r="AB1346" s="315" t="s">
        <v>5176</v>
      </c>
      <c r="AC1346" s="319">
        <v>1</v>
      </c>
      <c r="AD1346" s="320">
        <v>1.1764705882352899E-2</v>
      </c>
      <c r="AE1346" s="319">
        <v>3</v>
      </c>
      <c r="AF1346" s="320">
        <v>3.5294117647058802E-2</v>
      </c>
      <c r="AG1346" s="319">
        <v>1</v>
      </c>
      <c r="AH1346" s="320">
        <v>1.1764705882352899E-2</v>
      </c>
      <c r="AI1346" s="319">
        <v>0</v>
      </c>
      <c r="AJ1346" s="320">
        <v>0</v>
      </c>
      <c r="AK1346" s="320">
        <v>1.1764705882352939E-2</v>
      </c>
      <c r="AL1346" s="319"/>
      <c r="AM1346" s="319"/>
      <c r="AN1346" s="319"/>
      <c r="AO1346" s="319"/>
      <c r="AP1346">
        <v>1</v>
      </c>
      <c r="AR1346" s="136">
        <v>1</v>
      </c>
      <c r="AT1346" s="69">
        <v>2.3148</v>
      </c>
      <c r="AU1346" s="69">
        <v>2.3148</v>
      </c>
      <c r="AV1346" s="69">
        <v>9.5120000000000005</v>
      </c>
      <c r="AW1346" s="69">
        <v>0.47139999999999999</v>
      </c>
      <c r="BB1346" s="69"/>
    </row>
    <row r="1347" spans="1:54" customFormat="1" ht="40" customHeight="1">
      <c r="A1347" s="313">
        <v>1346</v>
      </c>
      <c r="B1347" s="136" t="s">
        <v>3243</v>
      </c>
      <c r="C1347" s="136" t="s">
        <v>45</v>
      </c>
      <c r="D1347" s="31"/>
      <c r="E1347" s="137" t="s">
        <v>80</v>
      </c>
      <c r="F1347" s="31"/>
      <c r="G1347" s="137" t="s">
        <v>3818</v>
      </c>
      <c r="H1347" s="138">
        <v>39</v>
      </c>
      <c r="I1347" s="158"/>
      <c r="J1347" s="95"/>
      <c r="K1347" s="137">
        <v>0.50512834069460699</v>
      </c>
      <c r="L1347" s="137">
        <v>0.22412410274812899</v>
      </c>
      <c r="M1347" s="137">
        <v>3.67879441171442E-2</v>
      </c>
      <c r="N1347" s="136" t="s">
        <v>3819</v>
      </c>
      <c r="O1347" s="32" t="s">
        <v>3820</v>
      </c>
      <c r="P1347" s="98">
        <f t="shared" si="90"/>
        <v>2</v>
      </c>
      <c r="Q1347">
        <v>0</v>
      </c>
      <c r="R1347">
        <v>0</v>
      </c>
      <c r="S1347">
        <v>0</v>
      </c>
      <c r="T1347" t="s">
        <v>64</v>
      </c>
      <c r="U1347" t="s">
        <v>3821</v>
      </c>
      <c r="V1347" t="s">
        <v>3817</v>
      </c>
      <c r="W1347" s="319">
        <v>157</v>
      </c>
      <c r="X1347" s="319">
        <v>12</v>
      </c>
      <c r="Y1347" s="319">
        <v>1</v>
      </c>
      <c r="Z1347" s="314"/>
      <c r="AA1347" s="319">
        <v>0.5</v>
      </c>
      <c r="AB1347" s="315" t="s">
        <v>5176</v>
      </c>
      <c r="AC1347" s="319">
        <v>1</v>
      </c>
      <c r="AD1347" s="320">
        <v>1.1764705882352899E-2</v>
      </c>
      <c r="AE1347" s="319">
        <v>3</v>
      </c>
      <c r="AF1347" s="320">
        <v>3.5294117647058802E-2</v>
      </c>
      <c r="AG1347" s="319">
        <v>1</v>
      </c>
      <c r="AH1347" s="320">
        <v>1.1764705882352899E-2</v>
      </c>
      <c r="AI1347" s="319">
        <v>0</v>
      </c>
      <c r="AJ1347" s="320">
        <v>0</v>
      </c>
      <c r="AK1347" s="320">
        <v>1.1764705882352939E-2</v>
      </c>
      <c r="AL1347" s="319"/>
      <c r="AM1347" s="319"/>
      <c r="AN1347" s="319"/>
      <c r="AO1347" s="319"/>
      <c r="AP1347">
        <v>1</v>
      </c>
      <c r="AR1347" s="136">
        <v>1</v>
      </c>
      <c r="AT1347" s="69">
        <v>2.3148</v>
      </c>
      <c r="AU1347" s="69">
        <v>2.3148</v>
      </c>
      <c r="AV1347" s="69">
        <v>8.1305999999999994</v>
      </c>
      <c r="AW1347" s="69">
        <v>0.42530000000000001</v>
      </c>
      <c r="BB1347" s="69"/>
    </row>
    <row r="1348" spans="1:54" customFormat="1" ht="40" customHeight="1">
      <c r="A1348" s="313">
        <v>1347</v>
      </c>
      <c r="B1348" s="136" t="s">
        <v>1871</v>
      </c>
      <c r="C1348" s="136" t="s">
        <v>119</v>
      </c>
      <c r="D1348" s="31"/>
      <c r="E1348" s="137" t="s">
        <v>46</v>
      </c>
      <c r="F1348" s="31"/>
      <c r="G1348" s="137" t="s">
        <v>3822</v>
      </c>
      <c r="H1348" s="138">
        <v>239</v>
      </c>
      <c r="I1348" s="158"/>
      <c r="J1348" s="95"/>
      <c r="K1348" s="137">
        <v>0.48492124636228701</v>
      </c>
      <c r="L1348" s="137">
        <v>0.202088615539112</v>
      </c>
      <c r="M1348" s="137">
        <v>1.35335283236613E-2</v>
      </c>
      <c r="N1348" s="136" t="s">
        <v>3823</v>
      </c>
      <c r="O1348" s="32" t="s">
        <v>3824</v>
      </c>
      <c r="P1348" s="98">
        <f t="shared" si="90"/>
        <v>1</v>
      </c>
      <c r="Q1348">
        <v>0</v>
      </c>
      <c r="R1348">
        <v>6</v>
      </c>
      <c r="S1348">
        <v>0</v>
      </c>
      <c r="T1348" t="s">
        <v>73</v>
      </c>
      <c r="U1348" t="s">
        <v>3825</v>
      </c>
      <c r="V1348" t="s">
        <v>3826</v>
      </c>
      <c r="W1348" s="319">
        <v>79</v>
      </c>
      <c r="X1348" s="319">
        <v>13</v>
      </c>
      <c r="Y1348" s="319">
        <v>1</v>
      </c>
      <c r="Z1348" s="314"/>
      <c r="AA1348" s="319">
        <v>2.4893534183932E-2</v>
      </c>
      <c r="AB1348" s="331" t="s">
        <v>5172</v>
      </c>
      <c r="AC1348" s="319">
        <v>0</v>
      </c>
      <c r="AD1348" s="320">
        <v>0</v>
      </c>
      <c r="AE1348" s="319">
        <v>0</v>
      </c>
      <c r="AF1348" s="320">
        <v>0</v>
      </c>
      <c r="AG1348" s="319">
        <v>0</v>
      </c>
      <c r="AH1348" s="320">
        <v>0</v>
      </c>
      <c r="AI1348" s="319">
        <v>0</v>
      </c>
      <c r="AJ1348" s="320">
        <v>0</v>
      </c>
      <c r="AK1348" s="320">
        <v>0</v>
      </c>
      <c r="AL1348" s="319"/>
      <c r="AM1348" s="319"/>
      <c r="AN1348" s="319"/>
      <c r="AO1348" s="319"/>
      <c r="AP1348">
        <v>3</v>
      </c>
      <c r="AR1348" s="136">
        <v>3</v>
      </c>
      <c r="AT1348" s="69">
        <v>2.3148</v>
      </c>
      <c r="AU1348" s="69">
        <v>2.3148</v>
      </c>
      <c r="AV1348" s="69">
        <v>2.3148</v>
      </c>
      <c r="AW1348" s="69">
        <v>0.23150000000000001</v>
      </c>
      <c r="BB1348" s="69"/>
    </row>
    <row r="1349" spans="1:54" customFormat="1" ht="40" customHeight="1">
      <c r="A1349" s="313">
        <v>1348</v>
      </c>
      <c r="B1349" s="136" t="s">
        <v>3243</v>
      </c>
      <c r="C1349" s="136" t="s">
        <v>45</v>
      </c>
      <c r="D1349" s="31"/>
      <c r="E1349" s="137" t="s">
        <v>46</v>
      </c>
      <c r="F1349" s="31"/>
      <c r="G1349" s="137" t="s">
        <v>3827</v>
      </c>
      <c r="H1349" s="138">
        <v>29</v>
      </c>
      <c r="I1349" s="158"/>
      <c r="J1349" s="95"/>
      <c r="K1349" s="137">
        <v>0.44671666482751199</v>
      </c>
      <c r="L1349" s="137">
        <v>0.23868666593100499</v>
      </c>
      <c r="M1349" s="137">
        <v>0.1</v>
      </c>
      <c r="N1349" s="136" t="s">
        <v>3828</v>
      </c>
      <c r="O1349" s="32" t="s">
        <v>3829</v>
      </c>
      <c r="P1349" s="98">
        <f t="shared" si="90"/>
        <v>0</v>
      </c>
      <c r="Q1349">
        <v>6</v>
      </c>
      <c r="R1349">
        <v>0</v>
      </c>
      <c r="S1349">
        <v>0</v>
      </c>
      <c r="T1349" t="s">
        <v>48</v>
      </c>
      <c r="U1349" t="s">
        <v>3830</v>
      </c>
      <c r="V1349" t="s">
        <v>3831</v>
      </c>
      <c r="W1349" s="319">
        <v>99</v>
      </c>
      <c r="X1349" s="319">
        <v>15</v>
      </c>
      <c r="Y1349" s="319">
        <v>3</v>
      </c>
      <c r="Z1349" s="314"/>
      <c r="AA1349" s="319">
        <v>0.5</v>
      </c>
      <c r="AB1349" s="315" t="s">
        <v>5177</v>
      </c>
      <c r="AC1349" s="319">
        <v>0</v>
      </c>
      <c r="AD1349" s="320">
        <v>0</v>
      </c>
      <c r="AE1349" s="319">
        <v>1</v>
      </c>
      <c r="AF1349" s="320">
        <v>1.8181818181818101E-2</v>
      </c>
      <c r="AG1349" s="319">
        <v>1</v>
      </c>
      <c r="AH1349" s="320">
        <v>1.8181818181818101E-2</v>
      </c>
      <c r="AI1349" s="319">
        <v>0</v>
      </c>
      <c r="AJ1349" s="320">
        <v>0</v>
      </c>
      <c r="AK1349" s="320">
        <v>0</v>
      </c>
      <c r="AL1349" s="319"/>
      <c r="AM1349" s="319"/>
      <c r="AN1349" s="319"/>
      <c r="AO1349" s="319"/>
      <c r="AP1349">
        <v>1</v>
      </c>
      <c r="AR1349" s="136">
        <v>1</v>
      </c>
      <c r="AT1349" s="69">
        <v>2.3148</v>
      </c>
      <c r="AU1349" s="69">
        <v>2.3148</v>
      </c>
      <c r="AV1349" s="69">
        <v>2.3148</v>
      </c>
      <c r="AW1349" s="69">
        <v>0.23150000000000001</v>
      </c>
      <c r="BB1349" s="69"/>
    </row>
    <row r="1350" spans="1:54" customFormat="1" ht="40" customHeight="1">
      <c r="A1350" s="313">
        <v>1349</v>
      </c>
      <c r="B1350" s="136" t="s">
        <v>3243</v>
      </c>
      <c r="C1350" s="136" t="s">
        <v>45</v>
      </c>
      <c r="D1350" s="31"/>
      <c r="E1350" s="137" t="s">
        <v>46</v>
      </c>
      <c r="F1350" s="31"/>
      <c r="G1350" s="137" t="s">
        <v>3832</v>
      </c>
      <c r="H1350" s="138">
        <v>129</v>
      </c>
      <c r="I1350" s="158"/>
      <c r="J1350" s="95"/>
      <c r="K1350" s="137">
        <v>0.71428571428571397</v>
      </c>
      <c r="L1350" s="137">
        <v>0.44881119542182901</v>
      </c>
      <c r="M1350" s="137">
        <v>0.27182818284590399</v>
      </c>
      <c r="N1350" s="136" t="s">
        <v>3833</v>
      </c>
      <c r="O1350" s="32" t="s">
        <v>3834</v>
      </c>
      <c r="P1350" s="98">
        <f t="shared" si="90"/>
        <v>1</v>
      </c>
      <c r="Q1350">
        <v>1</v>
      </c>
      <c r="R1350">
        <v>0</v>
      </c>
      <c r="S1350">
        <v>0</v>
      </c>
      <c r="T1350" t="s">
        <v>5088</v>
      </c>
      <c r="U1350" t="s">
        <v>3835</v>
      </c>
      <c r="V1350" t="s">
        <v>3836</v>
      </c>
      <c r="W1350" s="319">
        <v>71</v>
      </c>
      <c r="X1350" s="319">
        <v>4</v>
      </c>
      <c r="Y1350" s="319">
        <v>1</v>
      </c>
      <c r="Z1350" s="314"/>
      <c r="AA1350" s="319">
        <v>0.55000000000000004</v>
      </c>
      <c r="AB1350" s="315" t="s">
        <v>5165</v>
      </c>
      <c r="AC1350" s="319">
        <v>1</v>
      </c>
      <c r="AD1350" s="320">
        <v>2.5000000000000001E-2</v>
      </c>
      <c r="AE1350" s="319">
        <v>0</v>
      </c>
      <c r="AF1350" s="320">
        <v>0</v>
      </c>
      <c r="AG1350" s="319">
        <v>0</v>
      </c>
      <c r="AH1350" s="320">
        <v>0</v>
      </c>
      <c r="AI1350" s="319">
        <v>0</v>
      </c>
      <c r="AJ1350" s="320">
        <v>0</v>
      </c>
      <c r="AK1350" s="320">
        <v>0</v>
      </c>
      <c r="AL1350" s="319"/>
      <c r="AM1350" s="319"/>
      <c r="AN1350" s="319"/>
      <c r="AO1350" s="319"/>
      <c r="AP1350">
        <v>1</v>
      </c>
      <c r="AR1350" s="136">
        <v>1</v>
      </c>
      <c r="AT1350" s="69">
        <v>2.3148</v>
      </c>
      <c r="AU1350" s="69">
        <v>2.3148</v>
      </c>
      <c r="AV1350" s="69">
        <v>8.1305999999999994</v>
      </c>
      <c r="AW1350" s="69">
        <v>0.42530000000000001</v>
      </c>
      <c r="BB1350" s="69"/>
    </row>
    <row r="1351" spans="1:54" customFormat="1" ht="40" customHeight="1">
      <c r="A1351" s="313">
        <v>1350</v>
      </c>
      <c r="B1351" s="136" t="s">
        <v>3243</v>
      </c>
      <c r="C1351" s="136" t="s">
        <v>119</v>
      </c>
      <c r="D1351" s="31"/>
      <c r="E1351" s="137" t="s">
        <v>80</v>
      </c>
      <c r="F1351" s="31"/>
      <c r="G1351" s="137" t="s">
        <v>3837</v>
      </c>
      <c r="H1351" s="138">
        <v>56</v>
      </c>
      <c r="I1351" s="158"/>
      <c r="J1351" s="95"/>
      <c r="K1351" s="137">
        <v>0.54824604854737402</v>
      </c>
      <c r="L1351" s="137">
        <v>0.27929841941895001</v>
      </c>
      <c r="M1351" s="137">
        <v>0.1</v>
      </c>
      <c r="N1351" s="136" t="s">
        <v>3838</v>
      </c>
      <c r="O1351" s="32" t="s">
        <v>3839</v>
      </c>
      <c r="P1351" s="98">
        <f t="shared" si="90"/>
        <v>1</v>
      </c>
      <c r="Q1351">
        <v>3</v>
      </c>
      <c r="R1351">
        <v>0</v>
      </c>
      <c r="S1351">
        <v>0</v>
      </c>
      <c r="T1351" t="s">
        <v>5088</v>
      </c>
      <c r="U1351" t="s">
        <v>3840</v>
      </c>
      <c r="V1351" t="s">
        <v>3841</v>
      </c>
      <c r="W1351" s="319">
        <v>159</v>
      </c>
      <c r="X1351" s="319">
        <v>10</v>
      </c>
      <c r="Y1351" s="319">
        <v>1</v>
      </c>
      <c r="Z1351" s="314"/>
      <c r="AA1351" s="319">
        <v>0.66549999999999998</v>
      </c>
      <c r="AB1351" s="315" t="s">
        <v>5167</v>
      </c>
      <c r="AC1351" s="319">
        <v>0</v>
      </c>
      <c r="AD1351" s="320">
        <v>0</v>
      </c>
      <c r="AE1351" s="319">
        <v>1</v>
      </c>
      <c r="AF1351" s="320">
        <v>1.13636363636363E-2</v>
      </c>
      <c r="AG1351" s="319">
        <v>0</v>
      </c>
      <c r="AH1351" s="320">
        <v>0</v>
      </c>
      <c r="AI1351" s="319">
        <v>2</v>
      </c>
      <c r="AJ1351" s="320">
        <v>2.27272727272727E-2</v>
      </c>
      <c r="AK1351" s="320">
        <v>0</v>
      </c>
      <c r="AL1351" s="319"/>
      <c r="AM1351" s="319"/>
      <c r="AN1351" s="319"/>
      <c r="AO1351" s="319"/>
      <c r="AP1351">
        <v>1</v>
      </c>
      <c r="AR1351" s="136"/>
      <c r="AS1351">
        <v>1</v>
      </c>
      <c r="AT1351" s="69">
        <v>2.3148</v>
      </c>
      <c r="AU1351" s="69">
        <v>5</v>
      </c>
      <c r="AV1351" s="69">
        <v>8.1305999999999994</v>
      </c>
      <c r="AW1351" s="69">
        <v>0.51480000000000004</v>
      </c>
      <c r="BB1351" s="69"/>
    </row>
    <row r="1352" spans="1:54" customFormat="1" ht="40" customHeight="1">
      <c r="A1352" s="313">
        <v>1351</v>
      </c>
      <c r="B1352" s="136" t="s">
        <v>3243</v>
      </c>
      <c r="C1352" s="136" t="s">
        <v>45</v>
      </c>
      <c r="D1352" s="31"/>
      <c r="E1352" s="137" t="s">
        <v>46</v>
      </c>
      <c r="F1352" s="31"/>
      <c r="G1352" s="137" t="s">
        <v>3842</v>
      </c>
      <c r="H1352" s="138">
        <v>107</v>
      </c>
      <c r="I1352" s="158"/>
      <c r="J1352" s="95"/>
      <c r="K1352" s="137">
        <v>0.37730015092276098</v>
      </c>
      <c r="L1352" s="137">
        <v>0.31401697007664697</v>
      </c>
      <c r="M1352" s="137">
        <v>0.27182818284590399</v>
      </c>
      <c r="N1352" s="136" t="s">
        <v>3843</v>
      </c>
      <c r="O1352" s="32" t="s">
        <v>3844</v>
      </c>
      <c r="P1352" s="98">
        <f t="shared" si="90"/>
        <v>1</v>
      </c>
      <c r="Q1352">
        <v>4</v>
      </c>
      <c r="R1352">
        <v>0</v>
      </c>
      <c r="S1352">
        <v>0</v>
      </c>
      <c r="T1352" t="s">
        <v>5088</v>
      </c>
      <c r="U1352" t="s">
        <v>3845</v>
      </c>
      <c r="V1352" t="s">
        <v>3846</v>
      </c>
      <c r="W1352" s="319">
        <v>116</v>
      </c>
      <c r="X1352" s="319">
        <v>19</v>
      </c>
      <c r="Y1352" s="319">
        <v>1</v>
      </c>
      <c r="Z1352" s="314"/>
      <c r="AA1352" s="319">
        <v>0.54500000000000004</v>
      </c>
      <c r="AB1352" s="315" t="s">
        <v>5168</v>
      </c>
      <c r="AC1352" s="319">
        <v>1</v>
      </c>
      <c r="AD1352" s="320">
        <v>1.53846153846153E-2</v>
      </c>
      <c r="AE1352" s="319">
        <v>1</v>
      </c>
      <c r="AF1352" s="320">
        <v>1.53846153846153E-2</v>
      </c>
      <c r="AG1352" s="319">
        <v>2</v>
      </c>
      <c r="AH1352" s="320">
        <v>3.0769230769230702E-2</v>
      </c>
      <c r="AI1352" s="319">
        <v>0</v>
      </c>
      <c r="AJ1352" s="320">
        <v>0</v>
      </c>
      <c r="AK1352" s="320">
        <v>1.5384615384615391E-2</v>
      </c>
      <c r="AL1352" s="319"/>
      <c r="AM1352" s="319"/>
      <c r="AN1352" s="319"/>
      <c r="AO1352" s="319"/>
      <c r="AP1352">
        <v>1</v>
      </c>
      <c r="AR1352" s="136">
        <v>1</v>
      </c>
      <c r="AT1352" s="69">
        <v>2.3148</v>
      </c>
      <c r="AU1352" s="69">
        <v>2.3148</v>
      </c>
      <c r="AV1352" s="69">
        <v>5.7443999999999997</v>
      </c>
      <c r="AW1352" s="69">
        <v>0.3458</v>
      </c>
      <c r="BB1352" s="69"/>
    </row>
    <row r="1353" spans="1:54" customFormat="1" ht="40" customHeight="1">
      <c r="A1353" s="313">
        <v>1352</v>
      </c>
      <c r="B1353" s="136" t="s">
        <v>3847</v>
      </c>
      <c r="C1353" s="136" t="s">
        <v>45</v>
      </c>
      <c r="D1353" s="31"/>
      <c r="E1353" s="137" t="s">
        <v>46</v>
      </c>
      <c r="F1353" s="31"/>
      <c r="G1353" s="137" t="s">
        <v>3848</v>
      </c>
      <c r="H1353" s="138">
        <v>543</v>
      </c>
      <c r="I1353" s="158"/>
      <c r="J1353" s="95"/>
      <c r="K1353" s="137">
        <v>0.48492124636228701</v>
      </c>
      <c r="L1353" s="137">
        <v>0.19437277536486</v>
      </c>
      <c r="M1353" s="137">
        <v>6.7379469990854705E-4</v>
      </c>
      <c r="N1353" s="136" t="s">
        <v>3849</v>
      </c>
      <c r="O1353" s="32" t="s">
        <v>3850</v>
      </c>
      <c r="P1353" s="98">
        <f t="shared" si="90"/>
        <v>1</v>
      </c>
      <c r="Q1353">
        <v>0</v>
      </c>
      <c r="R1353">
        <v>6</v>
      </c>
      <c r="S1353">
        <v>0</v>
      </c>
      <c r="T1353" t="s">
        <v>73</v>
      </c>
      <c r="U1353" s="1" t="s">
        <v>3851</v>
      </c>
      <c r="V1353" t="s">
        <v>3852</v>
      </c>
      <c r="W1353" s="319">
        <v>359</v>
      </c>
      <c r="X1353" s="319">
        <v>13</v>
      </c>
      <c r="Y1353" s="319">
        <v>1</v>
      </c>
      <c r="Z1353" s="314"/>
      <c r="AA1353" s="319">
        <v>0.42190082644628102</v>
      </c>
      <c r="AB1353" s="315" t="s">
        <v>5168</v>
      </c>
      <c r="AC1353" s="319">
        <v>2</v>
      </c>
      <c r="AD1353" s="320">
        <v>9.9009900990098994E-3</v>
      </c>
      <c r="AE1353" s="319">
        <v>2</v>
      </c>
      <c r="AF1353" s="320">
        <v>9.9009900990098994E-3</v>
      </c>
      <c r="AG1353" s="319">
        <v>3</v>
      </c>
      <c r="AH1353" s="320">
        <v>1.48514851485148E-2</v>
      </c>
      <c r="AI1353" s="319">
        <v>0</v>
      </c>
      <c r="AJ1353" s="320">
        <v>0</v>
      </c>
      <c r="AK1353" s="320">
        <v>0</v>
      </c>
      <c r="AL1353" s="319"/>
      <c r="AM1353" s="319"/>
      <c r="AN1353" s="319"/>
      <c r="AO1353" s="319"/>
      <c r="AP1353">
        <v>1</v>
      </c>
      <c r="AR1353" s="136">
        <v>1</v>
      </c>
      <c r="AT1353" s="69">
        <v>6.3414000000000001</v>
      </c>
      <c r="AU1353" s="69">
        <v>2.3148</v>
      </c>
      <c r="AV1353" s="69">
        <v>2.3148</v>
      </c>
      <c r="AW1353" s="69">
        <v>0.36570000000000003</v>
      </c>
      <c r="BB1353" s="69"/>
    </row>
    <row r="1354" spans="1:54" customFormat="1" ht="40" customHeight="1">
      <c r="A1354" s="313">
        <v>1353</v>
      </c>
      <c r="B1354" s="136" t="s">
        <v>3243</v>
      </c>
      <c r="C1354" s="136" t="s">
        <v>45</v>
      </c>
      <c r="D1354" s="31"/>
      <c r="E1354" s="137" t="s">
        <v>80</v>
      </c>
      <c r="F1354" s="31"/>
      <c r="G1354" s="137" t="s">
        <v>3853</v>
      </c>
      <c r="H1354" s="138">
        <v>57</v>
      </c>
      <c r="I1354" s="158"/>
      <c r="J1354" s="95"/>
      <c r="K1354" s="137">
        <v>0.54824604854737402</v>
      </c>
      <c r="L1354" s="137">
        <v>0.27929841941895001</v>
      </c>
      <c r="M1354" s="137">
        <v>0.1</v>
      </c>
      <c r="N1354" s="136" t="s">
        <v>3854</v>
      </c>
      <c r="O1354" s="32" t="s">
        <v>3855</v>
      </c>
      <c r="P1354" s="98">
        <f t="shared" si="90"/>
        <v>1</v>
      </c>
      <c r="Q1354">
        <v>1</v>
      </c>
      <c r="R1354">
        <v>0</v>
      </c>
      <c r="S1354">
        <v>0</v>
      </c>
      <c r="T1354" t="s">
        <v>5088</v>
      </c>
      <c r="U1354" t="s">
        <v>3856</v>
      </c>
      <c r="V1354" t="s">
        <v>3857</v>
      </c>
      <c r="W1354" s="319">
        <v>108</v>
      </c>
      <c r="X1354" s="319">
        <v>10</v>
      </c>
      <c r="Y1354" s="319">
        <v>1</v>
      </c>
      <c r="Z1354" s="314"/>
      <c r="AA1354" s="319">
        <v>0.64895000000000003</v>
      </c>
      <c r="AB1354" s="315" t="s">
        <v>5165</v>
      </c>
      <c r="AC1354" s="319">
        <v>2</v>
      </c>
      <c r="AD1354" s="320">
        <v>3.38983050847457E-2</v>
      </c>
      <c r="AE1354" s="319">
        <v>0</v>
      </c>
      <c r="AF1354" s="320">
        <v>0</v>
      </c>
      <c r="AG1354" s="319">
        <v>0</v>
      </c>
      <c r="AH1354" s="320">
        <v>0</v>
      </c>
      <c r="AI1354" s="319">
        <v>0</v>
      </c>
      <c r="AJ1354" s="320">
        <v>0</v>
      </c>
      <c r="AK1354" s="320">
        <v>0</v>
      </c>
      <c r="AL1354" s="319"/>
      <c r="AM1354" s="319"/>
      <c r="AN1354" s="319"/>
      <c r="AO1354" s="319"/>
      <c r="AP1354">
        <v>3</v>
      </c>
      <c r="AR1354" s="136"/>
      <c r="AT1354" s="69">
        <v>2.3148</v>
      </c>
      <c r="AU1354" s="69">
        <v>5</v>
      </c>
      <c r="AV1354" s="69">
        <v>9.8416999999999994</v>
      </c>
      <c r="AW1354" s="69">
        <v>0.57189999999999996</v>
      </c>
      <c r="BB1354" s="69"/>
    </row>
    <row r="1355" spans="1:54" customFormat="1" ht="40" customHeight="1">
      <c r="A1355" s="313">
        <v>1354</v>
      </c>
      <c r="B1355" s="136" t="s">
        <v>3243</v>
      </c>
      <c r="C1355" s="136" t="s">
        <v>45</v>
      </c>
      <c r="D1355" s="31"/>
      <c r="E1355" s="137" t="s">
        <v>80</v>
      </c>
      <c r="F1355" s="31"/>
      <c r="G1355" s="137" t="s">
        <v>3858</v>
      </c>
      <c r="H1355" s="138">
        <v>103</v>
      </c>
      <c r="I1355" s="158"/>
      <c r="J1355" s="95"/>
      <c r="K1355" s="137">
        <v>0.32994060573951001</v>
      </c>
      <c r="L1355" s="137">
        <v>0.19197624229580401</v>
      </c>
      <c r="M1355" s="137">
        <v>0.1</v>
      </c>
      <c r="N1355" s="136" t="s">
        <v>3859</v>
      </c>
      <c r="O1355" s="32" t="s">
        <v>3860</v>
      </c>
      <c r="P1355" s="98">
        <f t="shared" si="90"/>
        <v>1</v>
      </c>
      <c r="Q1355">
        <v>2</v>
      </c>
      <c r="R1355">
        <v>0</v>
      </c>
      <c r="S1355">
        <v>0</v>
      </c>
      <c r="T1355" t="s">
        <v>5088</v>
      </c>
      <c r="U1355" t="s">
        <v>3861</v>
      </c>
      <c r="V1355" t="s">
        <v>3862</v>
      </c>
      <c r="W1355" s="319">
        <v>106</v>
      </c>
      <c r="X1355" s="319">
        <v>22</v>
      </c>
      <c r="Y1355" s="319">
        <v>3</v>
      </c>
      <c r="Z1355" s="314"/>
      <c r="AA1355" s="319">
        <v>0.45454545454545398</v>
      </c>
      <c r="AB1355" s="315" t="s">
        <v>5179</v>
      </c>
      <c r="AC1355" s="319">
        <v>1</v>
      </c>
      <c r="AD1355" s="320">
        <v>1.63934426229508E-2</v>
      </c>
      <c r="AE1355" s="319">
        <v>1</v>
      </c>
      <c r="AF1355" s="320">
        <v>1.63934426229508E-2</v>
      </c>
      <c r="AG1355" s="319">
        <v>1</v>
      </c>
      <c r="AH1355" s="320">
        <v>1.63934426229508E-2</v>
      </c>
      <c r="AI1355" s="319">
        <v>0</v>
      </c>
      <c r="AJ1355" s="320">
        <v>0</v>
      </c>
      <c r="AK1355" s="320">
        <v>0</v>
      </c>
      <c r="AL1355" s="319"/>
      <c r="AM1355" s="319"/>
      <c r="AN1355" s="319"/>
      <c r="AO1355" s="319"/>
      <c r="AP1355">
        <v>2</v>
      </c>
      <c r="AR1355" s="136">
        <v>2</v>
      </c>
      <c r="AT1355" s="69">
        <v>2.3148</v>
      </c>
      <c r="AU1355" s="69">
        <v>2.3148</v>
      </c>
      <c r="AV1355" s="69">
        <v>2.3148</v>
      </c>
      <c r="AW1355" s="69">
        <v>0.23150000000000001</v>
      </c>
      <c r="BB1355" s="69"/>
    </row>
    <row r="1356" spans="1:54" customFormat="1" ht="40" customHeight="1">
      <c r="A1356" s="313">
        <v>1355</v>
      </c>
      <c r="B1356" s="136" t="s">
        <v>3243</v>
      </c>
      <c r="C1356" s="136" t="s">
        <v>45</v>
      </c>
      <c r="D1356" s="31"/>
      <c r="E1356" s="137" t="s">
        <v>46</v>
      </c>
      <c r="F1356" s="31"/>
      <c r="G1356" s="137" t="s">
        <v>3863</v>
      </c>
      <c r="H1356" s="138">
        <v>164</v>
      </c>
      <c r="I1356" s="158"/>
      <c r="J1356" s="95"/>
      <c r="K1356" s="137">
        <v>0.526196458520657</v>
      </c>
      <c r="L1356" s="137">
        <v>0.213465807510335</v>
      </c>
      <c r="M1356" s="137">
        <v>4.9787068367863896E-3</v>
      </c>
      <c r="N1356" s="136" t="s">
        <v>3864</v>
      </c>
      <c r="O1356" s="32" t="s">
        <v>3865</v>
      </c>
      <c r="P1356" s="98">
        <f t="shared" si="90"/>
        <v>1</v>
      </c>
      <c r="Q1356">
        <v>1</v>
      </c>
      <c r="R1356">
        <v>3</v>
      </c>
      <c r="S1356">
        <v>0</v>
      </c>
      <c r="T1356" t="s">
        <v>5132</v>
      </c>
      <c r="U1356" t="s">
        <v>3866</v>
      </c>
      <c r="V1356" t="s">
        <v>3867</v>
      </c>
      <c r="W1356" s="319">
        <v>135</v>
      </c>
      <c r="X1356" s="319">
        <v>11</v>
      </c>
      <c r="Y1356" s="319">
        <v>2</v>
      </c>
      <c r="Z1356" s="314"/>
      <c r="AA1356" s="319">
        <v>0.54500000000000004</v>
      </c>
      <c r="AB1356" s="315" t="s">
        <v>5165</v>
      </c>
      <c r="AC1356" s="319">
        <v>2</v>
      </c>
      <c r="AD1356" s="320">
        <v>2.3809523809523801E-2</v>
      </c>
      <c r="AE1356" s="319">
        <v>0</v>
      </c>
      <c r="AF1356" s="320">
        <v>0</v>
      </c>
      <c r="AG1356" s="319">
        <v>0</v>
      </c>
      <c r="AH1356" s="320">
        <v>0</v>
      </c>
      <c r="AI1356" s="319">
        <v>0</v>
      </c>
      <c r="AJ1356" s="320">
        <v>0</v>
      </c>
      <c r="AK1356" s="320">
        <v>0</v>
      </c>
      <c r="AL1356" s="319"/>
      <c r="AM1356" s="319"/>
      <c r="AN1356" s="319"/>
      <c r="AO1356" s="319"/>
      <c r="AP1356">
        <v>1</v>
      </c>
      <c r="AR1356" s="136">
        <v>1</v>
      </c>
      <c r="AT1356" s="69">
        <v>2.3148</v>
      </c>
      <c r="AU1356" s="69">
        <v>8.9379000000000008</v>
      </c>
      <c r="AV1356" s="69">
        <v>5.7443999999999997</v>
      </c>
      <c r="AW1356" s="69">
        <v>0.56659999999999999</v>
      </c>
      <c r="BB1356" s="69"/>
    </row>
    <row r="1357" spans="1:54" customFormat="1" ht="40" customHeight="1">
      <c r="A1357" s="313">
        <v>1356</v>
      </c>
      <c r="B1357" s="136" t="s">
        <v>2752</v>
      </c>
      <c r="C1357" s="136" t="s">
        <v>45</v>
      </c>
      <c r="D1357" s="31"/>
      <c r="E1357" s="137" t="s">
        <v>46</v>
      </c>
      <c r="F1357" s="31"/>
      <c r="G1357" s="137" t="s">
        <v>3868</v>
      </c>
      <c r="H1357" s="138">
        <v>104</v>
      </c>
      <c r="I1357" s="158"/>
      <c r="J1357" s="95"/>
      <c r="K1357" s="137">
        <v>0.39390847326867401</v>
      </c>
      <c r="L1357" s="137">
        <v>0.17963615577775599</v>
      </c>
      <c r="M1357" s="137">
        <v>3.67879441171442E-2</v>
      </c>
      <c r="N1357" s="136" t="s">
        <v>3869</v>
      </c>
      <c r="O1357" s="32" t="s">
        <v>3865</v>
      </c>
      <c r="P1357" s="98">
        <f t="shared" si="90"/>
        <v>1</v>
      </c>
      <c r="Q1357">
        <v>0</v>
      </c>
      <c r="R1357">
        <v>3</v>
      </c>
      <c r="S1357">
        <v>0</v>
      </c>
      <c r="T1357" t="s">
        <v>5132</v>
      </c>
      <c r="U1357" s="1" t="s">
        <v>3870</v>
      </c>
      <c r="V1357" t="s">
        <v>3871</v>
      </c>
      <c r="W1357" s="319">
        <v>92</v>
      </c>
      <c r="X1357" s="319">
        <v>18</v>
      </c>
      <c r="Y1357" s="319">
        <v>1</v>
      </c>
      <c r="Z1357" s="314"/>
      <c r="AA1357" s="319">
        <v>0.54500000000000004</v>
      </c>
      <c r="AB1357" s="315" t="s">
        <v>5165</v>
      </c>
      <c r="AC1357" s="319">
        <v>2</v>
      </c>
      <c r="AD1357" s="320">
        <v>3.7735849056603703E-2</v>
      </c>
      <c r="AE1357" s="319">
        <v>0</v>
      </c>
      <c r="AF1357" s="320">
        <v>0</v>
      </c>
      <c r="AG1357" s="319">
        <v>1</v>
      </c>
      <c r="AH1357" s="320">
        <v>1.8867924528301799E-2</v>
      </c>
      <c r="AI1357" s="319">
        <v>0</v>
      </c>
      <c r="AJ1357" s="320">
        <v>0</v>
      </c>
      <c r="AK1357" s="320">
        <v>0</v>
      </c>
      <c r="AL1357" s="319"/>
      <c r="AM1357" s="319"/>
      <c r="AN1357" s="319"/>
      <c r="AO1357" s="319"/>
      <c r="AP1357">
        <v>7</v>
      </c>
      <c r="AR1357" s="136">
        <v>7</v>
      </c>
      <c r="AT1357" s="69">
        <v>2.3148</v>
      </c>
      <c r="AU1357" s="69">
        <v>2.3148</v>
      </c>
      <c r="AV1357" s="69">
        <v>8.5815000000000001</v>
      </c>
      <c r="AW1357" s="69">
        <v>0.44040000000000001</v>
      </c>
      <c r="BB1357" s="69"/>
    </row>
    <row r="1358" spans="1:54" customFormat="1" ht="40" customHeight="1">
      <c r="A1358" s="313">
        <v>1357</v>
      </c>
      <c r="B1358" s="136" t="s">
        <v>3243</v>
      </c>
      <c r="C1358" s="136" t="s">
        <v>45</v>
      </c>
      <c r="D1358" s="31"/>
      <c r="E1358" s="137" t="s">
        <v>46</v>
      </c>
      <c r="F1358" s="31"/>
      <c r="G1358" s="137" t="s">
        <v>3872</v>
      </c>
      <c r="H1358" s="138">
        <v>122</v>
      </c>
      <c r="I1358" s="158"/>
      <c r="J1358" s="95"/>
      <c r="K1358" s="137">
        <v>0.42857142857142899</v>
      </c>
      <c r="L1358" s="137">
        <v>0.23142857142857201</v>
      </c>
      <c r="M1358" s="137">
        <v>0.1</v>
      </c>
      <c r="N1358" s="136" t="s">
        <v>3873</v>
      </c>
      <c r="O1358" s="32" t="s">
        <v>3874</v>
      </c>
      <c r="P1358" s="98">
        <f t="shared" si="90"/>
        <v>1</v>
      </c>
      <c r="Q1358">
        <v>4</v>
      </c>
      <c r="R1358">
        <v>2</v>
      </c>
      <c r="S1358">
        <v>0</v>
      </c>
      <c r="T1358" t="s">
        <v>5088</v>
      </c>
      <c r="U1358" t="s">
        <v>3875</v>
      </c>
      <c r="V1358" t="s">
        <v>3876</v>
      </c>
      <c r="W1358" s="319">
        <v>579</v>
      </c>
      <c r="X1358" s="319">
        <v>16</v>
      </c>
      <c r="Y1358" s="319">
        <v>7</v>
      </c>
      <c r="Z1358" s="314"/>
      <c r="AA1358" s="319">
        <v>0.54500000000000004</v>
      </c>
      <c r="AB1358" s="315" t="s">
        <v>5176</v>
      </c>
      <c r="AC1358" s="319">
        <v>0</v>
      </c>
      <c r="AD1358" s="320">
        <v>0</v>
      </c>
      <c r="AE1358" s="319">
        <v>2</v>
      </c>
      <c r="AF1358" s="320">
        <v>6.0790273556231003E-3</v>
      </c>
      <c r="AG1358" s="319">
        <v>0</v>
      </c>
      <c r="AH1358" s="320">
        <v>0</v>
      </c>
      <c r="AI1358" s="319">
        <v>1</v>
      </c>
      <c r="AJ1358" s="320">
        <v>3.0395136778115501E-3</v>
      </c>
      <c r="AK1358" s="320">
        <v>0</v>
      </c>
      <c r="AL1358" s="319"/>
      <c r="AM1358" s="319"/>
      <c r="AN1358" s="319"/>
      <c r="AO1358" s="319"/>
      <c r="AP1358">
        <v>1</v>
      </c>
      <c r="AR1358" s="136">
        <v>1</v>
      </c>
      <c r="AT1358" s="69">
        <v>2.3148</v>
      </c>
      <c r="AU1358" s="69">
        <v>2.3148</v>
      </c>
      <c r="AV1358" s="69">
        <v>9.8416999999999994</v>
      </c>
      <c r="AW1358" s="69">
        <v>0.4824</v>
      </c>
      <c r="BB1358" s="69"/>
    </row>
    <row r="1359" spans="1:54" customFormat="1" ht="40" customHeight="1">
      <c r="A1359" s="313">
        <v>1358</v>
      </c>
      <c r="B1359" s="136" t="s">
        <v>3243</v>
      </c>
      <c r="C1359" s="136" t="s">
        <v>45</v>
      </c>
      <c r="D1359" s="31"/>
      <c r="E1359" s="137" t="s">
        <v>80</v>
      </c>
      <c r="F1359" s="31"/>
      <c r="G1359" s="137" t="s">
        <v>3858</v>
      </c>
      <c r="H1359" s="138">
        <v>53</v>
      </c>
      <c r="I1359" s="158"/>
      <c r="J1359" s="95"/>
      <c r="K1359" s="137">
        <v>0.32994060573951001</v>
      </c>
      <c r="L1359" s="137">
        <v>0.29507315200334699</v>
      </c>
      <c r="M1359" s="137">
        <v>0.27182818284590399</v>
      </c>
      <c r="N1359" s="136" t="s">
        <v>3859</v>
      </c>
      <c r="O1359" s="32" t="s">
        <v>3877</v>
      </c>
      <c r="P1359" s="98">
        <f t="shared" si="90"/>
        <v>1</v>
      </c>
      <c r="Q1359">
        <v>1</v>
      </c>
      <c r="R1359">
        <v>0</v>
      </c>
      <c r="S1359">
        <v>0</v>
      </c>
      <c r="T1359" t="s">
        <v>5088</v>
      </c>
      <c r="U1359" t="s">
        <v>3878</v>
      </c>
      <c r="V1359" t="s">
        <v>3879</v>
      </c>
      <c r="W1359" s="319">
        <v>122</v>
      </c>
      <c r="X1359" s="319">
        <v>22</v>
      </c>
      <c r="Y1359" s="319">
        <v>1</v>
      </c>
      <c r="Z1359" s="314"/>
      <c r="AA1359" s="319">
        <v>0.55000000000000004</v>
      </c>
      <c r="AB1359" s="315" t="s">
        <v>5168</v>
      </c>
      <c r="AC1359" s="319">
        <v>0</v>
      </c>
      <c r="AD1359" s="320">
        <v>0</v>
      </c>
      <c r="AE1359" s="319">
        <v>0</v>
      </c>
      <c r="AF1359" s="320">
        <v>0</v>
      </c>
      <c r="AG1359" s="319">
        <v>1</v>
      </c>
      <c r="AH1359" s="320">
        <v>1.4084507042253501E-2</v>
      </c>
      <c r="AI1359" s="319">
        <v>0</v>
      </c>
      <c r="AJ1359" s="320">
        <v>0</v>
      </c>
      <c r="AK1359" s="320">
        <v>0</v>
      </c>
      <c r="AL1359" s="319"/>
      <c r="AM1359" s="319"/>
      <c r="AN1359" s="319"/>
      <c r="AO1359" s="319"/>
      <c r="AP1359">
        <v>1</v>
      </c>
      <c r="AR1359" s="136">
        <v>1</v>
      </c>
      <c r="AT1359" s="69">
        <v>2.3148</v>
      </c>
      <c r="AU1359" s="69">
        <v>2.3148</v>
      </c>
      <c r="AV1359" s="69">
        <v>2.3148</v>
      </c>
      <c r="AW1359" s="69">
        <v>0.23150000000000001</v>
      </c>
      <c r="BB1359" s="69"/>
    </row>
    <row r="1360" spans="1:54" customFormat="1" ht="40" customHeight="1">
      <c r="A1360" s="313">
        <v>1359</v>
      </c>
      <c r="B1360" s="136" t="s">
        <v>3243</v>
      </c>
      <c r="C1360" s="136" t="s">
        <v>59</v>
      </c>
      <c r="D1360" s="31"/>
      <c r="E1360" s="137" t="s">
        <v>46</v>
      </c>
      <c r="F1360" s="31"/>
      <c r="G1360" s="137" t="s">
        <v>3880</v>
      </c>
      <c r="H1360" s="138">
        <v>205</v>
      </c>
      <c r="I1360" s="158"/>
      <c r="J1360" s="95"/>
      <c r="K1360" s="137">
        <v>0.75256417034730305</v>
      </c>
      <c r="L1360" s="137">
        <v>0.30401289224099298</v>
      </c>
      <c r="M1360" s="137">
        <v>4.9787068367863896E-3</v>
      </c>
      <c r="N1360" s="136" t="s">
        <v>3564</v>
      </c>
      <c r="O1360" s="32" t="s">
        <v>3881</v>
      </c>
      <c r="P1360" s="98">
        <f t="shared" si="90"/>
        <v>1</v>
      </c>
      <c r="Q1360">
        <v>0</v>
      </c>
      <c r="R1360">
        <v>6</v>
      </c>
      <c r="S1360">
        <v>0</v>
      </c>
      <c r="T1360" t="s">
        <v>73</v>
      </c>
      <c r="U1360" t="s">
        <v>3882</v>
      </c>
      <c r="V1360" t="s">
        <v>3883</v>
      </c>
      <c r="W1360" s="319">
        <v>93</v>
      </c>
      <c r="X1360" s="319">
        <v>3</v>
      </c>
      <c r="Y1360" s="319">
        <v>1</v>
      </c>
      <c r="Z1360" s="314"/>
      <c r="AA1360" s="319">
        <v>0.54500000000000004</v>
      </c>
      <c r="AB1360" s="315" t="s">
        <v>5165</v>
      </c>
      <c r="AC1360" s="319">
        <v>2</v>
      </c>
      <c r="AD1360" s="320">
        <v>3.8461538461538401E-2</v>
      </c>
      <c r="AE1360" s="319">
        <v>0</v>
      </c>
      <c r="AF1360" s="320">
        <v>0</v>
      </c>
      <c r="AG1360" s="319">
        <v>0</v>
      </c>
      <c r="AH1360" s="320">
        <v>0</v>
      </c>
      <c r="AI1360" s="319">
        <v>0</v>
      </c>
      <c r="AJ1360" s="320">
        <v>0</v>
      </c>
      <c r="AK1360" s="320">
        <v>0</v>
      </c>
      <c r="AL1360" s="319"/>
      <c r="AM1360" s="319"/>
      <c r="AN1360" s="319"/>
      <c r="AO1360" s="319"/>
      <c r="AP1360">
        <v>4</v>
      </c>
      <c r="AR1360" s="136"/>
      <c r="AT1360" s="69">
        <v>2.3148</v>
      </c>
      <c r="AU1360" s="69">
        <v>2.3148</v>
      </c>
      <c r="AV1360" s="69">
        <v>8.1305999999999994</v>
      </c>
      <c r="AW1360" s="69">
        <v>0.42530000000000001</v>
      </c>
      <c r="BB1360" s="69"/>
    </row>
    <row r="1361" spans="1:54" customFormat="1" ht="40" customHeight="1">
      <c r="A1361" s="313">
        <v>1360</v>
      </c>
      <c r="B1361" s="136" t="s">
        <v>3243</v>
      </c>
      <c r="C1361" s="136" t="s">
        <v>59</v>
      </c>
      <c r="D1361" s="31"/>
      <c r="E1361" s="137" t="s">
        <v>46</v>
      </c>
      <c r="F1361" s="31"/>
      <c r="G1361" s="137" t="s">
        <v>3884</v>
      </c>
      <c r="H1361" s="138">
        <v>84</v>
      </c>
      <c r="I1361" s="158"/>
      <c r="J1361" s="95"/>
      <c r="K1361" s="137">
        <v>0.68056171750003003</v>
      </c>
      <c r="L1361" s="137">
        <v>0.29429745347029901</v>
      </c>
      <c r="M1361" s="137">
        <v>3.67879441171442E-2</v>
      </c>
      <c r="N1361" s="136" t="s">
        <v>3885</v>
      </c>
      <c r="O1361" s="32" t="s">
        <v>3886</v>
      </c>
      <c r="P1361" s="98">
        <f t="shared" si="90"/>
        <v>0</v>
      </c>
      <c r="Q1361">
        <v>0</v>
      </c>
      <c r="R1361">
        <v>0</v>
      </c>
      <c r="S1361">
        <v>0</v>
      </c>
      <c r="T1361" t="s">
        <v>48</v>
      </c>
      <c r="U1361" t="s">
        <v>3887</v>
      </c>
      <c r="V1361" t="s">
        <v>3888</v>
      </c>
      <c r="W1361" s="319">
        <v>144</v>
      </c>
      <c r="X1361" s="319">
        <v>5</v>
      </c>
      <c r="Y1361" s="319">
        <v>4</v>
      </c>
      <c r="Z1361" s="314"/>
      <c r="AA1361" s="319">
        <v>0.45454545454545398</v>
      </c>
      <c r="AB1361" s="315" t="s">
        <v>5168</v>
      </c>
      <c r="AC1361" s="319">
        <v>0</v>
      </c>
      <c r="AD1361" s="320">
        <v>0</v>
      </c>
      <c r="AE1361" s="319">
        <v>1</v>
      </c>
      <c r="AF1361" s="320">
        <v>1.3333333333333299E-2</v>
      </c>
      <c r="AG1361" s="319">
        <v>2</v>
      </c>
      <c r="AH1361" s="320">
        <v>2.6666666666666599E-2</v>
      </c>
      <c r="AI1361" s="319">
        <v>0</v>
      </c>
      <c r="AJ1361" s="320">
        <v>0</v>
      </c>
      <c r="AK1361" s="320">
        <v>0</v>
      </c>
      <c r="AL1361" s="319"/>
      <c r="AM1361" s="319"/>
      <c r="AN1361" s="319"/>
      <c r="AO1361" s="319"/>
      <c r="AP1361">
        <v>1</v>
      </c>
      <c r="AR1361" s="136">
        <v>1</v>
      </c>
      <c r="AT1361" s="69">
        <v>2.3148</v>
      </c>
      <c r="AU1361" s="69">
        <v>2.3148</v>
      </c>
      <c r="AV1361" s="69">
        <v>8.1305999999999994</v>
      </c>
      <c r="AW1361" s="69">
        <v>0.42530000000000001</v>
      </c>
      <c r="BB1361" s="69"/>
    </row>
    <row r="1362" spans="1:54" customFormat="1" ht="40" customHeight="1">
      <c r="A1362" s="313">
        <v>1361</v>
      </c>
      <c r="B1362" s="136" t="s">
        <v>3243</v>
      </c>
      <c r="C1362" s="136" t="s">
        <v>45</v>
      </c>
      <c r="D1362" s="31"/>
      <c r="E1362" s="137" t="s">
        <v>46</v>
      </c>
      <c r="F1362" s="31"/>
      <c r="G1362" s="137" t="s">
        <v>3889</v>
      </c>
      <c r="H1362" s="138">
        <v>78</v>
      </c>
      <c r="I1362" s="158"/>
      <c r="J1362" s="95"/>
      <c r="K1362" s="137">
        <v>0.44671666482751199</v>
      </c>
      <c r="L1362" s="137">
        <v>0.20075943240129099</v>
      </c>
      <c r="M1362" s="137">
        <v>3.67879441171442E-2</v>
      </c>
      <c r="N1362" s="136" t="s">
        <v>3890</v>
      </c>
      <c r="O1362" s="32" t="s">
        <v>3891</v>
      </c>
      <c r="P1362" s="98">
        <f t="shared" si="90"/>
        <v>1</v>
      </c>
      <c r="Q1362">
        <v>0</v>
      </c>
      <c r="R1362">
        <v>0</v>
      </c>
      <c r="S1362">
        <v>4</v>
      </c>
      <c r="T1362" t="s">
        <v>5133</v>
      </c>
      <c r="U1362" t="s">
        <v>3892</v>
      </c>
      <c r="V1362" t="s">
        <v>3893</v>
      </c>
      <c r="W1362" s="319">
        <v>282</v>
      </c>
      <c r="X1362" s="319">
        <v>15</v>
      </c>
      <c r="Y1362" s="319">
        <v>1</v>
      </c>
      <c r="Z1362" s="314"/>
      <c r="AA1362" s="319">
        <v>0.5</v>
      </c>
      <c r="AB1362" s="315" t="s">
        <v>5165</v>
      </c>
      <c r="AC1362" s="319">
        <v>2</v>
      </c>
      <c r="AD1362" s="320">
        <v>1.23456790123456E-2</v>
      </c>
      <c r="AE1362" s="319">
        <v>1</v>
      </c>
      <c r="AF1362" s="320">
        <v>6.1728395061728296E-3</v>
      </c>
      <c r="AG1362" s="319">
        <v>0</v>
      </c>
      <c r="AH1362" s="320">
        <v>0</v>
      </c>
      <c r="AI1362" s="319">
        <v>0</v>
      </c>
      <c r="AJ1362" s="320">
        <v>0</v>
      </c>
      <c r="AK1362" s="320">
        <v>0</v>
      </c>
      <c r="AL1362" s="319"/>
      <c r="AM1362" s="319"/>
      <c r="AN1362" s="319"/>
      <c r="AO1362" s="319"/>
      <c r="AP1362">
        <v>6</v>
      </c>
      <c r="AR1362" s="136">
        <v>6</v>
      </c>
      <c r="AT1362" s="69">
        <v>2.3148</v>
      </c>
      <c r="AU1362" s="69">
        <v>2.3148</v>
      </c>
      <c r="AV1362" s="69">
        <v>2.3148</v>
      </c>
      <c r="AW1362" s="69">
        <v>0.23150000000000001</v>
      </c>
      <c r="BB1362" s="69"/>
    </row>
    <row r="1363" spans="1:54" customFormat="1" ht="40" customHeight="1">
      <c r="A1363" s="313">
        <v>1362</v>
      </c>
      <c r="B1363" s="136" t="s">
        <v>3243</v>
      </c>
      <c r="C1363" s="136" t="s">
        <v>59</v>
      </c>
      <c r="D1363" s="31"/>
      <c r="E1363" s="137" t="s">
        <v>46</v>
      </c>
      <c r="F1363" s="31"/>
      <c r="G1363" s="137" t="s">
        <v>3894</v>
      </c>
      <c r="H1363" s="138">
        <v>84</v>
      </c>
      <c r="I1363" s="158"/>
      <c r="J1363" s="95"/>
      <c r="K1363" s="137">
        <v>0.62203552699077302</v>
      </c>
      <c r="L1363" s="137">
        <v>0.270886977266596</v>
      </c>
      <c r="M1363" s="137">
        <v>3.67879441171442E-2</v>
      </c>
      <c r="N1363" s="136" t="s">
        <v>3895</v>
      </c>
      <c r="O1363" s="32" t="s">
        <v>3896</v>
      </c>
      <c r="P1363" s="98">
        <f t="shared" si="90"/>
        <v>1</v>
      </c>
      <c r="Q1363">
        <v>2</v>
      </c>
      <c r="R1363">
        <v>0</v>
      </c>
      <c r="S1363">
        <v>0</v>
      </c>
      <c r="T1363" t="s">
        <v>5088</v>
      </c>
      <c r="U1363" t="s">
        <v>3897</v>
      </c>
      <c r="V1363" t="s">
        <v>3898</v>
      </c>
      <c r="W1363" s="319">
        <v>283</v>
      </c>
      <c r="X1363" s="319">
        <v>7</v>
      </c>
      <c r="Y1363" s="319">
        <v>6</v>
      </c>
      <c r="Z1363" s="314"/>
      <c r="AA1363" s="319">
        <v>0.45454545454545398</v>
      </c>
      <c r="AB1363" s="315" t="s">
        <v>5176</v>
      </c>
      <c r="AC1363" s="319">
        <v>0</v>
      </c>
      <c r="AD1363" s="320">
        <v>0</v>
      </c>
      <c r="AE1363" s="319">
        <v>3</v>
      </c>
      <c r="AF1363" s="320">
        <v>1.8987341772151799E-2</v>
      </c>
      <c r="AG1363" s="319">
        <v>0</v>
      </c>
      <c r="AH1363" s="320">
        <v>0</v>
      </c>
      <c r="AI1363" s="319">
        <v>0</v>
      </c>
      <c r="AJ1363" s="320">
        <v>0</v>
      </c>
      <c r="AK1363" s="320">
        <v>1.2658227848101271E-2</v>
      </c>
      <c r="AL1363" s="319"/>
      <c r="AM1363" s="319"/>
      <c r="AN1363" s="319"/>
      <c r="AO1363" s="319"/>
      <c r="AP1363">
        <v>1</v>
      </c>
      <c r="AR1363" s="136">
        <v>1</v>
      </c>
      <c r="AT1363" s="69">
        <v>2.3148</v>
      </c>
      <c r="AU1363" s="69">
        <v>2.3148</v>
      </c>
      <c r="AV1363" s="69">
        <v>2.3148</v>
      </c>
      <c r="AW1363" s="69">
        <v>0.23150000000000001</v>
      </c>
      <c r="BB1363" s="69"/>
    </row>
    <row r="1364" spans="1:54" customFormat="1" ht="40" customHeight="1">
      <c r="A1364" s="313">
        <v>1363</v>
      </c>
      <c r="B1364" s="136" t="s">
        <v>3243</v>
      </c>
      <c r="C1364" s="136" t="s">
        <v>45</v>
      </c>
      <c r="D1364" s="31"/>
      <c r="E1364" s="137" t="s">
        <v>46</v>
      </c>
      <c r="F1364" s="31"/>
      <c r="G1364" s="137" t="s">
        <v>3899</v>
      </c>
      <c r="H1364" s="138">
        <v>51</v>
      </c>
      <c r="I1364" s="158"/>
      <c r="J1364" s="95"/>
      <c r="K1364" s="137">
        <v>0.50512834069460699</v>
      </c>
      <c r="L1364" s="137">
        <v>0.22412410274812899</v>
      </c>
      <c r="M1364" s="137">
        <v>3.67879441171442E-2</v>
      </c>
      <c r="N1364" s="136" t="s">
        <v>3900</v>
      </c>
      <c r="O1364" s="32" t="s">
        <v>3901</v>
      </c>
      <c r="P1364" s="98">
        <f t="shared" si="90"/>
        <v>0</v>
      </c>
      <c r="Q1364">
        <v>0</v>
      </c>
      <c r="R1364">
        <v>0</v>
      </c>
      <c r="S1364">
        <v>0</v>
      </c>
      <c r="T1364" t="s">
        <v>48</v>
      </c>
      <c r="U1364" t="s">
        <v>3902</v>
      </c>
      <c r="V1364" t="s">
        <v>3903</v>
      </c>
      <c r="W1364" s="319">
        <v>83</v>
      </c>
      <c r="X1364" s="319">
        <v>12</v>
      </c>
      <c r="Y1364" s="319">
        <v>1</v>
      </c>
      <c r="Z1364" s="314"/>
      <c r="AA1364" s="319">
        <v>0.5</v>
      </c>
      <c r="AB1364" s="315" t="s">
        <v>5165</v>
      </c>
      <c r="AC1364" s="319">
        <v>3</v>
      </c>
      <c r="AD1364" s="320">
        <v>6.3829787234042507E-2</v>
      </c>
      <c r="AE1364" s="319">
        <v>0</v>
      </c>
      <c r="AF1364" s="320">
        <v>0</v>
      </c>
      <c r="AG1364" s="319">
        <v>0</v>
      </c>
      <c r="AH1364" s="320">
        <v>0</v>
      </c>
      <c r="AI1364" s="319">
        <v>0</v>
      </c>
      <c r="AJ1364" s="320">
        <v>0</v>
      </c>
      <c r="AK1364" s="320">
        <v>0</v>
      </c>
      <c r="AL1364" s="319"/>
      <c r="AM1364" s="319"/>
      <c r="AN1364" s="319"/>
      <c r="AO1364" s="319"/>
      <c r="AP1364">
        <v>1</v>
      </c>
      <c r="AR1364" s="136">
        <v>1</v>
      </c>
      <c r="AT1364" s="69">
        <v>2.3148</v>
      </c>
      <c r="AU1364" s="69">
        <v>2.3148</v>
      </c>
      <c r="AV1364" s="69">
        <v>2.3148</v>
      </c>
      <c r="AW1364" s="69">
        <v>0.23150000000000001</v>
      </c>
      <c r="BB1364" s="69"/>
    </row>
    <row r="1365" spans="1:54" customFormat="1" ht="40" customHeight="1">
      <c r="A1365" s="313">
        <v>1364</v>
      </c>
      <c r="B1365" s="136" t="s">
        <v>3243</v>
      </c>
      <c r="C1365" s="136" t="s">
        <v>45</v>
      </c>
      <c r="D1365" s="31"/>
      <c r="E1365" s="137" t="s">
        <v>46</v>
      </c>
      <c r="F1365" s="31"/>
      <c r="G1365" s="137" t="s">
        <v>3904</v>
      </c>
      <c r="H1365" s="138">
        <v>195</v>
      </c>
      <c r="I1365" s="158"/>
      <c r="J1365" s="95"/>
      <c r="K1365" s="137">
        <v>0.57142857142857095</v>
      </c>
      <c r="L1365" s="137">
        <v>0.23669154556562499</v>
      </c>
      <c r="M1365" s="137">
        <v>1.35335283236613E-2</v>
      </c>
      <c r="N1365" s="136" t="s">
        <v>3905</v>
      </c>
      <c r="O1365" s="32" t="s">
        <v>3906</v>
      </c>
      <c r="P1365" s="98">
        <f t="shared" si="90"/>
        <v>1</v>
      </c>
      <c r="Q1365">
        <v>5</v>
      </c>
      <c r="R1365">
        <v>0</v>
      </c>
      <c r="S1365">
        <v>2</v>
      </c>
      <c r="T1365" t="s">
        <v>5088</v>
      </c>
      <c r="U1365" t="s">
        <v>3907</v>
      </c>
      <c r="V1365" t="s">
        <v>3908</v>
      </c>
      <c r="W1365" s="319">
        <v>89</v>
      </c>
      <c r="X1365" s="319">
        <v>9</v>
      </c>
      <c r="Y1365" s="319">
        <v>1</v>
      </c>
      <c r="Z1365" s="314"/>
      <c r="AA1365" s="319">
        <v>2.2856790477973898E-2</v>
      </c>
      <c r="AB1365" s="315" t="s">
        <v>5178</v>
      </c>
      <c r="AC1365" s="319">
        <v>1</v>
      </c>
      <c r="AD1365" s="320">
        <v>1.9230769230769201E-2</v>
      </c>
      <c r="AE1365" s="319">
        <v>1</v>
      </c>
      <c r="AF1365" s="320">
        <v>1.9230769230769201E-2</v>
      </c>
      <c r="AG1365" s="319">
        <v>0</v>
      </c>
      <c r="AH1365" s="320">
        <v>0</v>
      </c>
      <c r="AI1365" s="319">
        <v>0</v>
      </c>
      <c r="AJ1365" s="320">
        <v>0</v>
      </c>
      <c r="AK1365" s="320">
        <v>0</v>
      </c>
      <c r="AL1365" s="319"/>
      <c r="AM1365" s="319"/>
      <c r="AN1365" s="319"/>
      <c r="AO1365" s="319"/>
      <c r="AP1365">
        <v>5</v>
      </c>
      <c r="AR1365" s="136">
        <v>5</v>
      </c>
      <c r="AT1365" s="69">
        <v>2.3148</v>
      </c>
      <c r="AU1365" s="69">
        <v>2.3148</v>
      </c>
      <c r="AV1365" s="69">
        <v>2.3148</v>
      </c>
      <c r="AW1365" s="69">
        <v>0.23150000000000001</v>
      </c>
      <c r="BB1365" s="69"/>
    </row>
    <row r="1366" spans="1:54" customFormat="1" ht="40" customHeight="1">
      <c r="A1366" s="313">
        <v>1365</v>
      </c>
      <c r="B1366" s="136" t="s">
        <v>1</v>
      </c>
      <c r="C1366" s="136" t="s">
        <v>45</v>
      </c>
      <c r="D1366" s="31"/>
      <c r="E1366" s="137" t="s">
        <v>46</v>
      </c>
      <c r="F1366" s="31"/>
      <c r="G1366" s="137" t="s">
        <v>3909</v>
      </c>
      <c r="H1366" s="138">
        <v>277</v>
      </c>
      <c r="I1366" s="158"/>
      <c r="J1366" s="95"/>
      <c r="K1366" s="137">
        <v>3.1095716696390201E-2</v>
      </c>
      <c r="L1366" s="137">
        <v>2.0558403672752801E-2</v>
      </c>
      <c r="M1366" s="137">
        <v>1.35335283236613E-2</v>
      </c>
      <c r="N1366" s="136" t="s">
        <v>3910</v>
      </c>
      <c r="O1366" s="32" t="s">
        <v>3911</v>
      </c>
      <c r="P1366" s="98">
        <f t="shared" si="90"/>
        <v>1</v>
      </c>
      <c r="Q1366">
        <v>0</v>
      </c>
      <c r="R1366">
        <v>6</v>
      </c>
      <c r="S1366">
        <v>0</v>
      </c>
      <c r="T1366" t="s">
        <v>73</v>
      </c>
      <c r="U1366" t="s">
        <v>3912</v>
      </c>
      <c r="V1366" t="s">
        <v>5191</v>
      </c>
      <c r="W1366" s="319">
        <v>574</v>
      </c>
      <c r="X1366" s="319">
        <v>46</v>
      </c>
      <c r="Y1366" s="319">
        <v>5</v>
      </c>
      <c r="Z1366" s="314"/>
      <c r="AA1366" s="319">
        <v>0.55000000000000004</v>
      </c>
      <c r="AB1366" s="315" t="s">
        <v>5165</v>
      </c>
      <c r="AC1366" s="319">
        <v>4</v>
      </c>
      <c r="AD1366" s="320">
        <v>1.2084592145015101E-2</v>
      </c>
      <c r="AE1366" s="319">
        <v>3</v>
      </c>
      <c r="AF1366" s="320">
        <v>9.0634441087613198E-3</v>
      </c>
      <c r="AG1366" s="319">
        <v>1</v>
      </c>
      <c r="AH1366" s="320">
        <v>3.0211480362537699E-3</v>
      </c>
      <c r="AI1366" s="319">
        <v>0</v>
      </c>
      <c r="AJ1366" s="320">
        <v>0</v>
      </c>
      <c r="AK1366" s="320">
        <v>3.021148036253776E-3</v>
      </c>
      <c r="AL1366" s="319"/>
      <c r="AM1366" s="319"/>
      <c r="AN1366" s="319"/>
      <c r="AO1366" s="319"/>
      <c r="AP1366">
        <v>4</v>
      </c>
      <c r="AR1366" s="136">
        <v>4</v>
      </c>
      <c r="AT1366" s="69">
        <v>2.3148</v>
      </c>
      <c r="AU1366" s="69">
        <v>5</v>
      </c>
      <c r="AV1366" s="69">
        <v>5.7443999999999997</v>
      </c>
      <c r="AW1366" s="69">
        <v>0.43530000000000002</v>
      </c>
      <c r="BB1366" s="69"/>
    </row>
    <row r="1367" spans="1:54" customFormat="1" ht="40" customHeight="1">
      <c r="A1367" s="313">
        <v>1366</v>
      </c>
      <c r="B1367" s="136" t="s">
        <v>3243</v>
      </c>
      <c r="C1367" s="136" t="s">
        <v>45</v>
      </c>
      <c r="D1367" s="31"/>
      <c r="E1367" s="137" t="s">
        <v>46</v>
      </c>
      <c r="F1367" s="31"/>
      <c r="G1367" s="137" t="s">
        <v>3913</v>
      </c>
      <c r="H1367" s="138">
        <v>233</v>
      </c>
      <c r="I1367" s="158"/>
      <c r="J1367" s="95"/>
      <c r="K1367" s="137">
        <v>0.119369428147289</v>
      </c>
      <c r="L1367" s="137">
        <v>0.10774777125891601</v>
      </c>
      <c r="M1367" s="137">
        <v>0.1</v>
      </c>
      <c r="N1367" s="136" t="s">
        <v>3914</v>
      </c>
      <c r="O1367" s="32" t="s">
        <v>3915</v>
      </c>
      <c r="P1367" s="98">
        <f t="shared" si="90"/>
        <v>1</v>
      </c>
      <c r="Q1367">
        <v>0</v>
      </c>
      <c r="R1367">
        <v>6</v>
      </c>
      <c r="S1367">
        <v>0</v>
      </c>
      <c r="T1367" t="s">
        <v>73</v>
      </c>
      <c r="U1367" t="s">
        <v>3916</v>
      </c>
      <c r="V1367" t="s">
        <v>3917</v>
      </c>
      <c r="W1367" s="319">
        <v>303</v>
      </c>
      <c r="X1367" s="319">
        <v>38</v>
      </c>
      <c r="Y1367" s="319">
        <v>4</v>
      </c>
      <c r="Z1367" s="314"/>
      <c r="AA1367" s="319">
        <v>0.59450000000000003</v>
      </c>
      <c r="AB1367" s="315" t="s">
        <v>5179</v>
      </c>
      <c r="AC1367" s="319">
        <v>1</v>
      </c>
      <c r="AD1367" s="320">
        <v>5.5865921787709404E-3</v>
      </c>
      <c r="AE1367" s="319">
        <v>1</v>
      </c>
      <c r="AF1367" s="320">
        <v>5.5865921787709404E-3</v>
      </c>
      <c r="AG1367" s="319">
        <v>1</v>
      </c>
      <c r="AH1367" s="320">
        <v>5.5865921787709404E-3</v>
      </c>
      <c r="AI1367" s="319">
        <v>0</v>
      </c>
      <c r="AJ1367" s="320">
        <v>0</v>
      </c>
      <c r="AK1367" s="320">
        <v>0</v>
      </c>
      <c r="AL1367" s="319"/>
      <c r="AM1367" s="319"/>
      <c r="AN1367" s="319"/>
      <c r="AO1367" s="319"/>
      <c r="AP1367">
        <v>1</v>
      </c>
      <c r="AR1367" s="136">
        <v>1</v>
      </c>
      <c r="AT1367" s="69">
        <v>2.3148</v>
      </c>
      <c r="AU1367" s="69">
        <v>5</v>
      </c>
      <c r="AV1367" s="69">
        <v>2.3148</v>
      </c>
      <c r="AW1367" s="69">
        <v>0.32100000000000001</v>
      </c>
      <c r="BB1367" s="69"/>
    </row>
    <row r="1368" spans="1:54" customFormat="1" ht="40" customHeight="1">
      <c r="A1368" s="313">
        <v>1367</v>
      </c>
      <c r="B1368" s="136" t="s">
        <v>589</v>
      </c>
      <c r="C1368" s="136" t="s">
        <v>45</v>
      </c>
      <c r="D1368" s="31"/>
      <c r="E1368" s="137" t="s">
        <v>46</v>
      </c>
      <c r="F1368" s="31"/>
      <c r="G1368" s="137" t="s">
        <v>3918</v>
      </c>
      <c r="H1368" s="138">
        <v>219</v>
      </c>
      <c r="I1368" s="158"/>
      <c r="J1368" s="95"/>
      <c r="K1368" s="137">
        <v>0.54824604854737402</v>
      </c>
      <c r="L1368" s="137">
        <v>0.27929841941895001</v>
      </c>
      <c r="M1368" s="137">
        <v>0.1</v>
      </c>
      <c r="N1368" s="136" t="s">
        <v>3919</v>
      </c>
      <c r="O1368" s="32" t="s">
        <v>3920</v>
      </c>
      <c r="P1368" s="98">
        <f t="shared" si="90"/>
        <v>1</v>
      </c>
      <c r="Q1368">
        <v>0</v>
      </c>
      <c r="R1368">
        <v>6</v>
      </c>
      <c r="S1368">
        <v>0</v>
      </c>
      <c r="T1368" t="s">
        <v>73</v>
      </c>
      <c r="U1368" s="323" t="s">
        <v>3921</v>
      </c>
      <c r="V1368" t="s">
        <v>3922</v>
      </c>
      <c r="W1368" s="319">
        <v>55</v>
      </c>
      <c r="X1368" s="319">
        <v>10</v>
      </c>
      <c r="Y1368" s="319">
        <v>1</v>
      </c>
      <c r="Z1368" s="314"/>
      <c r="AA1368" s="319">
        <v>0.54500000000000004</v>
      </c>
      <c r="AB1368" s="315" t="s">
        <v>5176</v>
      </c>
      <c r="AC1368" s="319">
        <v>1</v>
      </c>
      <c r="AD1368" s="320">
        <v>3.125E-2</v>
      </c>
      <c r="AE1368" s="319">
        <v>2</v>
      </c>
      <c r="AF1368" s="320">
        <v>6.25E-2</v>
      </c>
      <c r="AG1368" s="319">
        <v>0</v>
      </c>
      <c r="AH1368" s="320">
        <v>0</v>
      </c>
      <c r="AI1368" s="319">
        <v>0</v>
      </c>
      <c r="AJ1368" s="320">
        <v>0</v>
      </c>
      <c r="AK1368" s="320">
        <v>3.125E-2</v>
      </c>
      <c r="AL1368" s="319"/>
      <c r="AM1368" s="319"/>
      <c r="AN1368" s="319"/>
      <c r="AO1368" s="319"/>
      <c r="AP1368">
        <v>1</v>
      </c>
      <c r="AR1368" s="136">
        <v>1</v>
      </c>
      <c r="AT1368" s="69">
        <v>2.3148</v>
      </c>
      <c r="AU1368" s="69">
        <v>2.3148</v>
      </c>
      <c r="AV1368" s="69">
        <v>5.7443999999999997</v>
      </c>
      <c r="AW1368" s="69">
        <v>0.3458</v>
      </c>
      <c r="BB1368" s="69"/>
    </row>
    <row r="1369" spans="1:54" customFormat="1" ht="40" customHeight="1">
      <c r="A1369" s="313">
        <v>1368</v>
      </c>
      <c r="B1369" s="136" t="s">
        <v>3243</v>
      </c>
      <c r="C1369" s="136" t="s">
        <v>45</v>
      </c>
      <c r="D1369" s="31"/>
      <c r="E1369" s="137" t="s">
        <v>80</v>
      </c>
      <c r="F1369" s="31"/>
      <c r="G1369" s="137" t="s">
        <v>3923</v>
      </c>
      <c r="H1369" s="138">
        <v>57</v>
      </c>
      <c r="I1369" s="158"/>
      <c r="J1369" s="95"/>
      <c r="K1369" s="137">
        <v>0.46547751617515098</v>
      </c>
      <c r="L1369" s="137">
        <v>0.194311123464257</v>
      </c>
      <c r="M1369" s="137">
        <v>1.35335283236613E-2</v>
      </c>
      <c r="N1369" s="136" t="s">
        <v>3924</v>
      </c>
      <c r="O1369" s="32" t="s">
        <v>3925</v>
      </c>
      <c r="P1369" s="98">
        <f t="shared" si="90"/>
        <v>0</v>
      </c>
      <c r="Q1369">
        <v>0</v>
      </c>
      <c r="R1369">
        <v>0</v>
      </c>
      <c r="S1369">
        <v>0</v>
      </c>
      <c r="T1369" t="s">
        <v>48</v>
      </c>
      <c r="U1369" t="s">
        <v>3926</v>
      </c>
      <c r="V1369" t="s">
        <v>3927</v>
      </c>
      <c r="W1369" s="319">
        <v>131</v>
      </c>
      <c r="X1369" s="319">
        <v>14</v>
      </c>
      <c r="Y1369" s="319">
        <v>1</v>
      </c>
      <c r="Z1369" s="314"/>
      <c r="AA1369" s="319">
        <v>0.5</v>
      </c>
      <c r="AB1369" s="315" t="s">
        <v>5176</v>
      </c>
      <c r="AC1369" s="319">
        <v>0</v>
      </c>
      <c r="AD1369" s="320">
        <v>0</v>
      </c>
      <c r="AE1369" s="319">
        <v>1</v>
      </c>
      <c r="AF1369" s="320">
        <v>1.26582278481012E-2</v>
      </c>
      <c r="AG1369" s="319">
        <v>0</v>
      </c>
      <c r="AH1369" s="320">
        <v>0</v>
      </c>
      <c r="AI1369" s="319">
        <v>0</v>
      </c>
      <c r="AJ1369" s="320">
        <v>0</v>
      </c>
      <c r="AK1369" s="320">
        <v>0</v>
      </c>
      <c r="AL1369" s="319"/>
      <c r="AM1369" s="319"/>
      <c r="AN1369" s="319"/>
      <c r="AO1369" s="319"/>
      <c r="AP1369">
        <v>3</v>
      </c>
      <c r="AR1369" s="136">
        <v>3</v>
      </c>
      <c r="AT1369" s="69">
        <v>2.3148</v>
      </c>
      <c r="AU1369" s="69">
        <v>2.3148</v>
      </c>
      <c r="AV1369" s="69">
        <v>2.3148</v>
      </c>
      <c r="AW1369" s="69">
        <v>0.23150000000000001</v>
      </c>
      <c r="BB1369" s="69"/>
    </row>
    <row r="1370" spans="1:54" customFormat="1" ht="40" customHeight="1">
      <c r="A1370" s="313">
        <v>1369</v>
      </c>
      <c r="B1370" s="136" t="s">
        <v>3243</v>
      </c>
      <c r="C1370" s="136" t="s">
        <v>45</v>
      </c>
      <c r="D1370" s="31"/>
      <c r="E1370" s="137" t="s">
        <v>46</v>
      </c>
      <c r="F1370" s="31"/>
      <c r="G1370" s="137" t="s">
        <v>3928</v>
      </c>
      <c r="H1370" s="138">
        <v>147</v>
      </c>
      <c r="I1370" s="158"/>
      <c r="J1370" s="95"/>
      <c r="K1370" s="137">
        <v>0.31488121095532601</v>
      </c>
      <c r="L1370" s="137">
        <v>0.18595248438213</v>
      </c>
      <c r="M1370" s="137">
        <v>0.1</v>
      </c>
      <c r="N1370" s="136" t="s">
        <v>3312</v>
      </c>
      <c r="O1370" s="32" t="s">
        <v>3929</v>
      </c>
      <c r="P1370" s="98">
        <f t="shared" si="90"/>
        <v>1</v>
      </c>
      <c r="Q1370">
        <v>3</v>
      </c>
      <c r="R1370">
        <v>0</v>
      </c>
      <c r="S1370">
        <v>2</v>
      </c>
      <c r="T1370" t="s">
        <v>5088</v>
      </c>
      <c r="U1370" t="s">
        <v>3930</v>
      </c>
      <c r="V1370" t="s">
        <v>3931</v>
      </c>
      <c r="W1370" s="319">
        <v>323</v>
      </c>
      <c r="X1370" s="319">
        <v>23</v>
      </c>
      <c r="Y1370" s="319">
        <v>3</v>
      </c>
      <c r="Z1370" s="314"/>
      <c r="AA1370" s="319">
        <v>0.5</v>
      </c>
      <c r="AB1370" s="315" t="s">
        <v>5165</v>
      </c>
      <c r="AC1370" s="319">
        <v>5</v>
      </c>
      <c r="AD1370" s="320">
        <v>2.7173913043478201E-2</v>
      </c>
      <c r="AE1370" s="319">
        <v>2</v>
      </c>
      <c r="AF1370" s="320">
        <v>1.0869565217391301E-2</v>
      </c>
      <c r="AG1370" s="319">
        <v>2</v>
      </c>
      <c r="AH1370" s="320">
        <v>1.0869565217391301E-2</v>
      </c>
      <c r="AI1370" s="319">
        <v>0</v>
      </c>
      <c r="AJ1370" s="320">
        <v>0</v>
      </c>
      <c r="AK1370" s="320">
        <v>5.434782608695652E-3</v>
      </c>
      <c r="AL1370" s="319"/>
      <c r="AM1370" s="319"/>
      <c r="AN1370" s="319"/>
      <c r="AO1370" s="319"/>
      <c r="AP1370">
        <v>1</v>
      </c>
      <c r="AR1370" s="136">
        <v>1</v>
      </c>
      <c r="AT1370" s="69">
        <v>2.3148</v>
      </c>
      <c r="AU1370" s="69">
        <v>2.3148</v>
      </c>
      <c r="AV1370" s="69">
        <v>2.3148</v>
      </c>
      <c r="AW1370" s="69">
        <v>0.23150000000000001</v>
      </c>
      <c r="BB1370" s="69"/>
    </row>
    <row r="1371" spans="1:54" customFormat="1" ht="40" customHeight="1">
      <c r="A1371" s="313">
        <v>1370</v>
      </c>
      <c r="B1371" s="136" t="s">
        <v>589</v>
      </c>
      <c r="C1371" s="136" t="s">
        <v>45</v>
      </c>
      <c r="D1371" s="31"/>
      <c r="E1371" s="137" t="s">
        <v>46</v>
      </c>
      <c r="F1371" s="31"/>
      <c r="G1371" s="137" t="s">
        <v>3932</v>
      </c>
      <c r="H1371" s="138">
        <v>318</v>
      </c>
      <c r="I1371" s="158"/>
      <c r="J1371" s="95"/>
      <c r="K1371" s="137">
        <v>0.46547751617515098</v>
      </c>
      <c r="L1371" s="137">
        <v>0.20826377294034701</v>
      </c>
      <c r="M1371" s="137">
        <v>3.67879441171442E-2</v>
      </c>
      <c r="N1371" s="136" t="s">
        <v>3933</v>
      </c>
      <c r="O1371" s="32" t="s">
        <v>3934</v>
      </c>
      <c r="P1371" s="98">
        <f t="shared" si="90"/>
        <v>1</v>
      </c>
      <c r="Q1371">
        <v>0</v>
      </c>
      <c r="R1371">
        <v>6</v>
      </c>
      <c r="S1371">
        <v>0</v>
      </c>
      <c r="T1371" t="s">
        <v>73</v>
      </c>
      <c r="U1371" s="1" t="s">
        <v>3935</v>
      </c>
      <c r="V1371" t="s">
        <v>3936</v>
      </c>
      <c r="W1371" s="319">
        <v>61</v>
      </c>
      <c r="X1371" s="319">
        <v>14</v>
      </c>
      <c r="Y1371" s="319">
        <v>1</v>
      </c>
      <c r="Z1371" s="314"/>
      <c r="AA1371" s="319">
        <v>0.59450000000000003</v>
      </c>
      <c r="AB1371" s="315" t="s">
        <v>5169</v>
      </c>
      <c r="AC1371" s="319">
        <v>2</v>
      </c>
      <c r="AD1371" s="320">
        <v>6.25E-2</v>
      </c>
      <c r="AE1371" s="319">
        <v>1</v>
      </c>
      <c r="AF1371" s="320">
        <v>3.125E-2</v>
      </c>
      <c r="AG1371" s="319">
        <v>2</v>
      </c>
      <c r="AH1371" s="320">
        <v>6.25E-2</v>
      </c>
      <c r="AI1371" s="319">
        <v>0</v>
      </c>
      <c r="AJ1371" s="320">
        <v>0</v>
      </c>
      <c r="AK1371" s="320">
        <v>3.125E-2</v>
      </c>
      <c r="AL1371" s="319"/>
      <c r="AM1371" s="319"/>
      <c r="AN1371" s="319"/>
      <c r="AO1371" s="319"/>
      <c r="AP1371">
        <v>1</v>
      </c>
      <c r="AR1371" s="136">
        <v>1</v>
      </c>
      <c r="AT1371" s="69">
        <v>2.3148</v>
      </c>
      <c r="AU1371" s="69">
        <v>5</v>
      </c>
      <c r="AV1371" s="69">
        <v>5.7443999999999997</v>
      </c>
      <c r="AW1371" s="69">
        <v>0.43530000000000002</v>
      </c>
      <c r="BB1371" s="69"/>
    </row>
    <row r="1372" spans="1:54" customFormat="1" ht="40" customHeight="1">
      <c r="A1372" s="313">
        <v>1371</v>
      </c>
      <c r="B1372" s="136" t="s">
        <v>2916</v>
      </c>
      <c r="C1372" s="136" t="s">
        <v>45</v>
      </c>
      <c r="D1372" s="31"/>
      <c r="E1372" s="137" t="s">
        <v>46</v>
      </c>
      <c r="F1372" s="31"/>
      <c r="G1372" s="137" t="s">
        <v>3937</v>
      </c>
      <c r="H1372" s="138">
        <v>86</v>
      </c>
      <c r="I1372" s="158"/>
      <c r="J1372" s="95"/>
      <c r="K1372" s="137">
        <v>0.41098491062604903</v>
      </c>
      <c r="L1372" s="137">
        <v>0.16738118835249099</v>
      </c>
      <c r="M1372" s="137">
        <v>4.9787068367863896E-3</v>
      </c>
      <c r="N1372" s="136" t="s">
        <v>3342</v>
      </c>
      <c r="O1372" s="32" t="s">
        <v>3938</v>
      </c>
      <c r="P1372" s="98">
        <f t="shared" si="90"/>
        <v>0</v>
      </c>
      <c r="Q1372">
        <v>0</v>
      </c>
      <c r="R1372">
        <v>0</v>
      </c>
      <c r="S1372">
        <v>0</v>
      </c>
      <c r="T1372" t="s">
        <v>48</v>
      </c>
      <c r="U1372" s="46" t="s">
        <v>3939</v>
      </c>
      <c r="V1372" t="s">
        <v>3940</v>
      </c>
      <c r="W1372" s="319">
        <v>103</v>
      </c>
      <c r="X1372" s="319">
        <v>17</v>
      </c>
      <c r="Y1372" s="319">
        <v>1</v>
      </c>
      <c r="Z1372" s="314"/>
      <c r="AA1372" s="319">
        <v>9.1578194443670893E-3</v>
      </c>
      <c r="AB1372" s="315" t="s">
        <v>5165</v>
      </c>
      <c r="AC1372" s="319">
        <v>1</v>
      </c>
      <c r="AD1372" s="320">
        <v>1.6129032258064498E-2</v>
      </c>
      <c r="AE1372" s="319">
        <v>0</v>
      </c>
      <c r="AF1372" s="320">
        <v>0</v>
      </c>
      <c r="AG1372" s="319">
        <v>0</v>
      </c>
      <c r="AH1372" s="320">
        <v>0</v>
      </c>
      <c r="AI1372" s="319">
        <v>0</v>
      </c>
      <c r="AJ1372" s="320">
        <v>0</v>
      </c>
      <c r="AK1372" s="320">
        <v>0</v>
      </c>
      <c r="AL1372" s="319"/>
      <c r="AM1372" s="319"/>
      <c r="AN1372" s="319"/>
      <c r="AO1372" s="319"/>
      <c r="AP1372">
        <v>3</v>
      </c>
      <c r="AR1372" s="136"/>
      <c r="AT1372" s="69">
        <v>2.3148</v>
      </c>
      <c r="AU1372" s="69">
        <v>2.3148</v>
      </c>
      <c r="AV1372" s="69">
        <v>2.3148</v>
      </c>
      <c r="AW1372" s="69">
        <v>0.23150000000000001</v>
      </c>
      <c r="BB1372" s="69"/>
    </row>
    <row r="1373" spans="1:54" customFormat="1" ht="40" customHeight="1">
      <c r="A1373" s="313">
        <v>1372</v>
      </c>
      <c r="B1373" s="136" t="s">
        <v>3243</v>
      </c>
      <c r="C1373" s="136" t="s">
        <v>45</v>
      </c>
      <c r="D1373" s="31"/>
      <c r="E1373" s="137" t="s">
        <v>80</v>
      </c>
      <c r="F1373" s="31"/>
      <c r="G1373" s="137" t="s">
        <v>3941</v>
      </c>
      <c r="H1373" s="138">
        <v>73</v>
      </c>
      <c r="I1373" s="158"/>
      <c r="J1373" s="95"/>
      <c r="K1373" s="137">
        <v>0.34534632929202302</v>
      </c>
      <c r="L1373" s="137">
        <v>0.30123544142435199</v>
      </c>
      <c r="M1373" s="137">
        <v>0.27182818284590399</v>
      </c>
      <c r="N1373" s="136" t="s">
        <v>3687</v>
      </c>
      <c r="O1373" s="32" t="s">
        <v>3942</v>
      </c>
      <c r="P1373" s="98">
        <f t="shared" si="90"/>
        <v>1</v>
      </c>
      <c r="Q1373">
        <v>1</v>
      </c>
      <c r="R1373">
        <v>1</v>
      </c>
      <c r="S1373">
        <v>0</v>
      </c>
      <c r="T1373" t="s">
        <v>73</v>
      </c>
      <c r="U1373" s="321" t="s">
        <v>5142</v>
      </c>
      <c r="V1373" t="s">
        <v>3943</v>
      </c>
      <c r="W1373" s="319">
        <v>248</v>
      </c>
      <c r="X1373" s="319">
        <v>21</v>
      </c>
      <c r="Y1373" s="319">
        <v>3</v>
      </c>
      <c r="Z1373" s="314"/>
      <c r="AA1373" s="319">
        <v>0.54500000000000004</v>
      </c>
      <c r="AB1373" s="315" t="s">
        <v>5178</v>
      </c>
      <c r="AC1373" s="319">
        <v>3</v>
      </c>
      <c r="AD1373" s="320">
        <v>2.1276595744680799E-2</v>
      </c>
      <c r="AE1373" s="319">
        <v>3</v>
      </c>
      <c r="AF1373" s="320">
        <v>2.1276595744680799E-2</v>
      </c>
      <c r="AG1373" s="319">
        <v>0</v>
      </c>
      <c r="AH1373" s="320">
        <v>0</v>
      </c>
      <c r="AI1373" s="319">
        <v>0</v>
      </c>
      <c r="AJ1373" s="320">
        <v>0</v>
      </c>
      <c r="AK1373" s="320">
        <v>7.0921985815602844E-3</v>
      </c>
      <c r="AL1373" s="319"/>
      <c r="AM1373" s="319"/>
      <c r="AN1373" s="319"/>
      <c r="AO1373" s="319"/>
      <c r="AP1373">
        <v>1</v>
      </c>
      <c r="AR1373" s="136">
        <v>1</v>
      </c>
      <c r="AT1373" s="69">
        <v>2.3148</v>
      </c>
      <c r="AU1373" s="69">
        <v>2.3148</v>
      </c>
      <c r="AV1373" s="69">
        <v>2.3148</v>
      </c>
      <c r="AW1373" s="69">
        <v>0.23150000000000001</v>
      </c>
      <c r="BB1373" s="69"/>
    </row>
    <row r="1374" spans="1:54" customFormat="1" ht="40" customHeight="1">
      <c r="A1374" s="313">
        <v>1373</v>
      </c>
      <c r="B1374" s="136" t="s">
        <v>3243</v>
      </c>
      <c r="C1374" s="136" t="s">
        <v>1191</v>
      </c>
      <c r="D1374" s="31"/>
      <c r="E1374" s="137" t="s">
        <v>46</v>
      </c>
      <c r="F1374" s="31"/>
      <c r="G1374" s="137" t="s">
        <v>1073</v>
      </c>
      <c r="H1374" s="138">
        <v>79</v>
      </c>
      <c r="I1374" s="158"/>
      <c r="J1374" s="95"/>
      <c r="K1374" s="137">
        <v>0.50512834069460699</v>
      </c>
      <c r="L1374" s="137">
        <v>0.203150274611167</v>
      </c>
      <c r="M1374" s="137">
        <v>1.83156388887342E-3</v>
      </c>
      <c r="N1374" s="136" t="s">
        <v>3944</v>
      </c>
      <c r="O1374" s="32" t="s">
        <v>3945</v>
      </c>
      <c r="P1374" s="98">
        <f t="shared" si="90"/>
        <v>2</v>
      </c>
      <c r="Q1374">
        <v>0</v>
      </c>
      <c r="R1374">
        <v>0</v>
      </c>
      <c r="S1374">
        <v>0</v>
      </c>
      <c r="T1374" t="s">
        <v>64</v>
      </c>
      <c r="U1374" t="s">
        <v>3946</v>
      </c>
      <c r="V1374" t="s">
        <v>3947</v>
      </c>
      <c r="W1374" s="319">
        <v>140</v>
      </c>
      <c r="X1374" s="319">
        <v>12</v>
      </c>
      <c r="Y1374" s="319">
        <v>1</v>
      </c>
      <c r="Z1374" s="314"/>
      <c r="AA1374" s="319">
        <v>0.413223140495868</v>
      </c>
      <c r="AB1374" s="315" t="s">
        <v>5165</v>
      </c>
      <c r="AC1374" s="319">
        <v>2</v>
      </c>
      <c r="AD1374" s="320">
        <v>2.5974025974025899E-2</v>
      </c>
      <c r="AE1374" s="319">
        <v>0</v>
      </c>
      <c r="AF1374" s="320">
        <v>0</v>
      </c>
      <c r="AG1374" s="319">
        <v>1</v>
      </c>
      <c r="AH1374" s="320">
        <v>1.2987012987012899E-2</v>
      </c>
      <c r="AI1374" s="319">
        <v>0</v>
      </c>
      <c r="AJ1374" s="320">
        <v>0</v>
      </c>
      <c r="AK1374" s="320">
        <v>0</v>
      </c>
      <c r="AL1374" s="319"/>
      <c r="AM1374" s="319"/>
      <c r="AN1374" s="319"/>
      <c r="AO1374" s="319"/>
      <c r="AP1374">
        <v>3</v>
      </c>
      <c r="AR1374" s="136">
        <v>3</v>
      </c>
      <c r="AT1374" s="69">
        <v>2.3148</v>
      </c>
      <c r="AU1374" s="69">
        <v>2.3148</v>
      </c>
      <c r="AV1374" s="69">
        <v>2.3148</v>
      </c>
      <c r="AW1374" s="69">
        <v>0.23150000000000001</v>
      </c>
      <c r="BB1374" s="69"/>
    </row>
    <row r="1375" spans="1:54" customFormat="1" ht="40" customHeight="1">
      <c r="A1375" s="313">
        <v>1374</v>
      </c>
      <c r="B1375" s="136" t="s">
        <v>3243</v>
      </c>
      <c r="C1375" s="136" t="s">
        <v>1191</v>
      </c>
      <c r="D1375" s="31"/>
      <c r="E1375" s="137" t="s">
        <v>46</v>
      </c>
      <c r="F1375" s="31"/>
      <c r="G1375" s="137" t="s">
        <v>3948</v>
      </c>
      <c r="H1375" s="138">
        <v>43</v>
      </c>
      <c r="I1375" s="158"/>
      <c r="J1375" s="95"/>
      <c r="K1375" s="137">
        <v>0.75256417034730305</v>
      </c>
      <c r="L1375" s="137">
        <v>0.32309843460920801</v>
      </c>
      <c r="M1375" s="137">
        <v>3.67879441171442E-2</v>
      </c>
      <c r="N1375" s="136" t="s">
        <v>3272</v>
      </c>
      <c r="O1375" s="32" t="s">
        <v>3949</v>
      </c>
      <c r="P1375" s="98">
        <f t="shared" si="90"/>
        <v>0</v>
      </c>
      <c r="Q1375">
        <v>0</v>
      </c>
      <c r="R1375">
        <v>0</v>
      </c>
      <c r="S1375">
        <v>0</v>
      </c>
      <c r="T1375" t="s">
        <v>48</v>
      </c>
      <c r="U1375" t="s">
        <v>3950</v>
      </c>
      <c r="V1375" t="s">
        <v>3951</v>
      </c>
      <c r="W1375" s="319">
        <v>148</v>
      </c>
      <c r="X1375" s="319">
        <v>3</v>
      </c>
      <c r="Y1375" s="319">
        <v>3</v>
      </c>
      <c r="Z1375" s="314"/>
      <c r="AA1375" s="319">
        <v>0.55000000000000004</v>
      </c>
      <c r="AB1375" s="315" t="s">
        <v>5176</v>
      </c>
      <c r="AC1375" s="319">
        <v>1</v>
      </c>
      <c r="AD1375" s="320">
        <v>1.1764705882352899E-2</v>
      </c>
      <c r="AE1375" s="319">
        <v>2</v>
      </c>
      <c r="AF1375" s="320">
        <v>2.3529411764705799E-2</v>
      </c>
      <c r="AG1375" s="319">
        <v>1</v>
      </c>
      <c r="AH1375" s="320">
        <v>1.1764705882352899E-2</v>
      </c>
      <c r="AI1375" s="319">
        <v>0</v>
      </c>
      <c r="AJ1375" s="320">
        <v>0</v>
      </c>
      <c r="AK1375" s="320">
        <v>1.1764705882352939E-2</v>
      </c>
      <c r="AL1375" s="319"/>
      <c r="AM1375" s="319"/>
      <c r="AN1375" s="319"/>
      <c r="AO1375" s="319"/>
      <c r="AP1375">
        <v>10</v>
      </c>
      <c r="AQ1375">
        <v>10</v>
      </c>
      <c r="AR1375" s="136"/>
      <c r="AT1375" s="69">
        <v>2.3148</v>
      </c>
      <c r="AU1375" s="69">
        <v>5</v>
      </c>
      <c r="AV1375" s="69">
        <v>2.3148</v>
      </c>
      <c r="AW1375" s="69">
        <v>0.32100000000000001</v>
      </c>
      <c r="BB1375" s="69"/>
    </row>
    <row r="1376" spans="1:54" customFormat="1" ht="40" customHeight="1">
      <c r="A1376" s="313">
        <v>1375</v>
      </c>
      <c r="B1376" s="136" t="s">
        <v>3243</v>
      </c>
      <c r="C1376" s="136" t="s">
        <v>45</v>
      </c>
      <c r="D1376" s="31"/>
      <c r="E1376" s="137" t="s">
        <v>46</v>
      </c>
      <c r="F1376" s="31"/>
      <c r="G1376" s="137" t="s">
        <v>3952</v>
      </c>
      <c r="H1376" s="138">
        <v>229</v>
      </c>
      <c r="I1376" s="158"/>
      <c r="J1376" s="95"/>
      <c r="K1376" s="137">
        <v>0.44671666482751199</v>
      </c>
      <c r="L1376" s="137">
        <v>0.17883539106160501</v>
      </c>
      <c r="M1376" s="137">
        <v>2.4787521766663601E-4</v>
      </c>
      <c r="N1376" s="136" t="s">
        <v>3953</v>
      </c>
      <c r="O1376" s="32" t="s">
        <v>3954</v>
      </c>
      <c r="P1376" s="98">
        <f t="shared" si="90"/>
        <v>1</v>
      </c>
      <c r="Q1376">
        <v>0</v>
      </c>
      <c r="R1376">
        <v>6</v>
      </c>
      <c r="S1376">
        <v>0</v>
      </c>
      <c r="T1376" t="s">
        <v>73</v>
      </c>
      <c r="U1376" t="s">
        <v>3955</v>
      </c>
      <c r="V1376" t="s">
        <v>3956</v>
      </c>
      <c r="W1376" s="319">
        <v>559</v>
      </c>
      <c r="X1376" s="319">
        <v>15</v>
      </c>
      <c r="Y1376" s="319">
        <v>10</v>
      </c>
      <c r="Z1376" s="314"/>
      <c r="AA1376" s="319">
        <v>1.35091993628317E-3</v>
      </c>
      <c r="AB1376" s="315" t="s">
        <v>5176</v>
      </c>
      <c r="AC1376" s="319">
        <v>1</v>
      </c>
      <c r="AD1376" s="320">
        <v>3.1250000000000002E-3</v>
      </c>
      <c r="AE1376" s="319">
        <v>2</v>
      </c>
      <c r="AF1376" s="320">
        <v>6.2500000000000003E-3</v>
      </c>
      <c r="AG1376" s="319">
        <v>0</v>
      </c>
      <c r="AH1376" s="320">
        <v>0</v>
      </c>
      <c r="AI1376" s="319">
        <v>0</v>
      </c>
      <c r="AJ1376" s="320">
        <v>0</v>
      </c>
      <c r="AK1376" s="320">
        <v>3.1250000000000002E-3</v>
      </c>
      <c r="AL1376" s="319"/>
      <c r="AM1376" s="319"/>
      <c r="AN1376" s="319"/>
      <c r="AO1376" s="319"/>
      <c r="AP1376">
        <v>1</v>
      </c>
      <c r="AR1376" s="136">
        <v>1</v>
      </c>
      <c r="AT1376" s="69">
        <v>2.3148</v>
      </c>
      <c r="AU1376" s="69">
        <v>5</v>
      </c>
      <c r="AV1376" s="69">
        <v>8.1305999999999994</v>
      </c>
      <c r="AW1376" s="69">
        <v>0.51480000000000004</v>
      </c>
      <c r="BB1376" s="69"/>
    </row>
    <row r="1377" spans="1:54" customFormat="1" ht="40" customHeight="1">
      <c r="A1377" s="313">
        <v>1376</v>
      </c>
      <c r="B1377" s="136" t="s">
        <v>3243</v>
      </c>
      <c r="C1377" s="136" t="s">
        <v>45</v>
      </c>
      <c r="D1377" s="31"/>
      <c r="E1377" s="137" t="s">
        <v>46</v>
      </c>
      <c r="F1377" s="31"/>
      <c r="G1377" s="137" t="s">
        <v>3957</v>
      </c>
      <c r="H1377" s="138">
        <v>250</v>
      </c>
      <c r="I1377" s="158"/>
      <c r="J1377" s="95"/>
      <c r="K1377" s="137">
        <v>0.48492124636228701</v>
      </c>
      <c r="L1377" s="137">
        <v>0.19695572264698699</v>
      </c>
      <c r="M1377" s="137">
        <v>4.9787068367863896E-3</v>
      </c>
      <c r="N1377" s="136" t="s">
        <v>3914</v>
      </c>
      <c r="O1377" s="32" t="s">
        <v>3958</v>
      </c>
      <c r="P1377" s="98">
        <f t="shared" si="90"/>
        <v>1</v>
      </c>
      <c r="Q1377">
        <v>0</v>
      </c>
      <c r="R1377">
        <v>6</v>
      </c>
      <c r="S1377">
        <v>0</v>
      </c>
      <c r="T1377" t="s">
        <v>73</v>
      </c>
      <c r="U1377" t="s">
        <v>3959</v>
      </c>
      <c r="V1377" t="s">
        <v>3960</v>
      </c>
      <c r="W1377" s="319">
        <v>64</v>
      </c>
      <c r="X1377" s="319">
        <v>13</v>
      </c>
      <c r="Y1377" s="319">
        <v>1</v>
      </c>
      <c r="Z1377" s="314"/>
      <c r="AA1377" s="319">
        <v>0.5</v>
      </c>
      <c r="AB1377" s="315" t="s">
        <v>5165</v>
      </c>
      <c r="AC1377" s="319">
        <v>2</v>
      </c>
      <c r="AD1377" s="320">
        <v>5.2631578947368397E-2</v>
      </c>
      <c r="AE1377" s="319">
        <v>0</v>
      </c>
      <c r="AF1377" s="320">
        <v>0</v>
      </c>
      <c r="AG1377" s="319">
        <v>0</v>
      </c>
      <c r="AH1377" s="320">
        <v>0</v>
      </c>
      <c r="AI1377" s="319">
        <v>0</v>
      </c>
      <c r="AJ1377" s="320">
        <v>0</v>
      </c>
      <c r="AK1377" s="320">
        <v>2.6315789473684209E-2</v>
      </c>
      <c r="AL1377" s="319"/>
      <c r="AM1377" s="319"/>
      <c r="AN1377" s="319"/>
      <c r="AO1377" s="319"/>
      <c r="AP1377">
        <v>14</v>
      </c>
      <c r="AQ1377">
        <v>14</v>
      </c>
      <c r="AR1377" s="136"/>
      <c r="AT1377" s="69">
        <v>2.3148</v>
      </c>
      <c r="AU1377" s="69">
        <v>5</v>
      </c>
      <c r="AV1377" s="69">
        <v>8.1305999999999994</v>
      </c>
      <c r="AW1377" s="69">
        <v>0.51480000000000004</v>
      </c>
      <c r="BB1377" s="69"/>
    </row>
    <row r="1378" spans="1:54" customFormat="1" ht="40" customHeight="1">
      <c r="A1378" s="313">
        <v>1377</v>
      </c>
      <c r="B1378" s="136" t="s">
        <v>3243</v>
      </c>
      <c r="C1378" s="136" t="s">
        <v>45</v>
      </c>
      <c r="D1378" s="31"/>
      <c r="E1378" s="137" t="s">
        <v>46</v>
      </c>
      <c r="F1378" s="31"/>
      <c r="G1378" s="137" t="s">
        <v>3961</v>
      </c>
      <c r="H1378" s="138">
        <v>233</v>
      </c>
      <c r="I1378" s="158"/>
      <c r="J1378" s="95"/>
      <c r="K1378" s="137">
        <v>0.46547751617515098</v>
      </c>
      <c r="L1378" s="137">
        <v>0.186339731600661</v>
      </c>
      <c r="M1378" s="137">
        <v>2.4787521766663601E-4</v>
      </c>
      <c r="N1378" s="136" t="s">
        <v>3953</v>
      </c>
      <c r="O1378" s="32" t="s">
        <v>3962</v>
      </c>
      <c r="P1378" s="98">
        <f t="shared" si="90"/>
        <v>1</v>
      </c>
      <c r="Q1378">
        <v>0</v>
      </c>
      <c r="R1378">
        <v>6</v>
      </c>
      <c r="S1378">
        <v>0</v>
      </c>
      <c r="T1378" t="s">
        <v>73</v>
      </c>
      <c r="U1378" t="s">
        <v>3963</v>
      </c>
      <c r="V1378" t="s">
        <v>3964</v>
      </c>
      <c r="W1378" s="319">
        <v>636</v>
      </c>
      <c r="X1378" s="319">
        <v>14</v>
      </c>
      <c r="Y1378" s="319">
        <v>14</v>
      </c>
      <c r="Z1378" s="314"/>
      <c r="AA1378" s="319">
        <v>1.35091993628317E-3</v>
      </c>
      <c r="AB1378" s="315" t="s">
        <v>5176</v>
      </c>
      <c r="AC1378" s="319">
        <v>2</v>
      </c>
      <c r="AD1378" s="320">
        <v>5.4200542005420002E-3</v>
      </c>
      <c r="AE1378" s="319">
        <v>6</v>
      </c>
      <c r="AF1378" s="320">
        <v>1.6260162601626001E-2</v>
      </c>
      <c r="AG1378" s="319">
        <v>1</v>
      </c>
      <c r="AH1378" s="320">
        <v>2.7100271002710001E-3</v>
      </c>
      <c r="AI1378" s="319">
        <v>1</v>
      </c>
      <c r="AJ1378" s="320">
        <v>2.7100271002710001E-3</v>
      </c>
      <c r="AK1378" s="320">
        <v>2.7100271002710031E-3</v>
      </c>
      <c r="AL1378" s="319"/>
      <c r="AM1378" s="319"/>
      <c r="AN1378" s="319"/>
      <c r="AO1378" s="319"/>
      <c r="AP1378">
        <v>14</v>
      </c>
      <c r="AR1378" s="319">
        <v>14</v>
      </c>
      <c r="AT1378" s="69">
        <v>2.3148</v>
      </c>
      <c r="AU1378" s="69">
        <v>5</v>
      </c>
      <c r="AV1378" s="69">
        <v>8.1305999999999994</v>
      </c>
      <c r="AW1378" s="69">
        <v>0.51480000000000004</v>
      </c>
      <c r="BB1378" s="69"/>
    </row>
    <row r="1379" spans="1:54" customFormat="1" ht="40" customHeight="1">
      <c r="A1379" s="313">
        <v>1378</v>
      </c>
      <c r="B1379" s="136" t="s">
        <v>3243</v>
      </c>
      <c r="C1379" s="136" t="s">
        <v>45</v>
      </c>
      <c r="D1379" s="31"/>
      <c r="E1379" s="137" t="s">
        <v>46</v>
      </c>
      <c r="F1379" s="31"/>
      <c r="G1379" s="137" t="s">
        <v>3965</v>
      </c>
      <c r="H1379" s="138">
        <v>531</v>
      </c>
      <c r="I1379" s="158"/>
      <c r="J1379" s="95"/>
      <c r="K1379" s="137">
        <v>0.48492124636228701</v>
      </c>
      <c r="L1379" s="137">
        <v>0.19437277536486</v>
      </c>
      <c r="M1379" s="137">
        <v>6.7379469990854705E-4</v>
      </c>
      <c r="N1379" s="136" t="s">
        <v>3966</v>
      </c>
      <c r="O1379" s="32" t="s">
        <v>3967</v>
      </c>
      <c r="P1379" s="98">
        <f t="shared" si="90"/>
        <v>1</v>
      </c>
      <c r="Q1379">
        <v>0</v>
      </c>
      <c r="R1379">
        <v>6</v>
      </c>
      <c r="S1379">
        <v>0</v>
      </c>
      <c r="T1379" t="s">
        <v>73</v>
      </c>
      <c r="U1379" t="s">
        <v>3968</v>
      </c>
      <c r="V1379" t="s">
        <v>3969</v>
      </c>
      <c r="W1379" s="319">
        <v>64</v>
      </c>
      <c r="X1379" s="319">
        <v>13</v>
      </c>
      <c r="Y1379" s="319">
        <v>1</v>
      </c>
      <c r="Z1379" s="314"/>
      <c r="AA1379" s="319">
        <v>0.37565740045078899</v>
      </c>
      <c r="AB1379" s="315" t="s">
        <v>5165</v>
      </c>
      <c r="AC1379" s="319">
        <v>2</v>
      </c>
      <c r="AD1379" s="320">
        <v>5.5555555555555497E-2</v>
      </c>
      <c r="AE1379" s="319">
        <v>1</v>
      </c>
      <c r="AF1379" s="320">
        <v>2.77777777777777E-2</v>
      </c>
      <c r="AG1379" s="319">
        <v>0</v>
      </c>
      <c r="AH1379" s="320">
        <v>0</v>
      </c>
      <c r="AI1379" s="319">
        <v>0</v>
      </c>
      <c r="AJ1379" s="320">
        <v>0</v>
      </c>
      <c r="AK1379" s="320">
        <v>0</v>
      </c>
      <c r="AL1379" s="319"/>
      <c r="AM1379" s="319"/>
      <c r="AN1379" s="319"/>
      <c r="AO1379" s="319"/>
      <c r="AP1379">
        <v>1</v>
      </c>
      <c r="AR1379" s="319">
        <v>1</v>
      </c>
      <c r="AT1379" s="69">
        <v>2.3148</v>
      </c>
      <c r="AU1379" s="69">
        <v>2.3148</v>
      </c>
      <c r="AV1379" s="69">
        <v>8.1305999999999994</v>
      </c>
      <c r="AW1379" s="69">
        <v>0.42530000000000001</v>
      </c>
      <c r="BB1379" s="69"/>
    </row>
    <row r="1380" spans="1:54" customFormat="1" ht="40" customHeight="1">
      <c r="A1380" s="313">
        <v>1379</v>
      </c>
      <c r="B1380" s="136" t="s">
        <v>3243</v>
      </c>
      <c r="C1380" s="136" t="s">
        <v>1191</v>
      </c>
      <c r="D1380" s="31"/>
      <c r="E1380" s="137" t="s">
        <v>46</v>
      </c>
      <c r="F1380" s="31"/>
      <c r="G1380" s="137" t="s">
        <v>3970</v>
      </c>
      <c r="H1380" s="138">
        <v>177</v>
      </c>
      <c r="I1380" s="158"/>
      <c r="J1380" s="95"/>
      <c r="K1380" s="137">
        <v>0.41098491062604903</v>
      </c>
      <c r="L1380" s="137">
        <v>0.18646673072070599</v>
      </c>
      <c r="M1380" s="137">
        <v>3.67879441171442E-2</v>
      </c>
      <c r="N1380" s="136" t="s">
        <v>3885</v>
      </c>
      <c r="O1380" s="32" t="s">
        <v>3971</v>
      </c>
      <c r="P1380" s="98">
        <f t="shared" si="90"/>
        <v>1</v>
      </c>
      <c r="Q1380">
        <v>3</v>
      </c>
      <c r="R1380">
        <v>0</v>
      </c>
      <c r="S1380">
        <v>0</v>
      </c>
      <c r="T1380" t="s">
        <v>5088</v>
      </c>
      <c r="U1380" t="s">
        <v>3972</v>
      </c>
      <c r="V1380" t="s">
        <v>3973</v>
      </c>
      <c r="W1380" s="319">
        <v>139</v>
      </c>
      <c r="X1380" s="319">
        <v>17</v>
      </c>
      <c r="Y1380" s="319">
        <v>3</v>
      </c>
      <c r="Z1380" s="314"/>
      <c r="AA1380" s="319">
        <v>0.5</v>
      </c>
      <c r="AB1380" s="315" t="s">
        <v>5165</v>
      </c>
      <c r="AC1380" s="319">
        <v>3</v>
      </c>
      <c r="AD1380" s="320">
        <v>0.04</v>
      </c>
      <c r="AE1380" s="319">
        <v>2</v>
      </c>
      <c r="AF1380" s="320">
        <v>2.6666666666666599E-2</v>
      </c>
      <c r="AG1380" s="319">
        <v>0</v>
      </c>
      <c r="AH1380" s="320">
        <v>0</v>
      </c>
      <c r="AI1380" s="319">
        <v>0</v>
      </c>
      <c r="AJ1380" s="320">
        <v>0</v>
      </c>
      <c r="AK1380" s="320">
        <v>0</v>
      </c>
      <c r="AL1380" s="319"/>
      <c r="AM1380" s="319"/>
      <c r="AN1380" s="319"/>
      <c r="AO1380" s="319"/>
      <c r="AP1380">
        <v>3</v>
      </c>
      <c r="AS1380" s="319">
        <v>3</v>
      </c>
      <c r="AT1380" s="69">
        <v>2.3148</v>
      </c>
      <c r="AU1380" s="69">
        <v>7.6852</v>
      </c>
      <c r="AV1380" s="69">
        <v>2.3148</v>
      </c>
      <c r="AW1380" s="69">
        <v>0.41049999999999998</v>
      </c>
      <c r="BB1380" s="69"/>
    </row>
    <row r="1381" spans="1:54" customFormat="1" ht="40" customHeight="1">
      <c r="A1381" s="313">
        <v>1380</v>
      </c>
      <c r="B1381" s="136" t="s">
        <v>3243</v>
      </c>
      <c r="C1381" s="136" t="s">
        <v>1191</v>
      </c>
      <c r="D1381" s="31"/>
      <c r="E1381" s="137" t="s">
        <v>80</v>
      </c>
      <c r="F1381" s="31"/>
      <c r="G1381" s="137" t="s">
        <v>3974</v>
      </c>
      <c r="H1381" s="138">
        <v>143</v>
      </c>
      <c r="I1381" s="158"/>
      <c r="J1381" s="95"/>
      <c r="K1381" s="137">
        <v>0.54824604854737402</v>
      </c>
      <c r="L1381" s="137">
        <v>0.38239532912649199</v>
      </c>
      <c r="M1381" s="137">
        <v>0.27182818284590399</v>
      </c>
      <c r="N1381" s="136" t="s">
        <v>3395</v>
      </c>
      <c r="O1381" s="32" t="s">
        <v>3975</v>
      </c>
      <c r="P1381" s="98">
        <f t="shared" si="90"/>
        <v>1</v>
      </c>
      <c r="Q1381">
        <v>4</v>
      </c>
      <c r="R1381">
        <v>2</v>
      </c>
      <c r="S1381">
        <v>3</v>
      </c>
      <c r="T1381" t="s">
        <v>5088</v>
      </c>
      <c r="U1381" t="s">
        <v>3976</v>
      </c>
      <c r="V1381" t="s">
        <v>3977</v>
      </c>
      <c r="W1381" s="319">
        <v>201</v>
      </c>
      <c r="X1381" s="319">
        <v>10</v>
      </c>
      <c r="Y1381" s="319">
        <v>1</v>
      </c>
      <c r="Z1381" s="314"/>
      <c r="AA1381" s="319">
        <v>0.55000000000000004</v>
      </c>
      <c r="AB1381" s="315" t="s">
        <v>5179</v>
      </c>
      <c r="AC1381" s="319">
        <v>2</v>
      </c>
      <c r="AD1381" s="320">
        <v>1.8018018018018001E-2</v>
      </c>
      <c r="AE1381" s="319">
        <v>2</v>
      </c>
      <c r="AF1381" s="320">
        <v>1.8018018018018001E-2</v>
      </c>
      <c r="AG1381" s="319">
        <v>2</v>
      </c>
      <c r="AH1381" s="320">
        <v>1.8018018018018001E-2</v>
      </c>
      <c r="AI1381" s="319">
        <v>0</v>
      </c>
      <c r="AJ1381" s="320">
        <v>0</v>
      </c>
      <c r="AK1381" s="320">
        <v>9.0090090090090089E-3</v>
      </c>
      <c r="AL1381" s="319"/>
      <c r="AM1381" s="319"/>
      <c r="AN1381" s="319"/>
      <c r="AO1381" s="319"/>
      <c r="AP1381">
        <v>1</v>
      </c>
      <c r="AS1381" s="319">
        <v>1</v>
      </c>
      <c r="AT1381" s="69">
        <v>2.3148</v>
      </c>
      <c r="AU1381" s="69">
        <v>2.3148</v>
      </c>
      <c r="AV1381" s="69">
        <v>8.1305999999999994</v>
      </c>
      <c r="AW1381" s="69">
        <v>0.42530000000000001</v>
      </c>
      <c r="BB1381" s="69"/>
    </row>
    <row r="1382" spans="1:54" customFormat="1" ht="40" customHeight="1">
      <c r="A1382" s="313">
        <v>1381</v>
      </c>
      <c r="B1382" s="136" t="s">
        <v>3243</v>
      </c>
      <c r="C1382" s="136" t="s">
        <v>45</v>
      </c>
      <c r="D1382" s="31"/>
      <c r="E1382" s="137" t="s">
        <v>46</v>
      </c>
      <c r="F1382" s="31"/>
      <c r="G1382" s="137" t="s">
        <v>3978</v>
      </c>
      <c r="H1382" s="138">
        <v>120</v>
      </c>
      <c r="I1382" s="158"/>
      <c r="J1382" s="95"/>
      <c r="K1382" s="137">
        <v>0.57142857142857095</v>
      </c>
      <c r="L1382" s="137">
        <v>0.28857142857142898</v>
      </c>
      <c r="M1382" s="137">
        <v>0.1</v>
      </c>
      <c r="N1382" s="136" t="s">
        <v>3979</v>
      </c>
      <c r="O1382" s="32" t="s">
        <v>3980</v>
      </c>
      <c r="P1382" s="98">
        <f t="shared" si="90"/>
        <v>2</v>
      </c>
      <c r="Q1382">
        <v>0</v>
      </c>
      <c r="R1382">
        <v>0</v>
      </c>
      <c r="S1382">
        <v>0</v>
      </c>
      <c r="T1382" t="s">
        <v>64</v>
      </c>
      <c r="U1382" s="1" t="s">
        <v>3981</v>
      </c>
      <c r="V1382" t="s">
        <v>3982</v>
      </c>
      <c r="W1382" s="319">
        <v>94</v>
      </c>
      <c r="X1382" s="319">
        <v>9</v>
      </c>
      <c r="Y1382" s="319">
        <v>1</v>
      </c>
      <c r="Z1382" s="314"/>
      <c r="AA1382" s="319">
        <v>0.5</v>
      </c>
      <c r="AB1382" s="315" t="s">
        <v>5165</v>
      </c>
      <c r="AC1382" s="319">
        <v>3</v>
      </c>
      <c r="AD1382" s="320">
        <v>5.6603773584905599E-2</v>
      </c>
      <c r="AE1382" s="319">
        <v>1</v>
      </c>
      <c r="AF1382" s="320">
        <v>1.8867924528301799E-2</v>
      </c>
      <c r="AG1382" s="319">
        <v>1</v>
      </c>
      <c r="AH1382" s="320">
        <v>1.8867924528301799E-2</v>
      </c>
      <c r="AI1382" s="319">
        <v>0</v>
      </c>
      <c r="AJ1382" s="320">
        <v>0</v>
      </c>
      <c r="AK1382" s="320">
        <v>0</v>
      </c>
      <c r="AL1382" s="319"/>
      <c r="AM1382" s="319"/>
      <c r="AN1382" s="319"/>
      <c r="AO1382" s="319"/>
      <c r="AP1382">
        <v>1</v>
      </c>
      <c r="AR1382" s="319">
        <v>1</v>
      </c>
      <c r="AT1382" s="69">
        <v>2.3148</v>
      </c>
      <c r="AU1382" s="69">
        <v>5</v>
      </c>
      <c r="AV1382" s="69">
        <v>8.1305999999999994</v>
      </c>
      <c r="AW1382" s="69">
        <v>0.51480000000000004</v>
      </c>
      <c r="BB1382" s="69"/>
    </row>
    <row r="1383" spans="1:54" customFormat="1" ht="40" customHeight="1">
      <c r="A1383" s="313">
        <v>1382</v>
      </c>
      <c r="B1383" s="136" t="s">
        <v>3243</v>
      </c>
      <c r="C1383" s="136" t="s">
        <v>1191</v>
      </c>
      <c r="D1383" s="31"/>
      <c r="E1383" s="137" t="s">
        <v>80</v>
      </c>
      <c r="F1383" s="31"/>
      <c r="G1383" s="137" t="s">
        <v>3983</v>
      </c>
      <c r="H1383" s="138">
        <v>45</v>
      </c>
      <c r="I1383" s="158"/>
      <c r="J1383" s="95"/>
      <c r="K1383" s="137">
        <v>0.46547751617515098</v>
      </c>
      <c r="L1383" s="137">
        <v>0.34928791617760302</v>
      </c>
      <c r="M1383" s="137">
        <v>0.27182818284590399</v>
      </c>
      <c r="N1383" s="136" t="s">
        <v>3272</v>
      </c>
      <c r="O1383" s="32" t="s">
        <v>3984</v>
      </c>
      <c r="P1383" s="98">
        <f t="shared" si="90"/>
        <v>2</v>
      </c>
      <c r="Q1383">
        <v>0</v>
      </c>
      <c r="R1383">
        <v>0</v>
      </c>
      <c r="S1383">
        <v>0</v>
      </c>
      <c r="T1383" t="s">
        <v>64</v>
      </c>
      <c r="U1383" t="s">
        <v>3985</v>
      </c>
      <c r="V1383" t="s">
        <v>3986</v>
      </c>
      <c r="W1383" s="319">
        <v>56</v>
      </c>
      <c r="X1383" s="319">
        <v>14</v>
      </c>
      <c r="Y1383" s="319">
        <v>1</v>
      </c>
      <c r="Z1383" s="314"/>
      <c r="AA1383" s="319">
        <v>0.59450000000000003</v>
      </c>
      <c r="AB1383" s="315" t="s">
        <v>5176</v>
      </c>
      <c r="AC1383" s="319">
        <v>2</v>
      </c>
      <c r="AD1383" s="320">
        <v>6.0606060606060601E-2</v>
      </c>
      <c r="AE1383" s="319">
        <v>3</v>
      </c>
      <c r="AF1383" s="320">
        <v>9.0909090909090898E-2</v>
      </c>
      <c r="AG1383" s="319">
        <v>0</v>
      </c>
      <c r="AH1383" s="320">
        <v>0</v>
      </c>
      <c r="AI1383" s="319">
        <v>0</v>
      </c>
      <c r="AJ1383" s="320">
        <v>0</v>
      </c>
      <c r="AK1383" s="320">
        <v>3.03030303030303E-2</v>
      </c>
      <c r="AL1383" s="319"/>
      <c r="AM1383" s="319"/>
      <c r="AN1383" s="319"/>
      <c r="AO1383" s="319"/>
      <c r="AP1383">
        <v>1</v>
      </c>
      <c r="AR1383" s="319">
        <v>1</v>
      </c>
      <c r="AT1383" s="69">
        <v>2.3148</v>
      </c>
      <c r="AU1383" s="69">
        <v>5</v>
      </c>
      <c r="AV1383" s="69">
        <v>2.3148</v>
      </c>
      <c r="AW1383" s="69">
        <v>0.32100000000000001</v>
      </c>
      <c r="BB1383" s="69"/>
    </row>
    <row r="1384" spans="1:54" customFormat="1" ht="40" customHeight="1">
      <c r="A1384" s="313">
        <v>1383</v>
      </c>
      <c r="B1384" s="136" t="s">
        <v>3243</v>
      </c>
      <c r="C1384" s="136" t="s">
        <v>1191</v>
      </c>
      <c r="D1384" s="31"/>
      <c r="E1384" s="137" t="s">
        <v>46</v>
      </c>
      <c r="F1384" s="31"/>
      <c r="G1384" s="137" t="s">
        <v>3987</v>
      </c>
      <c r="H1384" s="138">
        <v>290</v>
      </c>
      <c r="I1384" s="158"/>
      <c r="J1384" s="95"/>
      <c r="K1384" s="137">
        <v>0.25769251104190999</v>
      </c>
      <c r="L1384" s="137">
        <v>0.103084409005009</v>
      </c>
      <c r="M1384" s="137">
        <v>1.2340980408668001E-5</v>
      </c>
      <c r="N1384" s="136" t="s">
        <v>3988</v>
      </c>
      <c r="O1384" s="32" t="s">
        <v>3989</v>
      </c>
      <c r="P1384" s="98">
        <f t="shared" si="90"/>
        <v>1</v>
      </c>
      <c r="Q1384">
        <v>0</v>
      </c>
      <c r="R1384">
        <v>6</v>
      </c>
      <c r="S1384">
        <v>0</v>
      </c>
      <c r="T1384" t="s">
        <v>73</v>
      </c>
      <c r="U1384" s="1" t="s">
        <v>3990</v>
      </c>
      <c r="V1384" t="s">
        <v>3991</v>
      </c>
      <c r="W1384" s="319">
        <v>186</v>
      </c>
      <c r="X1384" s="319">
        <v>27</v>
      </c>
      <c r="Y1384" s="319">
        <v>2</v>
      </c>
      <c r="Z1384" s="314"/>
      <c r="AA1384" s="319">
        <v>1.6773131395125601E-4</v>
      </c>
      <c r="AB1384" s="315" t="s">
        <v>5178</v>
      </c>
      <c r="AC1384" s="319">
        <v>5</v>
      </c>
      <c r="AD1384" s="320">
        <v>4.6296296296296301E-2</v>
      </c>
      <c r="AE1384" s="319">
        <v>5</v>
      </c>
      <c r="AF1384" s="320">
        <v>4.6296296296296301E-2</v>
      </c>
      <c r="AG1384" s="319">
        <v>0</v>
      </c>
      <c r="AH1384" s="320">
        <v>0</v>
      </c>
      <c r="AI1384" s="319">
        <v>0</v>
      </c>
      <c r="AJ1384" s="320">
        <v>0</v>
      </c>
      <c r="AK1384" s="320">
        <v>9.2592592592592587E-3</v>
      </c>
      <c r="AL1384" s="319"/>
      <c r="AM1384" s="319"/>
      <c r="AN1384" s="319"/>
      <c r="AO1384" s="319"/>
      <c r="AP1384">
        <v>2</v>
      </c>
      <c r="AR1384" s="319">
        <v>2</v>
      </c>
      <c r="AT1384" s="69">
        <v>2.3148</v>
      </c>
      <c r="AU1384" s="69">
        <v>2.3148</v>
      </c>
      <c r="AV1384" s="69">
        <v>8.1305999999999994</v>
      </c>
      <c r="AW1384" s="69">
        <v>0.42530000000000001</v>
      </c>
      <c r="BB1384" s="69"/>
    </row>
    <row r="1385" spans="1:54" customFormat="1" ht="40" customHeight="1">
      <c r="A1385" s="313">
        <v>1384</v>
      </c>
      <c r="B1385" s="136" t="s">
        <v>3243</v>
      </c>
      <c r="C1385" s="136" t="s">
        <v>1191</v>
      </c>
      <c r="D1385" s="31"/>
      <c r="E1385" s="137" t="s">
        <v>46</v>
      </c>
      <c r="F1385" s="31"/>
      <c r="G1385" s="137" t="s">
        <v>3992</v>
      </c>
      <c r="H1385" s="138">
        <v>120</v>
      </c>
      <c r="I1385" s="158"/>
      <c r="J1385" s="95"/>
      <c r="K1385" s="137">
        <v>0.54824604854737402</v>
      </c>
      <c r="L1385" s="137">
        <v>0.38239532912649199</v>
      </c>
      <c r="M1385" s="137">
        <v>0.27182818284590399</v>
      </c>
      <c r="N1385" s="136" t="s">
        <v>3993</v>
      </c>
      <c r="O1385" s="32" t="s">
        <v>3994</v>
      </c>
      <c r="P1385" s="98">
        <f t="shared" si="90"/>
        <v>1</v>
      </c>
      <c r="Q1385">
        <v>0</v>
      </c>
      <c r="R1385">
        <v>2</v>
      </c>
      <c r="S1385">
        <v>3</v>
      </c>
      <c r="T1385" t="s">
        <v>5133</v>
      </c>
      <c r="U1385" t="s">
        <v>3995</v>
      </c>
      <c r="V1385" t="s">
        <v>3996</v>
      </c>
      <c r="W1385" s="319">
        <v>62</v>
      </c>
      <c r="X1385" s="319">
        <v>10</v>
      </c>
      <c r="Y1385" s="319">
        <v>1</v>
      </c>
      <c r="Z1385" s="314"/>
      <c r="AA1385" s="319">
        <v>0.59450000000000003</v>
      </c>
      <c r="AB1385" s="315" t="s">
        <v>5176</v>
      </c>
      <c r="AC1385" s="319">
        <v>0</v>
      </c>
      <c r="AD1385" s="320">
        <v>0</v>
      </c>
      <c r="AE1385" s="319">
        <v>2</v>
      </c>
      <c r="AF1385" s="320">
        <v>5.4054054054054002E-2</v>
      </c>
      <c r="AG1385" s="319">
        <v>1</v>
      </c>
      <c r="AH1385" s="320">
        <v>2.7027027027027001E-2</v>
      </c>
      <c r="AI1385" s="319">
        <v>0</v>
      </c>
      <c r="AJ1385" s="320">
        <v>0</v>
      </c>
      <c r="AK1385" s="320">
        <v>0</v>
      </c>
      <c r="AL1385" s="319"/>
      <c r="AM1385" s="319"/>
      <c r="AN1385" s="319"/>
      <c r="AO1385" s="319"/>
      <c r="AP1385">
        <v>1</v>
      </c>
      <c r="AR1385" s="319">
        <v>1</v>
      </c>
      <c r="AT1385" s="69">
        <v>2.3148</v>
      </c>
      <c r="AU1385" s="69">
        <v>5</v>
      </c>
      <c r="AV1385" s="69">
        <v>9.5120000000000005</v>
      </c>
      <c r="AW1385" s="69">
        <v>0.56089999999999995</v>
      </c>
      <c r="BB1385" s="69"/>
    </row>
    <row r="1386" spans="1:54" customFormat="1" ht="40" customHeight="1">
      <c r="A1386" s="313">
        <v>1385</v>
      </c>
      <c r="B1386" s="136" t="s">
        <v>3243</v>
      </c>
      <c r="C1386" s="136" t="s">
        <v>1191</v>
      </c>
      <c r="D1386" s="31"/>
      <c r="E1386" s="137" t="s">
        <v>46</v>
      </c>
      <c r="F1386" s="31"/>
      <c r="G1386" s="137" t="s">
        <v>3997</v>
      </c>
      <c r="H1386" s="138">
        <v>256</v>
      </c>
      <c r="I1386" s="158"/>
      <c r="J1386" s="95"/>
      <c r="K1386" s="137">
        <v>0.27156864091531702</v>
      </c>
      <c r="L1386" s="137">
        <v>0.10877618149672701</v>
      </c>
      <c r="M1386" s="137">
        <v>2.4787521766663601E-4</v>
      </c>
      <c r="N1386" s="136" t="s">
        <v>3998</v>
      </c>
      <c r="O1386" s="32" t="s">
        <v>3999</v>
      </c>
      <c r="P1386" s="98">
        <f t="shared" si="90"/>
        <v>1</v>
      </c>
      <c r="Q1386">
        <v>0</v>
      </c>
      <c r="R1386">
        <v>6</v>
      </c>
      <c r="S1386">
        <v>0</v>
      </c>
      <c r="T1386" t="s">
        <v>73</v>
      </c>
      <c r="U1386" t="s">
        <v>4000</v>
      </c>
      <c r="V1386" t="s">
        <v>4001</v>
      </c>
      <c r="W1386" s="319">
        <v>247</v>
      </c>
      <c r="X1386" s="319">
        <v>26</v>
      </c>
      <c r="Y1386" s="319">
        <v>2</v>
      </c>
      <c r="Z1386" s="314"/>
      <c r="AA1386" s="319">
        <v>1.1267055348483501E-3</v>
      </c>
      <c r="AB1386" s="315" t="s">
        <v>5165</v>
      </c>
      <c r="AC1386" s="319">
        <v>4</v>
      </c>
      <c r="AD1386" s="320">
        <v>2.8776978417266098E-2</v>
      </c>
      <c r="AE1386" s="319">
        <v>1</v>
      </c>
      <c r="AF1386" s="320">
        <v>7.1942446043165402E-3</v>
      </c>
      <c r="AG1386" s="319">
        <v>0</v>
      </c>
      <c r="AH1386" s="320">
        <v>0</v>
      </c>
      <c r="AI1386" s="319">
        <v>0</v>
      </c>
      <c r="AJ1386" s="320">
        <v>0</v>
      </c>
      <c r="AK1386" s="320">
        <v>0</v>
      </c>
      <c r="AL1386" s="319"/>
      <c r="AM1386" s="319"/>
      <c r="AN1386" s="319"/>
      <c r="AO1386" s="319"/>
      <c r="AP1386">
        <v>2</v>
      </c>
      <c r="AS1386" s="319">
        <v>2</v>
      </c>
      <c r="AT1386" s="69">
        <v>2.3148</v>
      </c>
      <c r="AU1386" s="69">
        <v>2.3148</v>
      </c>
      <c r="AV1386" s="69">
        <v>2.3148</v>
      </c>
      <c r="AW1386" s="69">
        <v>0.23150000000000001</v>
      </c>
      <c r="BB1386" s="69"/>
    </row>
    <row r="1387" spans="1:54" customFormat="1" ht="40" customHeight="1">
      <c r="A1387" s="313">
        <v>1386</v>
      </c>
      <c r="B1387" s="136" t="s">
        <v>3243</v>
      </c>
      <c r="C1387" s="136" t="s">
        <v>45</v>
      </c>
      <c r="D1387" s="31"/>
      <c r="E1387" s="137" t="s">
        <v>46</v>
      </c>
      <c r="F1387" s="31"/>
      <c r="G1387" s="137" t="s">
        <v>4002</v>
      </c>
      <c r="H1387" s="138">
        <v>207</v>
      </c>
      <c r="I1387" s="158"/>
      <c r="J1387" s="95"/>
      <c r="K1387" s="137">
        <v>0.50512834069460699</v>
      </c>
      <c r="L1387" s="137">
        <v>0.20245561309778801</v>
      </c>
      <c r="M1387" s="137">
        <v>6.7379469990854705E-4</v>
      </c>
      <c r="N1387" s="136" t="s">
        <v>4003</v>
      </c>
      <c r="O1387" s="32" t="s">
        <v>3999</v>
      </c>
      <c r="P1387" s="98">
        <f t="shared" si="90"/>
        <v>1</v>
      </c>
      <c r="Q1387">
        <v>0</v>
      </c>
      <c r="R1387">
        <v>6</v>
      </c>
      <c r="S1387">
        <v>0</v>
      </c>
      <c r="T1387" t="s">
        <v>73</v>
      </c>
      <c r="U1387" s="321" t="s">
        <v>5141</v>
      </c>
      <c r="V1387" t="s">
        <v>4004</v>
      </c>
      <c r="W1387" s="319">
        <v>90</v>
      </c>
      <c r="X1387" s="319">
        <v>12</v>
      </c>
      <c r="Y1387" s="319">
        <v>2</v>
      </c>
      <c r="Z1387" s="314"/>
      <c r="AA1387" s="319">
        <v>0.45454545454545398</v>
      </c>
      <c r="AB1387" s="315" t="s">
        <v>5176</v>
      </c>
      <c r="AC1387" s="319">
        <v>1</v>
      </c>
      <c r="AD1387" s="320">
        <v>1.8867924528301799E-2</v>
      </c>
      <c r="AE1387" s="319">
        <v>2</v>
      </c>
      <c r="AF1387" s="320">
        <v>3.7735849056603703E-2</v>
      </c>
      <c r="AG1387" s="319">
        <v>1</v>
      </c>
      <c r="AH1387" s="320">
        <v>1.8867924528301799E-2</v>
      </c>
      <c r="AI1387" s="319">
        <v>0</v>
      </c>
      <c r="AJ1387" s="320">
        <v>0</v>
      </c>
      <c r="AK1387" s="320">
        <v>0</v>
      </c>
      <c r="AL1387" s="319"/>
      <c r="AM1387" s="319"/>
      <c r="AN1387" s="319"/>
      <c r="AO1387" s="319"/>
      <c r="AP1387">
        <v>2</v>
      </c>
      <c r="AR1387" s="319">
        <v>2</v>
      </c>
      <c r="AT1387" s="69">
        <v>2.3148</v>
      </c>
      <c r="AU1387" s="69">
        <v>2.3148</v>
      </c>
      <c r="AV1387" s="69">
        <v>8.1305999999999994</v>
      </c>
      <c r="AW1387" s="69">
        <v>0.42530000000000001</v>
      </c>
      <c r="BB1387" s="69"/>
    </row>
    <row r="1388" spans="1:54" customFormat="1" ht="40" customHeight="1">
      <c r="A1388" s="313">
        <v>1387</v>
      </c>
      <c r="B1388" s="136" t="s">
        <v>3243</v>
      </c>
      <c r="C1388" s="136" t="s">
        <v>1191</v>
      </c>
      <c r="D1388" s="31"/>
      <c r="E1388" s="137" t="s">
        <v>80</v>
      </c>
      <c r="F1388" s="31"/>
      <c r="G1388" s="137" t="s">
        <v>4005</v>
      </c>
      <c r="H1388" s="138">
        <v>92</v>
      </c>
      <c r="I1388" s="158"/>
      <c r="J1388" s="95"/>
      <c r="K1388" s="137">
        <v>0.54824604854737402</v>
      </c>
      <c r="L1388" s="137">
        <v>0.38239532912649199</v>
      </c>
      <c r="M1388" s="137">
        <v>0.27182818284590399</v>
      </c>
      <c r="N1388" s="136" t="s">
        <v>4006</v>
      </c>
      <c r="O1388" s="32" t="s">
        <v>4007</v>
      </c>
      <c r="P1388" s="98">
        <f t="shared" si="90"/>
        <v>1</v>
      </c>
      <c r="Q1388">
        <v>2</v>
      </c>
      <c r="R1388">
        <v>0</v>
      </c>
      <c r="S1388">
        <v>0</v>
      </c>
      <c r="T1388" t="s">
        <v>5088</v>
      </c>
      <c r="U1388" t="s">
        <v>4008</v>
      </c>
      <c r="V1388" t="s">
        <v>4009</v>
      </c>
      <c r="W1388" s="319">
        <v>212</v>
      </c>
      <c r="X1388" s="319">
        <v>10</v>
      </c>
      <c r="Y1388" s="319">
        <v>1</v>
      </c>
      <c r="Z1388" s="314"/>
      <c r="AA1388" s="319">
        <v>0.59450000000000003</v>
      </c>
      <c r="AB1388" s="315" t="s">
        <v>5165</v>
      </c>
      <c r="AC1388" s="319">
        <v>4</v>
      </c>
      <c r="AD1388" s="320">
        <v>3.4188034188034101E-2</v>
      </c>
      <c r="AE1388" s="319">
        <v>1</v>
      </c>
      <c r="AF1388" s="320">
        <v>8.5470085470085392E-3</v>
      </c>
      <c r="AG1388" s="319">
        <v>1</v>
      </c>
      <c r="AH1388" s="320">
        <v>8.5470085470085392E-3</v>
      </c>
      <c r="AI1388" s="319">
        <v>0</v>
      </c>
      <c r="AJ1388" s="320">
        <v>0</v>
      </c>
      <c r="AK1388" s="320">
        <v>0</v>
      </c>
      <c r="AL1388" s="319"/>
      <c r="AM1388" s="319"/>
      <c r="AN1388" s="319"/>
      <c r="AO1388" s="319"/>
      <c r="AP1388">
        <v>1</v>
      </c>
      <c r="AS1388" s="319">
        <v>1</v>
      </c>
      <c r="AT1388" s="69">
        <v>2.3148</v>
      </c>
      <c r="AU1388" s="69">
        <v>2.3148</v>
      </c>
      <c r="AV1388" s="69">
        <v>2.3148</v>
      </c>
      <c r="AW1388" s="69">
        <v>0.23150000000000001</v>
      </c>
      <c r="BB1388" s="69"/>
    </row>
    <row r="1389" spans="1:54" customFormat="1" ht="40" customHeight="1">
      <c r="A1389" s="313">
        <v>1388</v>
      </c>
      <c r="B1389" s="136" t="s">
        <v>3243</v>
      </c>
      <c r="C1389" s="136" t="s">
        <v>45</v>
      </c>
      <c r="D1389" s="31"/>
      <c r="E1389" s="137" t="s">
        <v>46</v>
      </c>
      <c r="F1389" s="31"/>
      <c r="G1389" s="137" t="s">
        <v>4010</v>
      </c>
      <c r="H1389" s="138">
        <v>53</v>
      </c>
      <c r="I1389" s="158"/>
      <c r="J1389" s="95"/>
      <c r="K1389" s="137">
        <v>0.46547751617515098</v>
      </c>
      <c r="L1389" s="137">
        <v>0.24619100647006101</v>
      </c>
      <c r="M1389" s="137">
        <v>0.1</v>
      </c>
      <c r="N1389" s="136" t="s">
        <v>4011</v>
      </c>
      <c r="O1389" s="32" t="s">
        <v>4012</v>
      </c>
      <c r="P1389" s="98">
        <f t="shared" si="90"/>
        <v>2</v>
      </c>
      <c r="Q1389">
        <v>0</v>
      </c>
      <c r="R1389">
        <v>0</v>
      </c>
      <c r="S1389">
        <v>0</v>
      </c>
      <c r="T1389" t="s">
        <v>64</v>
      </c>
      <c r="U1389" t="s">
        <v>4013</v>
      </c>
      <c r="V1389" t="s">
        <v>4014</v>
      </c>
      <c r="W1389" s="319">
        <v>404</v>
      </c>
      <c r="X1389" s="319">
        <v>14</v>
      </c>
      <c r="Y1389" s="319">
        <v>4</v>
      </c>
      <c r="Z1389" s="314"/>
      <c r="AA1389" s="319">
        <v>0.55000000000000004</v>
      </c>
      <c r="AB1389" s="315" t="s">
        <v>5165</v>
      </c>
      <c r="AC1389" s="319">
        <v>4</v>
      </c>
      <c r="AD1389" s="320">
        <v>1.68776371308016E-2</v>
      </c>
      <c r="AE1389" s="319">
        <v>3</v>
      </c>
      <c r="AF1389" s="320">
        <v>1.26582278481012E-2</v>
      </c>
      <c r="AG1389" s="319">
        <v>2</v>
      </c>
      <c r="AH1389" s="320">
        <v>8.4388185654008397E-3</v>
      </c>
      <c r="AI1389" s="319">
        <v>1</v>
      </c>
      <c r="AJ1389" s="320">
        <v>4.2194092827004199E-3</v>
      </c>
      <c r="AK1389" s="320">
        <v>0</v>
      </c>
      <c r="AL1389" s="319"/>
      <c r="AM1389" s="319"/>
      <c r="AN1389" s="319"/>
      <c r="AO1389" s="319"/>
      <c r="AP1389">
        <v>4</v>
      </c>
      <c r="AR1389" s="319">
        <v>4</v>
      </c>
      <c r="AT1389" s="69">
        <v>2.3148</v>
      </c>
      <c r="AU1389" s="69">
        <v>5</v>
      </c>
      <c r="AV1389" s="69">
        <v>8.1305999999999994</v>
      </c>
      <c r="AW1389" s="69">
        <v>0.51480000000000004</v>
      </c>
      <c r="BB1389" s="69"/>
    </row>
    <row r="1390" spans="1:54" customFormat="1" ht="40" customHeight="1">
      <c r="A1390" s="313">
        <v>1389</v>
      </c>
      <c r="B1390" s="136" t="s">
        <v>3243</v>
      </c>
      <c r="C1390" s="136" t="s">
        <v>1191</v>
      </c>
      <c r="D1390" s="31"/>
      <c r="E1390" s="137" t="s">
        <v>80</v>
      </c>
      <c r="F1390" s="31"/>
      <c r="G1390" s="137" t="s">
        <v>4015</v>
      </c>
      <c r="H1390" s="138">
        <v>83</v>
      </c>
      <c r="I1390" s="158"/>
      <c r="J1390" s="95"/>
      <c r="K1390" s="137">
        <v>0.39390847326867401</v>
      </c>
      <c r="L1390" s="137">
        <v>0.32066029901501197</v>
      </c>
      <c r="M1390" s="137">
        <v>0.27182818284590399</v>
      </c>
      <c r="N1390" s="136" t="s">
        <v>3515</v>
      </c>
      <c r="O1390" s="32" t="s">
        <v>4016</v>
      </c>
      <c r="P1390" s="98">
        <f t="shared" si="90"/>
        <v>1</v>
      </c>
      <c r="Q1390">
        <v>4</v>
      </c>
      <c r="R1390">
        <v>0</v>
      </c>
      <c r="S1390">
        <v>0</v>
      </c>
      <c r="T1390" t="s">
        <v>5088</v>
      </c>
      <c r="U1390" t="s">
        <v>4017</v>
      </c>
      <c r="V1390" t="s">
        <v>4018</v>
      </c>
      <c r="W1390" s="319">
        <v>675</v>
      </c>
      <c r="X1390" s="319">
        <v>18</v>
      </c>
      <c r="Y1390" s="319">
        <v>8</v>
      </c>
      <c r="Z1390" s="314"/>
      <c r="AA1390" s="319">
        <v>0.60499999999999998</v>
      </c>
      <c r="AB1390" s="315" t="s">
        <v>5165</v>
      </c>
      <c r="AC1390" s="319">
        <v>4</v>
      </c>
      <c r="AD1390" s="320">
        <v>1.07238605898123E-2</v>
      </c>
      <c r="AE1390" s="319">
        <v>2</v>
      </c>
      <c r="AF1390" s="320">
        <v>5.3619302949061603E-3</v>
      </c>
      <c r="AG1390" s="319">
        <v>1</v>
      </c>
      <c r="AH1390" s="320">
        <v>2.6809651474530801E-3</v>
      </c>
      <c r="AI1390" s="319">
        <v>0</v>
      </c>
      <c r="AJ1390" s="320">
        <v>0</v>
      </c>
      <c r="AK1390" s="320">
        <v>0</v>
      </c>
      <c r="AL1390" s="319"/>
      <c r="AM1390" s="319"/>
      <c r="AN1390" s="319"/>
      <c r="AO1390" s="319"/>
      <c r="AP1390">
        <v>8</v>
      </c>
      <c r="AR1390" s="319">
        <v>8</v>
      </c>
      <c r="AT1390" s="69">
        <v>6.3414000000000001</v>
      </c>
      <c r="AU1390" s="69">
        <v>2.3148</v>
      </c>
      <c r="AV1390" s="69">
        <v>8.1305999999999994</v>
      </c>
      <c r="AW1390" s="69">
        <v>0.55959999999999999</v>
      </c>
      <c r="BB1390" s="69"/>
    </row>
    <row r="1391" spans="1:54" customFormat="1" ht="40" customHeight="1">
      <c r="A1391" s="313">
        <v>1390</v>
      </c>
      <c r="B1391" s="136" t="s">
        <v>3243</v>
      </c>
      <c r="C1391" s="136" t="s">
        <v>45</v>
      </c>
      <c r="D1391" s="31"/>
      <c r="E1391" s="137" t="s">
        <v>80</v>
      </c>
      <c r="F1391" s="31"/>
      <c r="G1391" s="137" t="s">
        <v>4019</v>
      </c>
      <c r="H1391" s="138">
        <v>52</v>
      </c>
      <c r="I1391" s="158"/>
      <c r="J1391" s="95"/>
      <c r="K1391" s="137">
        <v>0.54824604854737402</v>
      </c>
      <c r="L1391" s="137">
        <v>0.22741853641314599</v>
      </c>
      <c r="M1391" s="137">
        <v>1.35335283236613E-2</v>
      </c>
      <c r="N1391" s="136" t="s">
        <v>4020</v>
      </c>
      <c r="O1391" s="32" t="s">
        <v>4021</v>
      </c>
      <c r="P1391" s="98">
        <f t="shared" si="90"/>
        <v>1</v>
      </c>
      <c r="Q1391">
        <v>0</v>
      </c>
      <c r="R1391">
        <v>1</v>
      </c>
      <c r="S1391">
        <v>0</v>
      </c>
      <c r="T1391" t="s">
        <v>5132</v>
      </c>
      <c r="U1391" t="s">
        <v>4022</v>
      </c>
      <c r="V1391" t="s">
        <v>4023</v>
      </c>
      <c r="W1391" s="319">
        <v>125</v>
      </c>
      <c r="X1391" s="319">
        <v>10</v>
      </c>
      <c r="Y1391" s="319">
        <v>1</v>
      </c>
      <c r="Z1391" s="314"/>
      <c r="AA1391" s="319">
        <v>0.54500000000000004</v>
      </c>
      <c r="AB1391" s="315" t="s">
        <v>5165</v>
      </c>
      <c r="AC1391" s="319">
        <v>2</v>
      </c>
      <c r="AD1391" s="320">
        <v>2.77777777777777E-2</v>
      </c>
      <c r="AE1391" s="319">
        <v>1</v>
      </c>
      <c r="AF1391" s="320">
        <v>1.38888888888888E-2</v>
      </c>
      <c r="AG1391" s="319">
        <v>0</v>
      </c>
      <c r="AH1391" s="320">
        <v>0</v>
      </c>
      <c r="AI1391" s="319">
        <v>0</v>
      </c>
      <c r="AJ1391" s="320">
        <v>0</v>
      </c>
      <c r="AK1391" s="320">
        <v>0</v>
      </c>
      <c r="AL1391" s="319"/>
      <c r="AM1391" s="319"/>
      <c r="AN1391" s="319"/>
      <c r="AO1391" s="319"/>
      <c r="AP1391">
        <v>1</v>
      </c>
      <c r="AR1391" s="319">
        <v>1</v>
      </c>
      <c r="AT1391" s="69">
        <v>2.3148</v>
      </c>
      <c r="AU1391" s="69">
        <v>2.3148</v>
      </c>
      <c r="AV1391" s="69">
        <v>9.8416999999999994</v>
      </c>
      <c r="AW1391" s="69">
        <v>0.4824</v>
      </c>
      <c r="BB1391" s="69"/>
    </row>
    <row r="1392" spans="1:54" customFormat="1" ht="40" customHeight="1">
      <c r="A1392" s="313">
        <v>1391</v>
      </c>
      <c r="B1392" s="136" t="s">
        <v>3243</v>
      </c>
      <c r="C1392" s="136" t="s">
        <v>45</v>
      </c>
      <c r="D1392" s="31"/>
      <c r="E1392" s="137" t="s">
        <v>80</v>
      </c>
      <c r="F1392" s="31"/>
      <c r="G1392" s="137" t="s">
        <v>4024</v>
      </c>
      <c r="H1392" s="138">
        <v>263</v>
      </c>
      <c r="I1392" s="158"/>
      <c r="J1392" s="95"/>
      <c r="K1392" s="137">
        <v>0.526196458520657</v>
      </c>
      <c r="L1392" s="137">
        <v>0.27047858340826297</v>
      </c>
      <c r="M1392" s="137">
        <v>0.1</v>
      </c>
      <c r="N1392" s="136" t="s">
        <v>4025</v>
      </c>
      <c r="O1392" s="32" t="s">
        <v>4026</v>
      </c>
      <c r="P1392" s="98">
        <f t="shared" si="90"/>
        <v>1</v>
      </c>
      <c r="Q1392">
        <v>0</v>
      </c>
      <c r="R1392">
        <v>6</v>
      </c>
      <c r="S1392">
        <v>0</v>
      </c>
      <c r="T1392" t="s">
        <v>73</v>
      </c>
      <c r="U1392" t="s">
        <v>4027</v>
      </c>
      <c r="V1392" t="s">
        <v>4028</v>
      </c>
      <c r="W1392" s="319">
        <v>47</v>
      </c>
      <c r="X1392" s="319">
        <v>11</v>
      </c>
      <c r="Y1392" s="319">
        <v>1</v>
      </c>
      <c r="Z1392" s="314"/>
      <c r="AA1392" s="319">
        <v>0.73204999999999998</v>
      </c>
      <c r="AB1392" s="315" t="s">
        <v>5165</v>
      </c>
      <c r="AC1392" s="319">
        <v>2</v>
      </c>
      <c r="AD1392" s="320">
        <v>7.69230769230769E-2</v>
      </c>
      <c r="AE1392" s="319">
        <v>0</v>
      </c>
      <c r="AF1392" s="320">
        <v>0</v>
      </c>
      <c r="AG1392" s="319">
        <v>0</v>
      </c>
      <c r="AH1392" s="320">
        <v>0</v>
      </c>
      <c r="AI1392" s="319">
        <v>0</v>
      </c>
      <c r="AJ1392" s="320">
        <v>0</v>
      </c>
      <c r="AK1392" s="320">
        <v>0</v>
      </c>
      <c r="AL1392" s="319"/>
      <c r="AM1392" s="319"/>
      <c r="AN1392" s="319"/>
      <c r="AO1392" s="319"/>
      <c r="AP1392">
        <v>1</v>
      </c>
      <c r="AR1392" s="319">
        <v>1</v>
      </c>
      <c r="AT1392" s="69">
        <v>2.3148</v>
      </c>
      <c r="AU1392" s="69">
        <v>5</v>
      </c>
      <c r="AV1392" s="69">
        <v>2.3148</v>
      </c>
      <c r="AW1392" s="69">
        <v>0.32100000000000001</v>
      </c>
      <c r="BB1392" s="69"/>
    </row>
    <row r="1393" spans="1:54" customFormat="1" ht="40" customHeight="1">
      <c r="A1393" s="313">
        <v>1392</v>
      </c>
      <c r="B1393" s="136" t="s">
        <v>1222</v>
      </c>
      <c r="C1393" s="136" t="s">
        <v>45</v>
      </c>
      <c r="D1393" s="31"/>
      <c r="E1393" s="137" t="s">
        <v>46</v>
      </c>
      <c r="F1393" s="31"/>
      <c r="G1393" s="137" t="s">
        <v>4029</v>
      </c>
      <c r="H1393" s="138">
        <v>80</v>
      </c>
      <c r="I1393" s="158"/>
      <c r="J1393" s="95"/>
      <c r="K1393" s="137">
        <v>0.48492124636228701</v>
      </c>
      <c r="L1393" s="137">
        <v>0.19695572264698699</v>
      </c>
      <c r="M1393" s="137">
        <v>4.9787068367863896E-3</v>
      </c>
      <c r="N1393" s="136" t="s">
        <v>4030</v>
      </c>
      <c r="O1393" s="32" t="s">
        <v>4031</v>
      </c>
      <c r="P1393" s="98">
        <f t="shared" si="90"/>
        <v>1</v>
      </c>
      <c r="Q1393">
        <v>0</v>
      </c>
      <c r="R1393">
        <v>0</v>
      </c>
      <c r="S1393">
        <v>2</v>
      </c>
      <c r="T1393" t="s">
        <v>5133</v>
      </c>
      <c r="U1393" t="s">
        <v>4032</v>
      </c>
      <c r="V1393" t="s">
        <v>4033</v>
      </c>
      <c r="W1393" s="319">
        <v>63</v>
      </c>
      <c r="X1393" s="319">
        <v>13</v>
      </c>
      <c r="Y1393" s="319">
        <v>1</v>
      </c>
      <c r="Z1393" s="314"/>
      <c r="AA1393" s="319">
        <v>0.45909090909090899</v>
      </c>
      <c r="AB1393" s="315" t="s">
        <v>5168</v>
      </c>
      <c r="AC1393" s="319">
        <v>1</v>
      </c>
      <c r="AD1393" s="320">
        <v>2.94117647058823E-2</v>
      </c>
      <c r="AE1393" s="319">
        <v>0</v>
      </c>
      <c r="AF1393" s="320">
        <v>0</v>
      </c>
      <c r="AG1393" s="319">
        <v>3</v>
      </c>
      <c r="AH1393" s="320">
        <v>8.8235294117646995E-2</v>
      </c>
      <c r="AI1393" s="319">
        <v>0</v>
      </c>
      <c r="AJ1393" s="320">
        <v>0</v>
      </c>
      <c r="AK1393" s="320">
        <v>0</v>
      </c>
      <c r="AL1393" s="319"/>
      <c r="AM1393" s="319"/>
      <c r="AN1393" s="319"/>
      <c r="AO1393" s="319"/>
      <c r="AP1393">
        <v>1</v>
      </c>
      <c r="AQ1393" s="319">
        <v>1</v>
      </c>
      <c r="AT1393" s="69">
        <v>2.3148</v>
      </c>
      <c r="AU1393" s="69">
        <v>2.3148</v>
      </c>
      <c r="AV1393" s="69">
        <v>5.7443999999999997</v>
      </c>
      <c r="AW1393" s="69">
        <v>0.3458</v>
      </c>
      <c r="BB1393" s="69"/>
    </row>
    <row r="1394" spans="1:54" customFormat="1" ht="40" customHeight="1">
      <c r="A1394" s="313">
        <v>1393</v>
      </c>
      <c r="B1394" s="136" t="s">
        <v>589</v>
      </c>
      <c r="C1394" s="136" t="s">
        <v>45</v>
      </c>
      <c r="D1394" s="31"/>
      <c r="E1394" s="137" t="s">
        <v>80</v>
      </c>
      <c r="F1394" s="31"/>
      <c r="G1394" s="137" t="s">
        <v>4034</v>
      </c>
      <c r="H1394" s="138">
        <v>166</v>
      </c>
      <c r="I1394" s="158"/>
      <c r="J1394" s="95"/>
      <c r="K1394" s="137">
        <v>0.44671666482751199</v>
      </c>
      <c r="L1394" s="137">
        <v>0.23868666593100499</v>
      </c>
      <c r="M1394" s="137">
        <v>0.1</v>
      </c>
      <c r="N1394" s="136" t="s">
        <v>3370</v>
      </c>
      <c r="O1394" s="32" t="s">
        <v>4035</v>
      </c>
      <c r="P1394" s="98">
        <f t="shared" si="90"/>
        <v>1</v>
      </c>
      <c r="Q1394">
        <v>2</v>
      </c>
      <c r="R1394">
        <v>7</v>
      </c>
      <c r="S1394">
        <v>0</v>
      </c>
      <c r="T1394" t="s">
        <v>5132</v>
      </c>
      <c r="U1394" t="s">
        <v>4036</v>
      </c>
      <c r="V1394" t="s">
        <v>4037</v>
      </c>
      <c r="W1394" s="319">
        <v>541</v>
      </c>
      <c r="X1394" s="319">
        <v>15</v>
      </c>
      <c r="Y1394" s="319">
        <v>7</v>
      </c>
      <c r="Z1394" s="314"/>
      <c r="AA1394" s="319">
        <v>0.66549999999999998</v>
      </c>
      <c r="AB1394" s="315" t="s">
        <v>5179</v>
      </c>
      <c r="AC1394" s="319">
        <v>4</v>
      </c>
      <c r="AD1394" s="320">
        <v>1.32013201320132E-2</v>
      </c>
      <c r="AE1394" s="319">
        <v>4</v>
      </c>
      <c r="AF1394" s="320">
        <v>1.32013201320132E-2</v>
      </c>
      <c r="AG1394" s="319">
        <v>4</v>
      </c>
      <c r="AH1394" s="320">
        <v>1.32013201320132E-2</v>
      </c>
      <c r="AI1394" s="319">
        <v>1</v>
      </c>
      <c r="AJ1394" s="320">
        <v>3.3003300330032999E-3</v>
      </c>
      <c r="AK1394" s="320">
        <v>0</v>
      </c>
      <c r="AL1394" s="319"/>
      <c r="AM1394" s="319"/>
      <c r="AN1394" s="319"/>
      <c r="AO1394" s="319"/>
      <c r="AP1394">
        <v>7</v>
      </c>
      <c r="AR1394" s="319">
        <v>7</v>
      </c>
      <c r="AT1394" s="69">
        <v>6.3414000000000001</v>
      </c>
      <c r="AU1394" s="69">
        <v>7.6852</v>
      </c>
      <c r="AV1394" s="69">
        <v>8.1305999999999994</v>
      </c>
      <c r="AW1394" s="69">
        <v>0.73860000000000003</v>
      </c>
      <c r="BB1394" s="69"/>
    </row>
    <row r="1395" spans="1:54" customFormat="1" ht="40" customHeight="1">
      <c r="A1395" s="313">
        <v>1394</v>
      </c>
      <c r="B1395" s="136" t="s">
        <v>3243</v>
      </c>
      <c r="C1395" s="136" t="s">
        <v>1191</v>
      </c>
      <c r="D1395" s="31"/>
      <c r="E1395" s="137" t="s">
        <v>80</v>
      </c>
      <c r="F1395" s="31"/>
      <c r="G1395" s="137" t="s">
        <v>3974</v>
      </c>
      <c r="H1395" s="138">
        <v>41</v>
      </c>
      <c r="I1395" s="158"/>
      <c r="J1395" s="95"/>
      <c r="K1395" s="137">
        <v>0.526196458520657</v>
      </c>
      <c r="L1395" s="137">
        <v>0.37357549311580601</v>
      </c>
      <c r="M1395" s="137">
        <v>0.27182818284590399</v>
      </c>
      <c r="N1395" s="136" t="s">
        <v>3286</v>
      </c>
      <c r="O1395" s="32" t="s">
        <v>4038</v>
      </c>
      <c r="P1395" s="98">
        <f t="shared" si="90"/>
        <v>0</v>
      </c>
      <c r="Q1395">
        <v>0</v>
      </c>
      <c r="R1395">
        <v>0</v>
      </c>
      <c r="S1395">
        <v>0</v>
      </c>
      <c r="T1395" t="s">
        <v>48</v>
      </c>
      <c r="U1395" t="s">
        <v>4039</v>
      </c>
      <c r="V1395" t="s">
        <v>4040</v>
      </c>
      <c r="W1395" s="319">
        <v>166</v>
      </c>
      <c r="X1395" s="319">
        <v>11</v>
      </c>
      <c r="Y1395" s="319">
        <v>2</v>
      </c>
      <c r="Z1395" s="314"/>
      <c r="AA1395" s="319">
        <v>0.66549999999999998</v>
      </c>
      <c r="AB1395" s="315" t="s">
        <v>5176</v>
      </c>
      <c r="AC1395" s="319">
        <v>2</v>
      </c>
      <c r="AD1395" s="320">
        <v>0.02</v>
      </c>
      <c r="AE1395" s="319">
        <v>5</v>
      </c>
      <c r="AF1395" s="320">
        <v>0.05</v>
      </c>
      <c r="AG1395" s="319">
        <v>1</v>
      </c>
      <c r="AH1395" s="320">
        <v>0.01</v>
      </c>
      <c r="AI1395" s="319">
        <v>0</v>
      </c>
      <c r="AJ1395" s="320">
        <v>0</v>
      </c>
      <c r="AK1395" s="320">
        <v>0.01</v>
      </c>
      <c r="AL1395" s="319"/>
      <c r="AM1395" s="319"/>
      <c r="AN1395" s="319"/>
      <c r="AO1395" s="319"/>
      <c r="AP1395">
        <v>2</v>
      </c>
      <c r="AR1395" s="319">
        <v>2</v>
      </c>
      <c r="AT1395" s="69">
        <v>2.3148</v>
      </c>
      <c r="AU1395" s="69">
        <v>5</v>
      </c>
      <c r="AV1395" s="69">
        <v>2.3148</v>
      </c>
      <c r="AW1395" s="69">
        <v>0.32100000000000001</v>
      </c>
      <c r="BB1395" s="69"/>
    </row>
    <row r="1396" spans="1:54" customFormat="1" ht="40" customHeight="1">
      <c r="A1396" s="313">
        <v>1395</v>
      </c>
      <c r="B1396" s="136" t="s">
        <v>3243</v>
      </c>
      <c r="C1396" s="136" t="s">
        <v>1191</v>
      </c>
      <c r="D1396" s="31"/>
      <c r="E1396" s="137" t="s">
        <v>80</v>
      </c>
      <c r="F1396" s="31"/>
      <c r="G1396" s="137" t="s">
        <v>4041</v>
      </c>
      <c r="H1396" s="138">
        <v>38</v>
      </c>
      <c r="I1396" s="158"/>
      <c r="J1396" s="95"/>
      <c r="K1396" s="137">
        <v>0.46547751617515098</v>
      </c>
      <c r="L1396" s="137">
        <v>0.34928791617760302</v>
      </c>
      <c r="M1396" s="137">
        <v>0.27182818284590399</v>
      </c>
      <c r="N1396" s="136" t="s">
        <v>4042</v>
      </c>
      <c r="O1396" s="32" t="s">
        <v>4043</v>
      </c>
      <c r="P1396" s="98">
        <f t="shared" si="90"/>
        <v>0</v>
      </c>
      <c r="Q1396">
        <v>0</v>
      </c>
      <c r="R1396">
        <v>0</v>
      </c>
      <c r="S1396">
        <v>0</v>
      </c>
      <c r="T1396" t="s">
        <v>48</v>
      </c>
      <c r="U1396" t="s">
        <v>4044</v>
      </c>
      <c r="V1396" t="s">
        <v>4045</v>
      </c>
      <c r="W1396" s="319">
        <v>151</v>
      </c>
      <c r="X1396" s="319">
        <v>14</v>
      </c>
      <c r="Y1396" s="319">
        <v>2</v>
      </c>
      <c r="Z1396" s="314"/>
      <c r="AA1396" s="319">
        <v>0.70884499999999995</v>
      </c>
      <c r="AB1396" s="315" t="s">
        <v>5176</v>
      </c>
      <c r="AC1396" s="319">
        <v>2</v>
      </c>
      <c r="AD1396" s="320">
        <v>2.19780219780219E-2</v>
      </c>
      <c r="AE1396" s="319">
        <v>5</v>
      </c>
      <c r="AF1396" s="320">
        <v>5.4945054945054903E-2</v>
      </c>
      <c r="AG1396" s="319">
        <v>1</v>
      </c>
      <c r="AH1396" s="320">
        <v>1.09890109890109E-2</v>
      </c>
      <c r="AI1396" s="319">
        <v>0</v>
      </c>
      <c r="AJ1396" s="320">
        <v>0</v>
      </c>
      <c r="AK1396" s="320">
        <v>1.098901098901099E-2</v>
      </c>
      <c r="AL1396" s="319"/>
      <c r="AM1396" s="319"/>
      <c r="AN1396" s="319"/>
      <c r="AO1396" s="319"/>
      <c r="AP1396">
        <v>2</v>
      </c>
      <c r="AR1396" s="319">
        <v>2</v>
      </c>
      <c r="AT1396" s="69">
        <v>2.3148</v>
      </c>
      <c r="AU1396" s="69">
        <v>5</v>
      </c>
      <c r="AV1396" s="69">
        <v>8.1305999999999994</v>
      </c>
      <c r="AW1396" s="69">
        <v>0.51480000000000004</v>
      </c>
      <c r="BB1396" s="69"/>
    </row>
    <row r="1397" spans="1:54" customFormat="1" ht="40" customHeight="1">
      <c r="A1397" s="313">
        <v>1396</v>
      </c>
      <c r="B1397" s="136" t="s">
        <v>3243</v>
      </c>
      <c r="C1397" s="136" t="s">
        <v>45</v>
      </c>
      <c r="D1397" s="31"/>
      <c r="E1397" s="137" t="s">
        <v>46</v>
      </c>
      <c r="F1397" s="31"/>
      <c r="G1397" s="137" t="s">
        <v>4046</v>
      </c>
      <c r="H1397" s="138">
        <v>137</v>
      </c>
      <c r="I1397" s="158"/>
      <c r="J1397" s="95"/>
      <c r="K1397" s="137">
        <v>0.48492124636228701</v>
      </c>
      <c r="L1397" s="137">
        <v>0.35706540825245803</v>
      </c>
      <c r="M1397" s="137">
        <v>0.27182818284590399</v>
      </c>
      <c r="N1397" s="136" t="s">
        <v>3243</v>
      </c>
      <c r="O1397" s="32" t="s">
        <v>4047</v>
      </c>
      <c r="P1397" s="98">
        <f t="shared" si="90"/>
        <v>1</v>
      </c>
      <c r="Q1397">
        <v>3</v>
      </c>
      <c r="R1397">
        <v>5</v>
      </c>
      <c r="S1397">
        <v>3</v>
      </c>
      <c r="T1397" t="s">
        <v>5132</v>
      </c>
      <c r="U1397" t="s">
        <v>4048</v>
      </c>
      <c r="V1397" t="s">
        <v>4049</v>
      </c>
      <c r="W1397" s="319">
        <v>82</v>
      </c>
      <c r="X1397" s="319">
        <v>13</v>
      </c>
      <c r="Y1397" s="319">
        <v>2</v>
      </c>
      <c r="Z1397" s="314"/>
      <c r="AA1397" s="319">
        <v>0.55000000000000004</v>
      </c>
      <c r="AB1397" s="315" t="s">
        <v>5176</v>
      </c>
      <c r="AC1397" s="319">
        <v>1</v>
      </c>
      <c r="AD1397" s="320">
        <v>2.04081632653061E-2</v>
      </c>
      <c r="AE1397" s="319">
        <v>4</v>
      </c>
      <c r="AF1397" s="320">
        <v>8.1632653061224497E-2</v>
      </c>
      <c r="AG1397" s="319">
        <v>0</v>
      </c>
      <c r="AH1397" s="320">
        <v>0</v>
      </c>
      <c r="AI1397" s="319">
        <v>0</v>
      </c>
      <c r="AJ1397" s="320">
        <v>0</v>
      </c>
      <c r="AK1397" s="320">
        <v>2.0408163265306121E-2</v>
      </c>
      <c r="AL1397" s="319"/>
      <c r="AM1397" s="319"/>
      <c r="AN1397" s="319"/>
      <c r="AO1397" s="319"/>
      <c r="AP1397">
        <v>2</v>
      </c>
      <c r="AR1397" s="319">
        <v>2</v>
      </c>
      <c r="AT1397" s="69">
        <v>2.3148</v>
      </c>
      <c r="AU1397" s="69">
        <v>2.3148</v>
      </c>
      <c r="AV1397" s="69">
        <v>5.7443999999999997</v>
      </c>
      <c r="AW1397" s="69">
        <v>0.3458</v>
      </c>
      <c r="BB1397" s="69"/>
    </row>
    <row r="1398" spans="1:54" customFormat="1" ht="40" customHeight="1">
      <c r="A1398" s="313">
        <v>1397</v>
      </c>
      <c r="B1398" s="136" t="s">
        <v>3243</v>
      </c>
      <c r="C1398" s="136" t="s">
        <v>45</v>
      </c>
      <c r="D1398" s="31"/>
      <c r="E1398" s="137" t="s">
        <v>46</v>
      </c>
      <c r="F1398" s="31"/>
      <c r="G1398" s="137" t="s">
        <v>4050</v>
      </c>
      <c r="H1398" s="138">
        <v>219</v>
      </c>
      <c r="I1398" s="158"/>
      <c r="J1398" s="95"/>
      <c r="K1398" s="137">
        <v>0.71428571428571397</v>
      </c>
      <c r="L1398" s="137">
        <v>0.28573441347195999</v>
      </c>
      <c r="M1398" s="137">
        <v>3.3546262790251203E-5</v>
      </c>
      <c r="N1398" s="136" t="s">
        <v>4051</v>
      </c>
      <c r="O1398" s="32" t="s">
        <v>4052</v>
      </c>
      <c r="P1398" s="98">
        <f t="shared" si="90"/>
        <v>1</v>
      </c>
      <c r="Q1398">
        <v>0</v>
      </c>
      <c r="R1398">
        <v>6</v>
      </c>
      <c r="S1398">
        <v>0</v>
      </c>
      <c r="T1398" t="s">
        <v>73</v>
      </c>
      <c r="U1398" t="s">
        <v>4053</v>
      </c>
      <c r="V1398" t="s">
        <v>4054</v>
      </c>
      <c r="W1398" s="319">
        <v>152</v>
      </c>
      <c r="X1398" s="319">
        <v>4</v>
      </c>
      <c r="Y1398" s="319">
        <v>2</v>
      </c>
      <c r="Z1398" s="314"/>
      <c r="AA1398" s="319">
        <v>4.0764579344467096E-3</v>
      </c>
      <c r="AB1398" s="315" t="s">
        <v>5176</v>
      </c>
      <c r="AC1398" s="319">
        <v>2</v>
      </c>
      <c r="AD1398" s="320">
        <v>2.2222222222222199E-2</v>
      </c>
      <c r="AE1398" s="319">
        <v>5</v>
      </c>
      <c r="AF1398" s="320">
        <v>5.5555555555555497E-2</v>
      </c>
      <c r="AG1398" s="319">
        <v>1</v>
      </c>
      <c r="AH1398" s="320">
        <v>1.1111111111111099E-2</v>
      </c>
      <c r="AI1398" s="319">
        <v>0</v>
      </c>
      <c r="AJ1398" s="320">
        <v>0</v>
      </c>
      <c r="AK1398" s="320">
        <v>1.111111111111111E-2</v>
      </c>
      <c r="AL1398" s="319"/>
      <c r="AM1398" s="319"/>
      <c r="AN1398" s="319"/>
      <c r="AO1398" s="319"/>
      <c r="AP1398">
        <v>2</v>
      </c>
      <c r="AR1398" s="319">
        <v>2</v>
      </c>
      <c r="AT1398" s="69">
        <v>2.3148</v>
      </c>
      <c r="AU1398" s="69">
        <v>5</v>
      </c>
      <c r="AV1398" s="69">
        <v>9.5120000000000005</v>
      </c>
      <c r="AW1398" s="69">
        <v>0.56089999999999995</v>
      </c>
      <c r="BB1398" s="69"/>
    </row>
    <row r="1399" spans="1:54" customFormat="1" ht="40" customHeight="1">
      <c r="A1399" s="313">
        <v>1398</v>
      </c>
      <c r="B1399" s="136" t="s">
        <v>3243</v>
      </c>
      <c r="C1399" s="136" t="s">
        <v>1191</v>
      </c>
      <c r="D1399" s="31"/>
      <c r="E1399" s="137" t="s">
        <v>80</v>
      </c>
      <c r="F1399" s="31"/>
      <c r="G1399" s="137" t="s">
        <v>4055</v>
      </c>
      <c r="H1399" s="138">
        <v>82</v>
      </c>
      <c r="I1399" s="158"/>
      <c r="J1399" s="95"/>
      <c r="K1399" s="137">
        <v>0.62203552699077302</v>
      </c>
      <c r="L1399" s="137">
        <v>0.308814210796309</v>
      </c>
      <c r="M1399" s="137">
        <v>0.1</v>
      </c>
      <c r="N1399" s="136" t="s">
        <v>3272</v>
      </c>
      <c r="O1399" s="32" t="s">
        <v>4056</v>
      </c>
      <c r="P1399" s="98">
        <f t="shared" si="90"/>
        <v>1</v>
      </c>
      <c r="Q1399">
        <v>1</v>
      </c>
      <c r="R1399">
        <v>0</v>
      </c>
      <c r="S1399">
        <v>0</v>
      </c>
      <c r="T1399" t="s">
        <v>5088</v>
      </c>
      <c r="U1399" t="s">
        <v>4057</v>
      </c>
      <c r="V1399" t="s">
        <v>4058</v>
      </c>
      <c r="W1399" s="319">
        <v>133</v>
      </c>
      <c r="X1399" s="319">
        <v>7</v>
      </c>
      <c r="Y1399" s="319">
        <v>2</v>
      </c>
      <c r="Z1399" s="314"/>
      <c r="AA1399" s="319">
        <v>0.64895000000000003</v>
      </c>
      <c r="AB1399" s="315" t="s">
        <v>5176</v>
      </c>
      <c r="AC1399" s="319">
        <v>2</v>
      </c>
      <c r="AD1399" s="320">
        <v>2.53164556962025E-2</v>
      </c>
      <c r="AE1399" s="319">
        <v>5</v>
      </c>
      <c r="AF1399" s="320">
        <v>6.3291139240506306E-2</v>
      </c>
      <c r="AG1399" s="319">
        <v>1</v>
      </c>
      <c r="AH1399" s="320">
        <v>1.26582278481012E-2</v>
      </c>
      <c r="AI1399" s="319">
        <v>0</v>
      </c>
      <c r="AJ1399" s="320">
        <v>0</v>
      </c>
      <c r="AK1399" s="320">
        <v>1.2658227848101271E-2</v>
      </c>
      <c r="AL1399" s="319"/>
      <c r="AM1399" s="319"/>
      <c r="AN1399" s="319"/>
      <c r="AO1399" s="319"/>
      <c r="AP1399">
        <v>2</v>
      </c>
      <c r="AR1399" s="319">
        <v>2</v>
      </c>
      <c r="AT1399" s="69">
        <v>2.3148</v>
      </c>
      <c r="AU1399" s="69">
        <v>7.6852</v>
      </c>
      <c r="AV1399" s="69">
        <v>2.3148</v>
      </c>
      <c r="AW1399" s="69">
        <v>0.41049999999999998</v>
      </c>
      <c r="BB1399" s="69"/>
    </row>
    <row r="1400" spans="1:54" customFormat="1" ht="40" customHeight="1">
      <c r="A1400" s="313">
        <v>1399</v>
      </c>
      <c r="B1400" s="136" t="s">
        <v>3243</v>
      </c>
      <c r="C1400" s="136" t="s">
        <v>45</v>
      </c>
      <c r="D1400" s="31"/>
      <c r="E1400" s="137" t="s">
        <v>80</v>
      </c>
      <c r="F1400" s="31"/>
      <c r="G1400" s="137" t="s">
        <v>4059</v>
      </c>
      <c r="H1400" s="138">
        <v>72</v>
      </c>
      <c r="I1400" s="158"/>
      <c r="J1400" s="95"/>
      <c r="K1400" s="137">
        <v>0.54824604854737402</v>
      </c>
      <c r="L1400" s="137">
        <v>0.27929841941895001</v>
      </c>
      <c r="M1400" s="137">
        <v>0.1</v>
      </c>
      <c r="N1400" s="136" t="s">
        <v>3286</v>
      </c>
      <c r="O1400" s="32" t="s">
        <v>4060</v>
      </c>
      <c r="P1400" s="98">
        <f t="shared" si="90"/>
        <v>1</v>
      </c>
      <c r="Q1400">
        <v>3</v>
      </c>
      <c r="R1400">
        <v>0</v>
      </c>
      <c r="S1400">
        <v>0</v>
      </c>
      <c r="T1400" t="s">
        <v>5088</v>
      </c>
      <c r="U1400" t="s">
        <v>4061</v>
      </c>
      <c r="V1400" t="s">
        <v>4062</v>
      </c>
      <c r="W1400" s="319">
        <v>99</v>
      </c>
      <c r="X1400" s="319">
        <v>10</v>
      </c>
      <c r="Y1400" s="319">
        <v>2</v>
      </c>
      <c r="Z1400" s="314"/>
      <c r="AA1400" s="319">
        <v>0.60499999999999998</v>
      </c>
      <c r="AB1400" s="315" t="s">
        <v>5176</v>
      </c>
      <c r="AC1400" s="319">
        <v>3</v>
      </c>
      <c r="AD1400" s="320">
        <v>5.0847457627118599E-2</v>
      </c>
      <c r="AE1400" s="319">
        <v>4</v>
      </c>
      <c r="AF1400" s="320">
        <v>6.7796610169491497E-2</v>
      </c>
      <c r="AG1400" s="319">
        <v>1</v>
      </c>
      <c r="AH1400" s="320">
        <v>1.6949152542372801E-2</v>
      </c>
      <c r="AI1400" s="319">
        <v>0</v>
      </c>
      <c r="AJ1400" s="320">
        <v>0</v>
      </c>
      <c r="AK1400" s="320">
        <v>1.6949152542372881E-2</v>
      </c>
      <c r="AL1400" s="319"/>
      <c r="AM1400" s="319"/>
      <c r="AN1400" s="319"/>
      <c r="AO1400" s="319"/>
      <c r="AP1400">
        <v>2</v>
      </c>
      <c r="AS1400" s="319">
        <v>2</v>
      </c>
      <c r="AT1400" s="69">
        <v>2.3148</v>
      </c>
      <c r="AU1400" s="69">
        <v>7.6852</v>
      </c>
      <c r="AV1400" s="69">
        <v>2.3148</v>
      </c>
      <c r="AW1400" s="69">
        <v>0.41049999999999998</v>
      </c>
      <c r="BB1400" s="69"/>
    </row>
    <row r="1401" spans="1:54" customFormat="1" ht="40" customHeight="1">
      <c r="A1401" s="313">
        <v>1400</v>
      </c>
      <c r="B1401" s="136" t="s">
        <v>3243</v>
      </c>
      <c r="C1401" s="136" t="s">
        <v>45</v>
      </c>
      <c r="D1401" s="31"/>
      <c r="E1401" s="137" t="s">
        <v>46</v>
      </c>
      <c r="F1401" s="31"/>
      <c r="G1401" s="137" t="s">
        <v>4063</v>
      </c>
      <c r="H1401" s="138">
        <v>320</v>
      </c>
      <c r="I1401" s="158"/>
      <c r="J1401" s="95"/>
      <c r="K1401" s="137">
        <v>0.44671666482751199</v>
      </c>
      <c r="L1401" s="137">
        <v>0.17883539106160501</v>
      </c>
      <c r="M1401" s="137">
        <v>2.4787521766663601E-4</v>
      </c>
      <c r="N1401" s="136" t="s">
        <v>4064</v>
      </c>
      <c r="O1401" s="32" t="s">
        <v>4065</v>
      </c>
      <c r="P1401" s="98">
        <f t="shared" si="90"/>
        <v>1</v>
      </c>
      <c r="Q1401">
        <v>0</v>
      </c>
      <c r="R1401">
        <v>6</v>
      </c>
      <c r="S1401">
        <v>0</v>
      </c>
      <c r="T1401" t="s">
        <v>73</v>
      </c>
      <c r="U1401" s="1" t="s">
        <v>4066</v>
      </c>
      <c r="V1401" t="s">
        <v>4067</v>
      </c>
      <c r="W1401" s="319">
        <v>1782</v>
      </c>
      <c r="X1401" s="319">
        <v>15</v>
      </c>
      <c r="Y1401" s="319">
        <v>10</v>
      </c>
      <c r="Z1401" s="314"/>
      <c r="AA1401" s="319">
        <v>1.60858622504763E-3</v>
      </c>
      <c r="AB1401" s="315" t="s">
        <v>5165</v>
      </c>
      <c r="AC1401" s="319">
        <v>8</v>
      </c>
      <c r="AD1401" s="320">
        <v>8.2815734989648004E-3</v>
      </c>
      <c r="AE1401" s="319">
        <v>7</v>
      </c>
      <c r="AF1401" s="320">
        <v>7.2463768115942004E-3</v>
      </c>
      <c r="AG1401" s="319">
        <v>1</v>
      </c>
      <c r="AH1401" s="320">
        <v>1.0351966873706001E-3</v>
      </c>
      <c r="AI1401" s="319">
        <v>0</v>
      </c>
      <c r="AJ1401" s="320">
        <v>0</v>
      </c>
      <c r="AK1401" s="320">
        <v>1.0351966873706001E-3</v>
      </c>
      <c r="AL1401" s="319"/>
      <c r="AM1401" s="319"/>
      <c r="AN1401" s="319"/>
      <c r="AO1401" s="319"/>
      <c r="AP1401">
        <v>10</v>
      </c>
      <c r="AR1401" s="319">
        <v>10</v>
      </c>
      <c r="AT1401" s="69">
        <v>2.3148</v>
      </c>
      <c r="AU1401" s="69">
        <v>5</v>
      </c>
      <c r="AV1401" s="69">
        <v>8.1305999999999994</v>
      </c>
      <c r="AW1401" s="69">
        <v>0.51480000000000004</v>
      </c>
      <c r="BB1401" s="69"/>
    </row>
    <row r="1402" spans="1:54" customFormat="1" ht="40" customHeight="1">
      <c r="A1402" s="313">
        <v>1401</v>
      </c>
      <c r="B1402" s="136" t="s">
        <v>3243</v>
      </c>
      <c r="C1402" s="136" t="s">
        <v>45</v>
      </c>
      <c r="D1402" s="31"/>
      <c r="E1402" s="137" t="s">
        <v>46</v>
      </c>
      <c r="F1402" s="31"/>
      <c r="G1402" s="137" t="s">
        <v>539</v>
      </c>
      <c r="H1402" s="138">
        <v>136</v>
      </c>
      <c r="I1402" s="158"/>
      <c r="J1402" s="95"/>
      <c r="K1402" s="137">
        <v>0.30014578777623502</v>
      </c>
      <c r="L1402" s="137">
        <v>0.123045539212566</v>
      </c>
      <c r="M1402" s="137">
        <v>4.9787068367863896E-3</v>
      </c>
      <c r="N1402" s="136" t="s">
        <v>4068</v>
      </c>
      <c r="O1402" s="32" t="s">
        <v>4069</v>
      </c>
      <c r="P1402" s="98">
        <f t="shared" si="90"/>
        <v>1</v>
      </c>
      <c r="Q1402">
        <v>3</v>
      </c>
      <c r="R1402">
        <v>0</v>
      </c>
      <c r="S1402">
        <v>0</v>
      </c>
      <c r="T1402" t="s">
        <v>5088</v>
      </c>
      <c r="U1402" t="s">
        <v>4070</v>
      </c>
      <c r="V1402" t="s">
        <v>4071</v>
      </c>
      <c r="W1402" s="319">
        <v>84</v>
      </c>
      <c r="X1402" s="319">
        <v>24</v>
      </c>
      <c r="Y1402" s="319">
        <v>2</v>
      </c>
      <c r="Z1402" s="314"/>
      <c r="AA1402" s="319">
        <v>0.5</v>
      </c>
      <c r="AB1402" s="315" t="s">
        <v>5178</v>
      </c>
      <c r="AC1402" s="319">
        <v>2</v>
      </c>
      <c r="AD1402" s="320">
        <v>4.1666666666666602E-2</v>
      </c>
      <c r="AE1402" s="319">
        <v>2</v>
      </c>
      <c r="AF1402" s="320">
        <v>4.1666666666666602E-2</v>
      </c>
      <c r="AG1402" s="319">
        <v>0</v>
      </c>
      <c r="AH1402" s="320">
        <v>0</v>
      </c>
      <c r="AI1402" s="319">
        <v>0</v>
      </c>
      <c r="AJ1402" s="320">
        <v>0</v>
      </c>
      <c r="AK1402" s="320">
        <v>0</v>
      </c>
      <c r="AL1402" s="319"/>
      <c r="AM1402" s="319"/>
      <c r="AN1402" s="319"/>
      <c r="AO1402" s="319"/>
      <c r="AP1402">
        <v>2</v>
      </c>
      <c r="AR1402" s="319">
        <v>2</v>
      </c>
      <c r="AT1402" s="69">
        <v>2.3148</v>
      </c>
      <c r="AU1402" s="69">
        <v>2.3148</v>
      </c>
      <c r="AV1402" s="69">
        <v>2.3148</v>
      </c>
      <c r="AW1402" s="69">
        <v>0.23150000000000001</v>
      </c>
      <c r="BB1402" s="69"/>
    </row>
    <row r="1403" spans="1:54" customFormat="1" ht="40" customHeight="1">
      <c r="A1403" s="313">
        <v>1402</v>
      </c>
      <c r="B1403" s="136" t="s">
        <v>3243</v>
      </c>
      <c r="C1403" s="136" t="s">
        <v>1191</v>
      </c>
      <c r="D1403" s="31"/>
      <c r="E1403" s="137" t="s">
        <v>80</v>
      </c>
      <c r="F1403" s="31"/>
      <c r="G1403" s="137" t="s">
        <v>4072</v>
      </c>
      <c r="H1403" s="138">
        <v>60</v>
      </c>
      <c r="I1403" s="158"/>
      <c r="J1403" s="95"/>
      <c r="K1403" s="137">
        <v>0.30014578777623502</v>
      </c>
      <c r="L1403" s="137">
        <v>0.28315522481803701</v>
      </c>
      <c r="M1403" s="137">
        <v>0.27182818284590399</v>
      </c>
      <c r="N1403" s="136" t="s">
        <v>4073</v>
      </c>
      <c r="O1403" s="32" t="s">
        <v>4074</v>
      </c>
      <c r="P1403" s="98">
        <f t="shared" si="90"/>
        <v>1</v>
      </c>
      <c r="Q1403">
        <v>2</v>
      </c>
      <c r="R1403">
        <v>0</v>
      </c>
      <c r="S1403">
        <v>0</v>
      </c>
      <c r="T1403" t="s">
        <v>5088</v>
      </c>
      <c r="U1403" t="s">
        <v>4075</v>
      </c>
      <c r="V1403" t="s">
        <v>4076</v>
      </c>
      <c r="W1403" s="319">
        <v>109</v>
      </c>
      <c r="X1403" s="319">
        <v>24</v>
      </c>
      <c r="Y1403" s="319">
        <v>2</v>
      </c>
      <c r="Z1403" s="314"/>
      <c r="AA1403" s="319">
        <v>0.66549999999999998</v>
      </c>
      <c r="AB1403" s="315" t="s">
        <v>5176</v>
      </c>
      <c r="AC1403" s="319">
        <v>1</v>
      </c>
      <c r="AD1403" s="320">
        <v>1.63934426229508E-2</v>
      </c>
      <c r="AE1403" s="319">
        <v>4</v>
      </c>
      <c r="AF1403" s="320">
        <v>6.5573770491803199E-2</v>
      </c>
      <c r="AG1403" s="319">
        <v>1</v>
      </c>
      <c r="AH1403" s="320">
        <v>1.63934426229508E-2</v>
      </c>
      <c r="AI1403" s="319">
        <v>0</v>
      </c>
      <c r="AJ1403" s="320">
        <v>0</v>
      </c>
      <c r="AK1403" s="320">
        <v>1.6393442622950821E-2</v>
      </c>
      <c r="AL1403" s="319"/>
      <c r="AM1403" s="319"/>
      <c r="AN1403" s="319"/>
      <c r="AO1403" s="319"/>
      <c r="AP1403">
        <v>2</v>
      </c>
      <c r="AR1403" s="319">
        <v>2</v>
      </c>
      <c r="AT1403" s="69">
        <v>2.3148</v>
      </c>
      <c r="AU1403" s="69">
        <v>5</v>
      </c>
      <c r="AV1403" s="69">
        <v>2.3148</v>
      </c>
      <c r="AW1403" s="69">
        <v>0.32100000000000001</v>
      </c>
      <c r="BB1403" s="69"/>
    </row>
    <row r="1404" spans="1:54" customFormat="1" ht="40" customHeight="1">
      <c r="A1404" s="313">
        <v>1403</v>
      </c>
      <c r="B1404" s="136" t="s">
        <v>3243</v>
      </c>
      <c r="C1404" s="136" t="s">
        <v>45</v>
      </c>
      <c r="D1404" s="31"/>
      <c r="E1404" s="137" t="s">
        <v>46</v>
      </c>
      <c r="F1404" s="31"/>
      <c r="G1404" s="137" t="s">
        <v>4077</v>
      </c>
      <c r="H1404" s="138">
        <v>23</v>
      </c>
      <c r="I1404" s="158"/>
      <c r="J1404" s="95"/>
      <c r="K1404" s="137">
        <v>0.30014578777623502</v>
      </c>
      <c r="L1404" s="137">
        <v>0.14213108158078</v>
      </c>
      <c r="M1404" s="137">
        <v>3.67879441171442E-2</v>
      </c>
      <c r="N1404" s="136" t="s">
        <v>3498</v>
      </c>
      <c r="O1404" s="32" t="s">
        <v>4074</v>
      </c>
      <c r="P1404" s="98">
        <f t="shared" si="90"/>
        <v>0</v>
      </c>
      <c r="Q1404">
        <v>6</v>
      </c>
      <c r="R1404">
        <v>0</v>
      </c>
      <c r="S1404">
        <v>0</v>
      </c>
      <c r="T1404" t="s">
        <v>48</v>
      </c>
      <c r="U1404" t="s">
        <v>4078</v>
      </c>
      <c r="V1404" t="s">
        <v>4079</v>
      </c>
      <c r="W1404" s="319">
        <v>90</v>
      </c>
      <c r="X1404" s="319">
        <v>24</v>
      </c>
      <c r="Y1404" s="319">
        <v>2</v>
      </c>
      <c r="Z1404" s="314"/>
      <c r="AA1404" s="319">
        <v>0.5</v>
      </c>
      <c r="AB1404" s="315" t="s">
        <v>5165</v>
      </c>
      <c r="AC1404" s="319">
        <v>4</v>
      </c>
      <c r="AD1404" s="320">
        <v>7.8431372549019607E-2</v>
      </c>
      <c r="AE1404" s="319">
        <v>2</v>
      </c>
      <c r="AF1404" s="320">
        <v>3.9215686274509803E-2</v>
      </c>
      <c r="AG1404" s="319">
        <v>0</v>
      </c>
      <c r="AH1404" s="320">
        <v>0</v>
      </c>
      <c r="AI1404" s="319">
        <v>0</v>
      </c>
      <c r="AJ1404" s="320">
        <v>0</v>
      </c>
      <c r="AK1404" s="320">
        <v>0</v>
      </c>
      <c r="AL1404" s="319"/>
      <c r="AM1404" s="319"/>
      <c r="AN1404" s="319"/>
      <c r="AO1404" s="319"/>
      <c r="AP1404">
        <v>2</v>
      </c>
      <c r="AR1404" s="319">
        <v>2</v>
      </c>
      <c r="AT1404" s="69">
        <v>2.3148</v>
      </c>
      <c r="AU1404" s="69">
        <v>2.3148</v>
      </c>
      <c r="AV1404" s="69">
        <v>2.3148</v>
      </c>
      <c r="AW1404" s="69">
        <v>0.23150000000000001</v>
      </c>
      <c r="BB1404" s="69"/>
    </row>
    <row r="1405" spans="1:54" customFormat="1" ht="40" customHeight="1">
      <c r="A1405" s="313">
        <v>1404</v>
      </c>
      <c r="B1405" s="136" t="s">
        <v>589</v>
      </c>
      <c r="C1405" s="136" t="s">
        <v>45</v>
      </c>
      <c r="D1405" s="31"/>
      <c r="E1405" s="137" t="s">
        <v>46</v>
      </c>
      <c r="F1405" s="31"/>
      <c r="G1405" s="137" t="s">
        <v>4080</v>
      </c>
      <c r="H1405" s="138">
        <v>92</v>
      </c>
      <c r="I1405" s="158"/>
      <c r="J1405" s="95"/>
      <c r="K1405" s="137">
        <v>0.28571428571428598</v>
      </c>
      <c r="L1405" s="137">
        <v>0.17428571428571399</v>
      </c>
      <c r="M1405" s="137">
        <v>0.1</v>
      </c>
      <c r="N1405" s="136" t="s">
        <v>4081</v>
      </c>
      <c r="O1405" s="32" t="s">
        <v>4082</v>
      </c>
      <c r="P1405" s="98">
        <f t="shared" si="90"/>
        <v>0</v>
      </c>
      <c r="Q1405">
        <v>2</v>
      </c>
      <c r="R1405">
        <v>2</v>
      </c>
      <c r="S1405">
        <v>2</v>
      </c>
      <c r="T1405" t="s">
        <v>48</v>
      </c>
      <c r="U1405" s="324" t="s">
        <v>5140</v>
      </c>
      <c r="V1405" t="s">
        <v>4083</v>
      </c>
      <c r="W1405" s="319">
        <v>570</v>
      </c>
      <c r="X1405" s="319">
        <v>25</v>
      </c>
      <c r="Y1405" s="319">
        <v>8</v>
      </c>
      <c r="Z1405" s="314"/>
      <c r="AA1405" s="319">
        <v>0.59450000000000003</v>
      </c>
      <c r="AB1405" s="315" t="s">
        <v>5176</v>
      </c>
      <c r="AC1405" s="319">
        <v>2</v>
      </c>
      <c r="AD1405" s="320">
        <v>5.9347181008902001E-3</v>
      </c>
      <c r="AE1405" s="319">
        <v>4</v>
      </c>
      <c r="AF1405" s="320">
        <v>1.18694362017804E-2</v>
      </c>
      <c r="AG1405" s="319">
        <v>3</v>
      </c>
      <c r="AH1405" s="320">
        <v>8.9020771513353102E-3</v>
      </c>
      <c r="AI1405" s="319">
        <v>1</v>
      </c>
      <c r="AJ1405" s="320">
        <v>2.9673590504451001E-3</v>
      </c>
      <c r="AK1405" s="320">
        <v>0</v>
      </c>
      <c r="AL1405" s="319"/>
      <c r="AM1405" s="319"/>
      <c r="AN1405" s="319"/>
      <c r="AO1405" s="319"/>
      <c r="AP1405" s="319">
        <v>8</v>
      </c>
      <c r="AT1405" s="69">
        <v>2.3148</v>
      </c>
      <c r="AU1405" s="69">
        <v>5</v>
      </c>
      <c r="AV1405" s="69">
        <v>2.3148</v>
      </c>
      <c r="AW1405" s="69">
        <v>0.32100000000000001</v>
      </c>
      <c r="BB1405" s="69"/>
    </row>
    <row r="1406" spans="1:54" customFormat="1" ht="40" customHeight="1">
      <c r="A1406" s="313">
        <v>1405</v>
      </c>
      <c r="B1406" s="136" t="s">
        <v>3243</v>
      </c>
      <c r="C1406" s="136" t="s">
        <v>45</v>
      </c>
      <c r="D1406" s="31"/>
      <c r="E1406" s="137" t="s">
        <v>46</v>
      </c>
      <c r="F1406" s="31"/>
      <c r="G1406" s="137" t="s">
        <v>4084</v>
      </c>
      <c r="H1406" s="138">
        <v>199</v>
      </c>
      <c r="I1406" s="158"/>
      <c r="J1406" s="95"/>
      <c r="K1406" s="137">
        <v>0.46547751617515098</v>
      </c>
      <c r="L1406" s="137">
        <v>0.20826377294034701</v>
      </c>
      <c r="M1406" s="137">
        <v>3.67879441171442E-2</v>
      </c>
      <c r="N1406" s="136" t="s">
        <v>4085</v>
      </c>
      <c r="O1406" s="32" t="s">
        <v>4082</v>
      </c>
      <c r="P1406" s="98">
        <f t="shared" si="90"/>
        <v>1</v>
      </c>
      <c r="Q1406">
        <v>0</v>
      </c>
      <c r="R1406">
        <v>2</v>
      </c>
      <c r="S1406">
        <v>5</v>
      </c>
      <c r="T1406" t="s">
        <v>5133</v>
      </c>
      <c r="U1406" t="s">
        <v>4086</v>
      </c>
      <c r="V1406" t="s">
        <v>4087</v>
      </c>
      <c r="W1406" s="319">
        <v>58</v>
      </c>
      <c r="X1406" s="319">
        <v>14</v>
      </c>
      <c r="Y1406" s="319">
        <v>1</v>
      </c>
      <c r="Z1406" s="314"/>
      <c r="AA1406" s="319">
        <v>0.5</v>
      </c>
      <c r="AB1406" s="315" t="s">
        <v>5165</v>
      </c>
      <c r="AC1406" s="319">
        <v>2</v>
      </c>
      <c r="AD1406" s="320">
        <v>6.8965517241379296E-2</v>
      </c>
      <c r="AE1406" s="319">
        <v>0</v>
      </c>
      <c r="AF1406" s="320">
        <v>0</v>
      </c>
      <c r="AG1406" s="319">
        <v>0</v>
      </c>
      <c r="AH1406" s="320">
        <v>0</v>
      </c>
      <c r="AI1406" s="319">
        <v>0</v>
      </c>
      <c r="AJ1406" s="320">
        <v>0</v>
      </c>
      <c r="AK1406" s="320">
        <v>0</v>
      </c>
      <c r="AL1406" s="319"/>
      <c r="AM1406" s="319"/>
      <c r="AN1406" s="319"/>
      <c r="AO1406" s="319"/>
      <c r="AP1406">
        <v>1</v>
      </c>
      <c r="AS1406" s="319">
        <v>1</v>
      </c>
      <c r="AT1406" s="69">
        <v>2.3148</v>
      </c>
      <c r="AU1406" s="69">
        <v>5</v>
      </c>
      <c r="AV1406" s="69">
        <v>8.1305999999999994</v>
      </c>
      <c r="AW1406" s="69">
        <v>0.51480000000000004</v>
      </c>
      <c r="BB1406" s="69"/>
    </row>
    <row r="1407" spans="1:54" customFormat="1" ht="40" customHeight="1">
      <c r="A1407" s="313">
        <v>1406</v>
      </c>
      <c r="B1407" s="136" t="s">
        <v>3243</v>
      </c>
      <c r="C1407" s="136" t="s">
        <v>45</v>
      </c>
      <c r="D1407" s="31"/>
      <c r="E1407" s="137" t="s">
        <v>46</v>
      </c>
      <c r="F1407" s="31"/>
      <c r="G1407" s="137" t="s">
        <v>4088</v>
      </c>
      <c r="H1407" s="138">
        <v>156</v>
      </c>
      <c r="I1407" s="158"/>
      <c r="J1407" s="95"/>
      <c r="K1407" s="137">
        <v>0.42857142857142899</v>
      </c>
      <c r="L1407" s="137">
        <v>0.19350133789885801</v>
      </c>
      <c r="M1407" s="137">
        <v>3.67879441171442E-2</v>
      </c>
      <c r="N1407" s="136" t="s">
        <v>4089</v>
      </c>
      <c r="O1407" s="32" t="s">
        <v>4090</v>
      </c>
      <c r="P1407" s="98">
        <f t="shared" ref="P1407:P1465" si="91">IF(T1407="利己",0,IF(T1407="生态",2,IF(T1407="无",3,1)))</f>
        <v>1</v>
      </c>
      <c r="Q1407">
        <v>2</v>
      </c>
      <c r="R1407">
        <v>0</v>
      </c>
      <c r="S1407">
        <v>0</v>
      </c>
      <c r="T1407" t="s">
        <v>5088</v>
      </c>
      <c r="U1407" t="s">
        <v>4091</v>
      </c>
      <c r="V1407" t="s">
        <v>4092</v>
      </c>
      <c r="W1407" s="319">
        <v>158</v>
      </c>
      <c r="X1407" s="319">
        <v>16</v>
      </c>
      <c r="Y1407" s="319">
        <v>2</v>
      </c>
      <c r="Z1407" s="314"/>
      <c r="AA1407" s="319">
        <v>0.54500000000000004</v>
      </c>
      <c r="AB1407" s="315" t="s">
        <v>5176</v>
      </c>
      <c r="AC1407" s="319">
        <v>1</v>
      </c>
      <c r="AD1407" s="320">
        <v>1.1494252873563199E-2</v>
      </c>
      <c r="AE1407" s="319">
        <v>3</v>
      </c>
      <c r="AF1407" s="320">
        <v>3.4482758620689599E-2</v>
      </c>
      <c r="AG1407" s="319">
        <v>0</v>
      </c>
      <c r="AH1407" s="320">
        <v>0</v>
      </c>
      <c r="AI1407" s="319">
        <v>1</v>
      </c>
      <c r="AJ1407" s="320">
        <v>1.1494252873563199E-2</v>
      </c>
      <c r="AK1407" s="320">
        <v>0</v>
      </c>
      <c r="AL1407" s="319"/>
      <c r="AM1407" s="319"/>
      <c r="AN1407" s="319"/>
      <c r="AO1407" s="319"/>
      <c r="AP1407" s="319">
        <v>2</v>
      </c>
      <c r="AT1407" s="69">
        <v>2.3148</v>
      </c>
      <c r="AU1407" s="69">
        <v>2.3148</v>
      </c>
      <c r="AV1407" s="69">
        <v>2.3148</v>
      </c>
      <c r="AW1407" s="69">
        <v>0.23150000000000001</v>
      </c>
      <c r="BB1407" s="69"/>
    </row>
    <row r="1408" spans="1:54" customFormat="1" ht="40" customHeight="1">
      <c r="A1408" s="313">
        <v>1407</v>
      </c>
      <c r="B1408" s="136" t="s">
        <v>3243</v>
      </c>
      <c r="C1408" s="136" t="s">
        <v>59</v>
      </c>
      <c r="D1408" s="31"/>
      <c r="E1408" s="137" t="s">
        <v>80</v>
      </c>
      <c r="F1408" s="31"/>
      <c r="G1408" s="137" t="s">
        <v>4093</v>
      </c>
      <c r="H1408" s="138">
        <v>42</v>
      </c>
      <c r="I1408" s="158"/>
      <c r="J1408" s="95"/>
      <c r="K1408" s="137">
        <v>0.65007289388811795</v>
      </c>
      <c r="L1408" s="137">
        <v>0.28210192402553402</v>
      </c>
      <c r="M1408" s="137">
        <v>3.67879441171442E-2</v>
      </c>
      <c r="N1408" s="136" t="s">
        <v>3370</v>
      </c>
      <c r="O1408" s="32" t="s">
        <v>4094</v>
      </c>
      <c r="P1408" s="98">
        <f t="shared" si="91"/>
        <v>1</v>
      </c>
      <c r="Q1408">
        <v>0</v>
      </c>
      <c r="R1408">
        <v>3</v>
      </c>
      <c r="S1408">
        <v>0</v>
      </c>
      <c r="T1408" t="s">
        <v>5132</v>
      </c>
      <c r="U1408" t="s">
        <v>4095</v>
      </c>
      <c r="V1408" t="s">
        <v>4096</v>
      </c>
      <c r="W1408" s="319">
        <v>50</v>
      </c>
      <c r="X1408" s="319">
        <v>6</v>
      </c>
      <c r="Y1408" s="319">
        <v>1</v>
      </c>
      <c r="Z1408" s="314"/>
      <c r="AA1408" s="319">
        <v>0.55000000000000004</v>
      </c>
      <c r="AB1408" s="315" t="s">
        <v>5165</v>
      </c>
      <c r="AC1408" s="319">
        <v>3</v>
      </c>
      <c r="AD1408" s="320">
        <v>0.1</v>
      </c>
      <c r="AE1408" s="319">
        <v>0</v>
      </c>
      <c r="AF1408" s="320">
        <v>0</v>
      </c>
      <c r="AG1408" s="319">
        <v>0</v>
      </c>
      <c r="AH1408" s="320">
        <v>0</v>
      </c>
      <c r="AI1408" s="319">
        <v>0</v>
      </c>
      <c r="AJ1408" s="320">
        <v>0</v>
      </c>
      <c r="AK1408" s="320">
        <v>0</v>
      </c>
      <c r="AL1408" s="319"/>
      <c r="AM1408" s="319"/>
      <c r="AN1408" s="319"/>
      <c r="AO1408" s="319"/>
      <c r="AP1408">
        <v>1</v>
      </c>
      <c r="AR1408" s="319">
        <v>1</v>
      </c>
      <c r="AT1408" s="69">
        <v>2.3148</v>
      </c>
      <c r="AU1408" s="69">
        <v>2.3148</v>
      </c>
      <c r="AV1408" s="69">
        <v>5.7443999999999997</v>
      </c>
      <c r="AW1408" s="69">
        <v>0.3458</v>
      </c>
      <c r="BB1408" s="69"/>
    </row>
    <row r="1409" spans="1:54" customFormat="1" ht="40" customHeight="1">
      <c r="A1409" s="313">
        <v>1408</v>
      </c>
      <c r="B1409" s="136" t="s">
        <v>2179</v>
      </c>
      <c r="C1409" s="136" t="s">
        <v>1191</v>
      </c>
      <c r="D1409" s="31"/>
      <c r="E1409" s="137" t="s">
        <v>80</v>
      </c>
      <c r="F1409" s="31"/>
      <c r="G1409" s="137" t="s">
        <v>4097</v>
      </c>
      <c r="H1409" s="138">
        <v>161</v>
      </c>
      <c r="I1409" s="158"/>
      <c r="J1409" s="95"/>
      <c r="K1409" s="137">
        <v>0.65007289388811795</v>
      </c>
      <c r="L1409" s="137">
        <v>0.42312606726279001</v>
      </c>
      <c r="M1409" s="137">
        <v>0.27182818284590399</v>
      </c>
      <c r="N1409" s="136" t="s">
        <v>3370</v>
      </c>
      <c r="O1409" s="32" t="s">
        <v>4098</v>
      </c>
      <c r="P1409" s="98">
        <f t="shared" si="91"/>
        <v>1</v>
      </c>
      <c r="Q1409">
        <v>2</v>
      </c>
      <c r="R1409">
        <v>2</v>
      </c>
      <c r="S1409">
        <v>3</v>
      </c>
      <c r="T1409" t="s">
        <v>5133</v>
      </c>
      <c r="U1409" t="s">
        <v>4099</v>
      </c>
      <c r="V1409" t="s">
        <v>4100</v>
      </c>
      <c r="W1409" s="319">
        <v>91</v>
      </c>
      <c r="X1409" s="319">
        <v>6</v>
      </c>
      <c r="Y1409" s="319">
        <v>1</v>
      </c>
      <c r="Z1409" s="314"/>
      <c r="AA1409" s="319">
        <v>0.5</v>
      </c>
      <c r="AB1409" s="315" t="s">
        <v>5168</v>
      </c>
      <c r="AC1409" s="319">
        <v>1</v>
      </c>
      <c r="AD1409" s="320">
        <v>2.1739130434782601E-2</v>
      </c>
      <c r="AE1409" s="319">
        <v>0</v>
      </c>
      <c r="AF1409" s="320">
        <v>0</v>
      </c>
      <c r="AG1409" s="319">
        <v>2</v>
      </c>
      <c r="AH1409" s="320">
        <v>4.3478260869565202E-2</v>
      </c>
      <c r="AI1409" s="319">
        <v>0</v>
      </c>
      <c r="AJ1409" s="320">
        <v>0</v>
      </c>
      <c r="AK1409" s="320">
        <v>0</v>
      </c>
      <c r="AL1409" s="319"/>
      <c r="AM1409" s="319"/>
      <c r="AN1409" s="319"/>
      <c r="AO1409" s="319"/>
      <c r="AP1409">
        <v>1</v>
      </c>
      <c r="AR1409" s="319">
        <v>1</v>
      </c>
      <c r="AT1409" s="69">
        <v>6.3414000000000001</v>
      </c>
      <c r="AU1409" s="69">
        <v>5</v>
      </c>
      <c r="AV1409" s="69">
        <v>2.3148</v>
      </c>
      <c r="AW1409" s="69">
        <v>0.45519999999999999</v>
      </c>
      <c r="BB1409" s="69"/>
    </row>
    <row r="1410" spans="1:54" customFormat="1" ht="40" customHeight="1">
      <c r="A1410" s="313">
        <v>1409</v>
      </c>
      <c r="B1410" s="136" t="s">
        <v>589</v>
      </c>
      <c r="C1410" s="136" t="s">
        <v>45</v>
      </c>
      <c r="D1410" s="31"/>
      <c r="E1410" s="137" t="s">
        <v>80</v>
      </c>
      <c r="F1410" s="31"/>
      <c r="G1410" s="137" t="s">
        <v>4101</v>
      </c>
      <c r="H1410" s="138">
        <v>91</v>
      </c>
      <c r="I1410" s="158"/>
      <c r="J1410" s="95"/>
      <c r="K1410" s="137">
        <v>0.17934819335171001</v>
      </c>
      <c r="L1410" s="137">
        <v>0.131739277340684</v>
      </c>
      <c r="M1410" s="137">
        <v>0.1</v>
      </c>
      <c r="N1410" s="136" t="s">
        <v>4102</v>
      </c>
      <c r="O1410" s="32" t="s">
        <v>4103</v>
      </c>
      <c r="P1410" s="98">
        <f t="shared" si="91"/>
        <v>0</v>
      </c>
      <c r="Q1410">
        <v>0</v>
      </c>
      <c r="R1410">
        <v>0</v>
      </c>
      <c r="S1410">
        <v>0</v>
      </c>
      <c r="T1410" t="s">
        <v>48</v>
      </c>
      <c r="U1410" t="s">
        <v>4104</v>
      </c>
      <c r="V1410" t="s">
        <v>4105</v>
      </c>
      <c r="W1410" s="319">
        <v>683</v>
      </c>
      <c r="X1410" s="319">
        <v>33</v>
      </c>
      <c r="Y1410" s="319">
        <v>7</v>
      </c>
      <c r="Z1410" s="314"/>
      <c r="AA1410" s="319">
        <v>0.60499999999999998</v>
      </c>
      <c r="AB1410" s="315" t="s">
        <v>5169</v>
      </c>
      <c r="AC1410" s="319">
        <v>5</v>
      </c>
      <c r="AD1410" s="320">
        <v>1.27226463104325E-2</v>
      </c>
      <c r="AE1410" s="319">
        <v>2</v>
      </c>
      <c r="AF1410" s="320">
        <v>5.0890585241730197E-3</v>
      </c>
      <c r="AG1410" s="319">
        <v>5</v>
      </c>
      <c r="AH1410" s="320">
        <v>1.27226463104325E-2</v>
      </c>
      <c r="AI1410" s="319">
        <v>0</v>
      </c>
      <c r="AJ1410" s="320">
        <v>0</v>
      </c>
      <c r="AK1410" s="320">
        <v>0</v>
      </c>
      <c r="AL1410" s="319"/>
      <c r="AM1410" s="319"/>
      <c r="AN1410" s="319"/>
      <c r="AO1410" s="319"/>
      <c r="AP1410">
        <v>7</v>
      </c>
      <c r="AQ1410" s="319">
        <v>7</v>
      </c>
      <c r="AT1410" s="69">
        <v>2.3148</v>
      </c>
      <c r="AU1410" s="69">
        <v>5</v>
      </c>
      <c r="AV1410" s="69">
        <v>9.8416999999999994</v>
      </c>
      <c r="AW1410" s="69">
        <v>0.57189999999999996</v>
      </c>
      <c r="BB1410" s="69"/>
    </row>
    <row r="1411" spans="1:54" customFormat="1" ht="40" customHeight="1">
      <c r="A1411" s="313">
        <v>1410</v>
      </c>
      <c r="B1411" s="136" t="s">
        <v>3243</v>
      </c>
      <c r="C1411" s="136" t="s">
        <v>45</v>
      </c>
      <c r="D1411" s="31"/>
      <c r="E1411" s="137" t="s">
        <v>80</v>
      </c>
      <c r="F1411" s="31"/>
      <c r="G1411" s="137" t="s">
        <v>4106</v>
      </c>
      <c r="H1411" s="138">
        <v>38</v>
      </c>
      <c r="I1411" s="158"/>
      <c r="J1411" s="95"/>
      <c r="K1411" s="137">
        <v>0.526196458520657</v>
      </c>
      <c r="L1411" s="137">
        <v>0.27047858340826297</v>
      </c>
      <c r="M1411" s="137">
        <v>0.1</v>
      </c>
      <c r="N1411" s="136" t="s">
        <v>3251</v>
      </c>
      <c r="O1411" s="32" t="s">
        <v>4107</v>
      </c>
      <c r="P1411" s="98">
        <f t="shared" si="91"/>
        <v>1</v>
      </c>
      <c r="Q1411">
        <v>1</v>
      </c>
      <c r="R1411">
        <v>0</v>
      </c>
      <c r="S1411">
        <v>0</v>
      </c>
      <c r="T1411" t="s">
        <v>5088</v>
      </c>
      <c r="U1411" t="s">
        <v>4108</v>
      </c>
      <c r="V1411" t="s">
        <v>4109</v>
      </c>
      <c r="W1411" s="319">
        <v>54</v>
      </c>
      <c r="X1411" s="319">
        <v>11</v>
      </c>
      <c r="Y1411" s="319">
        <v>1</v>
      </c>
      <c r="Z1411" s="314"/>
      <c r="AA1411" s="319">
        <v>0.73204999999999998</v>
      </c>
      <c r="AB1411" s="315" t="s">
        <v>5165</v>
      </c>
      <c r="AC1411" s="319">
        <v>3</v>
      </c>
      <c r="AD1411" s="320">
        <v>0.11111111111111099</v>
      </c>
      <c r="AE1411" s="319">
        <v>0</v>
      </c>
      <c r="AF1411" s="320">
        <v>0</v>
      </c>
      <c r="AG1411" s="319">
        <v>0</v>
      </c>
      <c r="AH1411" s="320">
        <v>0</v>
      </c>
      <c r="AI1411" s="319">
        <v>0</v>
      </c>
      <c r="AJ1411" s="320">
        <v>0</v>
      </c>
      <c r="AK1411" s="320">
        <v>0</v>
      </c>
      <c r="AL1411" s="319"/>
      <c r="AM1411" s="319"/>
      <c r="AN1411" s="319"/>
      <c r="AO1411" s="319"/>
      <c r="AP1411">
        <v>1</v>
      </c>
      <c r="AR1411" s="319">
        <v>1</v>
      </c>
      <c r="AT1411" s="69">
        <v>2.3148</v>
      </c>
      <c r="AU1411" s="69">
        <v>7.6852</v>
      </c>
      <c r="AV1411" s="69">
        <v>8.1305999999999994</v>
      </c>
      <c r="AW1411" s="69">
        <v>0.60440000000000005</v>
      </c>
      <c r="BB1411" s="69"/>
    </row>
    <row r="1412" spans="1:54" customFormat="1" ht="40" customHeight="1">
      <c r="A1412" s="313">
        <v>1411</v>
      </c>
      <c r="B1412" s="136" t="s">
        <v>3243</v>
      </c>
      <c r="C1412" s="136" t="s">
        <v>45</v>
      </c>
      <c r="D1412" s="31"/>
      <c r="E1412" s="137" t="s">
        <v>80</v>
      </c>
      <c r="F1412" s="31"/>
      <c r="G1412" s="137" t="s">
        <v>4110</v>
      </c>
      <c r="H1412" s="138">
        <v>51</v>
      </c>
      <c r="I1412" s="158"/>
      <c r="J1412" s="95"/>
      <c r="K1412" s="137">
        <v>0.85714285714285698</v>
      </c>
      <c r="L1412" s="137">
        <v>0.50595405256468595</v>
      </c>
      <c r="M1412" s="137">
        <v>0.27182818284590399</v>
      </c>
      <c r="N1412" s="136" t="s">
        <v>3251</v>
      </c>
      <c r="O1412" s="32" t="s">
        <v>4111</v>
      </c>
      <c r="P1412" s="98">
        <f t="shared" si="91"/>
        <v>0</v>
      </c>
      <c r="Q1412">
        <v>0</v>
      </c>
      <c r="R1412">
        <v>0</v>
      </c>
      <c r="S1412">
        <v>0</v>
      </c>
      <c r="T1412" t="s">
        <v>48</v>
      </c>
      <c r="U1412" t="s">
        <v>4112</v>
      </c>
      <c r="V1412" t="s">
        <v>4113</v>
      </c>
      <c r="W1412" s="319">
        <v>113</v>
      </c>
      <c r="X1412" s="319">
        <v>1</v>
      </c>
      <c r="Y1412" s="319">
        <v>1</v>
      </c>
      <c r="Z1412" s="314"/>
      <c r="AA1412" s="319">
        <v>0.55000000000000004</v>
      </c>
      <c r="AB1412" s="315" t="s">
        <v>5176</v>
      </c>
      <c r="AC1412" s="319">
        <v>1</v>
      </c>
      <c r="AD1412" s="320">
        <v>1.5873015873015799E-2</v>
      </c>
      <c r="AE1412" s="319">
        <v>2</v>
      </c>
      <c r="AF1412" s="320">
        <v>3.1746031746031703E-2</v>
      </c>
      <c r="AG1412" s="319">
        <v>0</v>
      </c>
      <c r="AH1412" s="320">
        <v>0</v>
      </c>
      <c r="AI1412" s="319">
        <v>0</v>
      </c>
      <c r="AJ1412" s="320">
        <v>0</v>
      </c>
      <c r="AK1412" s="320">
        <v>0</v>
      </c>
      <c r="AL1412" s="319"/>
      <c r="AM1412" s="319"/>
      <c r="AN1412" s="319"/>
      <c r="AO1412" s="319"/>
      <c r="AP1412" s="319">
        <v>1</v>
      </c>
      <c r="AT1412" s="69">
        <v>2.3148</v>
      </c>
      <c r="AU1412" s="69">
        <v>2.3148</v>
      </c>
      <c r="AV1412" s="69">
        <v>2.3148</v>
      </c>
      <c r="AW1412" s="69">
        <v>0.23150000000000001</v>
      </c>
      <c r="BB1412" s="69"/>
    </row>
    <row r="1413" spans="1:54" customFormat="1" ht="40" customHeight="1">
      <c r="A1413" s="313">
        <v>1412</v>
      </c>
      <c r="B1413" s="136" t="s">
        <v>1222</v>
      </c>
      <c r="C1413" s="136" t="s">
        <v>45</v>
      </c>
      <c r="D1413" s="31"/>
      <c r="E1413" s="137" t="s">
        <v>46</v>
      </c>
      <c r="F1413" s="31"/>
      <c r="G1413" s="137" t="s">
        <v>4114</v>
      </c>
      <c r="H1413" s="138">
        <v>151</v>
      </c>
      <c r="I1413" s="158"/>
      <c r="J1413" s="95"/>
      <c r="K1413" s="137">
        <v>0.48492124636228701</v>
      </c>
      <c r="L1413" s="137">
        <v>0.25396849854491499</v>
      </c>
      <c r="M1413" s="137">
        <v>0.1</v>
      </c>
      <c r="N1413" s="136" t="s">
        <v>4115</v>
      </c>
      <c r="O1413" s="32" t="s">
        <v>4116</v>
      </c>
      <c r="P1413" s="98">
        <f t="shared" si="91"/>
        <v>1</v>
      </c>
      <c r="Q1413">
        <v>0</v>
      </c>
      <c r="R1413">
        <v>2</v>
      </c>
      <c r="S1413">
        <v>2</v>
      </c>
      <c r="T1413" t="s">
        <v>73</v>
      </c>
      <c r="U1413" s="324" t="s">
        <v>5139</v>
      </c>
      <c r="V1413" t="s">
        <v>4117</v>
      </c>
      <c r="W1413" s="319">
        <v>132</v>
      </c>
      <c r="X1413" s="319">
        <v>13</v>
      </c>
      <c r="Y1413" s="319">
        <v>1</v>
      </c>
      <c r="Z1413" s="314"/>
      <c r="AA1413" s="319">
        <v>0.55000000000000004</v>
      </c>
      <c r="AB1413" s="315" t="s">
        <v>5165</v>
      </c>
      <c r="AC1413" s="319">
        <v>3</v>
      </c>
      <c r="AD1413" s="320">
        <v>0.04</v>
      </c>
      <c r="AE1413" s="319">
        <v>0</v>
      </c>
      <c r="AF1413" s="320">
        <v>0</v>
      </c>
      <c r="AG1413" s="319">
        <v>0</v>
      </c>
      <c r="AH1413" s="320">
        <v>0</v>
      </c>
      <c r="AI1413" s="319">
        <v>0</v>
      </c>
      <c r="AJ1413" s="320">
        <v>0</v>
      </c>
      <c r="AK1413" s="320">
        <v>0</v>
      </c>
      <c r="AL1413" s="319"/>
      <c r="AM1413" s="319"/>
      <c r="AN1413" s="319"/>
      <c r="AO1413" s="319"/>
      <c r="AP1413">
        <v>1</v>
      </c>
      <c r="AR1413" s="319">
        <v>1</v>
      </c>
      <c r="AT1413" s="69">
        <v>2.3148</v>
      </c>
      <c r="AU1413" s="69">
        <v>9.6544000000000008</v>
      </c>
      <c r="AV1413" s="69">
        <v>5.7443999999999997</v>
      </c>
      <c r="AW1413" s="69">
        <v>0.59050000000000002</v>
      </c>
      <c r="BB1413" s="69"/>
    </row>
    <row r="1414" spans="1:54" customFormat="1" ht="40" customHeight="1">
      <c r="A1414" s="313">
        <v>1413</v>
      </c>
      <c r="B1414" s="136" t="s">
        <v>3243</v>
      </c>
      <c r="C1414" s="136" t="s">
        <v>45</v>
      </c>
      <c r="D1414" s="31"/>
      <c r="E1414" s="137" t="s">
        <v>80</v>
      </c>
      <c r="F1414" s="31"/>
      <c r="G1414" s="137" t="s">
        <v>4118</v>
      </c>
      <c r="H1414" s="138">
        <v>85</v>
      </c>
      <c r="I1414" s="158"/>
      <c r="J1414" s="95"/>
      <c r="K1414" s="137">
        <v>0.46547751617515098</v>
      </c>
      <c r="L1414" s="137">
        <v>0.24619100647006101</v>
      </c>
      <c r="M1414" s="137">
        <v>0.1</v>
      </c>
      <c r="N1414" s="136" t="s">
        <v>4119</v>
      </c>
      <c r="O1414" s="32" t="s">
        <v>4120</v>
      </c>
      <c r="P1414" s="98">
        <f t="shared" si="91"/>
        <v>0</v>
      </c>
      <c r="Q1414">
        <v>0</v>
      </c>
      <c r="R1414">
        <v>0</v>
      </c>
      <c r="S1414">
        <v>0</v>
      </c>
      <c r="T1414" t="s">
        <v>48</v>
      </c>
      <c r="U1414" t="s">
        <v>4121</v>
      </c>
      <c r="V1414" t="s">
        <v>4122</v>
      </c>
      <c r="W1414" s="319">
        <v>89</v>
      </c>
      <c r="X1414" s="319">
        <v>14</v>
      </c>
      <c r="Y1414" s="319">
        <v>1</v>
      </c>
      <c r="Z1414" s="314"/>
      <c r="AA1414" s="319">
        <v>0.45454545454545398</v>
      </c>
      <c r="AB1414" s="315" t="s">
        <v>5169</v>
      </c>
      <c r="AC1414" s="319">
        <v>1</v>
      </c>
      <c r="AD1414" s="320">
        <v>1.9607843137254902E-2</v>
      </c>
      <c r="AE1414" s="319">
        <v>0</v>
      </c>
      <c r="AF1414" s="320">
        <v>0</v>
      </c>
      <c r="AG1414" s="319">
        <v>1</v>
      </c>
      <c r="AH1414" s="320">
        <v>1.9607843137254902E-2</v>
      </c>
      <c r="AI1414" s="319">
        <v>0</v>
      </c>
      <c r="AJ1414" s="320">
        <v>0</v>
      </c>
      <c r="AK1414" s="320">
        <v>0</v>
      </c>
      <c r="AL1414" s="319"/>
      <c r="AM1414" s="319"/>
      <c r="AN1414" s="319"/>
      <c r="AO1414" s="319"/>
      <c r="AP1414">
        <v>1</v>
      </c>
      <c r="AR1414" s="319">
        <v>1</v>
      </c>
      <c r="AT1414" s="69">
        <v>2.3148</v>
      </c>
      <c r="AU1414" s="69">
        <v>5</v>
      </c>
      <c r="AV1414" s="69">
        <v>2.3148</v>
      </c>
      <c r="AW1414" s="69">
        <v>0.32100000000000001</v>
      </c>
      <c r="BB1414" s="69"/>
    </row>
    <row r="1415" spans="1:54" customFormat="1" ht="40" customHeight="1">
      <c r="A1415" s="313">
        <v>1414</v>
      </c>
      <c r="B1415" s="136" t="s">
        <v>1222</v>
      </c>
      <c r="C1415" s="136" t="s">
        <v>45</v>
      </c>
      <c r="D1415" s="31"/>
      <c r="E1415" s="137" t="s">
        <v>46</v>
      </c>
      <c r="F1415" s="31"/>
      <c r="G1415" s="137" t="s">
        <v>4114</v>
      </c>
      <c r="H1415" s="138">
        <v>122</v>
      </c>
      <c r="I1415" s="158"/>
      <c r="J1415" s="95"/>
      <c r="K1415" s="137">
        <v>0.36112343500006</v>
      </c>
      <c r="L1415" s="137">
        <v>0.166522140470311</v>
      </c>
      <c r="M1415" s="137">
        <v>3.67879441171442E-2</v>
      </c>
      <c r="N1415" s="136" t="s">
        <v>3640</v>
      </c>
      <c r="O1415" s="32" t="s">
        <v>4123</v>
      </c>
      <c r="P1415" s="98">
        <f t="shared" si="91"/>
        <v>1</v>
      </c>
      <c r="Q1415">
        <v>0</v>
      </c>
      <c r="R1415">
        <v>1</v>
      </c>
      <c r="S1415">
        <v>2</v>
      </c>
      <c r="T1415" t="s">
        <v>5133</v>
      </c>
      <c r="U1415" t="s">
        <v>4124</v>
      </c>
      <c r="V1415" t="s">
        <v>4125</v>
      </c>
      <c r="W1415" s="319">
        <v>235</v>
      </c>
      <c r="X1415" s="319">
        <v>20</v>
      </c>
      <c r="Y1415" s="319">
        <v>2</v>
      </c>
      <c r="Z1415" s="314"/>
      <c r="AA1415" s="319">
        <v>0.5</v>
      </c>
      <c r="AB1415" s="315" t="s">
        <v>5165</v>
      </c>
      <c r="AC1415" s="319">
        <v>3</v>
      </c>
      <c r="AD1415" s="320">
        <v>2.2222222222222199E-2</v>
      </c>
      <c r="AE1415" s="319">
        <v>1</v>
      </c>
      <c r="AF1415" s="320">
        <v>7.4074074074073999E-3</v>
      </c>
      <c r="AG1415" s="319">
        <v>0</v>
      </c>
      <c r="AH1415" s="320">
        <v>0</v>
      </c>
      <c r="AI1415" s="319">
        <v>0</v>
      </c>
      <c r="AJ1415" s="320">
        <v>0</v>
      </c>
      <c r="AK1415" s="320">
        <v>0</v>
      </c>
      <c r="AL1415" s="319"/>
      <c r="AM1415" s="319"/>
      <c r="AN1415" s="319"/>
      <c r="AO1415" s="319"/>
      <c r="AP1415">
        <v>2</v>
      </c>
      <c r="AR1415" s="319">
        <v>2</v>
      </c>
      <c r="AT1415" s="69">
        <v>2.3148</v>
      </c>
      <c r="AU1415" s="69">
        <v>9.6544000000000008</v>
      </c>
      <c r="AV1415" s="69">
        <v>5.7443999999999997</v>
      </c>
      <c r="AW1415" s="69">
        <v>0.59050000000000002</v>
      </c>
      <c r="BB1415" s="69"/>
    </row>
    <row r="1416" spans="1:54" customFormat="1" ht="40" customHeight="1">
      <c r="A1416" s="313">
        <v>1415</v>
      </c>
      <c r="B1416" s="136" t="s">
        <v>3243</v>
      </c>
      <c r="C1416" s="136" t="s">
        <v>59</v>
      </c>
      <c r="D1416" s="31"/>
      <c r="E1416" s="137" t="s">
        <v>46</v>
      </c>
      <c r="F1416" s="31"/>
      <c r="G1416" s="137" t="s">
        <v>4126</v>
      </c>
      <c r="H1416" s="138">
        <v>93</v>
      </c>
      <c r="I1416" s="158"/>
      <c r="J1416" s="95"/>
      <c r="K1416" s="137">
        <v>0.68056171750003003</v>
      </c>
      <c r="L1416" s="137">
        <v>0.33222468700001201</v>
      </c>
      <c r="M1416" s="137">
        <v>0.1</v>
      </c>
      <c r="N1416" s="136" t="s">
        <v>3286</v>
      </c>
      <c r="O1416" s="32" t="s">
        <v>4127</v>
      </c>
      <c r="P1416" s="98">
        <f t="shared" si="91"/>
        <v>1</v>
      </c>
      <c r="Q1416">
        <v>0</v>
      </c>
      <c r="R1416">
        <v>5</v>
      </c>
      <c r="S1416">
        <v>3</v>
      </c>
      <c r="T1416" t="s">
        <v>5132</v>
      </c>
      <c r="U1416" t="s">
        <v>4128</v>
      </c>
      <c r="V1416" t="s">
        <v>4129</v>
      </c>
      <c r="W1416" s="319">
        <v>86</v>
      </c>
      <c r="X1416" s="319">
        <v>5</v>
      </c>
      <c r="Y1416" s="319">
        <v>1</v>
      </c>
      <c r="Z1416" s="314"/>
      <c r="AA1416" s="319">
        <v>0.54500000000000004</v>
      </c>
      <c r="AB1416" s="315" t="s">
        <v>5178</v>
      </c>
      <c r="AC1416" s="319">
        <v>2</v>
      </c>
      <c r="AD1416" s="320">
        <v>4.08163265306122E-2</v>
      </c>
      <c r="AE1416" s="319">
        <v>2</v>
      </c>
      <c r="AF1416" s="320">
        <v>4.08163265306122E-2</v>
      </c>
      <c r="AG1416" s="319">
        <v>0</v>
      </c>
      <c r="AH1416" s="320">
        <v>0</v>
      </c>
      <c r="AI1416" s="319">
        <v>0</v>
      </c>
      <c r="AJ1416" s="320">
        <v>0</v>
      </c>
      <c r="AK1416" s="320">
        <v>0</v>
      </c>
      <c r="AL1416" s="319"/>
      <c r="AM1416" s="319"/>
      <c r="AN1416" s="319"/>
      <c r="AO1416" s="319"/>
      <c r="AP1416">
        <v>1</v>
      </c>
      <c r="AR1416" s="319">
        <v>1</v>
      </c>
      <c r="AT1416" s="69">
        <v>2.3148</v>
      </c>
      <c r="AU1416" s="69">
        <v>2.3148</v>
      </c>
      <c r="AV1416" s="69">
        <v>8.5815000000000001</v>
      </c>
      <c r="AW1416" s="69">
        <v>0.44040000000000001</v>
      </c>
      <c r="BB1416" s="69"/>
    </row>
    <row r="1417" spans="1:54" customFormat="1" ht="40" customHeight="1">
      <c r="A1417" s="313">
        <v>1416</v>
      </c>
      <c r="B1417" s="136" t="s">
        <v>3243</v>
      </c>
      <c r="C1417" s="136" t="s">
        <v>59</v>
      </c>
      <c r="D1417" s="31"/>
      <c r="E1417" s="137" t="s">
        <v>46</v>
      </c>
      <c r="F1417" s="31"/>
      <c r="G1417" s="137" t="s">
        <v>1073</v>
      </c>
      <c r="H1417" s="138">
        <v>118</v>
      </c>
      <c r="I1417" s="158"/>
      <c r="J1417" s="95"/>
      <c r="K1417" s="137">
        <v>0.75256417034730305</v>
      </c>
      <c r="L1417" s="137">
        <v>0.30401289224099298</v>
      </c>
      <c r="M1417" s="137">
        <v>4.9787068367863896E-3</v>
      </c>
      <c r="N1417" s="136" t="s">
        <v>4042</v>
      </c>
      <c r="O1417" s="32" t="s">
        <v>4130</v>
      </c>
      <c r="P1417" s="98">
        <f t="shared" si="91"/>
        <v>0</v>
      </c>
      <c r="Q1417">
        <v>0</v>
      </c>
      <c r="R1417">
        <v>0</v>
      </c>
      <c r="S1417">
        <v>0</v>
      </c>
      <c r="T1417" t="s">
        <v>48</v>
      </c>
      <c r="U1417" t="s">
        <v>4131</v>
      </c>
      <c r="V1417" t="s">
        <v>4132</v>
      </c>
      <c r="W1417" s="319">
        <v>49</v>
      </c>
      <c r="X1417" s="319">
        <v>3</v>
      </c>
      <c r="Y1417" s="319">
        <v>1</v>
      </c>
      <c r="Z1417" s="314"/>
      <c r="AA1417" s="319">
        <v>0.5</v>
      </c>
      <c r="AB1417" s="315" t="s">
        <v>5165</v>
      </c>
      <c r="AC1417" s="319">
        <v>2</v>
      </c>
      <c r="AD1417" s="320">
        <v>7.69230769230769E-2</v>
      </c>
      <c r="AE1417" s="319">
        <v>0</v>
      </c>
      <c r="AF1417" s="320">
        <v>0</v>
      </c>
      <c r="AG1417" s="319">
        <v>0</v>
      </c>
      <c r="AH1417" s="320">
        <v>0</v>
      </c>
      <c r="AI1417" s="319">
        <v>0</v>
      </c>
      <c r="AJ1417" s="320">
        <v>0</v>
      </c>
      <c r="AK1417" s="320">
        <v>0</v>
      </c>
      <c r="AL1417" s="319"/>
      <c r="AM1417" s="319"/>
      <c r="AN1417" s="319"/>
      <c r="AO1417" s="319"/>
      <c r="AP1417">
        <v>1</v>
      </c>
      <c r="AR1417" s="319">
        <v>1</v>
      </c>
      <c r="AT1417" s="69">
        <v>2.3148</v>
      </c>
      <c r="AU1417" s="69">
        <v>2.3148</v>
      </c>
      <c r="AV1417" s="69">
        <v>2.3148</v>
      </c>
      <c r="AW1417" s="69">
        <v>0.23150000000000001</v>
      </c>
      <c r="BB1417" s="69"/>
    </row>
    <row r="1418" spans="1:54" customFormat="1" ht="40" customHeight="1">
      <c r="A1418" s="313">
        <v>1417</v>
      </c>
      <c r="B1418" s="136" t="s">
        <v>3243</v>
      </c>
      <c r="C1418" s="136" t="s">
        <v>119</v>
      </c>
      <c r="D1418" s="31"/>
      <c r="E1418" s="137" t="s">
        <v>46</v>
      </c>
      <c r="F1418" s="31"/>
      <c r="G1418" s="137" t="s">
        <v>4133</v>
      </c>
      <c r="H1418" s="138">
        <v>38</v>
      </c>
      <c r="I1418" s="158"/>
      <c r="J1418" s="95"/>
      <c r="K1418" s="137">
        <v>0.50512834069460699</v>
      </c>
      <c r="L1418" s="137">
        <v>0.26205133627784299</v>
      </c>
      <c r="M1418" s="137">
        <v>0.1</v>
      </c>
      <c r="N1418" s="136" t="s">
        <v>3395</v>
      </c>
      <c r="O1418" s="32" t="s">
        <v>4134</v>
      </c>
      <c r="P1418" s="98">
        <f t="shared" si="91"/>
        <v>0</v>
      </c>
      <c r="Q1418">
        <v>0</v>
      </c>
      <c r="R1418">
        <v>0</v>
      </c>
      <c r="S1418">
        <v>0</v>
      </c>
      <c r="T1418" t="s">
        <v>48</v>
      </c>
      <c r="U1418" t="s">
        <v>4135</v>
      </c>
      <c r="V1418" t="s">
        <v>4136</v>
      </c>
      <c r="W1418" s="319">
        <v>50</v>
      </c>
      <c r="X1418" s="319">
        <v>12</v>
      </c>
      <c r="Y1418" s="319">
        <v>1</v>
      </c>
      <c r="Z1418" s="314"/>
      <c r="AA1418" s="319">
        <v>0.5</v>
      </c>
      <c r="AB1418" s="315" t="s">
        <v>5165</v>
      </c>
      <c r="AC1418" s="319">
        <v>2</v>
      </c>
      <c r="AD1418" s="320">
        <v>7.4074074074074001E-2</v>
      </c>
      <c r="AE1418" s="319">
        <v>0</v>
      </c>
      <c r="AF1418" s="320">
        <v>0</v>
      </c>
      <c r="AG1418" s="319">
        <v>0</v>
      </c>
      <c r="AH1418" s="320">
        <v>0</v>
      </c>
      <c r="AI1418" s="319">
        <v>0</v>
      </c>
      <c r="AJ1418" s="320">
        <v>0</v>
      </c>
      <c r="AK1418" s="320">
        <v>0</v>
      </c>
      <c r="AL1418" s="319"/>
      <c r="AM1418" s="319"/>
      <c r="AN1418" s="319"/>
      <c r="AO1418" s="319"/>
      <c r="AP1418">
        <v>1</v>
      </c>
      <c r="AR1418" s="319">
        <v>1</v>
      </c>
      <c r="AT1418" s="69">
        <v>2.3148</v>
      </c>
      <c r="AU1418" s="69">
        <v>2.3148</v>
      </c>
      <c r="AV1418" s="69">
        <v>2.3148</v>
      </c>
      <c r="AW1418" s="69">
        <v>0.23150000000000001</v>
      </c>
      <c r="BB1418" s="69"/>
    </row>
    <row r="1419" spans="1:54" customFormat="1" ht="40" customHeight="1">
      <c r="A1419" s="313">
        <v>1418</v>
      </c>
      <c r="B1419" s="136" t="s">
        <v>2752</v>
      </c>
      <c r="C1419" s="136" t="s">
        <v>1191</v>
      </c>
      <c r="D1419" s="31"/>
      <c r="E1419" s="137" t="s">
        <v>46</v>
      </c>
      <c r="F1419" s="31"/>
      <c r="G1419" s="137" t="s">
        <v>4137</v>
      </c>
      <c r="H1419" s="138">
        <v>102</v>
      </c>
      <c r="I1419" s="158"/>
      <c r="J1419" s="95"/>
      <c r="K1419" s="137">
        <v>0.54824604854737402</v>
      </c>
      <c r="L1419" s="137">
        <v>0.27929841941895001</v>
      </c>
      <c r="M1419" s="137">
        <v>0.1</v>
      </c>
      <c r="N1419" s="136" t="s">
        <v>3251</v>
      </c>
      <c r="O1419" s="32" t="s">
        <v>4138</v>
      </c>
      <c r="P1419" s="98">
        <f t="shared" si="91"/>
        <v>1</v>
      </c>
      <c r="Q1419">
        <v>2</v>
      </c>
      <c r="R1419">
        <v>1</v>
      </c>
      <c r="S1419">
        <v>0</v>
      </c>
      <c r="T1419" t="s">
        <v>5088</v>
      </c>
      <c r="U1419" t="s">
        <v>4139</v>
      </c>
      <c r="V1419" t="s">
        <v>4140</v>
      </c>
      <c r="W1419" s="319">
        <v>120</v>
      </c>
      <c r="X1419" s="319">
        <v>10</v>
      </c>
      <c r="Y1419" s="319">
        <v>1</v>
      </c>
      <c r="Z1419" s="314"/>
      <c r="AA1419" s="319">
        <v>0.54500000000000004</v>
      </c>
      <c r="AB1419" s="315" t="s">
        <v>5169</v>
      </c>
      <c r="AC1419" s="319">
        <v>2</v>
      </c>
      <c r="AD1419" s="320">
        <v>2.9850746268656699E-2</v>
      </c>
      <c r="AE1419" s="319">
        <v>0</v>
      </c>
      <c r="AF1419" s="320">
        <v>0</v>
      </c>
      <c r="AG1419" s="319">
        <v>2</v>
      </c>
      <c r="AH1419" s="320">
        <v>2.9850746268656699E-2</v>
      </c>
      <c r="AI1419" s="319">
        <v>1</v>
      </c>
      <c r="AJ1419" s="320">
        <v>1.4925373134328301E-2</v>
      </c>
      <c r="AK1419" s="320">
        <v>0</v>
      </c>
      <c r="AL1419" s="319"/>
      <c r="AM1419" s="319"/>
      <c r="AN1419" s="319"/>
      <c r="AO1419" s="319"/>
      <c r="AP1419">
        <v>1</v>
      </c>
      <c r="AQ1419" s="319">
        <v>1</v>
      </c>
      <c r="AT1419" s="69">
        <v>2.3148</v>
      </c>
      <c r="AU1419" s="69">
        <v>5</v>
      </c>
      <c r="AV1419" s="69">
        <v>2.3148</v>
      </c>
      <c r="AW1419" s="69">
        <v>0.32100000000000001</v>
      </c>
      <c r="BB1419" s="69"/>
    </row>
    <row r="1420" spans="1:54" customFormat="1" ht="40" customHeight="1">
      <c r="A1420" s="313">
        <v>1419</v>
      </c>
      <c r="B1420" s="136" t="s">
        <v>3243</v>
      </c>
      <c r="C1420" s="136" t="s">
        <v>45</v>
      </c>
      <c r="D1420" s="31"/>
      <c r="E1420" s="137" t="s">
        <v>46</v>
      </c>
      <c r="F1420" s="31"/>
      <c r="G1420" s="137" t="s">
        <v>4141</v>
      </c>
      <c r="H1420" s="138">
        <v>69</v>
      </c>
      <c r="I1420" s="158"/>
      <c r="J1420" s="95"/>
      <c r="K1420" s="137">
        <v>0.41098491062604903</v>
      </c>
      <c r="L1420" s="137">
        <v>0.22439396425041899</v>
      </c>
      <c r="M1420" s="137">
        <v>0.1</v>
      </c>
      <c r="N1420" s="136" t="s">
        <v>4142</v>
      </c>
      <c r="O1420" s="32" t="s">
        <v>4143</v>
      </c>
      <c r="P1420" s="98">
        <f t="shared" si="91"/>
        <v>1</v>
      </c>
      <c r="Q1420">
        <v>2</v>
      </c>
      <c r="R1420">
        <v>0</v>
      </c>
      <c r="S1420">
        <v>0</v>
      </c>
      <c r="T1420" t="s">
        <v>5088</v>
      </c>
      <c r="U1420" t="s">
        <v>4144</v>
      </c>
      <c r="V1420" t="s">
        <v>4145</v>
      </c>
      <c r="W1420" s="319">
        <v>60</v>
      </c>
      <c r="X1420" s="319">
        <v>17</v>
      </c>
      <c r="Y1420" s="319">
        <v>1</v>
      </c>
      <c r="Z1420" s="314"/>
      <c r="AA1420" s="319">
        <v>0.5</v>
      </c>
      <c r="AB1420" s="315" t="s">
        <v>5165</v>
      </c>
      <c r="AC1420" s="319">
        <v>2</v>
      </c>
      <c r="AD1420" s="320">
        <v>6.0606060606060601E-2</v>
      </c>
      <c r="AE1420" s="319">
        <v>1</v>
      </c>
      <c r="AF1420" s="320">
        <v>3.03030303030303E-2</v>
      </c>
      <c r="AG1420" s="319">
        <v>0</v>
      </c>
      <c r="AH1420" s="320">
        <v>0</v>
      </c>
      <c r="AI1420" s="319">
        <v>0</v>
      </c>
      <c r="AJ1420" s="320">
        <v>0</v>
      </c>
      <c r="AK1420" s="320">
        <v>0</v>
      </c>
      <c r="AL1420" s="319"/>
      <c r="AM1420" s="319"/>
      <c r="AN1420" s="319"/>
      <c r="AO1420" s="319"/>
      <c r="AP1420">
        <v>1</v>
      </c>
      <c r="AR1420" s="319">
        <v>1</v>
      </c>
      <c r="AT1420" s="69">
        <v>2.3148</v>
      </c>
      <c r="AU1420" s="69">
        <v>2.3148</v>
      </c>
      <c r="AV1420" s="69">
        <v>8.1305999999999994</v>
      </c>
      <c r="AW1420" s="69">
        <v>0.42530000000000001</v>
      </c>
      <c r="BB1420" s="69"/>
    </row>
    <row r="1421" spans="1:54" customFormat="1" ht="40" customHeight="1">
      <c r="A1421" s="313">
        <v>1420</v>
      </c>
      <c r="B1421" s="136" t="s">
        <v>3243</v>
      </c>
      <c r="C1421" s="136" t="s">
        <v>45</v>
      </c>
      <c r="D1421" s="31"/>
      <c r="E1421" s="137" t="s">
        <v>46</v>
      </c>
      <c r="F1421" s="31"/>
      <c r="G1421" s="137" t="s">
        <v>4146</v>
      </c>
      <c r="H1421" s="138">
        <v>257</v>
      </c>
      <c r="I1421" s="158"/>
      <c r="J1421" s="95"/>
      <c r="K1421" s="137">
        <v>0.59593898217911601</v>
      </c>
      <c r="L1421" s="137">
        <v>0.40147250257918898</v>
      </c>
      <c r="M1421" s="137">
        <v>0.27182818284590399</v>
      </c>
      <c r="N1421" s="136" t="s">
        <v>4147</v>
      </c>
      <c r="O1421" s="32" t="s">
        <v>4148</v>
      </c>
      <c r="P1421" s="98">
        <f t="shared" si="91"/>
        <v>1</v>
      </c>
      <c r="Q1421">
        <v>0</v>
      </c>
      <c r="R1421">
        <v>6</v>
      </c>
      <c r="S1421">
        <v>0</v>
      </c>
      <c r="T1421" t="s">
        <v>73</v>
      </c>
      <c r="U1421" t="s">
        <v>4149</v>
      </c>
      <c r="V1421" t="s">
        <v>4150</v>
      </c>
      <c r="W1421" s="319">
        <v>103</v>
      </c>
      <c r="X1421" s="319">
        <v>8</v>
      </c>
      <c r="Y1421" s="319">
        <v>1</v>
      </c>
      <c r="Z1421" s="314"/>
      <c r="AA1421" s="319">
        <v>0.45909090909090899</v>
      </c>
      <c r="AB1421" s="315" t="s">
        <v>5165</v>
      </c>
      <c r="AC1421" s="319">
        <v>2</v>
      </c>
      <c r="AD1421" s="320">
        <v>3.1746031746031703E-2</v>
      </c>
      <c r="AE1421" s="319">
        <v>1</v>
      </c>
      <c r="AF1421" s="320">
        <v>1.5873015873015799E-2</v>
      </c>
      <c r="AG1421" s="319">
        <v>0</v>
      </c>
      <c r="AH1421" s="320">
        <v>0</v>
      </c>
      <c r="AI1421" s="319">
        <v>0</v>
      </c>
      <c r="AJ1421" s="320">
        <v>0</v>
      </c>
      <c r="AK1421" s="320">
        <v>0</v>
      </c>
      <c r="AL1421" s="319"/>
      <c r="AM1421" s="319"/>
      <c r="AN1421" s="319"/>
      <c r="AO1421" s="319"/>
      <c r="AP1421">
        <v>1</v>
      </c>
      <c r="AS1421" s="319">
        <v>1</v>
      </c>
      <c r="AT1421" s="69">
        <v>2.3148</v>
      </c>
      <c r="AU1421" s="69">
        <v>2.3148</v>
      </c>
      <c r="AV1421" s="69">
        <v>9.9641999999999999</v>
      </c>
      <c r="AW1421" s="69">
        <v>0.48649999999999999</v>
      </c>
      <c r="BB1421" s="69"/>
    </row>
    <row r="1422" spans="1:54" customFormat="1" ht="40" customHeight="1">
      <c r="A1422" s="313">
        <v>1421</v>
      </c>
      <c r="B1422" s="136" t="s">
        <v>3243</v>
      </c>
      <c r="C1422" s="136" t="s">
        <v>59</v>
      </c>
      <c r="D1422" s="31"/>
      <c r="E1422" s="137" t="s">
        <v>46</v>
      </c>
      <c r="F1422" s="31"/>
      <c r="G1422" s="137" t="s">
        <v>4151</v>
      </c>
      <c r="H1422" s="138">
        <v>211</v>
      </c>
      <c r="I1422" s="158"/>
      <c r="J1422" s="95"/>
      <c r="K1422" s="137">
        <v>0.65007289388811795</v>
      </c>
      <c r="L1422" s="137">
        <v>0.26814927454944398</v>
      </c>
      <c r="M1422" s="137">
        <v>1.35335283236613E-2</v>
      </c>
      <c r="N1422" s="136" t="s">
        <v>4152</v>
      </c>
      <c r="O1422" s="32" t="s">
        <v>4153</v>
      </c>
      <c r="P1422" s="98">
        <f t="shared" si="91"/>
        <v>1</v>
      </c>
      <c r="Q1422">
        <v>0</v>
      </c>
      <c r="R1422">
        <v>6</v>
      </c>
      <c r="S1422">
        <v>0</v>
      </c>
      <c r="T1422" t="s">
        <v>73</v>
      </c>
      <c r="U1422" t="s">
        <v>4154</v>
      </c>
      <c r="V1422" t="s">
        <v>4155</v>
      </c>
      <c r="W1422" s="319">
        <v>212</v>
      </c>
      <c r="X1422" s="319">
        <v>6</v>
      </c>
      <c r="Y1422" s="319">
        <v>1</v>
      </c>
      <c r="Z1422" s="314"/>
      <c r="AA1422" s="319">
        <v>0.59450000000000003</v>
      </c>
      <c r="AB1422" s="315" t="s">
        <v>5178</v>
      </c>
      <c r="AC1422" s="319">
        <v>2</v>
      </c>
      <c r="AD1422" s="320">
        <v>1.8018018018018001E-2</v>
      </c>
      <c r="AE1422" s="319">
        <v>2</v>
      </c>
      <c r="AF1422" s="320">
        <v>1.8018018018018001E-2</v>
      </c>
      <c r="AG1422" s="319">
        <v>1</v>
      </c>
      <c r="AH1422" s="320">
        <v>9.0090090090090003E-3</v>
      </c>
      <c r="AI1422" s="319">
        <v>0</v>
      </c>
      <c r="AJ1422" s="320">
        <v>0</v>
      </c>
      <c r="AK1422" s="320">
        <v>0</v>
      </c>
      <c r="AL1422" s="319"/>
      <c r="AM1422" s="319"/>
      <c r="AN1422" s="319"/>
      <c r="AO1422" s="319"/>
      <c r="AP1422">
        <v>1</v>
      </c>
      <c r="AS1422" s="319">
        <v>1</v>
      </c>
      <c r="AT1422" s="69">
        <v>2.3148</v>
      </c>
      <c r="AU1422" s="69">
        <v>5</v>
      </c>
      <c r="AV1422" s="69">
        <v>5.7443999999999997</v>
      </c>
      <c r="AW1422" s="69">
        <v>0.43530000000000002</v>
      </c>
      <c r="BB1422" s="69"/>
    </row>
    <row r="1423" spans="1:54" customFormat="1" ht="40" customHeight="1">
      <c r="A1423" s="313">
        <v>1422</v>
      </c>
      <c r="B1423" s="136" t="s">
        <v>3243</v>
      </c>
      <c r="C1423" s="136" t="s">
        <v>45</v>
      </c>
      <c r="D1423" s="31"/>
      <c r="E1423" s="137" t="s">
        <v>46</v>
      </c>
      <c r="F1423" s="31"/>
      <c r="G1423" s="137" t="s">
        <v>4156</v>
      </c>
      <c r="H1423" s="138">
        <v>275</v>
      </c>
      <c r="I1423" s="158"/>
      <c r="J1423" s="95"/>
      <c r="K1423" s="137">
        <v>0.50512834069460699</v>
      </c>
      <c r="L1423" s="137">
        <v>0.20205233837989001</v>
      </c>
      <c r="M1423" s="137">
        <v>1.67017007902457E-6</v>
      </c>
      <c r="N1423" s="136" t="s">
        <v>4157</v>
      </c>
      <c r="O1423" s="32" t="s">
        <v>4158</v>
      </c>
      <c r="P1423" s="98">
        <f t="shared" si="91"/>
        <v>1</v>
      </c>
      <c r="Q1423">
        <v>0</v>
      </c>
      <c r="R1423">
        <v>6</v>
      </c>
      <c r="S1423">
        <v>0</v>
      </c>
      <c r="T1423" t="s">
        <v>73</v>
      </c>
      <c r="U1423" s="1" t="s">
        <v>4159</v>
      </c>
      <c r="V1423" t="s">
        <v>4160</v>
      </c>
      <c r="W1423" s="319">
        <v>163</v>
      </c>
      <c r="X1423" s="319">
        <v>12</v>
      </c>
      <c r="Y1423" s="319">
        <v>2</v>
      </c>
      <c r="Z1423" s="314"/>
      <c r="AA1423" s="319">
        <v>6.1704902043339794E-5</v>
      </c>
      <c r="AB1423" s="315" t="s">
        <v>5176</v>
      </c>
      <c r="AC1423" s="319">
        <v>2</v>
      </c>
      <c r="AD1423" s="320">
        <v>2.1052631578947299E-2</v>
      </c>
      <c r="AE1423" s="319">
        <v>3</v>
      </c>
      <c r="AF1423" s="320">
        <v>3.1578947368420998E-2</v>
      </c>
      <c r="AG1423" s="319">
        <v>0</v>
      </c>
      <c r="AH1423" s="320">
        <v>0</v>
      </c>
      <c r="AI1423" s="319">
        <v>0</v>
      </c>
      <c r="AJ1423" s="320">
        <v>0</v>
      </c>
      <c r="AK1423" s="320">
        <v>0</v>
      </c>
      <c r="AL1423" s="319"/>
      <c r="AM1423" s="319"/>
      <c r="AN1423" s="319"/>
      <c r="AO1423" s="319"/>
      <c r="AP1423">
        <v>2</v>
      </c>
      <c r="AQ1423" s="319">
        <v>2</v>
      </c>
      <c r="AT1423" s="69">
        <v>2.3148</v>
      </c>
      <c r="AU1423" s="69">
        <v>9.8933</v>
      </c>
      <c r="AV1423" s="69">
        <v>9.5120000000000005</v>
      </c>
      <c r="AW1423" s="69">
        <v>0.72399999999999998</v>
      </c>
      <c r="BB1423" s="69"/>
    </row>
    <row r="1424" spans="1:54" customFormat="1" ht="40" customHeight="1">
      <c r="A1424" s="313">
        <v>1423</v>
      </c>
      <c r="B1424" s="136" t="s">
        <v>4161</v>
      </c>
      <c r="C1424" s="136" t="s">
        <v>45</v>
      </c>
      <c r="D1424" s="31"/>
      <c r="E1424" s="137" t="s">
        <v>46</v>
      </c>
      <c r="F1424" s="31"/>
      <c r="G1424" s="137" t="s">
        <v>4162</v>
      </c>
      <c r="H1424" s="138">
        <v>148</v>
      </c>
      <c r="I1424" s="158"/>
      <c r="J1424" s="95"/>
      <c r="K1424" s="137">
        <v>0.50512834069460699</v>
      </c>
      <c r="L1424" s="137">
        <v>0.26205133627784299</v>
      </c>
      <c r="M1424" s="137">
        <v>0.1</v>
      </c>
      <c r="N1424" s="136" t="s">
        <v>3251</v>
      </c>
      <c r="O1424" s="32" t="s">
        <v>4163</v>
      </c>
      <c r="P1424" s="98">
        <f t="shared" si="91"/>
        <v>1</v>
      </c>
      <c r="Q1424">
        <v>0</v>
      </c>
      <c r="R1424">
        <v>1</v>
      </c>
      <c r="S1424">
        <v>1</v>
      </c>
      <c r="T1424" t="s">
        <v>73</v>
      </c>
      <c r="U1424" s="324" t="s">
        <v>5138</v>
      </c>
      <c r="V1424" t="s">
        <v>4164</v>
      </c>
      <c r="W1424" s="319">
        <v>97</v>
      </c>
      <c r="X1424" s="319">
        <v>12</v>
      </c>
      <c r="Y1424" s="319">
        <v>1</v>
      </c>
      <c r="Z1424" s="314"/>
      <c r="AA1424" s="319">
        <v>0.60499999999999998</v>
      </c>
      <c r="AB1424" s="315" t="s">
        <v>5176</v>
      </c>
      <c r="AC1424" s="319">
        <v>0</v>
      </c>
      <c r="AD1424" s="320">
        <v>0</v>
      </c>
      <c r="AE1424" s="319">
        <v>1</v>
      </c>
      <c r="AF1424" s="320">
        <v>1.6949152542372801E-2</v>
      </c>
      <c r="AG1424" s="319">
        <v>0</v>
      </c>
      <c r="AH1424" s="320">
        <v>0</v>
      </c>
      <c r="AI1424" s="319">
        <v>0</v>
      </c>
      <c r="AJ1424" s="320">
        <v>0</v>
      </c>
      <c r="AK1424" s="320">
        <v>1.6949152542372881E-2</v>
      </c>
      <c r="AL1424" s="319"/>
      <c r="AM1424" s="319"/>
      <c r="AN1424" s="319"/>
      <c r="AO1424" s="319"/>
      <c r="AP1424">
        <v>1</v>
      </c>
      <c r="AR1424" s="319">
        <v>1</v>
      </c>
      <c r="AT1424" s="69">
        <v>2.3148</v>
      </c>
      <c r="AU1424" s="69">
        <v>7.6852</v>
      </c>
      <c r="AV1424" s="69">
        <v>8.1305999999999994</v>
      </c>
      <c r="AW1424" s="69">
        <v>0.60440000000000005</v>
      </c>
      <c r="BB1424" s="69"/>
    </row>
    <row r="1425" spans="1:54" customFormat="1" ht="40" customHeight="1">
      <c r="A1425" s="313">
        <v>1424</v>
      </c>
      <c r="B1425" s="136" t="s">
        <v>3243</v>
      </c>
      <c r="C1425" s="136" t="s">
        <v>45</v>
      </c>
      <c r="D1425" s="31"/>
      <c r="E1425" s="137" t="s">
        <v>46</v>
      </c>
      <c r="F1425" s="31"/>
      <c r="G1425" s="137" t="s">
        <v>4165</v>
      </c>
      <c r="H1425" s="138">
        <v>93</v>
      </c>
      <c r="I1425" s="158"/>
      <c r="J1425" s="95"/>
      <c r="K1425" s="137">
        <v>0.39390847326867401</v>
      </c>
      <c r="L1425" s="137">
        <v>0.21756338930746899</v>
      </c>
      <c r="M1425" s="137">
        <v>0.1</v>
      </c>
      <c r="N1425" s="136" t="s">
        <v>4166</v>
      </c>
      <c r="O1425" s="32" t="s">
        <v>4167</v>
      </c>
      <c r="P1425" s="98">
        <f t="shared" si="91"/>
        <v>1</v>
      </c>
      <c r="Q1425">
        <v>1</v>
      </c>
      <c r="R1425">
        <v>0</v>
      </c>
      <c r="S1425">
        <v>0</v>
      </c>
      <c r="T1425" t="s">
        <v>5088</v>
      </c>
      <c r="U1425" t="s">
        <v>4168</v>
      </c>
      <c r="V1425" t="s">
        <v>4169</v>
      </c>
      <c r="W1425" s="319">
        <v>97</v>
      </c>
      <c r="X1425" s="319">
        <v>18</v>
      </c>
      <c r="Y1425" s="319">
        <v>1</v>
      </c>
      <c r="Z1425" s="314"/>
      <c r="AA1425" s="319">
        <v>0.66549999999999998</v>
      </c>
      <c r="AB1425" s="315" t="s">
        <v>5176</v>
      </c>
      <c r="AC1425" s="319">
        <v>1</v>
      </c>
      <c r="AD1425" s="320">
        <v>1.85185185185185E-2</v>
      </c>
      <c r="AE1425" s="319">
        <v>4</v>
      </c>
      <c r="AF1425" s="320">
        <v>7.4074074074074001E-2</v>
      </c>
      <c r="AG1425" s="319">
        <v>0</v>
      </c>
      <c r="AH1425" s="320">
        <v>0</v>
      </c>
      <c r="AI1425" s="319">
        <v>0</v>
      </c>
      <c r="AJ1425" s="320">
        <v>0</v>
      </c>
      <c r="AK1425" s="320">
        <v>3.7037037037037028E-2</v>
      </c>
      <c r="AL1425" s="319"/>
      <c r="AM1425" s="319"/>
      <c r="AN1425" s="319"/>
      <c r="AO1425" s="319"/>
      <c r="AP1425">
        <v>1</v>
      </c>
      <c r="AR1425" s="319">
        <v>1</v>
      </c>
      <c r="AT1425" s="69">
        <v>2.3148</v>
      </c>
      <c r="AU1425" s="69">
        <v>5</v>
      </c>
      <c r="AV1425" s="69">
        <v>8.1305999999999994</v>
      </c>
      <c r="AW1425" s="69">
        <v>0.51480000000000004</v>
      </c>
      <c r="BB1425" s="69"/>
    </row>
    <row r="1426" spans="1:54" customFormat="1" ht="40" customHeight="1">
      <c r="A1426" s="313">
        <v>1425</v>
      </c>
      <c r="B1426" s="136" t="s">
        <v>2179</v>
      </c>
      <c r="C1426" s="136" t="s">
        <v>45</v>
      </c>
      <c r="D1426" s="31"/>
      <c r="E1426" s="137" t="s">
        <v>46</v>
      </c>
      <c r="F1426" s="31"/>
      <c r="G1426" s="137" t="s">
        <v>4170</v>
      </c>
      <c r="H1426" s="138">
        <v>222</v>
      </c>
      <c r="I1426" s="158"/>
      <c r="J1426" s="95"/>
      <c r="K1426" s="137">
        <v>0.39390847326867401</v>
      </c>
      <c r="L1426" s="137">
        <v>0.15758351706514401</v>
      </c>
      <c r="M1426" s="137">
        <v>3.3546262790251203E-5</v>
      </c>
      <c r="N1426" s="136" t="s">
        <v>4171</v>
      </c>
      <c r="O1426" s="32" t="s">
        <v>4172</v>
      </c>
      <c r="P1426" s="98">
        <f t="shared" si="91"/>
        <v>1</v>
      </c>
      <c r="Q1426">
        <v>0</v>
      </c>
      <c r="R1426">
        <v>6</v>
      </c>
      <c r="S1426">
        <v>0</v>
      </c>
      <c r="T1426" t="s">
        <v>73</v>
      </c>
      <c r="U1426" s="1" t="s">
        <v>4173</v>
      </c>
      <c r="V1426" t="s">
        <v>4174</v>
      </c>
      <c r="W1426" s="319">
        <v>125</v>
      </c>
      <c r="X1426" s="319">
        <v>18</v>
      </c>
      <c r="Y1426" s="319">
        <v>1</v>
      </c>
      <c r="Z1426" s="314"/>
      <c r="AA1426" s="319">
        <v>4.5594098277725801E-4</v>
      </c>
      <c r="AB1426" s="315" t="s">
        <v>5165</v>
      </c>
      <c r="AC1426" s="319">
        <v>2</v>
      </c>
      <c r="AD1426" s="320">
        <v>2.77777777777777E-2</v>
      </c>
      <c r="AE1426" s="319">
        <v>1</v>
      </c>
      <c r="AF1426" s="320">
        <v>1.38888888888888E-2</v>
      </c>
      <c r="AG1426" s="319">
        <v>1</v>
      </c>
      <c r="AH1426" s="320">
        <v>1.38888888888888E-2</v>
      </c>
      <c r="AI1426" s="319">
        <v>0</v>
      </c>
      <c r="AJ1426" s="320">
        <v>0</v>
      </c>
      <c r="AK1426" s="320">
        <v>1.388888888888889E-2</v>
      </c>
      <c r="AL1426" s="319"/>
      <c r="AM1426" s="319"/>
      <c r="AN1426" s="319"/>
      <c r="AO1426" s="319"/>
      <c r="AP1426">
        <v>1</v>
      </c>
      <c r="AR1426" s="319">
        <v>1</v>
      </c>
      <c r="AT1426" s="69">
        <v>2.3148</v>
      </c>
      <c r="AU1426" s="69">
        <v>2.3148</v>
      </c>
      <c r="AV1426" s="69">
        <v>2.3148</v>
      </c>
      <c r="AW1426" s="69">
        <v>0.23150000000000001</v>
      </c>
      <c r="BB1426" s="69"/>
    </row>
    <row r="1427" spans="1:54" customFormat="1" ht="40" customHeight="1">
      <c r="A1427" s="313">
        <v>1426</v>
      </c>
      <c r="B1427" s="136" t="s">
        <v>3243</v>
      </c>
      <c r="C1427" s="136" t="s">
        <v>45</v>
      </c>
      <c r="D1427" s="31"/>
      <c r="E1427" s="137" t="s">
        <v>80</v>
      </c>
      <c r="F1427" s="31"/>
      <c r="G1427" s="137" t="s">
        <v>4165</v>
      </c>
      <c r="H1427" s="138">
        <v>93</v>
      </c>
      <c r="I1427" s="158"/>
      <c r="J1427" s="95"/>
      <c r="K1427" s="137">
        <v>0.50512834069460699</v>
      </c>
      <c r="L1427" s="137">
        <v>0.26205133627784299</v>
      </c>
      <c r="M1427" s="137">
        <v>0.1</v>
      </c>
      <c r="N1427" s="136" t="s">
        <v>4175</v>
      </c>
      <c r="O1427" s="32" t="s">
        <v>4176</v>
      </c>
      <c r="P1427" s="98">
        <f t="shared" si="91"/>
        <v>1</v>
      </c>
      <c r="Q1427">
        <v>1</v>
      </c>
      <c r="R1427">
        <v>0</v>
      </c>
      <c r="S1427">
        <v>0</v>
      </c>
      <c r="T1427" t="s">
        <v>5088</v>
      </c>
      <c r="U1427" t="s">
        <v>4168</v>
      </c>
      <c r="V1427" t="s">
        <v>4177</v>
      </c>
      <c r="W1427" s="319">
        <v>81</v>
      </c>
      <c r="X1427" s="319">
        <v>12</v>
      </c>
      <c r="Y1427" s="319">
        <v>1</v>
      </c>
      <c r="Z1427" s="314"/>
      <c r="AA1427" s="319">
        <v>0.66549999999999998</v>
      </c>
      <c r="AB1427" s="315" t="s">
        <v>5176</v>
      </c>
      <c r="AC1427" s="319">
        <v>0</v>
      </c>
      <c r="AD1427" s="320">
        <v>0</v>
      </c>
      <c r="AE1427" s="319">
        <v>2</v>
      </c>
      <c r="AF1427" s="320">
        <v>4.3478260869565202E-2</v>
      </c>
      <c r="AG1427" s="319">
        <v>0</v>
      </c>
      <c r="AH1427" s="320">
        <v>0</v>
      </c>
      <c r="AI1427" s="319">
        <v>0</v>
      </c>
      <c r="AJ1427" s="320">
        <v>0</v>
      </c>
      <c r="AK1427" s="320">
        <v>0</v>
      </c>
      <c r="AL1427" s="319"/>
      <c r="AM1427" s="319"/>
      <c r="AN1427" s="319"/>
      <c r="AO1427" s="319"/>
      <c r="AP1427" s="319">
        <v>1</v>
      </c>
      <c r="AT1427" s="69">
        <v>2.3148</v>
      </c>
      <c r="AU1427" s="69">
        <v>5</v>
      </c>
      <c r="AV1427" s="69">
        <v>8.1305999999999994</v>
      </c>
      <c r="AW1427" s="69">
        <v>0.51480000000000004</v>
      </c>
      <c r="BB1427" s="69"/>
    </row>
    <row r="1428" spans="1:54" customFormat="1" ht="40" customHeight="1">
      <c r="A1428" s="313">
        <v>1427</v>
      </c>
      <c r="B1428" s="136" t="s">
        <v>3243</v>
      </c>
      <c r="C1428" s="136" t="s">
        <v>1191</v>
      </c>
      <c r="D1428" s="31"/>
      <c r="E1428" s="137" t="s">
        <v>46</v>
      </c>
      <c r="F1428" s="31"/>
      <c r="G1428" s="137" t="s">
        <v>4178</v>
      </c>
      <c r="H1428" s="138">
        <v>57</v>
      </c>
      <c r="I1428" s="158"/>
      <c r="J1428" s="95"/>
      <c r="K1428" s="137">
        <v>0.48492124636228701</v>
      </c>
      <c r="L1428" s="137">
        <v>0.25396849854491499</v>
      </c>
      <c r="M1428" s="137">
        <v>0.1</v>
      </c>
      <c r="N1428" s="136" t="s">
        <v>4179</v>
      </c>
      <c r="O1428" s="32" t="s">
        <v>4180</v>
      </c>
      <c r="P1428" s="98">
        <f t="shared" si="91"/>
        <v>1</v>
      </c>
      <c r="Q1428">
        <v>0</v>
      </c>
      <c r="R1428">
        <v>2</v>
      </c>
      <c r="S1428">
        <v>3</v>
      </c>
      <c r="T1428" t="s">
        <v>5133</v>
      </c>
      <c r="U1428" t="s">
        <v>4181</v>
      </c>
      <c r="V1428" t="s">
        <v>4182</v>
      </c>
      <c r="W1428" s="319">
        <v>230</v>
      </c>
      <c r="X1428" s="319">
        <v>13</v>
      </c>
      <c r="Y1428" s="319">
        <v>3</v>
      </c>
      <c r="Z1428" s="314"/>
      <c r="AA1428" s="319">
        <v>0.55000000000000004</v>
      </c>
      <c r="AB1428" s="315" t="s">
        <v>5165</v>
      </c>
      <c r="AC1428" s="319">
        <v>3</v>
      </c>
      <c r="AD1428" s="320">
        <v>2.2388059701492501E-2</v>
      </c>
      <c r="AE1428" s="319">
        <v>2</v>
      </c>
      <c r="AF1428" s="320">
        <v>1.4925373134328301E-2</v>
      </c>
      <c r="AG1428" s="319">
        <v>2</v>
      </c>
      <c r="AH1428" s="320">
        <v>1.4925373134328301E-2</v>
      </c>
      <c r="AI1428" s="319">
        <v>0</v>
      </c>
      <c r="AJ1428" s="320">
        <v>0</v>
      </c>
      <c r="AK1428" s="320">
        <v>0</v>
      </c>
      <c r="AL1428" s="319"/>
      <c r="AM1428" s="319"/>
      <c r="AN1428" s="319"/>
      <c r="AO1428" s="319"/>
      <c r="AP1428">
        <v>3</v>
      </c>
      <c r="AR1428" s="319">
        <v>3</v>
      </c>
      <c r="AT1428" s="69">
        <v>2.3148</v>
      </c>
      <c r="AU1428" s="69">
        <v>5</v>
      </c>
      <c r="AV1428" s="69">
        <v>8.1305999999999994</v>
      </c>
      <c r="AW1428" s="69">
        <v>0.51480000000000004</v>
      </c>
      <c r="BB1428" s="69"/>
    </row>
    <row r="1429" spans="1:54" customFormat="1" ht="40" customHeight="1">
      <c r="A1429" s="313">
        <v>1428</v>
      </c>
      <c r="B1429" s="136" t="s">
        <v>3243</v>
      </c>
      <c r="C1429" s="136" t="s">
        <v>1191</v>
      </c>
      <c r="D1429" s="31"/>
      <c r="E1429" s="137" t="s">
        <v>46</v>
      </c>
      <c r="F1429" s="31"/>
      <c r="G1429" s="137" t="s">
        <v>4183</v>
      </c>
      <c r="H1429" s="138">
        <v>150</v>
      </c>
      <c r="I1429" s="158"/>
      <c r="J1429" s="95"/>
      <c r="K1429" s="137">
        <v>0.32994060573951001</v>
      </c>
      <c r="L1429" s="137">
        <v>0.19197624229580401</v>
      </c>
      <c r="M1429" s="137">
        <v>0.1</v>
      </c>
      <c r="N1429" s="136" t="s">
        <v>4184</v>
      </c>
      <c r="O1429" s="32" t="s">
        <v>4185</v>
      </c>
      <c r="P1429" s="98">
        <f t="shared" si="91"/>
        <v>1</v>
      </c>
      <c r="Q1429">
        <v>2</v>
      </c>
      <c r="R1429">
        <v>0</v>
      </c>
      <c r="S1429">
        <v>0</v>
      </c>
      <c r="T1429" t="s">
        <v>5088</v>
      </c>
      <c r="U1429" s="1" t="s">
        <v>4186</v>
      </c>
      <c r="V1429" t="s">
        <v>4187</v>
      </c>
      <c r="W1429" s="319">
        <v>315</v>
      </c>
      <c r="X1429" s="319">
        <v>22</v>
      </c>
      <c r="Y1429" s="319">
        <v>4</v>
      </c>
      <c r="Z1429" s="314"/>
      <c r="AA1429" s="319">
        <v>0.59450000000000003</v>
      </c>
      <c r="AB1429" s="315" t="s">
        <v>5176</v>
      </c>
      <c r="AC1429" s="319">
        <v>3</v>
      </c>
      <c r="AD1429" s="320">
        <v>1.72413793103448E-2</v>
      </c>
      <c r="AE1429" s="319">
        <v>4</v>
      </c>
      <c r="AF1429" s="320">
        <v>2.2988505747126398E-2</v>
      </c>
      <c r="AG1429" s="319">
        <v>2</v>
      </c>
      <c r="AH1429" s="320">
        <v>1.1494252873563199E-2</v>
      </c>
      <c r="AI1429" s="319">
        <v>1</v>
      </c>
      <c r="AJ1429" s="320">
        <v>5.7471264367815996E-3</v>
      </c>
      <c r="AK1429" s="320">
        <v>0</v>
      </c>
      <c r="AL1429" s="319"/>
      <c r="AM1429" s="319"/>
      <c r="AN1429" s="319"/>
      <c r="AO1429" s="319"/>
      <c r="AP1429">
        <v>4</v>
      </c>
      <c r="AR1429" s="319">
        <v>4</v>
      </c>
      <c r="AT1429" s="69">
        <v>2.3148</v>
      </c>
      <c r="AU1429" s="69">
        <v>5</v>
      </c>
      <c r="AV1429" s="69">
        <v>9.5120000000000005</v>
      </c>
      <c r="AW1429" s="69">
        <v>0.56089999999999995</v>
      </c>
      <c r="BB1429" s="69"/>
    </row>
    <row r="1430" spans="1:54" customFormat="1" ht="40" customHeight="1">
      <c r="A1430" s="313">
        <v>1429</v>
      </c>
      <c r="B1430" s="136" t="s">
        <v>3243</v>
      </c>
      <c r="C1430" s="136" t="s">
        <v>45</v>
      </c>
      <c r="D1430" s="31"/>
      <c r="E1430" s="137" t="s">
        <v>46</v>
      </c>
      <c r="F1430" s="31"/>
      <c r="G1430" s="137" t="s">
        <v>4188</v>
      </c>
      <c r="H1430" s="138">
        <v>119</v>
      </c>
      <c r="I1430" s="158"/>
      <c r="J1430" s="95"/>
      <c r="K1430" s="137">
        <v>0.526196458520657</v>
      </c>
      <c r="L1430" s="137">
        <v>0.21859870040245999</v>
      </c>
      <c r="M1430" s="137">
        <v>1.35335283236613E-2</v>
      </c>
      <c r="N1430" s="136" t="s">
        <v>4189</v>
      </c>
      <c r="O1430" s="32" t="s">
        <v>4190</v>
      </c>
      <c r="P1430" s="98">
        <f t="shared" si="91"/>
        <v>1</v>
      </c>
      <c r="Q1430">
        <v>4</v>
      </c>
      <c r="R1430">
        <v>2</v>
      </c>
      <c r="S1430">
        <v>0</v>
      </c>
      <c r="T1430" t="s">
        <v>5088</v>
      </c>
      <c r="U1430" t="s">
        <v>4191</v>
      </c>
      <c r="V1430" t="s">
        <v>4192</v>
      </c>
      <c r="W1430" s="319">
        <v>120</v>
      </c>
      <c r="X1430" s="319">
        <v>11</v>
      </c>
      <c r="Y1430" s="319">
        <v>1</v>
      </c>
      <c r="Z1430" s="314"/>
      <c r="AA1430" s="319">
        <v>2.71339522604859E-2</v>
      </c>
      <c r="AB1430" s="315" t="s">
        <v>5165</v>
      </c>
      <c r="AC1430" s="319">
        <v>3</v>
      </c>
      <c r="AD1430" s="320">
        <v>4.4776119402985003E-2</v>
      </c>
      <c r="AE1430" s="319">
        <v>2</v>
      </c>
      <c r="AF1430" s="320">
        <v>2.9850746268656699E-2</v>
      </c>
      <c r="AG1430" s="319">
        <v>0</v>
      </c>
      <c r="AH1430" s="320">
        <v>0</v>
      </c>
      <c r="AI1430" s="319">
        <v>0</v>
      </c>
      <c r="AJ1430" s="320">
        <v>0</v>
      </c>
      <c r="AK1430" s="320">
        <v>4.4776119402985072E-2</v>
      </c>
      <c r="AL1430" s="319"/>
      <c r="AM1430" s="319"/>
      <c r="AN1430" s="319"/>
      <c r="AO1430" s="319"/>
      <c r="AP1430">
        <v>1</v>
      </c>
      <c r="AS1430" s="319">
        <v>1</v>
      </c>
      <c r="AT1430" s="69">
        <v>2.3148</v>
      </c>
      <c r="AU1430" s="69">
        <v>2.3148</v>
      </c>
      <c r="AV1430" s="69">
        <v>9.9641999999999999</v>
      </c>
      <c r="AW1430" s="69">
        <v>0.48649999999999999</v>
      </c>
      <c r="BB1430" s="69"/>
    </row>
    <row r="1431" spans="1:54" customFormat="1" ht="40" customHeight="1">
      <c r="A1431" s="313">
        <v>1430</v>
      </c>
      <c r="B1431" s="136" t="s">
        <v>1222</v>
      </c>
      <c r="C1431" s="136" t="s">
        <v>59</v>
      </c>
      <c r="D1431" s="31"/>
      <c r="E1431" s="137" t="s">
        <v>46</v>
      </c>
      <c r="F1431" s="31"/>
      <c r="G1431" s="137" t="s">
        <v>4114</v>
      </c>
      <c r="H1431" s="138">
        <v>82</v>
      </c>
      <c r="I1431" s="158"/>
      <c r="J1431" s="95"/>
      <c r="K1431" s="137">
        <v>0.71428571428571397</v>
      </c>
      <c r="L1431" s="137">
        <v>0.30778705218457197</v>
      </c>
      <c r="M1431" s="137">
        <v>3.67879441171442E-2</v>
      </c>
      <c r="N1431" s="136" t="s">
        <v>4193</v>
      </c>
      <c r="O1431" s="32" t="s">
        <v>4194</v>
      </c>
      <c r="P1431" s="98">
        <f t="shared" si="91"/>
        <v>1</v>
      </c>
      <c r="Q1431">
        <v>0</v>
      </c>
      <c r="R1431">
        <v>0</v>
      </c>
      <c r="S1431">
        <v>2</v>
      </c>
      <c r="T1431" t="s">
        <v>5133</v>
      </c>
      <c r="U1431" t="s">
        <v>4195</v>
      </c>
      <c r="V1431" t="s">
        <v>4196</v>
      </c>
      <c r="W1431" s="319">
        <v>363</v>
      </c>
      <c r="X1431" s="319">
        <v>4</v>
      </c>
      <c r="Y1431" s="319">
        <v>2</v>
      </c>
      <c r="Z1431" s="314"/>
      <c r="AA1431" s="319">
        <v>0.5</v>
      </c>
      <c r="AB1431" s="315" t="s">
        <v>5168</v>
      </c>
      <c r="AC1431" s="319">
        <v>3</v>
      </c>
      <c r="AD1431" s="320">
        <v>1.3953488372093001E-2</v>
      </c>
      <c r="AE1431" s="319">
        <v>3</v>
      </c>
      <c r="AF1431" s="320">
        <v>1.3953488372093001E-2</v>
      </c>
      <c r="AG1431" s="319">
        <v>4</v>
      </c>
      <c r="AH1431" s="320">
        <v>1.86046511627906E-2</v>
      </c>
      <c r="AI1431" s="319">
        <v>0</v>
      </c>
      <c r="AJ1431" s="320">
        <v>0</v>
      </c>
      <c r="AK1431" s="320">
        <v>4.6511627906976744E-3</v>
      </c>
      <c r="AL1431" s="319"/>
      <c r="AM1431" s="319"/>
      <c r="AN1431" s="319"/>
      <c r="AO1431" s="319"/>
      <c r="AP1431">
        <v>2</v>
      </c>
      <c r="AS1431" s="319">
        <v>2</v>
      </c>
      <c r="AT1431" s="69">
        <v>2.3148</v>
      </c>
      <c r="AU1431" s="69">
        <v>9.6544000000000008</v>
      </c>
      <c r="AV1431" s="69">
        <v>5.7443999999999997</v>
      </c>
      <c r="AW1431" s="69">
        <v>0.59050000000000002</v>
      </c>
      <c r="BB1431" s="69"/>
    </row>
    <row r="1432" spans="1:54" customFormat="1" ht="40" customHeight="1">
      <c r="A1432" s="313">
        <v>1431</v>
      </c>
      <c r="B1432" s="136" t="s">
        <v>3243</v>
      </c>
      <c r="C1432" s="136" t="s">
        <v>1191</v>
      </c>
      <c r="D1432" s="31"/>
      <c r="E1432" s="137" t="s">
        <v>80</v>
      </c>
      <c r="F1432" s="31"/>
      <c r="G1432" s="137" t="s">
        <v>4197</v>
      </c>
      <c r="H1432" s="138">
        <v>33</v>
      </c>
      <c r="I1432" s="158"/>
      <c r="J1432" s="95"/>
      <c r="K1432" s="137">
        <v>0.62203552699077302</v>
      </c>
      <c r="L1432" s="137">
        <v>0.308814210796309</v>
      </c>
      <c r="M1432" s="137">
        <v>0.1</v>
      </c>
      <c r="N1432" s="136" t="s">
        <v>3395</v>
      </c>
      <c r="O1432" s="32" t="s">
        <v>4198</v>
      </c>
      <c r="P1432" s="98">
        <f t="shared" si="91"/>
        <v>2</v>
      </c>
      <c r="Q1432">
        <v>0</v>
      </c>
      <c r="R1432">
        <v>0</v>
      </c>
      <c r="S1432">
        <v>0</v>
      </c>
      <c r="T1432" t="s">
        <v>64</v>
      </c>
      <c r="U1432" t="s">
        <v>4199</v>
      </c>
      <c r="V1432" t="s">
        <v>4200</v>
      </c>
      <c r="W1432" s="319">
        <v>29</v>
      </c>
      <c r="X1432" s="319">
        <v>7</v>
      </c>
      <c r="Y1432" s="319">
        <v>1</v>
      </c>
      <c r="Z1432" s="314"/>
      <c r="AA1432" s="319">
        <v>0.54500000000000004</v>
      </c>
      <c r="AB1432" s="331" t="s">
        <v>5172</v>
      </c>
      <c r="AC1432" s="319">
        <v>0</v>
      </c>
      <c r="AD1432" s="320">
        <v>0</v>
      </c>
      <c r="AE1432" s="319">
        <v>0</v>
      </c>
      <c r="AF1432" s="320">
        <v>0</v>
      </c>
      <c r="AG1432" s="319">
        <v>0</v>
      </c>
      <c r="AH1432" s="320">
        <v>0</v>
      </c>
      <c r="AI1432" s="319">
        <v>0</v>
      </c>
      <c r="AJ1432" s="320">
        <v>0</v>
      </c>
      <c r="AK1432" s="320">
        <v>0</v>
      </c>
      <c r="AL1432" s="319"/>
      <c r="AM1432" s="319"/>
      <c r="AN1432" s="319"/>
      <c r="AO1432" s="319"/>
      <c r="AP1432">
        <v>1</v>
      </c>
      <c r="AR1432" s="319">
        <v>1</v>
      </c>
      <c r="AT1432" s="69">
        <v>2.3148</v>
      </c>
      <c r="AU1432" s="69">
        <v>5</v>
      </c>
      <c r="AV1432" s="69">
        <v>2.3148</v>
      </c>
      <c r="AW1432" s="69">
        <v>0.32100000000000001</v>
      </c>
      <c r="BB1432" s="69"/>
    </row>
    <row r="1433" spans="1:54" customFormat="1" ht="40" customHeight="1">
      <c r="A1433" s="313">
        <v>1432</v>
      </c>
      <c r="B1433" s="136" t="s">
        <v>3243</v>
      </c>
      <c r="C1433" s="136" t="s">
        <v>45</v>
      </c>
      <c r="D1433" s="31"/>
      <c r="E1433" s="137" t="s">
        <v>80</v>
      </c>
      <c r="F1433" s="31"/>
      <c r="G1433" s="137" t="s">
        <v>4201</v>
      </c>
      <c r="H1433" s="138">
        <v>104</v>
      </c>
      <c r="I1433" s="158"/>
      <c r="J1433" s="95"/>
      <c r="K1433" s="137">
        <v>0.71428571428571397</v>
      </c>
      <c r="L1433" s="137">
        <v>0.34571428571428597</v>
      </c>
      <c r="M1433" s="137">
        <v>0.1</v>
      </c>
      <c r="N1433" s="136" t="s">
        <v>4202</v>
      </c>
      <c r="O1433" s="32" t="s">
        <v>4203</v>
      </c>
      <c r="P1433" s="98">
        <f t="shared" si="91"/>
        <v>0</v>
      </c>
      <c r="Q1433">
        <v>0</v>
      </c>
      <c r="R1433">
        <v>0</v>
      </c>
      <c r="S1433">
        <v>0</v>
      </c>
      <c r="T1433" t="s">
        <v>48</v>
      </c>
      <c r="U1433" t="s">
        <v>4204</v>
      </c>
      <c r="V1433" t="s">
        <v>4205</v>
      </c>
      <c r="W1433" s="319">
        <v>199</v>
      </c>
      <c r="X1433" s="319">
        <v>4</v>
      </c>
      <c r="Y1433" s="319">
        <v>1</v>
      </c>
      <c r="Z1433" s="314"/>
      <c r="AA1433" s="319">
        <v>0.66549999999999998</v>
      </c>
      <c r="AB1433" s="315" t="s">
        <v>5165</v>
      </c>
      <c r="AC1433" s="319">
        <v>3</v>
      </c>
      <c r="AD1433" s="320">
        <v>2.5862068965517199E-2</v>
      </c>
      <c r="AE1433" s="319">
        <v>2</v>
      </c>
      <c r="AF1433" s="320">
        <v>1.72413793103448E-2</v>
      </c>
      <c r="AG1433" s="319">
        <v>0</v>
      </c>
      <c r="AH1433" s="320">
        <v>0</v>
      </c>
      <c r="AI1433" s="319">
        <v>0</v>
      </c>
      <c r="AJ1433" s="320">
        <v>0</v>
      </c>
      <c r="AK1433" s="320">
        <v>8.6206896551724137E-3</v>
      </c>
      <c r="AL1433" s="319"/>
      <c r="AM1433" s="319"/>
      <c r="AN1433" s="319"/>
      <c r="AO1433" s="319"/>
      <c r="AP1433">
        <v>1</v>
      </c>
      <c r="AQ1433" s="319">
        <v>1</v>
      </c>
      <c r="AT1433" s="69">
        <v>2.3148</v>
      </c>
      <c r="AU1433" s="69">
        <v>5</v>
      </c>
      <c r="AV1433" s="69">
        <v>8.1305999999999994</v>
      </c>
      <c r="AW1433" s="69">
        <v>0.51480000000000004</v>
      </c>
      <c r="BB1433" s="69"/>
    </row>
    <row r="1434" spans="1:54" customFormat="1" ht="40" customHeight="1">
      <c r="A1434" s="313">
        <v>1433</v>
      </c>
      <c r="B1434" s="136" t="s">
        <v>1913</v>
      </c>
      <c r="C1434" s="136" t="s">
        <v>59</v>
      </c>
      <c r="D1434" s="31"/>
      <c r="E1434" s="137" t="s">
        <v>46</v>
      </c>
      <c r="F1434" s="31"/>
      <c r="G1434" s="137" t="s">
        <v>4206</v>
      </c>
      <c r="H1434" s="138">
        <v>77</v>
      </c>
      <c r="I1434" s="158"/>
      <c r="J1434" s="95"/>
      <c r="K1434" s="137">
        <v>0.68056171750003003</v>
      </c>
      <c r="L1434" s="137">
        <v>0.28034480399420902</v>
      </c>
      <c r="M1434" s="137">
        <v>1.35335283236613E-2</v>
      </c>
      <c r="N1434" s="136" t="s">
        <v>4207</v>
      </c>
      <c r="O1434" s="32" t="s">
        <v>4208</v>
      </c>
      <c r="P1434" s="98">
        <f t="shared" si="91"/>
        <v>1</v>
      </c>
      <c r="Q1434">
        <v>0</v>
      </c>
      <c r="R1434">
        <v>3</v>
      </c>
      <c r="S1434">
        <v>0</v>
      </c>
      <c r="T1434" t="s">
        <v>5132</v>
      </c>
      <c r="U1434" t="s">
        <v>4209</v>
      </c>
      <c r="V1434" t="s">
        <v>4210</v>
      </c>
      <c r="W1434" s="319">
        <v>91</v>
      </c>
      <c r="X1434" s="319">
        <v>5</v>
      </c>
      <c r="Y1434" s="319">
        <v>1</v>
      </c>
      <c r="Z1434" s="314"/>
      <c r="AA1434" s="319">
        <v>0.5</v>
      </c>
      <c r="AB1434" s="315" t="s">
        <v>5165</v>
      </c>
      <c r="AC1434" s="319">
        <v>3</v>
      </c>
      <c r="AD1434" s="320">
        <v>6.6666666666666596E-2</v>
      </c>
      <c r="AE1434" s="319">
        <v>0</v>
      </c>
      <c r="AF1434" s="320">
        <v>0</v>
      </c>
      <c r="AG1434" s="319">
        <v>0</v>
      </c>
      <c r="AH1434" s="320">
        <v>0</v>
      </c>
      <c r="AI1434" s="319">
        <v>0</v>
      </c>
      <c r="AJ1434" s="320">
        <v>0</v>
      </c>
      <c r="AK1434" s="320">
        <v>0</v>
      </c>
      <c r="AL1434" s="319"/>
      <c r="AM1434" s="319"/>
      <c r="AN1434" s="319"/>
      <c r="AO1434" s="319"/>
      <c r="AP1434">
        <v>1</v>
      </c>
      <c r="AR1434" s="319">
        <v>1</v>
      </c>
      <c r="AT1434" s="69">
        <v>2.3148</v>
      </c>
      <c r="AU1434" s="69">
        <v>2.3148</v>
      </c>
      <c r="AV1434" s="69">
        <v>5.7443999999999997</v>
      </c>
      <c r="AW1434" s="69">
        <v>0.3458</v>
      </c>
      <c r="BB1434" s="69"/>
    </row>
    <row r="1435" spans="1:54" customFormat="1" ht="40" customHeight="1">
      <c r="A1435" s="313">
        <v>1434</v>
      </c>
      <c r="B1435" s="136" t="s">
        <v>2752</v>
      </c>
      <c r="C1435" s="136" t="s">
        <v>45</v>
      </c>
      <c r="D1435" s="31"/>
      <c r="E1435" s="137" t="s">
        <v>46</v>
      </c>
      <c r="F1435" s="31"/>
      <c r="G1435" s="137" t="s">
        <v>4211</v>
      </c>
      <c r="H1435" s="138">
        <v>170</v>
      </c>
      <c r="I1435" s="158"/>
      <c r="J1435" s="95"/>
      <c r="K1435" s="137">
        <v>0.37730015092276098</v>
      </c>
      <c r="L1435" s="137">
        <v>0.15904017736330101</v>
      </c>
      <c r="M1435" s="137">
        <v>1.35335283236613E-2</v>
      </c>
      <c r="N1435" s="136" t="s">
        <v>3251</v>
      </c>
      <c r="O1435" s="32" t="s">
        <v>4212</v>
      </c>
      <c r="P1435" s="98">
        <f t="shared" si="91"/>
        <v>1</v>
      </c>
      <c r="Q1435">
        <v>3</v>
      </c>
      <c r="R1435">
        <v>3</v>
      </c>
      <c r="S1435">
        <v>0</v>
      </c>
      <c r="T1435" t="s">
        <v>73</v>
      </c>
      <c r="U1435" s="321" t="s">
        <v>5137</v>
      </c>
      <c r="V1435" t="s">
        <v>4213</v>
      </c>
      <c r="W1435" s="319">
        <v>32</v>
      </c>
      <c r="X1435" s="319">
        <v>19</v>
      </c>
      <c r="Y1435" s="319">
        <v>1</v>
      </c>
      <c r="Z1435" s="314"/>
      <c r="AA1435" s="319">
        <v>0.64895000000000003</v>
      </c>
      <c r="AB1435" s="315" t="s">
        <v>5165</v>
      </c>
      <c r="AC1435" s="319">
        <v>1</v>
      </c>
      <c r="AD1435" s="320">
        <v>7.1428571428571397E-2</v>
      </c>
      <c r="AE1435" s="319">
        <v>0</v>
      </c>
      <c r="AF1435" s="320">
        <v>0</v>
      </c>
      <c r="AG1435" s="319">
        <v>0</v>
      </c>
      <c r="AH1435" s="320">
        <v>0</v>
      </c>
      <c r="AI1435" s="319">
        <v>0</v>
      </c>
      <c r="AJ1435" s="320">
        <v>0</v>
      </c>
      <c r="AK1435" s="320">
        <v>0</v>
      </c>
      <c r="AL1435" s="319"/>
      <c r="AM1435" s="319"/>
      <c r="AN1435" s="319"/>
      <c r="AO1435" s="319"/>
      <c r="AP1435">
        <v>1</v>
      </c>
      <c r="AR1435" s="319">
        <v>1</v>
      </c>
      <c r="AT1435" s="69">
        <v>2.3148</v>
      </c>
      <c r="AU1435" s="69">
        <v>2.3148</v>
      </c>
      <c r="AV1435" s="69">
        <v>9.5120000000000005</v>
      </c>
      <c r="AW1435" s="69">
        <v>0.47139999999999999</v>
      </c>
      <c r="BB1435" s="69"/>
    </row>
    <row r="1436" spans="1:54" customFormat="1" ht="40" customHeight="1">
      <c r="A1436" s="313">
        <v>1435</v>
      </c>
      <c r="B1436" s="136" t="s">
        <v>3243</v>
      </c>
      <c r="C1436" s="136" t="s">
        <v>45</v>
      </c>
      <c r="D1436" s="31"/>
      <c r="E1436" s="137" t="s">
        <v>46</v>
      </c>
      <c r="F1436" s="31"/>
      <c r="G1436" s="137" t="s">
        <v>4214</v>
      </c>
      <c r="H1436" s="138">
        <v>129</v>
      </c>
      <c r="I1436" s="158"/>
      <c r="J1436" s="95"/>
      <c r="K1436" s="137">
        <v>0.31488121095532601</v>
      </c>
      <c r="L1436" s="137">
        <v>0.18595248438213</v>
      </c>
      <c r="M1436" s="137">
        <v>0.1</v>
      </c>
      <c r="N1436" s="136" t="s">
        <v>4215</v>
      </c>
      <c r="O1436" s="32" t="s">
        <v>4216</v>
      </c>
      <c r="P1436" s="98">
        <f t="shared" si="91"/>
        <v>0</v>
      </c>
      <c r="Q1436">
        <v>2</v>
      </c>
      <c r="R1436">
        <v>0</v>
      </c>
      <c r="S1436">
        <v>2</v>
      </c>
      <c r="T1436" t="s">
        <v>48</v>
      </c>
      <c r="U1436" s="321" t="s">
        <v>5136</v>
      </c>
      <c r="V1436" t="s">
        <v>4217</v>
      </c>
      <c r="W1436" s="319">
        <v>501</v>
      </c>
      <c r="X1436" s="319">
        <v>23</v>
      </c>
      <c r="Y1436" s="319">
        <v>4</v>
      </c>
      <c r="Z1436" s="314"/>
      <c r="AA1436" s="319">
        <v>0.54500000000000004</v>
      </c>
      <c r="AB1436" s="315" t="s">
        <v>5165</v>
      </c>
      <c r="AC1436" s="319">
        <v>3</v>
      </c>
      <c r="AD1436" s="320">
        <v>1.0638297872340399E-2</v>
      </c>
      <c r="AE1436" s="319">
        <v>2</v>
      </c>
      <c r="AF1436" s="320">
        <v>7.09219858156028E-3</v>
      </c>
      <c r="AG1436" s="319">
        <v>1</v>
      </c>
      <c r="AH1436" s="320">
        <v>3.54609929078014E-3</v>
      </c>
      <c r="AI1436" s="319">
        <v>1</v>
      </c>
      <c r="AJ1436" s="320">
        <v>3.54609929078014E-3</v>
      </c>
      <c r="AK1436" s="320">
        <v>0</v>
      </c>
      <c r="AL1436" s="319"/>
      <c r="AM1436" s="319"/>
      <c r="AN1436" s="319"/>
      <c r="AO1436" s="319"/>
      <c r="AP1436">
        <v>4</v>
      </c>
      <c r="AR1436" s="319">
        <v>4</v>
      </c>
      <c r="AT1436" s="69">
        <v>2.3148</v>
      </c>
      <c r="AU1436" s="69">
        <v>7.6852</v>
      </c>
      <c r="AV1436" s="69">
        <v>2.3148</v>
      </c>
      <c r="AW1436" s="69">
        <v>0.41049999999999998</v>
      </c>
      <c r="BB1436" s="69"/>
    </row>
    <row r="1437" spans="1:54" customFormat="1" ht="40" customHeight="1">
      <c r="A1437" s="313">
        <v>1436</v>
      </c>
      <c r="B1437" s="136" t="s">
        <v>3243</v>
      </c>
      <c r="C1437" s="136" t="s">
        <v>45</v>
      </c>
      <c r="D1437" s="31"/>
      <c r="E1437" s="137" t="s">
        <v>46</v>
      </c>
      <c r="F1437" s="31"/>
      <c r="G1437" s="137" t="s">
        <v>4218</v>
      </c>
      <c r="H1437" s="138">
        <v>111</v>
      </c>
      <c r="I1437" s="158"/>
      <c r="J1437" s="95"/>
      <c r="K1437" s="137">
        <v>0.42857142857142899</v>
      </c>
      <c r="L1437" s="137">
        <v>0.33452548113611402</v>
      </c>
      <c r="M1437" s="137">
        <v>0.27182818284590399</v>
      </c>
      <c r="N1437" s="136" t="s">
        <v>4219</v>
      </c>
      <c r="O1437" s="32" t="s">
        <v>4220</v>
      </c>
      <c r="P1437" s="98">
        <f t="shared" si="91"/>
        <v>1</v>
      </c>
      <c r="Q1437">
        <v>2</v>
      </c>
      <c r="R1437">
        <v>2</v>
      </c>
      <c r="S1437">
        <v>5</v>
      </c>
      <c r="T1437" t="s">
        <v>5133</v>
      </c>
      <c r="U1437" t="s">
        <v>4221</v>
      </c>
      <c r="V1437" t="s">
        <v>4222</v>
      </c>
      <c r="W1437" s="319">
        <v>164</v>
      </c>
      <c r="X1437" s="319">
        <v>16</v>
      </c>
      <c r="Y1437" s="319">
        <v>2</v>
      </c>
      <c r="Z1437" s="314"/>
      <c r="AA1437" s="319">
        <v>0.54</v>
      </c>
      <c r="AB1437" s="315" t="s">
        <v>5178</v>
      </c>
      <c r="AC1437" s="319">
        <v>1</v>
      </c>
      <c r="AD1437" s="320">
        <v>1.0526315789473601E-2</v>
      </c>
      <c r="AE1437" s="319">
        <v>1</v>
      </c>
      <c r="AF1437" s="320">
        <v>1.0526315789473601E-2</v>
      </c>
      <c r="AG1437" s="319">
        <v>0</v>
      </c>
      <c r="AH1437" s="320">
        <v>0</v>
      </c>
      <c r="AI1437" s="319">
        <v>0</v>
      </c>
      <c r="AJ1437" s="320">
        <v>0</v>
      </c>
      <c r="AK1437" s="320">
        <v>0</v>
      </c>
      <c r="AL1437" s="319"/>
      <c r="AM1437" s="319"/>
      <c r="AN1437" s="319"/>
      <c r="AO1437" s="319"/>
      <c r="AP1437">
        <v>2</v>
      </c>
      <c r="AR1437" s="319">
        <v>2</v>
      </c>
      <c r="AT1437" s="69">
        <v>2.3148</v>
      </c>
      <c r="AU1437" s="69">
        <v>2.3148</v>
      </c>
      <c r="AV1437" s="69">
        <v>9.9641999999999999</v>
      </c>
      <c r="AW1437" s="69">
        <v>0.48649999999999999</v>
      </c>
      <c r="BB1437" s="69"/>
    </row>
    <row r="1438" spans="1:54" customFormat="1" ht="40" customHeight="1">
      <c r="A1438" s="313">
        <v>1437</v>
      </c>
      <c r="B1438" s="136" t="s">
        <v>3243</v>
      </c>
      <c r="C1438" s="136" t="s">
        <v>45</v>
      </c>
      <c r="D1438" s="31"/>
      <c r="E1438" s="137" t="s">
        <v>46</v>
      </c>
      <c r="F1438" s="31"/>
      <c r="G1438" s="137" t="s">
        <v>4223</v>
      </c>
      <c r="H1438" s="138">
        <v>273</v>
      </c>
      <c r="I1438" s="158"/>
      <c r="J1438" s="95"/>
      <c r="K1438" s="137">
        <v>0.50512834069460699</v>
      </c>
      <c r="L1438" s="137">
        <v>0.21017145327203901</v>
      </c>
      <c r="M1438" s="137">
        <v>1.35335283236613E-2</v>
      </c>
      <c r="N1438" s="136" t="s">
        <v>4224</v>
      </c>
      <c r="O1438" s="32" t="s">
        <v>4225</v>
      </c>
      <c r="P1438" s="98">
        <f t="shared" si="91"/>
        <v>1</v>
      </c>
      <c r="Q1438">
        <v>0</v>
      </c>
      <c r="R1438">
        <v>6</v>
      </c>
      <c r="S1438">
        <v>0</v>
      </c>
      <c r="T1438" t="s">
        <v>73</v>
      </c>
      <c r="U1438" s="322" t="s">
        <v>4226</v>
      </c>
      <c r="V1438" t="s">
        <v>4227</v>
      </c>
      <c r="W1438" s="319">
        <v>401</v>
      </c>
      <c r="X1438" s="319">
        <v>12</v>
      </c>
      <c r="Y1438" s="319">
        <v>3</v>
      </c>
      <c r="Z1438" s="314"/>
      <c r="AA1438" s="319">
        <v>0.5</v>
      </c>
      <c r="AB1438" s="315" t="s">
        <v>5168</v>
      </c>
      <c r="AC1438" s="319">
        <v>1</v>
      </c>
      <c r="AD1438" s="320">
        <v>4.29184549356223E-3</v>
      </c>
      <c r="AE1438" s="319">
        <v>0</v>
      </c>
      <c r="AF1438" s="320">
        <v>0</v>
      </c>
      <c r="AG1438" s="319">
        <v>3</v>
      </c>
      <c r="AH1438" s="320">
        <v>1.28755364806866E-2</v>
      </c>
      <c r="AI1438" s="319">
        <v>1</v>
      </c>
      <c r="AJ1438" s="320">
        <v>4.29184549356223E-3</v>
      </c>
      <c r="AK1438" s="320">
        <v>0</v>
      </c>
      <c r="AL1438" s="319"/>
      <c r="AM1438" s="319"/>
      <c r="AN1438" s="319"/>
      <c r="AO1438" s="319"/>
      <c r="AP1438">
        <v>3</v>
      </c>
      <c r="AR1438" s="319">
        <v>3</v>
      </c>
      <c r="AT1438" s="69">
        <v>2.3148</v>
      </c>
      <c r="AU1438" s="69">
        <v>2.3148</v>
      </c>
      <c r="AV1438" s="69">
        <v>8.1305999999999994</v>
      </c>
      <c r="AW1438" s="69">
        <v>0.42530000000000001</v>
      </c>
      <c r="BB1438" s="69"/>
    </row>
    <row r="1439" spans="1:54" customFormat="1" ht="40" customHeight="1">
      <c r="A1439" s="313">
        <v>1438</v>
      </c>
      <c r="B1439" s="136" t="s">
        <v>3243</v>
      </c>
      <c r="C1439" s="136" t="s">
        <v>45</v>
      </c>
      <c r="D1439" s="31"/>
      <c r="E1439" s="137" t="s">
        <v>46</v>
      </c>
      <c r="F1439" s="31"/>
      <c r="G1439" s="137" t="s">
        <v>4228</v>
      </c>
      <c r="H1439" s="138">
        <v>253</v>
      </c>
      <c r="I1439" s="158"/>
      <c r="J1439" s="95"/>
      <c r="K1439" s="137">
        <v>0.46547751617515098</v>
      </c>
      <c r="L1439" s="137">
        <v>0.24619100647006101</v>
      </c>
      <c r="M1439" s="137">
        <v>0.1</v>
      </c>
      <c r="N1439" s="136" t="s">
        <v>4229</v>
      </c>
      <c r="O1439" s="32" t="s">
        <v>4230</v>
      </c>
      <c r="P1439" s="98">
        <f t="shared" si="91"/>
        <v>1</v>
      </c>
      <c r="Q1439">
        <v>0</v>
      </c>
      <c r="R1439">
        <v>6</v>
      </c>
      <c r="S1439">
        <v>0</v>
      </c>
      <c r="T1439" t="s">
        <v>73</v>
      </c>
      <c r="U1439" s="324" t="s">
        <v>5135</v>
      </c>
      <c r="V1439" t="s">
        <v>4231</v>
      </c>
      <c r="W1439" s="319">
        <v>475</v>
      </c>
      <c r="X1439" s="319">
        <v>14</v>
      </c>
      <c r="Y1439" s="319">
        <v>5</v>
      </c>
      <c r="Z1439" s="314"/>
      <c r="AA1439" s="319">
        <v>0.54500000000000004</v>
      </c>
      <c r="AB1439" s="315" t="s">
        <v>5168</v>
      </c>
      <c r="AC1439" s="319">
        <v>1</v>
      </c>
      <c r="AD1439" s="320">
        <v>3.7313432835820899E-3</v>
      </c>
      <c r="AE1439" s="319">
        <v>1</v>
      </c>
      <c r="AF1439" s="320">
        <v>3.7313432835820899E-3</v>
      </c>
      <c r="AG1439" s="319">
        <v>4</v>
      </c>
      <c r="AH1439" s="320">
        <v>1.4925373134328301E-2</v>
      </c>
      <c r="AI1439" s="319">
        <v>0</v>
      </c>
      <c r="AJ1439" s="320">
        <v>0</v>
      </c>
      <c r="AK1439" s="320">
        <v>1.119402985074627E-2</v>
      </c>
      <c r="AL1439" s="319"/>
      <c r="AM1439" s="319"/>
      <c r="AN1439" s="319"/>
      <c r="AO1439" s="319"/>
      <c r="AP1439" s="319">
        <v>5</v>
      </c>
      <c r="AT1439" s="69">
        <v>6.3414000000000001</v>
      </c>
      <c r="AU1439" s="69">
        <v>5</v>
      </c>
      <c r="AV1439" s="69">
        <v>5.7443999999999997</v>
      </c>
      <c r="AW1439" s="69">
        <v>0.56950000000000001</v>
      </c>
      <c r="BB1439" s="69"/>
    </row>
    <row r="1440" spans="1:54" customFormat="1" ht="40" customHeight="1">
      <c r="A1440" s="313">
        <v>1439</v>
      </c>
      <c r="B1440" s="136" t="s">
        <v>3243</v>
      </c>
      <c r="C1440" s="136" t="s">
        <v>45</v>
      </c>
      <c r="D1440" s="31"/>
      <c r="E1440" s="137" t="s">
        <v>46</v>
      </c>
      <c r="F1440" s="31"/>
      <c r="G1440" s="137" t="s">
        <v>4232</v>
      </c>
      <c r="H1440" s="138">
        <v>144</v>
      </c>
      <c r="I1440" s="158"/>
      <c r="J1440" s="95"/>
      <c r="K1440" s="137">
        <v>0.54824604854737402</v>
      </c>
      <c r="L1440" s="137">
        <v>0.27929841941895001</v>
      </c>
      <c r="M1440" s="137">
        <v>0.1</v>
      </c>
      <c r="N1440" s="136" t="s">
        <v>4233</v>
      </c>
      <c r="O1440" s="32" t="s">
        <v>4234</v>
      </c>
      <c r="P1440" s="98">
        <f t="shared" si="91"/>
        <v>1</v>
      </c>
      <c r="Q1440">
        <v>2</v>
      </c>
      <c r="R1440">
        <v>2</v>
      </c>
      <c r="S1440">
        <v>3</v>
      </c>
      <c r="T1440" t="s">
        <v>5133</v>
      </c>
      <c r="U1440" s="1" t="s">
        <v>4235</v>
      </c>
      <c r="V1440" t="s">
        <v>4236</v>
      </c>
      <c r="W1440" s="319">
        <v>116</v>
      </c>
      <c r="X1440" s="319">
        <v>10</v>
      </c>
      <c r="Y1440" s="319">
        <v>1</v>
      </c>
      <c r="Z1440" s="314"/>
      <c r="AA1440" s="319">
        <v>0.64895000000000003</v>
      </c>
      <c r="AB1440" s="315" t="s">
        <v>5176</v>
      </c>
      <c r="AC1440" s="319">
        <v>0</v>
      </c>
      <c r="AD1440" s="320">
        <v>0</v>
      </c>
      <c r="AE1440" s="319">
        <v>2</v>
      </c>
      <c r="AF1440" s="320">
        <v>3.1746031746031703E-2</v>
      </c>
      <c r="AG1440" s="319">
        <v>0</v>
      </c>
      <c r="AH1440" s="320">
        <v>0</v>
      </c>
      <c r="AI1440" s="319">
        <v>0</v>
      </c>
      <c r="AJ1440" s="320">
        <v>0</v>
      </c>
      <c r="AK1440" s="320">
        <v>4.7619047619047623E-2</v>
      </c>
      <c r="AL1440" s="319"/>
      <c r="AM1440" s="319"/>
      <c r="AN1440" s="319"/>
      <c r="AO1440" s="319"/>
      <c r="AP1440">
        <v>1</v>
      </c>
      <c r="AR1440" s="319">
        <v>1</v>
      </c>
      <c r="AT1440" s="69">
        <v>2.3148</v>
      </c>
      <c r="AU1440" s="69">
        <v>5</v>
      </c>
      <c r="AV1440" s="69">
        <v>9.5120000000000005</v>
      </c>
      <c r="AW1440" s="69">
        <v>0.56089999999999995</v>
      </c>
      <c r="BB1440" s="69"/>
    </row>
    <row r="1441" spans="1:54" customFormat="1" ht="40" customHeight="1">
      <c r="A1441" s="313">
        <v>1440</v>
      </c>
      <c r="B1441" s="136" t="s">
        <v>3243</v>
      </c>
      <c r="C1441" s="136" t="s">
        <v>45</v>
      </c>
      <c r="D1441" s="31"/>
      <c r="E1441" s="137" t="s">
        <v>46</v>
      </c>
      <c r="F1441" s="31"/>
      <c r="G1441" s="137" t="s">
        <v>4237</v>
      </c>
      <c r="H1441" s="138">
        <v>215</v>
      </c>
      <c r="I1441" s="158"/>
      <c r="J1441" s="95"/>
      <c r="K1441" s="137">
        <v>0.46547751617515098</v>
      </c>
      <c r="L1441" s="137">
        <v>0.194311123464257</v>
      </c>
      <c r="M1441" s="137">
        <v>1.35335283236613E-2</v>
      </c>
      <c r="N1441" s="136" t="s">
        <v>4042</v>
      </c>
      <c r="O1441" s="32" t="s">
        <v>4238</v>
      </c>
      <c r="P1441" s="98">
        <f t="shared" si="91"/>
        <v>1</v>
      </c>
      <c r="Q1441">
        <v>0</v>
      </c>
      <c r="R1441">
        <v>6</v>
      </c>
      <c r="S1441">
        <v>0</v>
      </c>
      <c r="T1441" t="s">
        <v>73</v>
      </c>
      <c r="U1441" s="324" t="s">
        <v>5134</v>
      </c>
      <c r="V1441" t="s">
        <v>4239</v>
      </c>
      <c r="W1441" s="319">
        <v>982</v>
      </c>
      <c r="X1441" s="319">
        <v>14</v>
      </c>
      <c r="Y1441" s="319">
        <v>5</v>
      </c>
      <c r="Z1441" s="314"/>
      <c r="AA1441" s="319">
        <v>1.0696333111020801E-2</v>
      </c>
      <c r="AB1441" s="315" t="s">
        <v>5169</v>
      </c>
      <c r="AC1441" s="319">
        <v>4</v>
      </c>
      <c r="AD1441" s="320">
        <v>7.0546737213403798E-3</v>
      </c>
      <c r="AE1441" s="319">
        <v>3</v>
      </c>
      <c r="AF1441" s="320">
        <v>5.2910052910052898E-3</v>
      </c>
      <c r="AG1441" s="319">
        <v>4</v>
      </c>
      <c r="AH1441" s="320">
        <v>7.0546737213403798E-3</v>
      </c>
      <c r="AI1441" s="319">
        <v>2</v>
      </c>
      <c r="AJ1441" s="320">
        <v>3.5273368606701899E-3</v>
      </c>
      <c r="AK1441" s="320">
        <v>0</v>
      </c>
      <c r="AL1441" s="319"/>
      <c r="AM1441" s="319"/>
      <c r="AN1441" s="319"/>
      <c r="AO1441" s="319"/>
      <c r="AP1441">
        <v>5</v>
      </c>
      <c r="AR1441" s="319">
        <v>5</v>
      </c>
      <c r="AT1441" s="69">
        <v>2.3148</v>
      </c>
      <c r="AU1441" s="69">
        <v>5</v>
      </c>
      <c r="AV1441" s="69">
        <v>2.3148</v>
      </c>
      <c r="AW1441" s="69">
        <v>0.32100000000000001</v>
      </c>
      <c r="BB1441" s="69"/>
    </row>
    <row r="1442" spans="1:54" customFormat="1" ht="40" customHeight="1">
      <c r="A1442" s="313">
        <v>1441</v>
      </c>
      <c r="B1442" s="136" t="s">
        <v>3243</v>
      </c>
      <c r="C1442" s="136" t="s">
        <v>45</v>
      </c>
      <c r="D1442" s="31"/>
      <c r="E1442" s="137" t="s">
        <v>46</v>
      </c>
      <c r="F1442" s="31"/>
      <c r="G1442" s="137" t="s">
        <v>4240</v>
      </c>
      <c r="H1442" s="138">
        <v>76</v>
      </c>
      <c r="I1442" s="158"/>
      <c r="J1442" s="95"/>
      <c r="K1442" s="137">
        <v>0.79796949108955795</v>
      </c>
      <c r="L1442" s="137">
        <v>0.32217502053789498</v>
      </c>
      <c r="M1442" s="137">
        <v>4.9787068367863896E-3</v>
      </c>
      <c r="N1442" s="136" t="s">
        <v>4241</v>
      </c>
      <c r="O1442" s="32" t="s">
        <v>4242</v>
      </c>
      <c r="P1442" s="98">
        <f t="shared" si="91"/>
        <v>0</v>
      </c>
      <c r="Q1442">
        <v>0</v>
      </c>
      <c r="R1442">
        <v>0</v>
      </c>
      <c r="S1442">
        <v>0</v>
      </c>
      <c r="T1442" t="s">
        <v>48</v>
      </c>
      <c r="U1442" t="s">
        <v>4243</v>
      </c>
      <c r="V1442" t="s">
        <v>4244</v>
      </c>
      <c r="W1442" s="319">
        <v>56</v>
      </c>
      <c r="X1442" s="319">
        <v>2</v>
      </c>
      <c r="Y1442" s="319">
        <v>1</v>
      </c>
      <c r="Z1442" s="314"/>
      <c r="AA1442" s="319">
        <v>2.4893534183932E-2</v>
      </c>
      <c r="AB1442" s="315" t="s">
        <v>5179</v>
      </c>
      <c r="AC1442" s="319">
        <v>1</v>
      </c>
      <c r="AD1442" s="320">
        <v>3.3333333333333298E-2</v>
      </c>
      <c r="AE1442" s="319">
        <v>1</v>
      </c>
      <c r="AF1442" s="320">
        <v>3.3333333333333298E-2</v>
      </c>
      <c r="AG1442" s="319">
        <v>1</v>
      </c>
      <c r="AH1442" s="320">
        <v>3.3333333333333298E-2</v>
      </c>
      <c r="AI1442" s="319">
        <v>0</v>
      </c>
      <c r="AJ1442" s="320">
        <v>0</v>
      </c>
      <c r="AK1442" s="320">
        <v>0</v>
      </c>
      <c r="AL1442" s="319"/>
      <c r="AM1442" s="319"/>
      <c r="AN1442" s="319"/>
      <c r="AO1442" s="319"/>
      <c r="AP1442">
        <v>1</v>
      </c>
      <c r="AR1442" s="319">
        <v>1</v>
      </c>
      <c r="AT1442" s="69">
        <v>2.3148</v>
      </c>
      <c r="AU1442" s="69">
        <v>2.3148</v>
      </c>
      <c r="AV1442" s="69">
        <v>5.7443999999999997</v>
      </c>
      <c r="AW1442" s="69">
        <v>0.3458</v>
      </c>
      <c r="BB1442" s="69"/>
    </row>
    <row r="1443" spans="1:54" customFormat="1" ht="40" customHeight="1">
      <c r="A1443" s="313">
        <v>1442</v>
      </c>
      <c r="B1443" s="136" t="s">
        <v>3030</v>
      </c>
      <c r="C1443" s="136" t="s">
        <v>119</v>
      </c>
      <c r="D1443" s="31"/>
      <c r="E1443" s="137" t="s">
        <v>80</v>
      </c>
      <c r="F1443" s="31"/>
      <c r="G1443" s="137" t="s">
        <v>4245</v>
      </c>
      <c r="H1443" s="138">
        <v>151</v>
      </c>
      <c r="I1443" s="158"/>
      <c r="J1443" s="95"/>
      <c r="K1443" s="137">
        <v>0.79796949108955795</v>
      </c>
      <c r="L1443" s="137">
        <v>0.34126056290611001</v>
      </c>
      <c r="M1443" s="137">
        <v>3.67879441171442E-2</v>
      </c>
      <c r="N1443" s="136" t="s">
        <v>3944</v>
      </c>
      <c r="O1443" s="32" t="s">
        <v>4246</v>
      </c>
      <c r="P1443" s="98">
        <f t="shared" si="91"/>
        <v>1</v>
      </c>
      <c r="Q1443">
        <v>0</v>
      </c>
      <c r="R1443">
        <v>0</v>
      </c>
      <c r="S1443">
        <v>0</v>
      </c>
      <c r="T1443" t="s">
        <v>73</v>
      </c>
      <c r="U1443" t="s">
        <v>4247</v>
      </c>
      <c r="V1443" t="s">
        <v>4248</v>
      </c>
      <c r="W1443" s="319">
        <v>57</v>
      </c>
      <c r="X1443" s="319">
        <v>2</v>
      </c>
      <c r="Y1443" s="319">
        <v>1</v>
      </c>
      <c r="Z1443" s="314"/>
      <c r="AA1443" s="319">
        <v>0.54500000000000004</v>
      </c>
      <c r="AB1443" s="315" t="s">
        <v>5176</v>
      </c>
      <c r="AC1443" s="319">
        <v>1</v>
      </c>
      <c r="AD1443" s="320">
        <v>3.125E-2</v>
      </c>
      <c r="AE1443" s="319">
        <v>2</v>
      </c>
      <c r="AF1443" s="320">
        <v>6.25E-2</v>
      </c>
      <c r="AG1443" s="319">
        <v>0</v>
      </c>
      <c r="AH1443" s="320">
        <v>0</v>
      </c>
      <c r="AI1443" s="319">
        <v>0</v>
      </c>
      <c r="AJ1443" s="320">
        <v>0</v>
      </c>
      <c r="AK1443" s="320">
        <v>3.125E-2</v>
      </c>
      <c r="AL1443" s="319"/>
      <c r="AM1443" s="319"/>
      <c r="AN1443" s="319"/>
      <c r="AO1443" s="319"/>
      <c r="AP1443">
        <v>1</v>
      </c>
      <c r="AR1443" s="319">
        <v>1</v>
      </c>
      <c r="AT1443" s="69">
        <v>2.3148</v>
      </c>
      <c r="AU1443" s="69">
        <v>7.6852</v>
      </c>
      <c r="AV1443" s="69">
        <v>5.7443999999999997</v>
      </c>
      <c r="AW1443" s="69">
        <v>0.52480000000000004</v>
      </c>
      <c r="BB1443" s="69"/>
    </row>
    <row r="1444" spans="1:54" customFormat="1" ht="40" customHeight="1">
      <c r="A1444" s="313">
        <v>1443</v>
      </c>
      <c r="B1444" s="136" t="s">
        <v>3243</v>
      </c>
      <c r="C1444" s="136" t="s">
        <v>1191</v>
      </c>
      <c r="D1444" s="31"/>
      <c r="E1444" s="137" t="s">
        <v>46</v>
      </c>
      <c r="F1444" s="31"/>
      <c r="G1444" s="137" t="s">
        <v>4249</v>
      </c>
      <c r="H1444" s="138">
        <v>101</v>
      </c>
      <c r="I1444" s="158"/>
      <c r="J1444" s="95"/>
      <c r="K1444" s="137">
        <v>0.23069074183792801</v>
      </c>
      <c r="L1444" s="137">
        <v>0.255373206442714</v>
      </c>
      <c r="M1444" s="137">
        <v>0.27182818284590399</v>
      </c>
      <c r="N1444" s="136" t="s">
        <v>4250</v>
      </c>
      <c r="O1444" s="32" t="s">
        <v>4251</v>
      </c>
      <c r="P1444" s="98">
        <f t="shared" si="91"/>
        <v>2</v>
      </c>
      <c r="Q1444">
        <v>0</v>
      </c>
      <c r="R1444">
        <v>0</v>
      </c>
      <c r="S1444">
        <v>0</v>
      </c>
      <c r="T1444" t="s">
        <v>64</v>
      </c>
      <c r="U1444" t="s">
        <v>4252</v>
      </c>
      <c r="V1444" t="s">
        <v>4253</v>
      </c>
      <c r="W1444" s="319">
        <v>296</v>
      </c>
      <c r="X1444" s="319">
        <v>29</v>
      </c>
      <c r="Y1444" s="319">
        <v>4</v>
      </c>
      <c r="Z1444" s="314"/>
      <c r="AA1444" s="319">
        <v>0.60499999999999998</v>
      </c>
      <c r="AB1444" s="315" t="s">
        <v>5176</v>
      </c>
      <c r="AC1444" s="319">
        <v>2</v>
      </c>
      <c r="AD1444" s="320">
        <v>1.21212121212121E-2</v>
      </c>
      <c r="AE1444" s="319">
        <v>3</v>
      </c>
      <c r="AF1444" s="320">
        <v>1.8181818181818101E-2</v>
      </c>
      <c r="AG1444" s="319">
        <v>1</v>
      </c>
      <c r="AH1444" s="320">
        <v>6.0606060606060597E-3</v>
      </c>
      <c r="AI1444" s="319">
        <v>0</v>
      </c>
      <c r="AJ1444" s="320">
        <v>0</v>
      </c>
      <c r="AK1444" s="320">
        <v>6.0606060606060606E-3</v>
      </c>
      <c r="AL1444" s="319"/>
      <c r="AM1444" s="319"/>
      <c r="AN1444" s="319"/>
      <c r="AO1444" s="319"/>
      <c r="AP1444" s="319">
        <v>4</v>
      </c>
      <c r="AT1444" s="69">
        <v>2.3148</v>
      </c>
      <c r="AU1444" s="69">
        <v>2.3148</v>
      </c>
      <c r="AV1444" s="69">
        <v>8.1305999999999994</v>
      </c>
      <c r="AW1444" s="69">
        <v>0.42530000000000001</v>
      </c>
      <c r="BB1444" s="69"/>
    </row>
    <row r="1445" spans="1:54" customFormat="1" ht="40" customHeight="1">
      <c r="A1445" s="313">
        <v>1444</v>
      </c>
      <c r="B1445" s="136" t="s">
        <v>3243</v>
      </c>
      <c r="C1445" s="136" t="s">
        <v>45</v>
      </c>
      <c r="D1445" s="31"/>
      <c r="E1445" s="137" t="s">
        <v>46</v>
      </c>
      <c r="F1445" s="31"/>
      <c r="G1445" s="137" t="s">
        <v>4254</v>
      </c>
      <c r="H1445" s="138">
        <v>168</v>
      </c>
      <c r="I1445" s="158"/>
      <c r="J1445" s="95"/>
      <c r="K1445" s="137">
        <v>0.526196458520657</v>
      </c>
      <c r="L1445" s="137">
        <v>0.21859870040245999</v>
      </c>
      <c r="M1445" s="137">
        <v>1.35335283236613E-2</v>
      </c>
      <c r="N1445" s="136" t="s">
        <v>4025</v>
      </c>
      <c r="O1445" s="32" t="s">
        <v>4255</v>
      </c>
      <c r="P1445" s="98">
        <f t="shared" si="91"/>
        <v>1</v>
      </c>
      <c r="Q1445">
        <v>3</v>
      </c>
      <c r="R1445">
        <v>0</v>
      </c>
      <c r="S1445">
        <v>0</v>
      </c>
      <c r="T1445" t="s">
        <v>5088</v>
      </c>
      <c r="U1445" t="s">
        <v>4256</v>
      </c>
      <c r="V1445" t="s">
        <v>4257</v>
      </c>
      <c r="W1445" s="319">
        <v>260</v>
      </c>
      <c r="X1445" s="319">
        <v>11</v>
      </c>
      <c r="Y1445" s="319">
        <v>2</v>
      </c>
      <c r="Z1445" s="314"/>
      <c r="AA1445" s="319">
        <v>0.5</v>
      </c>
      <c r="AB1445" s="315" t="s">
        <v>5176</v>
      </c>
      <c r="AC1445" s="319">
        <v>0</v>
      </c>
      <c r="AD1445" s="320">
        <v>0</v>
      </c>
      <c r="AE1445" s="319">
        <v>2</v>
      </c>
      <c r="AF1445" s="320">
        <v>1.3793103448275799E-2</v>
      </c>
      <c r="AG1445" s="319">
        <v>1</v>
      </c>
      <c r="AH1445" s="320">
        <v>6.8965517241379301E-3</v>
      </c>
      <c r="AI1445" s="319">
        <v>1</v>
      </c>
      <c r="AJ1445" s="320">
        <v>6.8965517241379301E-3</v>
      </c>
      <c r="AK1445" s="320">
        <v>0</v>
      </c>
      <c r="AL1445" s="319"/>
      <c r="AM1445" s="319"/>
      <c r="AN1445" s="319"/>
      <c r="AO1445" s="319"/>
      <c r="AP1445" s="319">
        <v>2</v>
      </c>
      <c r="AT1445" s="69">
        <v>2.3148</v>
      </c>
      <c r="AU1445" s="69">
        <v>2.3148</v>
      </c>
      <c r="AV1445" s="69">
        <v>8.1305999999999994</v>
      </c>
      <c r="AW1445" s="69">
        <v>0.42530000000000001</v>
      </c>
      <c r="BB1445" s="69"/>
    </row>
    <row r="1446" spans="1:54" customFormat="1" ht="40" customHeight="1">
      <c r="A1446" s="313">
        <v>1445</v>
      </c>
      <c r="B1446" s="136" t="s">
        <v>3243</v>
      </c>
      <c r="C1446" s="136" t="s">
        <v>45</v>
      </c>
      <c r="D1446" s="31"/>
      <c r="E1446" s="137" t="s">
        <v>46</v>
      </c>
      <c r="F1446" s="31"/>
      <c r="G1446" s="137" t="s">
        <v>4258</v>
      </c>
      <c r="H1446" s="138">
        <v>113</v>
      </c>
      <c r="I1446" s="158"/>
      <c r="J1446" s="95"/>
      <c r="K1446" s="137">
        <v>0.59593898217911601</v>
      </c>
      <c r="L1446" s="137">
        <v>0.298375592871646</v>
      </c>
      <c r="M1446" s="137">
        <v>0.1</v>
      </c>
      <c r="N1446" s="136" t="s">
        <v>3272</v>
      </c>
      <c r="O1446" s="32" t="s">
        <v>4259</v>
      </c>
      <c r="P1446" s="98">
        <f t="shared" si="91"/>
        <v>1</v>
      </c>
      <c r="Q1446">
        <v>1</v>
      </c>
      <c r="R1446">
        <v>3</v>
      </c>
      <c r="S1446">
        <v>2</v>
      </c>
      <c r="T1446" t="s">
        <v>5132</v>
      </c>
      <c r="U1446" t="s">
        <v>4260</v>
      </c>
      <c r="V1446" t="s">
        <v>4261</v>
      </c>
      <c r="W1446" s="319">
        <v>147</v>
      </c>
      <c r="X1446" s="319">
        <v>8</v>
      </c>
      <c r="Y1446" s="319">
        <v>1</v>
      </c>
      <c r="Z1446" s="314"/>
      <c r="AA1446" s="319">
        <v>0.59450000000000003</v>
      </c>
      <c r="AB1446" s="315" t="s">
        <v>5179</v>
      </c>
      <c r="AC1446" s="319">
        <v>2</v>
      </c>
      <c r="AD1446" s="320">
        <v>2.40963855421686E-2</v>
      </c>
      <c r="AE1446" s="319">
        <v>2</v>
      </c>
      <c r="AF1446" s="320">
        <v>2.40963855421686E-2</v>
      </c>
      <c r="AG1446" s="319">
        <v>2</v>
      </c>
      <c r="AH1446" s="320">
        <v>2.40963855421686E-2</v>
      </c>
      <c r="AI1446" s="319">
        <v>0</v>
      </c>
      <c r="AJ1446" s="320">
        <v>0</v>
      </c>
      <c r="AK1446" s="320">
        <v>0</v>
      </c>
      <c r="AL1446" s="319"/>
      <c r="AM1446" s="319"/>
      <c r="AN1446" s="319"/>
      <c r="AO1446" s="319"/>
      <c r="AP1446">
        <v>1</v>
      </c>
      <c r="AR1446" s="319">
        <v>1</v>
      </c>
      <c r="AT1446" s="69">
        <v>2.3148</v>
      </c>
      <c r="AU1446" s="69">
        <v>5</v>
      </c>
      <c r="AV1446" s="69">
        <v>8.1305999999999994</v>
      </c>
      <c r="AW1446" s="69">
        <v>0.51480000000000004</v>
      </c>
      <c r="BB1446" s="69"/>
    </row>
    <row r="1447" spans="1:54" customFormat="1" ht="40" customHeight="1">
      <c r="A1447" s="313">
        <v>1446</v>
      </c>
      <c r="B1447" s="136" t="s">
        <v>3243</v>
      </c>
      <c r="C1447" s="136" t="s">
        <v>45</v>
      </c>
      <c r="D1447" s="31"/>
      <c r="E1447" s="137" t="s">
        <v>46</v>
      </c>
      <c r="F1447" s="31"/>
      <c r="G1447" s="137" t="s">
        <v>4262</v>
      </c>
      <c r="H1447" s="138">
        <v>135</v>
      </c>
      <c r="I1447" s="158"/>
      <c r="J1447" s="95"/>
      <c r="K1447" s="137">
        <v>0.526196458520657</v>
      </c>
      <c r="L1447" s="137">
        <v>0.27047858340826297</v>
      </c>
      <c r="M1447" s="137">
        <v>0.1</v>
      </c>
      <c r="N1447" s="136" t="s">
        <v>4263</v>
      </c>
      <c r="O1447" s="32" t="s">
        <v>4264</v>
      </c>
      <c r="P1447" s="98">
        <f t="shared" si="91"/>
        <v>1</v>
      </c>
      <c r="Q1447">
        <v>1</v>
      </c>
      <c r="R1447">
        <v>2</v>
      </c>
      <c r="S1447">
        <v>0</v>
      </c>
      <c r="T1447" t="s">
        <v>5132</v>
      </c>
      <c r="U1447" t="s">
        <v>4265</v>
      </c>
      <c r="V1447" t="s">
        <v>4266</v>
      </c>
      <c r="W1447" s="319">
        <v>160</v>
      </c>
      <c r="X1447" s="319">
        <v>11</v>
      </c>
      <c r="Y1447" s="319">
        <v>1</v>
      </c>
      <c r="Z1447" s="314"/>
      <c r="AA1447" s="319">
        <v>0.55000000000000004</v>
      </c>
      <c r="AB1447" s="315" t="s">
        <v>5176</v>
      </c>
      <c r="AC1447" s="319">
        <v>1</v>
      </c>
      <c r="AD1447" s="320">
        <v>1.13636363636363E-2</v>
      </c>
      <c r="AE1447" s="319">
        <v>2</v>
      </c>
      <c r="AF1447" s="320">
        <v>2.27272727272727E-2</v>
      </c>
      <c r="AG1447" s="319">
        <v>1</v>
      </c>
      <c r="AH1447" s="320">
        <v>1.13636363636363E-2</v>
      </c>
      <c r="AI1447" s="319">
        <v>0</v>
      </c>
      <c r="AJ1447" s="320">
        <v>0</v>
      </c>
      <c r="AK1447" s="320">
        <v>0</v>
      </c>
      <c r="AL1447" s="319"/>
      <c r="AM1447" s="319"/>
      <c r="AN1447" s="319"/>
      <c r="AO1447" s="319"/>
      <c r="AP1447">
        <v>1</v>
      </c>
      <c r="AR1447" s="319">
        <v>1</v>
      </c>
      <c r="AT1447" s="69">
        <v>2.3148</v>
      </c>
      <c r="AU1447" s="69">
        <v>2.3148</v>
      </c>
      <c r="AV1447" s="69">
        <v>8.1305999999999994</v>
      </c>
      <c r="AW1447" s="69">
        <v>0.42530000000000001</v>
      </c>
      <c r="BB1447" s="69"/>
    </row>
    <row r="1448" spans="1:54" customFormat="1" ht="40" customHeight="1">
      <c r="A1448" s="313">
        <v>1447</v>
      </c>
      <c r="B1448" s="136" t="s">
        <v>3243</v>
      </c>
      <c r="C1448" s="136" t="s">
        <v>45</v>
      </c>
      <c r="D1448" s="31"/>
      <c r="E1448" s="137" t="s">
        <v>46</v>
      </c>
      <c r="F1448" s="31"/>
      <c r="G1448" s="137" t="s">
        <v>4267</v>
      </c>
      <c r="H1448" s="138">
        <v>145</v>
      </c>
      <c r="I1448" s="158"/>
      <c r="J1448" s="95"/>
      <c r="K1448" s="137">
        <v>0.62203552699077302</v>
      </c>
      <c r="L1448" s="137">
        <v>0.25693432779050601</v>
      </c>
      <c r="M1448" s="137">
        <v>1.35335283236613E-2</v>
      </c>
      <c r="N1448" s="136" t="s">
        <v>4268</v>
      </c>
      <c r="O1448" s="32" t="s">
        <v>4269</v>
      </c>
      <c r="P1448" s="98">
        <f t="shared" si="91"/>
        <v>1</v>
      </c>
      <c r="Q1448">
        <v>0</v>
      </c>
      <c r="R1448">
        <v>1</v>
      </c>
      <c r="S1448">
        <v>2</v>
      </c>
      <c r="T1448" t="s">
        <v>5133</v>
      </c>
      <c r="U1448" s="324" t="s">
        <v>5153</v>
      </c>
      <c r="V1448" t="s">
        <v>4270</v>
      </c>
      <c r="W1448" s="319">
        <v>462</v>
      </c>
      <c r="X1448" s="319">
        <v>7</v>
      </c>
      <c r="Y1448" s="319">
        <v>3</v>
      </c>
      <c r="Z1448" s="314"/>
      <c r="AA1448" s="319">
        <v>0.5</v>
      </c>
      <c r="AB1448" s="315" t="s">
        <v>5165</v>
      </c>
      <c r="AC1448" s="319">
        <v>5</v>
      </c>
      <c r="AD1448" s="320">
        <v>1.9607843137254902E-2</v>
      </c>
      <c r="AE1448" s="319">
        <v>2</v>
      </c>
      <c r="AF1448" s="320">
        <v>7.8431372549019607E-3</v>
      </c>
      <c r="AG1448" s="319">
        <v>0</v>
      </c>
      <c r="AH1448" s="320">
        <v>0</v>
      </c>
      <c r="AI1448" s="319">
        <v>0</v>
      </c>
      <c r="AJ1448" s="320">
        <v>0</v>
      </c>
      <c r="AK1448" s="320">
        <v>0</v>
      </c>
      <c r="AL1448" s="319"/>
      <c r="AM1448" s="319"/>
      <c r="AN1448" s="319"/>
      <c r="AO1448" s="319"/>
      <c r="AP1448">
        <v>3</v>
      </c>
      <c r="AR1448" s="319">
        <v>3</v>
      </c>
      <c r="AT1448" s="69">
        <v>2.3148</v>
      </c>
      <c r="AU1448" s="69">
        <v>5</v>
      </c>
      <c r="AV1448" s="69">
        <v>2.3148</v>
      </c>
      <c r="AW1448" s="69">
        <v>0.32100000000000001</v>
      </c>
      <c r="BB1448" s="69"/>
    </row>
    <row r="1449" spans="1:54" customFormat="1" ht="40" customHeight="1">
      <c r="A1449" s="313">
        <v>1448</v>
      </c>
      <c r="B1449" s="136" t="s">
        <v>3243</v>
      </c>
      <c r="C1449" s="136" t="s">
        <v>45</v>
      </c>
      <c r="D1449" s="31"/>
      <c r="E1449" s="137" t="s">
        <v>46</v>
      </c>
      <c r="F1449" s="31"/>
      <c r="G1449" s="137" t="s">
        <v>4271</v>
      </c>
      <c r="H1449" s="138">
        <v>326</v>
      </c>
      <c r="I1449" s="158"/>
      <c r="J1449" s="95"/>
      <c r="K1449" s="137">
        <v>0.46547751617515098</v>
      </c>
      <c r="L1449" s="137">
        <v>0.186211134227735</v>
      </c>
      <c r="M1449" s="137">
        <v>3.3546262790251203E-5</v>
      </c>
      <c r="N1449" s="136" t="s">
        <v>3327</v>
      </c>
      <c r="O1449" s="32" t="s">
        <v>4272</v>
      </c>
      <c r="P1449" s="98">
        <f t="shared" si="91"/>
        <v>1</v>
      </c>
      <c r="Q1449">
        <v>0</v>
      </c>
      <c r="R1449">
        <v>6</v>
      </c>
      <c r="S1449">
        <v>0</v>
      </c>
      <c r="T1449" t="s">
        <v>73</v>
      </c>
      <c r="U1449" s="1" t="s">
        <v>5192</v>
      </c>
      <c r="V1449" t="s">
        <v>4273</v>
      </c>
      <c r="W1449" s="319">
        <v>497</v>
      </c>
      <c r="X1449" s="319">
        <v>14</v>
      </c>
      <c r="Y1449" s="319">
        <v>6</v>
      </c>
      <c r="Z1449" s="314"/>
      <c r="AA1449" s="319">
        <v>1.6773131395125601E-4</v>
      </c>
      <c r="AB1449" s="315" t="s">
        <v>5165</v>
      </c>
      <c r="AC1449" s="319">
        <v>3</v>
      </c>
      <c r="AD1449" s="320">
        <v>1.16731517509727E-2</v>
      </c>
      <c r="AE1449" s="319">
        <v>0</v>
      </c>
      <c r="AF1449" s="320">
        <v>0</v>
      </c>
      <c r="AG1449" s="319">
        <v>2</v>
      </c>
      <c r="AH1449" s="320">
        <v>7.78210116731517E-3</v>
      </c>
      <c r="AI1449" s="319">
        <v>0</v>
      </c>
      <c r="AJ1449" s="320">
        <v>0</v>
      </c>
      <c r="AK1449" s="320">
        <v>0</v>
      </c>
      <c r="AL1449" s="319"/>
      <c r="AM1449" s="319"/>
      <c r="AN1449" s="319"/>
      <c r="AO1449" s="319"/>
      <c r="AP1449">
        <v>6</v>
      </c>
      <c r="AR1449" s="319">
        <v>6</v>
      </c>
      <c r="AT1449" s="69">
        <v>2.3148</v>
      </c>
      <c r="AU1449" s="69">
        <v>7.6852</v>
      </c>
      <c r="AV1449" s="69">
        <v>8.1305999999999994</v>
      </c>
      <c r="AW1449" s="69">
        <v>0.60440000000000005</v>
      </c>
      <c r="BB1449" s="69"/>
    </row>
    <row r="1450" spans="1:54" customFormat="1" ht="40" customHeight="1">
      <c r="A1450" s="313">
        <v>1449</v>
      </c>
      <c r="B1450" s="136" t="s">
        <v>3243</v>
      </c>
      <c r="C1450" s="136" t="s">
        <v>45</v>
      </c>
      <c r="D1450" s="31"/>
      <c r="E1450" s="137" t="s">
        <v>46</v>
      </c>
      <c r="F1450" s="31"/>
      <c r="G1450" s="137" t="s">
        <v>4274</v>
      </c>
      <c r="H1450" s="138">
        <v>41</v>
      </c>
      <c r="I1450" s="158"/>
      <c r="J1450" s="95"/>
      <c r="K1450" s="137">
        <v>0.42857142857142899</v>
      </c>
      <c r="L1450" s="137">
        <v>0.19350133789885801</v>
      </c>
      <c r="M1450" s="137">
        <v>3.67879441171442E-2</v>
      </c>
      <c r="N1450" s="136" t="s">
        <v>3640</v>
      </c>
      <c r="O1450" s="32" t="s">
        <v>4275</v>
      </c>
      <c r="P1450" s="98">
        <f t="shared" si="91"/>
        <v>1</v>
      </c>
      <c r="Q1450">
        <v>0</v>
      </c>
      <c r="R1450">
        <v>1</v>
      </c>
      <c r="S1450">
        <v>0</v>
      </c>
      <c r="T1450" t="s">
        <v>5132</v>
      </c>
      <c r="U1450" t="s">
        <v>4276</v>
      </c>
      <c r="V1450" t="s">
        <v>4277</v>
      </c>
      <c r="W1450" s="319">
        <v>273</v>
      </c>
      <c r="X1450" s="319">
        <v>16</v>
      </c>
      <c r="Y1450" s="319">
        <v>1</v>
      </c>
      <c r="Z1450" s="314"/>
      <c r="AA1450" s="319">
        <v>0.60499999999999998</v>
      </c>
      <c r="AB1450" s="315" t="s">
        <v>5179</v>
      </c>
      <c r="AC1450" s="319">
        <v>1</v>
      </c>
      <c r="AD1450" s="320">
        <v>6.8027210884353704E-3</v>
      </c>
      <c r="AE1450" s="319">
        <v>1</v>
      </c>
      <c r="AF1450" s="320">
        <v>6.8027210884353704E-3</v>
      </c>
      <c r="AG1450" s="319">
        <v>1</v>
      </c>
      <c r="AH1450" s="320">
        <v>6.8027210884353704E-3</v>
      </c>
      <c r="AI1450" s="319">
        <v>0</v>
      </c>
      <c r="AJ1450" s="320">
        <v>0</v>
      </c>
      <c r="AK1450" s="320">
        <v>0</v>
      </c>
      <c r="AL1450" s="319"/>
      <c r="AM1450" s="319"/>
      <c r="AN1450" s="319"/>
      <c r="AO1450" s="319"/>
      <c r="AP1450">
        <v>1</v>
      </c>
      <c r="AR1450" s="319">
        <v>1</v>
      </c>
      <c r="AT1450" s="69">
        <v>2.3148</v>
      </c>
      <c r="AU1450" s="69">
        <v>2.3148</v>
      </c>
      <c r="AV1450" s="69">
        <v>2.3148</v>
      </c>
      <c r="AW1450" s="69">
        <v>0.23150000000000001</v>
      </c>
      <c r="BB1450" s="69"/>
    </row>
    <row r="1451" spans="1:54" customFormat="1" ht="40" customHeight="1">
      <c r="A1451" s="313">
        <v>1450</v>
      </c>
      <c r="B1451" s="136" t="s">
        <v>3243</v>
      </c>
      <c r="C1451" s="136" t="s">
        <v>45</v>
      </c>
      <c r="D1451" s="31"/>
      <c r="E1451" s="137" t="s">
        <v>46</v>
      </c>
      <c r="F1451" s="31"/>
      <c r="G1451" s="137" t="s">
        <v>4278</v>
      </c>
      <c r="H1451" s="138">
        <v>323</v>
      </c>
      <c r="I1451" s="158"/>
      <c r="J1451" s="95"/>
      <c r="K1451" s="137">
        <v>0.50512834069460699</v>
      </c>
      <c r="L1451" s="137">
        <v>0.20205874086608799</v>
      </c>
      <c r="M1451" s="137">
        <v>1.2340980408668001E-5</v>
      </c>
      <c r="N1451" s="136" t="s">
        <v>4279</v>
      </c>
      <c r="O1451" s="32" t="s">
        <v>4280</v>
      </c>
      <c r="P1451" s="98">
        <f t="shared" si="91"/>
        <v>1</v>
      </c>
      <c r="Q1451">
        <v>0</v>
      </c>
      <c r="R1451">
        <v>6</v>
      </c>
      <c r="S1451">
        <v>0</v>
      </c>
      <c r="T1451" t="s">
        <v>73</v>
      </c>
      <c r="U1451" t="s">
        <v>4281</v>
      </c>
      <c r="V1451" t="s">
        <v>4282</v>
      </c>
      <c r="W1451" s="319">
        <v>81</v>
      </c>
      <c r="X1451" s="319">
        <v>12</v>
      </c>
      <c r="Y1451" s="319">
        <v>1</v>
      </c>
      <c r="Z1451" s="314"/>
      <c r="AA1451" s="319">
        <v>1.44442999286949E-4</v>
      </c>
      <c r="AB1451" s="315" t="s">
        <v>5165</v>
      </c>
      <c r="AC1451" s="319">
        <v>2</v>
      </c>
      <c r="AD1451" s="320">
        <v>4.3478260869565202E-2</v>
      </c>
      <c r="AE1451" s="319">
        <v>0</v>
      </c>
      <c r="AF1451" s="320">
        <v>0</v>
      </c>
      <c r="AG1451" s="319">
        <v>0</v>
      </c>
      <c r="AH1451" s="320">
        <v>0</v>
      </c>
      <c r="AI1451" s="319">
        <v>0</v>
      </c>
      <c r="AJ1451" s="320">
        <v>0</v>
      </c>
      <c r="AK1451" s="320">
        <v>0</v>
      </c>
      <c r="AL1451" s="319"/>
      <c r="AM1451" s="319"/>
      <c r="AN1451" s="319"/>
      <c r="AO1451" s="319"/>
      <c r="AP1451">
        <v>1</v>
      </c>
      <c r="AR1451" s="319">
        <v>1</v>
      </c>
      <c r="AT1451" s="69">
        <v>2.3148</v>
      </c>
      <c r="AU1451" s="69">
        <v>2.3148</v>
      </c>
      <c r="AV1451" s="69">
        <v>9.9641999999999999</v>
      </c>
      <c r="AW1451" s="69">
        <v>0.48649999999999999</v>
      </c>
      <c r="BB1451" s="69"/>
    </row>
    <row r="1452" spans="1:54" customFormat="1" ht="40" customHeight="1">
      <c r="A1452" s="313">
        <v>1451</v>
      </c>
      <c r="B1452" s="136" t="s">
        <v>2752</v>
      </c>
      <c r="C1452" s="136" t="s">
        <v>1191</v>
      </c>
      <c r="D1452" s="31"/>
      <c r="E1452" s="137" t="s">
        <v>46</v>
      </c>
      <c r="F1452" s="31"/>
      <c r="G1452" s="137" t="s">
        <v>4283</v>
      </c>
      <c r="H1452" s="138">
        <v>325</v>
      </c>
      <c r="I1452" s="158"/>
      <c r="J1452" s="95"/>
      <c r="K1452" s="137">
        <v>0.34534632929202302</v>
      </c>
      <c r="L1452" s="137">
        <v>0.14112575581888101</v>
      </c>
      <c r="M1452" s="137">
        <v>4.9787068367863896E-3</v>
      </c>
      <c r="N1452" s="136" t="s">
        <v>4284</v>
      </c>
      <c r="O1452" s="32" t="s">
        <v>4285</v>
      </c>
      <c r="P1452" s="98">
        <f t="shared" si="91"/>
        <v>1</v>
      </c>
      <c r="Q1452">
        <v>0</v>
      </c>
      <c r="R1452">
        <v>6</v>
      </c>
      <c r="S1452">
        <v>0</v>
      </c>
      <c r="T1452" t="s">
        <v>73</v>
      </c>
      <c r="U1452" s="1" t="s">
        <v>4286</v>
      </c>
      <c r="V1452" t="s">
        <v>4287</v>
      </c>
      <c r="W1452" s="319">
        <v>819</v>
      </c>
      <c r="X1452" s="319">
        <v>21</v>
      </c>
      <c r="Y1452" s="319">
        <v>4</v>
      </c>
      <c r="Z1452" s="314"/>
      <c r="AA1452" s="319">
        <v>2.1869278378115399E-2</v>
      </c>
      <c r="AB1452" s="315" t="s">
        <v>5165</v>
      </c>
      <c r="AC1452" s="319">
        <v>6</v>
      </c>
      <c r="AD1452" s="320">
        <v>1.3215859030837E-2</v>
      </c>
      <c r="AE1452" s="319">
        <v>1</v>
      </c>
      <c r="AF1452" s="320">
        <v>2.2026431718061598E-3</v>
      </c>
      <c r="AG1452" s="319">
        <v>4</v>
      </c>
      <c r="AH1452" s="320">
        <v>8.81057268722466E-3</v>
      </c>
      <c r="AI1452" s="319">
        <v>1</v>
      </c>
      <c r="AJ1452" s="320">
        <v>2.2026431718061598E-3</v>
      </c>
      <c r="AK1452" s="320">
        <v>2.202643171806168E-3</v>
      </c>
      <c r="AL1452" s="319"/>
      <c r="AM1452" s="319"/>
      <c r="AN1452" s="319"/>
      <c r="AO1452" s="319"/>
      <c r="AP1452">
        <v>4</v>
      </c>
      <c r="AR1452" s="319">
        <v>4</v>
      </c>
      <c r="AT1452" s="69">
        <v>2.3148</v>
      </c>
      <c r="AU1452" s="69">
        <v>9.1683000000000003</v>
      </c>
      <c r="AV1452" s="69">
        <v>9.9641999999999999</v>
      </c>
      <c r="AW1452" s="69">
        <v>0.71489999999999998</v>
      </c>
      <c r="BB1452" s="69"/>
    </row>
    <row r="1453" spans="1:54" customFormat="1" ht="40" customHeight="1">
      <c r="A1453" s="313">
        <v>1452</v>
      </c>
      <c r="B1453" s="136" t="s">
        <v>3243</v>
      </c>
      <c r="C1453" s="136" t="s">
        <v>1191</v>
      </c>
      <c r="D1453" s="31"/>
      <c r="E1453" s="137" t="s">
        <v>46</v>
      </c>
      <c r="F1453" s="31"/>
      <c r="G1453" s="137" t="s">
        <v>539</v>
      </c>
      <c r="H1453" s="138">
        <v>149</v>
      </c>
      <c r="I1453" s="158"/>
      <c r="J1453" s="95"/>
      <c r="K1453" s="137">
        <v>0.50512834069460699</v>
      </c>
      <c r="L1453" s="137">
        <v>0.26205133627784299</v>
      </c>
      <c r="M1453" s="137">
        <v>0.1</v>
      </c>
      <c r="N1453" s="136" t="s">
        <v>3366</v>
      </c>
      <c r="O1453" s="32" t="s">
        <v>4288</v>
      </c>
      <c r="P1453" s="98">
        <f t="shared" si="91"/>
        <v>1</v>
      </c>
      <c r="Q1453">
        <v>1</v>
      </c>
      <c r="R1453">
        <v>0</v>
      </c>
      <c r="S1453">
        <v>0</v>
      </c>
      <c r="T1453" t="s">
        <v>5088</v>
      </c>
      <c r="U1453" t="s">
        <v>4289</v>
      </c>
      <c r="V1453" t="s">
        <v>4290</v>
      </c>
      <c r="W1453" s="319">
        <v>109</v>
      </c>
      <c r="X1453" s="319">
        <v>12</v>
      </c>
      <c r="Y1453" s="319">
        <v>2</v>
      </c>
      <c r="Z1453" s="314"/>
      <c r="AA1453" s="319">
        <v>0.66549999999999998</v>
      </c>
      <c r="AB1453" s="315" t="s">
        <v>5165</v>
      </c>
      <c r="AC1453" s="319">
        <v>5</v>
      </c>
      <c r="AD1453" s="320">
        <v>8.6206896551724102E-2</v>
      </c>
      <c r="AE1453" s="319">
        <v>1</v>
      </c>
      <c r="AF1453" s="320">
        <v>1.72413793103448E-2</v>
      </c>
      <c r="AG1453" s="319">
        <v>1</v>
      </c>
      <c r="AH1453" s="320">
        <v>1.72413793103448E-2</v>
      </c>
      <c r="AI1453" s="319">
        <v>0</v>
      </c>
      <c r="AJ1453" s="320">
        <v>0</v>
      </c>
      <c r="AK1453" s="320">
        <v>0</v>
      </c>
      <c r="AL1453" s="319"/>
      <c r="AM1453" s="319"/>
      <c r="AN1453" s="319"/>
      <c r="AO1453" s="319"/>
      <c r="AP1453">
        <v>2</v>
      </c>
      <c r="AQ1453" s="319">
        <v>2</v>
      </c>
      <c r="AT1453" s="69">
        <v>2.3148</v>
      </c>
      <c r="AU1453" s="69">
        <v>7.6852</v>
      </c>
      <c r="AV1453" s="69">
        <v>8.1305999999999994</v>
      </c>
      <c r="AW1453" s="69">
        <v>0.60440000000000005</v>
      </c>
      <c r="BB1453" s="69"/>
    </row>
    <row r="1454" spans="1:54" customFormat="1" ht="40" customHeight="1">
      <c r="A1454" s="313">
        <v>1453</v>
      </c>
      <c r="B1454" s="136" t="s">
        <v>3243</v>
      </c>
      <c r="C1454" s="136" t="s">
        <v>45</v>
      </c>
      <c r="D1454" s="31"/>
      <c r="E1454" s="137" t="s">
        <v>46</v>
      </c>
      <c r="F1454" s="31"/>
      <c r="G1454" s="137" t="s">
        <v>4291</v>
      </c>
      <c r="H1454" s="138">
        <v>72</v>
      </c>
      <c r="I1454" s="158"/>
      <c r="J1454" s="95"/>
      <c r="K1454" s="137">
        <v>0.50512834069460699</v>
      </c>
      <c r="L1454" s="137">
        <v>0.26205133627784299</v>
      </c>
      <c r="M1454" s="137">
        <v>0.1</v>
      </c>
      <c r="N1454" s="136" t="s">
        <v>4292</v>
      </c>
      <c r="O1454" s="32" t="s">
        <v>4293</v>
      </c>
      <c r="P1454" s="98">
        <f t="shared" si="91"/>
        <v>1</v>
      </c>
      <c r="Q1454">
        <v>0</v>
      </c>
      <c r="R1454">
        <v>1</v>
      </c>
      <c r="S1454">
        <v>0</v>
      </c>
      <c r="T1454" t="s">
        <v>5132</v>
      </c>
      <c r="U1454" t="s">
        <v>4294</v>
      </c>
      <c r="V1454" t="s">
        <v>4295</v>
      </c>
      <c r="W1454" s="319">
        <v>204</v>
      </c>
      <c r="X1454" s="319">
        <v>12</v>
      </c>
      <c r="Y1454" s="319">
        <v>1</v>
      </c>
      <c r="Z1454" s="314"/>
      <c r="AA1454" s="319">
        <v>0.5</v>
      </c>
      <c r="AB1454" s="315" t="s">
        <v>5165</v>
      </c>
      <c r="AC1454" s="319">
        <v>2</v>
      </c>
      <c r="AD1454" s="320">
        <v>1.72413793103448E-2</v>
      </c>
      <c r="AE1454" s="319">
        <v>0</v>
      </c>
      <c r="AF1454" s="320">
        <v>0</v>
      </c>
      <c r="AG1454" s="319">
        <v>1</v>
      </c>
      <c r="AH1454" s="320">
        <v>8.6206896551724102E-3</v>
      </c>
      <c r="AI1454" s="319">
        <v>0</v>
      </c>
      <c r="AJ1454" s="320">
        <v>0</v>
      </c>
      <c r="AK1454" s="320">
        <v>0</v>
      </c>
      <c r="AL1454" s="319"/>
      <c r="AM1454" s="319"/>
      <c r="AN1454" s="319"/>
      <c r="AO1454" s="319"/>
      <c r="AP1454">
        <v>1</v>
      </c>
      <c r="AS1454" s="319">
        <v>1</v>
      </c>
      <c r="AT1454" s="69">
        <v>2.3148</v>
      </c>
      <c r="AU1454" s="69">
        <v>2.3148</v>
      </c>
      <c r="AV1454" s="69">
        <v>2.3148</v>
      </c>
      <c r="AW1454" s="69">
        <v>0.23150000000000001</v>
      </c>
      <c r="BB1454" s="69"/>
    </row>
    <row r="1455" spans="1:54" customFormat="1" ht="40" customHeight="1">
      <c r="A1455" s="313">
        <v>1454</v>
      </c>
      <c r="B1455" s="136" t="s">
        <v>3243</v>
      </c>
      <c r="C1455" s="136" t="s">
        <v>45</v>
      </c>
      <c r="D1455" s="31"/>
      <c r="E1455" s="137" t="s">
        <v>46</v>
      </c>
      <c r="F1455" s="31"/>
      <c r="G1455" s="137" t="s">
        <v>4296</v>
      </c>
      <c r="H1455" s="138">
        <v>58</v>
      </c>
      <c r="I1455" s="158"/>
      <c r="J1455" s="95"/>
      <c r="K1455" s="137">
        <v>0.68056171750003003</v>
      </c>
      <c r="L1455" s="137">
        <v>0.27521191110208398</v>
      </c>
      <c r="M1455" s="137">
        <v>4.9787068367863896E-3</v>
      </c>
      <c r="N1455" s="136" t="s">
        <v>4297</v>
      </c>
      <c r="O1455" s="32" t="s">
        <v>4298</v>
      </c>
      <c r="P1455" s="98">
        <f t="shared" si="91"/>
        <v>1</v>
      </c>
      <c r="Q1455">
        <v>0</v>
      </c>
      <c r="R1455">
        <v>1</v>
      </c>
      <c r="S1455">
        <v>0</v>
      </c>
      <c r="T1455" t="s">
        <v>5132</v>
      </c>
      <c r="U1455" t="s">
        <v>4299</v>
      </c>
      <c r="V1455" t="s">
        <v>4300</v>
      </c>
      <c r="W1455" s="319">
        <v>304</v>
      </c>
      <c r="X1455" s="319">
        <v>5</v>
      </c>
      <c r="Y1455" s="319">
        <v>3</v>
      </c>
      <c r="Z1455" s="314"/>
      <c r="AA1455" s="319">
        <v>2.71339522604859E-2</v>
      </c>
      <c r="AB1455" s="315" t="s">
        <v>5179</v>
      </c>
      <c r="AC1455" s="319">
        <v>2</v>
      </c>
      <c r="AD1455" s="320">
        <v>1.18343195266272E-2</v>
      </c>
      <c r="AE1455" s="319">
        <v>2</v>
      </c>
      <c r="AF1455" s="320">
        <v>1.18343195266272E-2</v>
      </c>
      <c r="AG1455" s="319">
        <v>2</v>
      </c>
      <c r="AH1455" s="320">
        <v>1.18343195266272E-2</v>
      </c>
      <c r="AI1455" s="319">
        <v>0</v>
      </c>
      <c r="AJ1455" s="320">
        <v>0</v>
      </c>
      <c r="AK1455" s="320">
        <v>0</v>
      </c>
      <c r="AL1455" s="319"/>
      <c r="AM1455" s="319"/>
      <c r="AN1455" s="319"/>
      <c r="AO1455" s="319"/>
      <c r="AP1455">
        <v>3</v>
      </c>
      <c r="AS1455" s="319">
        <v>3</v>
      </c>
      <c r="AT1455" s="69">
        <v>2.3148</v>
      </c>
      <c r="AU1455" s="69">
        <v>2.3148</v>
      </c>
      <c r="AV1455" s="69">
        <v>2.3148</v>
      </c>
      <c r="AW1455" s="69">
        <v>0.23150000000000001</v>
      </c>
      <c r="BB1455" s="69"/>
    </row>
    <row r="1456" spans="1:54" customFormat="1" ht="40" customHeight="1">
      <c r="A1456" s="313">
        <v>1455</v>
      </c>
      <c r="B1456" s="136" t="s">
        <v>1628</v>
      </c>
      <c r="C1456" s="136" t="s">
        <v>45</v>
      </c>
      <c r="D1456" s="31"/>
      <c r="E1456" s="137" t="s">
        <v>46</v>
      </c>
      <c r="F1456" s="31"/>
      <c r="G1456" s="137" t="s">
        <v>4301</v>
      </c>
      <c r="H1456" s="138">
        <v>173</v>
      </c>
      <c r="I1456" s="158"/>
      <c r="J1456" s="95"/>
      <c r="K1456" s="137">
        <v>0.57142857142857095</v>
      </c>
      <c r="L1456" s="137">
        <v>0.28857142857142898</v>
      </c>
      <c r="M1456" s="137">
        <v>0.1</v>
      </c>
      <c r="N1456" s="136" t="s">
        <v>3272</v>
      </c>
      <c r="O1456" s="32" t="s">
        <v>4302</v>
      </c>
      <c r="P1456" s="98">
        <f t="shared" si="91"/>
        <v>1</v>
      </c>
      <c r="Q1456">
        <v>2</v>
      </c>
      <c r="R1456">
        <v>0</v>
      </c>
      <c r="S1456">
        <v>0</v>
      </c>
      <c r="T1456" t="s">
        <v>5088</v>
      </c>
      <c r="U1456" t="s">
        <v>4303</v>
      </c>
      <c r="V1456" t="s">
        <v>4304</v>
      </c>
      <c r="W1456" s="319">
        <v>111</v>
      </c>
      <c r="X1456" s="319">
        <v>9</v>
      </c>
      <c r="Y1456" s="319">
        <v>1</v>
      </c>
      <c r="Z1456" s="314"/>
      <c r="AA1456" s="319">
        <v>0.5</v>
      </c>
      <c r="AB1456" s="315" t="s">
        <v>5176</v>
      </c>
      <c r="AC1456" s="319">
        <v>2</v>
      </c>
      <c r="AD1456" s="320">
        <v>3.2786885245901599E-2</v>
      </c>
      <c r="AE1456" s="319">
        <v>3</v>
      </c>
      <c r="AF1456" s="320">
        <v>4.9180327868852403E-2</v>
      </c>
      <c r="AG1456" s="319">
        <v>2</v>
      </c>
      <c r="AH1456" s="320">
        <v>3.2786885245901599E-2</v>
      </c>
      <c r="AI1456" s="319">
        <v>0</v>
      </c>
      <c r="AJ1456" s="320">
        <v>0</v>
      </c>
      <c r="AK1456" s="320">
        <v>0</v>
      </c>
      <c r="AL1456" s="319"/>
      <c r="AM1456" s="319"/>
      <c r="AN1456" s="319"/>
      <c r="AO1456" s="319"/>
      <c r="AP1456">
        <v>1</v>
      </c>
      <c r="AR1456" s="319">
        <v>1</v>
      </c>
      <c r="AT1456" s="69">
        <v>2.3148</v>
      </c>
      <c r="AU1456" s="69">
        <v>2.3148</v>
      </c>
      <c r="AV1456" s="69">
        <v>8.1305999999999994</v>
      </c>
      <c r="AW1456" s="69">
        <v>0.42530000000000001</v>
      </c>
      <c r="BB1456" s="69"/>
    </row>
    <row r="1457" spans="1:54" customFormat="1" ht="40" customHeight="1">
      <c r="A1457" s="313">
        <v>1456</v>
      </c>
      <c r="B1457" s="136" t="s">
        <v>3243</v>
      </c>
      <c r="C1457" s="136" t="s">
        <v>45</v>
      </c>
      <c r="D1457" s="31"/>
      <c r="E1457" s="137" t="s">
        <v>46</v>
      </c>
      <c r="F1457" s="31"/>
      <c r="G1457" s="137" t="s">
        <v>4305</v>
      </c>
      <c r="H1457" s="138">
        <v>121</v>
      </c>
      <c r="I1457" s="158"/>
      <c r="J1457" s="95"/>
      <c r="K1457" s="137">
        <v>0.65007289388811795</v>
      </c>
      <c r="L1457" s="137">
        <v>0.263016381657319</v>
      </c>
      <c r="M1457" s="137">
        <v>4.9787068367863896E-3</v>
      </c>
      <c r="N1457" s="136" t="s">
        <v>4306</v>
      </c>
      <c r="O1457" s="32" t="s">
        <v>4307</v>
      </c>
      <c r="P1457" s="98">
        <f t="shared" si="91"/>
        <v>1</v>
      </c>
      <c r="Q1457">
        <v>4</v>
      </c>
      <c r="R1457">
        <v>2</v>
      </c>
      <c r="S1457">
        <v>0</v>
      </c>
      <c r="T1457" t="s">
        <v>5088</v>
      </c>
      <c r="U1457" t="s">
        <v>4308</v>
      </c>
      <c r="V1457" t="s">
        <v>4309</v>
      </c>
      <c r="W1457" s="319">
        <v>111</v>
      </c>
      <c r="X1457" s="319">
        <v>6</v>
      </c>
      <c r="Y1457" s="319">
        <v>1</v>
      </c>
      <c r="Z1457" s="314"/>
      <c r="AA1457" s="319">
        <v>9.98202319436013E-3</v>
      </c>
      <c r="AB1457" s="315" t="s">
        <v>5176</v>
      </c>
      <c r="AC1457" s="319">
        <v>0</v>
      </c>
      <c r="AD1457" s="320">
        <v>0</v>
      </c>
      <c r="AE1457" s="319">
        <v>2</v>
      </c>
      <c r="AF1457" s="320">
        <v>3.2258064516128997E-2</v>
      </c>
      <c r="AG1457" s="319">
        <v>0</v>
      </c>
      <c r="AH1457" s="320">
        <v>0</v>
      </c>
      <c r="AI1457" s="319">
        <v>1</v>
      </c>
      <c r="AJ1457" s="320">
        <v>1.6129032258064498E-2</v>
      </c>
      <c r="AK1457" s="320">
        <v>0</v>
      </c>
      <c r="AL1457" s="319"/>
      <c r="AM1457" s="319"/>
      <c r="AN1457" s="319"/>
      <c r="AO1457" s="319"/>
      <c r="AP1457">
        <v>1</v>
      </c>
      <c r="AS1457" s="319">
        <v>1</v>
      </c>
      <c r="AT1457" s="69">
        <v>2.3148</v>
      </c>
      <c r="AU1457" s="69">
        <v>2.3148</v>
      </c>
      <c r="AV1457" s="69">
        <v>9.9641999999999999</v>
      </c>
      <c r="AW1457" s="69">
        <v>0.48649999999999999</v>
      </c>
      <c r="BB1457" s="69"/>
    </row>
    <row r="1458" spans="1:54" customFormat="1" ht="40" customHeight="1">
      <c r="A1458" s="313">
        <v>1457</v>
      </c>
      <c r="B1458" s="136" t="s">
        <v>1222</v>
      </c>
      <c r="C1458" s="136" t="s">
        <v>45</v>
      </c>
      <c r="D1458" s="31"/>
      <c r="E1458" s="137" t="s">
        <v>46</v>
      </c>
      <c r="F1458" s="31"/>
      <c r="G1458" s="137" t="s">
        <v>4310</v>
      </c>
      <c r="H1458" s="138">
        <v>22</v>
      </c>
      <c r="I1458" s="158"/>
      <c r="J1458" s="95"/>
      <c r="K1458" s="137">
        <v>0.526196458520657</v>
      </c>
      <c r="L1458" s="137">
        <v>0.27047858340826297</v>
      </c>
      <c r="M1458" s="137">
        <v>0.1</v>
      </c>
      <c r="N1458" s="136" t="s">
        <v>4311</v>
      </c>
      <c r="O1458" s="32" t="s">
        <v>4312</v>
      </c>
      <c r="P1458" s="98">
        <f t="shared" si="91"/>
        <v>0</v>
      </c>
      <c r="Q1458">
        <v>6</v>
      </c>
      <c r="R1458">
        <v>0</v>
      </c>
      <c r="S1458">
        <v>0</v>
      </c>
      <c r="T1458" t="s">
        <v>48</v>
      </c>
      <c r="U1458" t="s">
        <v>4310</v>
      </c>
      <c r="V1458" t="s">
        <v>4313</v>
      </c>
      <c r="W1458" s="319">
        <v>91</v>
      </c>
      <c r="X1458" s="319">
        <v>11</v>
      </c>
      <c r="Y1458" s="319">
        <v>1</v>
      </c>
      <c r="Z1458" s="314"/>
      <c r="AA1458" s="319">
        <v>0.5</v>
      </c>
      <c r="AB1458" s="315" t="s">
        <v>5178</v>
      </c>
      <c r="AC1458" s="319">
        <v>2</v>
      </c>
      <c r="AD1458" s="320">
        <v>0.04</v>
      </c>
      <c r="AE1458" s="319">
        <v>2</v>
      </c>
      <c r="AF1458" s="320">
        <v>0.04</v>
      </c>
      <c r="AG1458" s="319">
        <v>0</v>
      </c>
      <c r="AH1458" s="320">
        <v>0</v>
      </c>
      <c r="AI1458" s="319">
        <v>0</v>
      </c>
      <c r="AJ1458" s="320">
        <v>0</v>
      </c>
      <c r="AK1458" s="320">
        <v>0</v>
      </c>
      <c r="AL1458" s="319"/>
      <c r="AM1458" s="319"/>
      <c r="AN1458" s="319"/>
      <c r="AO1458" s="319"/>
      <c r="AP1458">
        <v>1</v>
      </c>
      <c r="AR1458" s="319">
        <v>1</v>
      </c>
      <c r="AT1458" s="69">
        <v>2.3148</v>
      </c>
      <c r="AU1458" s="69">
        <v>2.3148</v>
      </c>
      <c r="AV1458" s="69">
        <v>8.1305999999999994</v>
      </c>
      <c r="AW1458" s="69">
        <v>0.42530000000000001</v>
      </c>
      <c r="BB1458" s="69"/>
    </row>
    <row r="1459" spans="1:54" customFormat="1" ht="40" customHeight="1">
      <c r="A1459" s="313">
        <v>1458</v>
      </c>
      <c r="B1459" s="136" t="s">
        <v>3243</v>
      </c>
      <c r="C1459" s="136" t="s">
        <v>119</v>
      </c>
      <c r="D1459" s="31"/>
      <c r="E1459" s="137" t="s">
        <v>46</v>
      </c>
      <c r="F1459" s="31"/>
      <c r="G1459" s="137" t="s">
        <v>4314</v>
      </c>
      <c r="H1459" s="138">
        <v>174</v>
      </c>
      <c r="I1459" s="158"/>
      <c r="J1459" s="95"/>
      <c r="K1459" s="137">
        <v>0.50512834069460699</v>
      </c>
      <c r="L1459" s="137">
        <v>0.36514824598538498</v>
      </c>
      <c r="M1459" s="137">
        <v>0.27182818284590399</v>
      </c>
      <c r="N1459" s="136" t="s">
        <v>3251</v>
      </c>
      <c r="O1459" s="32" t="s">
        <v>4315</v>
      </c>
      <c r="P1459" s="98">
        <f t="shared" si="91"/>
        <v>1</v>
      </c>
      <c r="Q1459">
        <v>0</v>
      </c>
      <c r="R1459">
        <v>5</v>
      </c>
      <c r="S1459">
        <v>0</v>
      </c>
      <c r="T1459" t="s">
        <v>5132</v>
      </c>
      <c r="U1459" s="321" t="s">
        <v>5151</v>
      </c>
      <c r="V1459" t="s">
        <v>4316</v>
      </c>
      <c r="W1459" s="319">
        <v>236</v>
      </c>
      <c r="X1459" s="319">
        <v>12</v>
      </c>
      <c r="Y1459" s="319">
        <v>1</v>
      </c>
      <c r="Z1459" s="314"/>
      <c r="AA1459" s="319">
        <v>0.60499999999999998</v>
      </c>
      <c r="AB1459" s="315" t="s">
        <v>5176</v>
      </c>
      <c r="AC1459" s="319">
        <v>1</v>
      </c>
      <c r="AD1459" s="320">
        <v>7.4074074074073999E-3</v>
      </c>
      <c r="AE1459" s="319">
        <v>2</v>
      </c>
      <c r="AF1459" s="320">
        <v>1.48148148148148E-2</v>
      </c>
      <c r="AG1459" s="319">
        <v>1</v>
      </c>
      <c r="AH1459" s="320">
        <v>7.4074074074073999E-3</v>
      </c>
      <c r="AI1459" s="319">
        <v>0</v>
      </c>
      <c r="AJ1459" s="320">
        <v>0</v>
      </c>
      <c r="AK1459" s="320">
        <v>0</v>
      </c>
      <c r="AL1459" s="319"/>
      <c r="AM1459" s="319"/>
      <c r="AN1459" s="319"/>
      <c r="AO1459" s="319"/>
      <c r="AP1459">
        <v>1</v>
      </c>
      <c r="AR1459" s="319">
        <v>1</v>
      </c>
      <c r="AT1459" s="69">
        <v>6.3414000000000001</v>
      </c>
      <c r="AU1459" s="69">
        <v>2.3148</v>
      </c>
      <c r="AV1459" s="69">
        <v>2.3148</v>
      </c>
      <c r="AW1459" s="69">
        <v>0.36570000000000003</v>
      </c>
      <c r="BB1459" s="69"/>
    </row>
    <row r="1460" spans="1:54" customFormat="1" ht="40" customHeight="1">
      <c r="A1460" s="313">
        <v>1459</v>
      </c>
      <c r="B1460" s="136" t="s">
        <v>3243</v>
      </c>
      <c r="C1460" s="136" t="s">
        <v>45</v>
      </c>
      <c r="D1460" s="31"/>
      <c r="E1460" s="137" t="s">
        <v>46</v>
      </c>
      <c r="F1460" s="31"/>
      <c r="G1460" s="137" t="s">
        <v>4317</v>
      </c>
      <c r="H1460" s="138">
        <v>22</v>
      </c>
      <c r="I1460" s="158"/>
      <c r="J1460" s="95"/>
      <c r="K1460" s="137">
        <v>0.42857142857142899</v>
      </c>
      <c r="L1460" s="137">
        <v>0.23142857142857201</v>
      </c>
      <c r="M1460" s="137">
        <v>0.1</v>
      </c>
      <c r="N1460" s="136" t="s">
        <v>4318</v>
      </c>
      <c r="O1460" s="32" t="s">
        <v>4319</v>
      </c>
      <c r="P1460" s="98">
        <f t="shared" si="91"/>
        <v>0</v>
      </c>
      <c r="Q1460">
        <v>6</v>
      </c>
      <c r="R1460">
        <v>0</v>
      </c>
      <c r="S1460">
        <v>0</v>
      </c>
      <c r="T1460" t="s">
        <v>48</v>
      </c>
      <c r="U1460" s="321" t="s">
        <v>5150</v>
      </c>
      <c r="V1460" t="s">
        <v>4320</v>
      </c>
      <c r="W1460" s="319">
        <v>200</v>
      </c>
      <c r="X1460" s="319">
        <v>16</v>
      </c>
      <c r="Y1460" s="319">
        <v>2</v>
      </c>
      <c r="Z1460" s="314"/>
      <c r="AA1460" s="319">
        <v>0.5</v>
      </c>
      <c r="AB1460" s="315" t="s">
        <v>5165</v>
      </c>
      <c r="AC1460" s="319">
        <v>3</v>
      </c>
      <c r="AD1460" s="320">
        <v>2.7027027027027001E-2</v>
      </c>
      <c r="AE1460" s="319">
        <v>2</v>
      </c>
      <c r="AF1460" s="320">
        <v>1.8018018018018001E-2</v>
      </c>
      <c r="AG1460" s="319">
        <v>0</v>
      </c>
      <c r="AH1460" s="320">
        <v>0</v>
      </c>
      <c r="AI1460" s="319">
        <v>0</v>
      </c>
      <c r="AJ1460" s="320">
        <v>0</v>
      </c>
      <c r="AK1460" s="320">
        <v>0</v>
      </c>
      <c r="AL1460" s="319"/>
      <c r="AM1460" s="319"/>
      <c r="AN1460" s="319"/>
      <c r="AO1460" s="319"/>
      <c r="AP1460">
        <v>2</v>
      </c>
      <c r="AR1460" s="319">
        <v>2</v>
      </c>
      <c r="AT1460" s="69">
        <v>2.3148</v>
      </c>
      <c r="AU1460" s="69">
        <v>2.3148</v>
      </c>
      <c r="AV1460" s="69">
        <v>8.1305999999999994</v>
      </c>
      <c r="AW1460" s="69">
        <v>0.42530000000000001</v>
      </c>
      <c r="BB1460" s="69"/>
    </row>
    <row r="1461" spans="1:54" customFormat="1" ht="40" customHeight="1">
      <c r="A1461" s="313">
        <v>1460</v>
      </c>
      <c r="B1461" s="136" t="s">
        <v>2638</v>
      </c>
      <c r="C1461" s="136" t="s">
        <v>119</v>
      </c>
      <c r="D1461" s="31"/>
      <c r="E1461" s="137" t="s">
        <v>80</v>
      </c>
      <c r="F1461" s="31"/>
      <c r="G1461" s="137" t="s">
        <v>4321</v>
      </c>
      <c r="H1461" s="138">
        <v>85</v>
      </c>
      <c r="I1461" s="158"/>
      <c r="J1461" s="95"/>
      <c r="K1461" s="137">
        <v>0.68056171750003003</v>
      </c>
      <c r="L1461" s="137">
        <v>0.33222468700001201</v>
      </c>
      <c r="M1461" s="137">
        <v>0.1</v>
      </c>
      <c r="N1461" s="136" t="s">
        <v>3564</v>
      </c>
      <c r="O1461" s="32" t="s">
        <v>4322</v>
      </c>
      <c r="P1461" s="98">
        <f t="shared" si="91"/>
        <v>2</v>
      </c>
      <c r="Q1461">
        <v>0</v>
      </c>
      <c r="R1461">
        <v>0</v>
      </c>
      <c r="S1461">
        <v>0</v>
      </c>
      <c r="T1461" t="s">
        <v>64</v>
      </c>
      <c r="U1461" s="321" t="s">
        <v>5158</v>
      </c>
      <c r="V1461" t="s">
        <v>4323</v>
      </c>
      <c r="W1461" s="319">
        <v>103</v>
      </c>
      <c r="X1461" s="319">
        <v>5</v>
      </c>
      <c r="Y1461" s="319">
        <v>1</v>
      </c>
      <c r="Z1461" s="314"/>
      <c r="AA1461" s="319">
        <v>0.66549999999999998</v>
      </c>
      <c r="AB1461" s="315" t="s">
        <v>5165</v>
      </c>
      <c r="AC1461" s="319">
        <v>3</v>
      </c>
      <c r="AD1461" s="320">
        <v>5.2631578947368397E-2</v>
      </c>
      <c r="AE1461" s="319">
        <v>0</v>
      </c>
      <c r="AF1461" s="320">
        <v>0</v>
      </c>
      <c r="AG1461" s="319">
        <v>0</v>
      </c>
      <c r="AH1461" s="320">
        <v>0</v>
      </c>
      <c r="AI1461" s="319">
        <v>0</v>
      </c>
      <c r="AJ1461" s="320">
        <v>0</v>
      </c>
      <c r="AK1461" s="320">
        <v>0</v>
      </c>
      <c r="AL1461" s="319"/>
      <c r="AM1461" s="319"/>
      <c r="AN1461" s="319"/>
      <c r="AO1461" s="319"/>
      <c r="AP1461">
        <v>1</v>
      </c>
      <c r="AS1461" s="319">
        <v>1</v>
      </c>
      <c r="AT1461" s="69">
        <v>2.3148</v>
      </c>
      <c r="AU1461" s="69">
        <v>5</v>
      </c>
      <c r="AV1461" s="69">
        <v>8.1305999999999994</v>
      </c>
      <c r="AW1461" s="69">
        <v>0.51480000000000004</v>
      </c>
      <c r="BB1461" s="69"/>
    </row>
    <row r="1462" spans="1:54" customFormat="1" ht="40" customHeight="1">
      <c r="A1462" s="313">
        <v>1461</v>
      </c>
      <c r="B1462" s="136" t="s">
        <v>1222</v>
      </c>
      <c r="C1462" s="136" t="s">
        <v>1191</v>
      </c>
      <c r="D1462" s="31"/>
      <c r="E1462" s="137" t="s">
        <v>46</v>
      </c>
      <c r="F1462" s="31"/>
      <c r="G1462" s="137" t="s">
        <v>4324</v>
      </c>
      <c r="H1462" s="138">
        <v>34</v>
      </c>
      <c r="I1462" s="158"/>
      <c r="J1462" s="95"/>
      <c r="K1462" s="137">
        <v>0.526196458520657</v>
      </c>
      <c r="L1462" s="137">
        <v>0.27047858340826297</v>
      </c>
      <c r="M1462" s="137">
        <v>0.1</v>
      </c>
      <c r="N1462" s="136" t="s">
        <v>4325</v>
      </c>
      <c r="O1462" s="32" t="s">
        <v>4326</v>
      </c>
      <c r="P1462" s="98">
        <f t="shared" si="91"/>
        <v>1</v>
      </c>
      <c r="Q1462">
        <v>2</v>
      </c>
      <c r="R1462">
        <v>0</v>
      </c>
      <c r="S1462">
        <v>0</v>
      </c>
      <c r="T1462" t="s">
        <v>5088</v>
      </c>
      <c r="U1462" t="s">
        <v>4327</v>
      </c>
      <c r="V1462" t="s">
        <v>4328</v>
      </c>
      <c r="W1462" s="319">
        <v>145</v>
      </c>
      <c r="X1462" s="319">
        <v>11</v>
      </c>
      <c r="Y1462" s="319">
        <v>1</v>
      </c>
      <c r="Z1462" s="314"/>
      <c r="AA1462" s="319">
        <v>0.5</v>
      </c>
      <c r="AB1462" s="315" t="s">
        <v>5165</v>
      </c>
      <c r="AC1462" s="319">
        <v>1</v>
      </c>
      <c r="AD1462" s="320">
        <v>1.1904761904761901E-2</v>
      </c>
      <c r="AE1462" s="319">
        <v>0</v>
      </c>
      <c r="AF1462" s="320">
        <v>0</v>
      </c>
      <c r="AG1462" s="319">
        <v>0</v>
      </c>
      <c r="AH1462" s="320">
        <v>0</v>
      </c>
      <c r="AI1462" s="319">
        <v>0</v>
      </c>
      <c r="AJ1462" s="320">
        <v>0</v>
      </c>
      <c r="AK1462" s="320">
        <v>0</v>
      </c>
      <c r="AL1462" s="319"/>
      <c r="AM1462" s="319"/>
      <c r="AN1462" s="319"/>
      <c r="AO1462" s="319"/>
      <c r="AP1462">
        <v>1</v>
      </c>
      <c r="AS1462" s="319">
        <v>1</v>
      </c>
      <c r="AT1462" s="69">
        <v>2.3148</v>
      </c>
      <c r="AU1462" s="69">
        <v>2.3148</v>
      </c>
      <c r="AV1462" s="69">
        <v>2.3148</v>
      </c>
      <c r="AW1462" s="69">
        <v>0.23150000000000001</v>
      </c>
      <c r="BB1462" s="69"/>
    </row>
    <row r="1463" spans="1:54" customFormat="1" ht="40" customHeight="1">
      <c r="A1463" s="313">
        <v>1462</v>
      </c>
      <c r="B1463" s="136" t="s">
        <v>3243</v>
      </c>
      <c r="C1463" s="136" t="s">
        <v>1191</v>
      </c>
      <c r="D1463" s="31"/>
      <c r="E1463" s="137" t="s">
        <v>80</v>
      </c>
      <c r="F1463" s="31"/>
      <c r="G1463" s="137" t="s">
        <v>4329</v>
      </c>
      <c r="H1463" s="138">
        <v>141</v>
      </c>
      <c r="I1463" s="158"/>
      <c r="J1463" s="95"/>
      <c r="K1463" s="137">
        <v>0.46547751617515098</v>
      </c>
      <c r="L1463" s="137">
        <v>0.24619100647006101</v>
      </c>
      <c r="M1463" s="137">
        <v>0.1</v>
      </c>
      <c r="N1463" s="136" t="s">
        <v>3286</v>
      </c>
      <c r="O1463" s="32" t="s">
        <v>4330</v>
      </c>
      <c r="P1463" s="98">
        <f t="shared" si="91"/>
        <v>1</v>
      </c>
      <c r="Q1463">
        <v>0</v>
      </c>
      <c r="R1463">
        <v>1</v>
      </c>
      <c r="S1463">
        <v>0</v>
      </c>
      <c r="T1463" t="s">
        <v>5132</v>
      </c>
      <c r="U1463" t="s">
        <v>4331</v>
      </c>
      <c r="V1463" t="s">
        <v>4332</v>
      </c>
      <c r="W1463" s="319">
        <v>113</v>
      </c>
      <c r="X1463" s="319">
        <v>14</v>
      </c>
      <c r="Y1463" s="319">
        <v>1</v>
      </c>
      <c r="Z1463" s="314"/>
      <c r="AA1463" s="319">
        <v>0.413223140495868</v>
      </c>
      <c r="AB1463" s="315" t="s">
        <v>5179</v>
      </c>
      <c r="AC1463" s="319">
        <v>1</v>
      </c>
      <c r="AD1463" s="320">
        <v>1.6129032258064498E-2</v>
      </c>
      <c r="AE1463" s="319">
        <v>1</v>
      </c>
      <c r="AF1463" s="320">
        <v>1.6129032258064498E-2</v>
      </c>
      <c r="AG1463" s="319">
        <v>1</v>
      </c>
      <c r="AH1463" s="320">
        <v>1.6129032258064498E-2</v>
      </c>
      <c r="AI1463" s="319">
        <v>0</v>
      </c>
      <c r="AJ1463" s="320">
        <v>0</v>
      </c>
      <c r="AK1463" s="320">
        <v>0</v>
      </c>
      <c r="AL1463" s="319"/>
      <c r="AM1463" s="319"/>
      <c r="AN1463" s="319"/>
      <c r="AO1463" s="319"/>
      <c r="AP1463">
        <v>1</v>
      </c>
      <c r="AR1463" s="319">
        <v>1</v>
      </c>
      <c r="AT1463" s="69">
        <v>2.3148</v>
      </c>
      <c r="AU1463" s="69">
        <v>2.3148</v>
      </c>
      <c r="AV1463" s="69">
        <v>2.3148</v>
      </c>
      <c r="AW1463" s="69">
        <v>0.23150000000000001</v>
      </c>
      <c r="BB1463" s="69"/>
    </row>
    <row r="1464" spans="1:54" customFormat="1" ht="40" customHeight="1">
      <c r="A1464" s="313">
        <v>1463</v>
      </c>
      <c r="B1464" s="136" t="s">
        <v>1</v>
      </c>
      <c r="C1464" s="136" t="s">
        <v>45</v>
      </c>
      <c r="D1464" s="31"/>
      <c r="E1464" s="137" t="s">
        <v>46</v>
      </c>
      <c r="F1464" s="31"/>
      <c r="G1464" s="137" t="s">
        <v>4333</v>
      </c>
      <c r="H1464" s="138">
        <v>181</v>
      </c>
      <c r="I1464" s="158"/>
      <c r="J1464" s="95"/>
      <c r="K1464" s="137">
        <v>0.62203552699077302</v>
      </c>
      <c r="L1464" s="137">
        <v>0.270886977266596</v>
      </c>
      <c r="M1464" s="137">
        <v>3.67879441171442E-2</v>
      </c>
      <c r="N1464" s="136" t="s">
        <v>4334</v>
      </c>
      <c r="O1464" s="32" t="s">
        <v>4335</v>
      </c>
      <c r="P1464" s="98">
        <f t="shared" si="91"/>
        <v>1</v>
      </c>
      <c r="Q1464">
        <v>3</v>
      </c>
      <c r="R1464">
        <v>2</v>
      </c>
      <c r="S1464">
        <v>5</v>
      </c>
      <c r="T1464" t="s">
        <v>5133</v>
      </c>
      <c r="U1464" s="321" t="s">
        <v>5152</v>
      </c>
      <c r="V1464" t="s">
        <v>4336</v>
      </c>
      <c r="W1464" s="319">
        <v>52</v>
      </c>
      <c r="X1464" s="319">
        <v>7</v>
      </c>
      <c r="Y1464" s="319">
        <v>1</v>
      </c>
      <c r="Z1464" s="314"/>
      <c r="AA1464" s="319">
        <v>0.64895000000000003</v>
      </c>
      <c r="AB1464" s="331" t="s">
        <v>5162</v>
      </c>
      <c r="AC1464" s="319">
        <v>0</v>
      </c>
      <c r="AD1464" s="320">
        <v>0</v>
      </c>
      <c r="AE1464" s="319">
        <v>0</v>
      </c>
      <c r="AF1464" s="320">
        <v>0</v>
      </c>
      <c r="AG1464" s="319">
        <v>0</v>
      </c>
      <c r="AH1464" s="320">
        <v>0</v>
      </c>
      <c r="AI1464" s="319">
        <v>0</v>
      </c>
      <c r="AJ1464" s="320">
        <v>0</v>
      </c>
      <c r="AK1464" s="320">
        <v>3.8461538461538457E-2</v>
      </c>
      <c r="AL1464" s="319"/>
      <c r="AM1464" s="319"/>
      <c r="AN1464" s="319"/>
      <c r="AO1464" s="319"/>
      <c r="AP1464">
        <v>1</v>
      </c>
      <c r="AS1464" s="319">
        <v>1</v>
      </c>
      <c r="AT1464" s="69">
        <v>2.3148</v>
      </c>
      <c r="AU1464" s="69">
        <v>7.6852</v>
      </c>
      <c r="AV1464" s="69">
        <v>2.3148</v>
      </c>
      <c r="AW1464" s="69">
        <v>0.41049999999999998</v>
      </c>
      <c r="BB1464" s="69"/>
    </row>
    <row r="1465" spans="1:54" customFormat="1" ht="40" customHeight="1">
      <c r="A1465" s="313">
        <v>1464</v>
      </c>
      <c r="B1465" s="136" t="s">
        <v>3243</v>
      </c>
      <c r="C1465" s="136" t="s">
        <v>119</v>
      </c>
      <c r="D1465" s="31"/>
      <c r="E1465" s="137" t="s">
        <v>46</v>
      </c>
      <c r="F1465" s="31"/>
      <c r="G1465" s="137" t="s">
        <v>4337</v>
      </c>
      <c r="H1465" s="138">
        <v>23</v>
      </c>
      <c r="I1465" s="158"/>
      <c r="J1465" s="95"/>
      <c r="K1465" s="137">
        <v>1</v>
      </c>
      <c r="L1465" s="137">
        <v>0.42207276647028702</v>
      </c>
      <c r="M1465" s="137">
        <v>3.67879441171442E-2</v>
      </c>
      <c r="N1465" s="136" t="s">
        <v>4338</v>
      </c>
      <c r="O1465" s="32" t="s">
        <v>4339</v>
      </c>
      <c r="P1465" s="98">
        <f t="shared" si="91"/>
        <v>0</v>
      </c>
      <c r="Q1465">
        <v>6</v>
      </c>
      <c r="R1465">
        <v>0</v>
      </c>
      <c r="S1465">
        <v>0</v>
      </c>
      <c r="T1465" t="s">
        <v>48</v>
      </c>
      <c r="U1465" t="s">
        <v>4340</v>
      </c>
      <c r="V1465" t="s">
        <v>4341</v>
      </c>
      <c r="W1465" s="319">
        <v>214</v>
      </c>
      <c r="X1465" s="319">
        <v>0</v>
      </c>
      <c r="Y1465" s="319">
        <v>1</v>
      </c>
      <c r="Z1465" s="314"/>
      <c r="AA1465" s="319">
        <v>2.9598412144695101E-2</v>
      </c>
      <c r="AB1465" s="315" t="s">
        <v>5169</v>
      </c>
      <c r="AC1465" s="319">
        <v>1</v>
      </c>
      <c r="AD1465" s="320">
        <v>8.8495575221238902E-3</v>
      </c>
      <c r="AE1465" s="319">
        <v>0</v>
      </c>
      <c r="AF1465" s="320">
        <v>0</v>
      </c>
      <c r="AG1465" s="319">
        <v>1</v>
      </c>
      <c r="AH1465" s="320">
        <v>8.8495575221238902E-3</v>
      </c>
      <c r="AI1465" s="319">
        <v>0</v>
      </c>
      <c r="AJ1465" s="320">
        <v>0</v>
      </c>
      <c r="AK1465" s="320">
        <v>0</v>
      </c>
      <c r="AL1465" s="319"/>
      <c r="AM1465" s="319"/>
      <c r="AN1465" s="319"/>
      <c r="AO1465" s="319"/>
      <c r="AR1465" s="319">
        <v>1</v>
      </c>
      <c r="AT1465" s="69">
        <v>2.3148</v>
      </c>
      <c r="AU1465" s="69">
        <v>2.3148</v>
      </c>
      <c r="AV1465" s="69">
        <v>5.7443999999999997</v>
      </c>
      <c r="AW1465" s="69">
        <v>0.3458</v>
      </c>
      <c r="BB1465" s="69"/>
    </row>
  </sheetData>
  <autoFilter ref="A1:BA1849" xr:uid="{00000000-0009-0000-0000-000000000000}"/>
  <phoneticPr fontId="16" type="noConversion"/>
  <hyperlinks>
    <hyperlink ref="G25" r:id="rId1" tooltip="http://fz12345.fuzhou.gov.cn/fzwp/callDetail.jsp?callId=FZ18061600385" xr:uid="{00000000-0004-0000-0000-000000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R57"/>
  <sheetViews>
    <sheetView workbookViewId="0">
      <selection activeCell="G3" sqref="G3"/>
    </sheetView>
  </sheetViews>
  <sheetFormatPr baseColWidth="10" defaultColWidth="8.6640625" defaultRowHeight="15"/>
  <cols>
    <col min="4" max="8" width="10.83203125" customWidth="1"/>
    <col min="9" max="9" width="55.5" customWidth="1"/>
    <col min="10" max="10" width="16.1640625" customWidth="1"/>
    <col min="11" max="11" width="42.83203125" customWidth="1"/>
    <col min="12" max="12" width="9" customWidth="1"/>
    <col min="16" max="18" width="8.6640625" style="277"/>
  </cols>
  <sheetData>
    <row r="1" spans="1:18" s="69" customFormat="1" ht="45">
      <c r="A1" s="181" t="s">
        <v>1</v>
      </c>
      <c r="B1" s="254" t="s">
        <v>2</v>
      </c>
      <c r="C1" s="254" t="s">
        <v>3</v>
      </c>
      <c r="D1" s="254" t="s">
        <v>4</v>
      </c>
      <c r="E1" s="146" t="s">
        <v>5</v>
      </c>
      <c r="F1" s="254" t="s">
        <v>4342</v>
      </c>
      <c r="G1" s="254" t="s">
        <v>11</v>
      </c>
      <c r="H1" s="255" t="s">
        <v>12</v>
      </c>
      <c r="I1" s="254" t="s">
        <v>18</v>
      </c>
      <c r="J1" s="254" t="s">
        <v>4343</v>
      </c>
      <c r="K1" s="181" t="s">
        <v>19</v>
      </c>
      <c r="L1" s="256" t="s">
        <v>20</v>
      </c>
      <c r="M1" s="181" t="s">
        <v>21</v>
      </c>
      <c r="N1" s="181" t="s">
        <v>4344</v>
      </c>
      <c r="O1" s="181" t="s">
        <v>22</v>
      </c>
      <c r="P1" s="281" t="s">
        <v>23</v>
      </c>
      <c r="Q1" s="282"/>
      <c r="R1" s="282"/>
    </row>
    <row r="2" spans="1:18" s="69" customFormat="1" ht="116" customHeight="1">
      <c r="A2" s="181" t="s">
        <v>44</v>
      </c>
      <c r="B2" s="254" t="s">
        <v>45</v>
      </c>
      <c r="C2" s="254" t="s">
        <v>46</v>
      </c>
      <c r="D2" s="261" t="s">
        <v>47</v>
      </c>
      <c r="E2" s="146">
        <f>LEN(I2)</f>
        <v>166</v>
      </c>
      <c r="F2" s="254"/>
      <c r="G2" s="307">
        <v>1</v>
      </c>
      <c r="H2" s="308">
        <v>44077</v>
      </c>
      <c r="I2" s="261" t="s">
        <v>49</v>
      </c>
      <c r="J2" s="186">
        <v>0</v>
      </c>
      <c r="K2" s="261" t="s">
        <v>50</v>
      </c>
      <c r="L2" s="256">
        <f>LEN(K2)</f>
        <v>106</v>
      </c>
      <c r="M2" s="181">
        <v>1</v>
      </c>
      <c r="N2" s="181">
        <v>1</v>
      </c>
      <c r="O2" s="181">
        <v>6</v>
      </c>
      <c r="P2" s="281">
        <f>AVERAGE(M2:M23)</f>
        <v>0.22727272727272727</v>
      </c>
      <c r="Q2" s="282">
        <f>AVERAGE(N2:N23)</f>
        <v>1.0909090909090908</v>
      </c>
      <c r="R2" s="282">
        <f>AVERAGE(O2:O23)</f>
        <v>6.0454545454545459</v>
      </c>
    </row>
    <row r="3" spans="1:18" s="69" customFormat="1" ht="120">
      <c r="A3" s="181" t="s">
        <v>44</v>
      </c>
      <c r="B3" s="181" t="s">
        <v>52</v>
      </c>
      <c r="C3" s="186" t="s">
        <v>46</v>
      </c>
      <c r="D3" s="186" t="s">
        <v>53</v>
      </c>
      <c r="E3" s="187">
        <v>208</v>
      </c>
      <c r="F3" s="256">
        <v>6.5384257181644301E-4</v>
      </c>
      <c r="G3" s="181">
        <v>1</v>
      </c>
      <c r="H3" s="308">
        <v>43682</v>
      </c>
      <c r="I3" s="186" t="s">
        <v>4345</v>
      </c>
      <c r="J3" s="186">
        <v>0</v>
      </c>
      <c r="K3" s="186" t="s">
        <v>55</v>
      </c>
      <c r="L3" s="256">
        <v>174</v>
      </c>
      <c r="M3" s="181">
        <v>0</v>
      </c>
      <c r="N3" s="181">
        <v>2</v>
      </c>
      <c r="O3" s="181">
        <v>2</v>
      </c>
      <c r="P3" s="282">
        <f>AVERAGE(M2:M57)</f>
        <v>0.3392857142857143</v>
      </c>
      <c r="Q3" s="282">
        <f>AVERAGE(N2:N57)</f>
        <v>1.0357142857142858</v>
      </c>
      <c r="R3" s="282">
        <f>AVERAGE(O2:O57)</f>
        <v>6.125</v>
      </c>
    </row>
    <row r="4" spans="1:18" s="69" customFormat="1" ht="88" customHeight="1">
      <c r="A4" s="181" t="s">
        <v>44</v>
      </c>
      <c r="B4" s="181" t="s">
        <v>45</v>
      </c>
      <c r="C4" s="181" t="s">
        <v>46</v>
      </c>
      <c r="D4" s="186" t="s">
        <v>56</v>
      </c>
      <c r="E4" s="187">
        <v>153</v>
      </c>
      <c r="F4" s="256">
        <v>0.86466366202485301</v>
      </c>
      <c r="G4" s="181">
        <v>1</v>
      </c>
      <c r="H4" s="309">
        <v>43527</v>
      </c>
      <c r="I4" s="186" t="s">
        <v>57</v>
      </c>
      <c r="J4" s="186">
        <v>0</v>
      </c>
      <c r="K4" s="186" t="s">
        <v>58</v>
      </c>
      <c r="L4" s="256">
        <v>34</v>
      </c>
      <c r="M4" s="181">
        <v>0</v>
      </c>
      <c r="N4" s="181">
        <v>1</v>
      </c>
      <c r="O4" s="181">
        <v>12</v>
      </c>
      <c r="P4" s="282"/>
      <c r="Q4" s="282"/>
      <c r="R4" s="282"/>
    </row>
    <row r="5" spans="1:18" s="69" customFormat="1" ht="185" customHeight="1">
      <c r="A5" s="181" t="s">
        <v>44</v>
      </c>
      <c r="B5" s="181" t="s">
        <v>59</v>
      </c>
      <c r="C5" s="181" t="s">
        <v>46</v>
      </c>
      <c r="D5" s="186" t="s">
        <v>4346</v>
      </c>
      <c r="E5" s="187">
        <v>132</v>
      </c>
      <c r="F5" s="256">
        <v>2.2514038062748599E-6</v>
      </c>
      <c r="G5" s="181">
        <v>0</v>
      </c>
      <c r="H5" s="309">
        <v>43438</v>
      </c>
      <c r="I5" s="181" t="s">
        <v>4347</v>
      </c>
      <c r="J5" s="181">
        <v>0</v>
      </c>
      <c r="K5" s="181" t="s">
        <v>62</v>
      </c>
      <c r="L5" s="256">
        <v>136</v>
      </c>
      <c r="M5" s="181">
        <v>0</v>
      </c>
      <c r="N5" s="181">
        <v>1</v>
      </c>
      <c r="O5" s="181">
        <v>1</v>
      </c>
      <c r="P5" s="282">
        <f>AVERAGE(M3:M57)</f>
        <v>0.32727272727272727</v>
      </c>
      <c r="Q5" s="282"/>
      <c r="R5" s="282"/>
    </row>
    <row r="6" spans="1:18" s="69" customFormat="1" ht="160" customHeight="1">
      <c r="A6" s="181" t="s">
        <v>44</v>
      </c>
      <c r="B6" s="181" t="s">
        <v>45</v>
      </c>
      <c r="C6" s="181" t="s">
        <v>46</v>
      </c>
      <c r="D6" s="181" t="s">
        <v>63</v>
      </c>
      <c r="E6" s="187">
        <v>366</v>
      </c>
      <c r="F6" s="256">
        <v>4.7637349934848104E-3</v>
      </c>
      <c r="G6" s="181">
        <v>0</v>
      </c>
      <c r="H6" s="309">
        <v>43383</v>
      </c>
      <c r="I6" s="181" t="s">
        <v>65</v>
      </c>
      <c r="J6" s="181">
        <v>1</v>
      </c>
      <c r="K6" s="181" t="s">
        <v>66</v>
      </c>
      <c r="L6" s="256">
        <v>34</v>
      </c>
      <c r="M6" s="181">
        <v>1</v>
      </c>
      <c r="N6" s="181">
        <v>1</v>
      </c>
      <c r="O6" s="181">
        <v>16</v>
      </c>
      <c r="P6" s="282">
        <f>AVERAGE(O3:O57)</f>
        <v>6.127272727272727</v>
      </c>
      <c r="Q6" s="282"/>
      <c r="R6" s="282"/>
    </row>
    <row r="7" spans="1:18" s="69" customFormat="1" ht="150">
      <c r="A7" s="181" t="s">
        <v>44</v>
      </c>
      <c r="B7" s="181" t="s">
        <v>45</v>
      </c>
      <c r="C7" s="181" t="s">
        <v>46</v>
      </c>
      <c r="D7" s="181" t="s">
        <v>68</v>
      </c>
      <c r="E7" s="187">
        <v>222</v>
      </c>
      <c r="F7" s="256">
        <v>4.1949037384468903E-3</v>
      </c>
      <c r="G7" s="181">
        <v>1</v>
      </c>
      <c r="H7" s="309">
        <v>43381</v>
      </c>
      <c r="I7" s="181" t="s">
        <v>4348</v>
      </c>
      <c r="J7" s="181">
        <v>0</v>
      </c>
      <c r="K7" s="181" t="s">
        <v>70</v>
      </c>
      <c r="L7" s="256">
        <v>121</v>
      </c>
      <c r="M7" s="181">
        <v>0</v>
      </c>
      <c r="N7" s="181">
        <v>1</v>
      </c>
      <c r="O7" s="181">
        <v>1</v>
      </c>
      <c r="P7" s="282"/>
      <c r="Q7" s="282"/>
      <c r="R7" s="282"/>
    </row>
    <row r="8" spans="1:18" s="69" customFormat="1" ht="87" customHeight="1">
      <c r="A8" s="181" t="s">
        <v>44</v>
      </c>
      <c r="B8" s="181" t="s">
        <v>59</v>
      </c>
      <c r="C8" s="181" t="s">
        <v>46</v>
      </c>
      <c r="D8" s="181" t="s">
        <v>72</v>
      </c>
      <c r="E8" s="187">
        <v>314</v>
      </c>
      <c r="F8" s="256">
        <v>0</v>
      </c>
      <c r="G8" s="181">
        <v>1</v>
      </c>
      <c r="H8" s="309">
        <v>43369</v>
      </c>
      <c r="I8" s="181" t="s">
        <v>4349</v>
      </c>
      <c r="J8" s="181">
        <v>0</v>
      </c>
      <c r="K8" s="181" t="s">
        <v>75</v>
      </c>
      <c r="L8" s="256">
        <v>87</v>
      </c>
      <c r="M8" s="181">
        <v>0</v>
      </c>
      <c r="N8" s="181">
        <v>1</v>
      </c>
      <c r="O8" s="181">
        <v>0</v>
      </c>
      <c r="P8" s="282"/>
      <c r="Q8" s="282"/>
      <c r="R8" s="282"/>
    </row>
    <row r="9" spans="1:18" s="69" customFormat="1" ht="90">
      <c r="A9" s="181" t="s">
        <v>44</v>
      </c>
      <c r="B9" s="181" t="s">
        <v>45</v>
      </c>
      <c r="C9" s="181" t="s">
        <v>76</v>
      </c>
      <c r="D9" s="181" t="s">
        <v>77</v>
      </c>
      <c r="E9" s="187">
        <v>169</v>
      </c>
      <c r="F9" s="256">
        <v>1.5752242823643601E-2</v>
      </c>
      <c r="G9" s="181">
        <v>0</v>
      </c>
      <c r="H9" s="308">
        <v>43052</v>
      </c>
      <c r="I9" s="181" t="s">
        <v>78</v>
      </c>
      <c r="J9" s="181">
        <v>0</v>
      </c>
      <c r="K9" s="181" t="s">
        <v>79</v>
      </c>
      <c r="L9" s="256">
        <v>69</v>
      </c>
      <c r="M9" s="181">
        <v>1</v>
      </c>
      <c r="N9" s="181">
        <v>2</v>
      </c>
      <c r="O9" s="181">
        <v>2</v>
      </c>
      <c r="P9" s="282"/>
      <c r="Q9" s="282"/>
      <c r="R9" s="282"/>
    </row>
    <row r="10" spans="1:18" s="69" customFormat="1" ht="45" customHeight="1">
      <c r="A10" s="181" t="s">
        <v>44</v>
      </c>
      <c r="B10" s="181" t="s">
        <v>45</v>
      </c>
      <c r="C10" s="181" t="s">
        <v>80</v>
      </c>
      <c r="D10" s="181" t="s">
        <v>81</v>
      </c>
      <c r="E10" s="187">
        <v>63</v>
      </c>
      <c r="F10" s="256">
        <v>3.3652265919757597E-2</v>
      </c>
      <c r="G10" s="181">
        <v>1</v>
      </c>
      <c r="H10" s="310">
        <v>42674</v>
      </c>
      <c r="I10" s="181" t="s">
        <v>82</v>
      </c>
      <c r="J10" s="181">
        <v>1</v>
      </c>
      <c r="K10" s="297" t="s">
        <v>83</v>
      </c>
      <c r="L10" s="256">
        <v>24</v>
      </c>
      <c r="M10" s="181">
        <v>0</v>
      </c>
      <c r="N10" s="181">
        <v>1</v>
      </c>
      <c r="O10" s="181">
        <v>0</v>
      </c>
      <c r="P10" s="282"/>
      <c r="Q10" s="282"/>
      <c r="R10" s="282"/>
    </row>
    <row r="11" spans="1:18" s="69" customFormat="1" ht="45">
      <c r="A11" s="181" t="s">
        <v>44</v>
      </c>
      <c r="B11" s="181" t="s">
        <v>45</v>
      </c>
      <c r="C11" s="181" t="s">
        <v>46</v>
      </c>
      <c r="D11" s="181" t="s">
        <v>84</v>
      </c>
      <c r="E11" s="187">
        <v>19</v>
      </c>
      <c r="F11" s="256">
        <v>2.0634947817012701E-2</v>
      </c>
      <c r="G11" s="181">
        <v>1</v>
      </c>
      <c r="H11" s="309">
        <v>42626</v>
      </c>
      <c r="I11" s="186" t="s">
        <v>85</v>
      </c>
      <c r="J11" s="186">
        <v>0</v>
      </c>
      <c r="K11" s="181" t="s">
        <v>86</v>
      </c>
      <c r="L11" s="256">
        <v>53</v>
      </c>
      <c r="M11" s="181">
        <v>0</v>
      </c>
      <c r="N11" s="181">
        <v>1</v>
      </c>
      <c r="O11" s="181">
        <v>7</v>
      </c>
      <c r="P11" s="282"/>
      <c r="Q11" s="282"/>
      <c r="R11" s="282"/>
    </row>
    <row r="12" spans="1:18" s="69" customFormat="1" ht="45">
      <c r="A12" s="181" t="s">
        <v>44</v>
      </c>
      <c r="B12" s="181" t="s">
        <v>45</v>
      </c>
      <c r="C12" s="181" t="s">
        <v>46</v>
      </c>
      <c r="D12" s="181" t="s">
        <v>88</v>
      </c>
      <c r="E12" s="187">
        <v>38</v>
      </c>
      <c r="F12" s="256">
        <v>0.146456406279378</v>
      </c>
      <c r="G12" s="181">
        <v>1</v>
      </c>
      <c r="H12" s="309">
        <v>42626</v>
      </c>
      <c r="I12" s="181" t="s">
        <v>89</v>
      </c>
      <c r="J12" s="181">
        <v>0</v>
      </c>
      <c r="K12" s="181" t="s">
        <v>86</v>
      </c>
      <c r="L12" s="256">
        <v>53</v>
      </c>
      <c r="M12" s="181">
        <v>0</v>
      </c>
      <c r="N12" s="181">
        <v>1</v>
      </c>
      <c r="O12" s="181">
        <v>7</v>
      </c>
      <c r="P12" s="282"/>
      <c r="Q12" s="282"/>
      <c r="R12" s="282"/>
    </row>
    <row r="13" spans="1:18" s="69" customFormat="1" ht="46" customHeight="1">
      <c r="A13" s="181" t="s">
        <v>44</v>
      </c>
      <c r="B13" s="181" t="s">
        <v>45</v>
      </c>
      <c r="C13" s="181" t="s">
        <v>46</v>
      </c>
      <c r="D13" s="181" t="s">
        <v>90</v>
      </c>
      <c r="E13" s="187">
        <v>35</v>
      </c>
      <c r="F13" s="256">
        <v>3.1382164121684898E-4</v>
      </c>
      <c r="G13" s="181">
        <v>1</v>
      </c>
      <c r="H13" s="309">
        <v>42626</v>
      </c>
      <c r="I13" s="181" t="s">
        <v>91</v>
      </c>
      <c r="J13" s="181">
        <v>0</v>
      </c>
      <c r="K13" s="181" t="s">
        <v>92</v>
      </c>
      <c r="L13" s="256">
        <v>78</v>
      </c>
      <c r="M13" s="181">
        <v>0</v>
      </c>
      <c r="N13" s="181">
        <v>1</v>
      </c>
      <c r="O13" s="181">
        <v>27</v>
      </c>
      <c r="P13" s="282"/>
      <c r="Q13" s="282"/>
      <c r="R13" s="282"/>
    </row>
    <row r="14" spans="1:18" s="69" customFormat="1" ht="45">
      <c r="A14" s="181" t="s">
        <v>44</v>
      </c>
      <c r="B14" s="181" t="s">
        <v>45</v>
      </c>
      <c r="C14" s="181" t="s">
        <v>46</v>
      </c>
      <c r="D14" s="181" t="s">
        <v>93</v>
      </c>
      <c r="E14" s="187">
        <v>38</v>
      </c>
      <c r="F14" s="256">
        <v>7.0204172710241998E-3</v>
      </c>
      <c r="G14" s="181">
        <v>1</v>
      </c>
      <c r="H14" s="309">
        <v>42625</v>
      </c>
      <c r="I14" s="181" t="s">
        <v>94</v>
      </c>
      <c r="J14" s="181">
        <v>0</v>
      </c>
      <c r="K14" s="181" t="s">
        <v>86</v>
      </c>
      <c r="L14" s="256">
        <v>53</v>
      </c>
      <c r="M14" s="181">
        <v>0</v>
      </c>
      <c r="N14" s="181">
        <v>1</v>
      </c>
      <c r="O14" s="181">
        <v>8</v>
      </c>
      <c r="P14" s="282"/>
      <c r="Q14" s="282"/>
      <c r="R14" s="282"/>
    </row>
    <row r="15" spans="1:18" s="69" customFormat="1" ht="49" customHeight="1">
      <c r="A15" s="181" t="s">
        <v>44</v>
      </c>
      <c r="B15" s="181" t="s">
        <v>45</v>
      </c>
      <c r="C15" s="181" t="s">
        <v>46</v>
      </c>
      <c r="D15" s="181" t="s">
        <v>90</v>
      </c>
      <c r="E15" s="187">
        <v>31</v>
      </c>
      <c r="F15" s="256">
        <v>1.91458262147177E-2</v>
      </c>
      <c r="G15" s="181">
        <v>1</v>
      </c>
      <c r="H15" s="309">
        <v>42625</v>
      </c>
      <c r="I15" s="186" t="s">
        <v>95</v>
      </c>
      <c r="J15" s="186">
        <v>0</v>
      </c>
      <c r="K15" s="181" t="s">
        <v>86</v>
      </c>
      <c r="L15" s="256">
        <v>53</v>
      </c>
      <c r="M15" s="181">
        <v>0</v>
      </c>
      <c r="N15" s="181">
        <v>1</v>
      </c>
      <c r="O15" s="181">
        <v>8</v>
      </c>
      <c r="P15" s="282"/>
      <c r="Q15" s="282"/>
      <c r="R15" s="282"/>
    </row>
    <row r="16" spans="1:18" s="69" customFormat="1" ht="60">
      <c r="A16" s="181" t="s">
        <v>44</v>
      </c>
      <c r="B16" s="181" t="s">
        <v>45</v>
      </c>
      <c r="C16" s="181" t="s">
        <v>46</v>
      </c>
      <c r="D16" s="181" t="s">
        <v>96</v>
      </c>
      <c r="E16" s="187">
        <v>34</v>
      </c>
      <c r="F16" s="256">
        <v>0.13294945010544301</v>
      </c>
      <c r="G16" s="181">
        <v>1</v>
      </c>
      <c r="H16" s="309">
        <v>42625</v>
      </c>
      <c r="I16" s="181" t="s">
        <v>97</v>
      </c>
      <c r="J16" s="181">
        <v>0</v>
      </c>
      <c r="K16" s="181" t="s">
        <v>98</v>
      </c>
      <c r="L16" s="256">
        <v>55</v>
      </c>
      <c r="M16" s="181">
        <v>0</v>
      </c>
      <c r="N16" s="181">
        <v>1</v>
      </c>
      <c r="O16" s="181">
        <v>2</v>
      </c>
      <c r="P16" s="282"/>
      <c r="Q16" s="282"/>
      <c r="R16" s="282"/>
    </row>
    <row r="17" spans="1:18" s="69" customFormat="1" ht="45">
      <c r="A17" s="181" t="s">
        <v>44</v>
      </c>
      <c r="B17" s="181" t="s">
        <v>45</v>
      </c>
      <c r="C17" s="181" t="s">
        <v>46</v>
      </c>
      <c r="D17" s="181" t="s">
        <v>99</v>
      </c>
      <c r="E17" s="187">
        <v>41</v>
      </c>
      <c r="F17" s="256">
        <v>0.31795593957352603</v>
      </c>
      <c r="G17" s="181">
        <v>1</v>
      </c>
      <c r="H17" s="309">
        <v>42625</v>
      </c>
      <c r="I17" s="181" t="s">
        <v>100</v>
      </c>
      <c r="J17" s="181">
        <v>0</v>
      </c>
      <c r="K17" s="181" t="s">
        <v>101</v>
      </c>
      <c r="L17" s="256">
        <v>47</v>
      </c>
      <c r="M17" s="181">
        <v>0</v>
      </c>
      <c r="N17" s="181">
        <v>1</v>
      </c>
      <c r="O17" s="181">
        <v>0</v>
      </c>
      <c r="P17" s="282"/>
      <c r="Q17" s="282"/>
      <c r="R17" s="282"/>
    </row>
    <row r="18" spans="1:18" s="69" customFormat="1" ht="60">
      <c r="A18" s="181" t="s">
        <v>44</v>
      </c>
      <c r="B18" s="181" t="s">
        <v>45</v>
      </c>
      <c r="C18" s="181" t="s">
        <v>46</v>
      </c>
      <c r="D18" s="181" t="s">
        <v>102</v>
      </c>
      <c r="E18" s="187">
        <v>12</v>
      </c>
      <c r="F18" s="256">
        <v>0.18263054988807301</v>
      </c>
      <c r="G18" s="181">
        <v>1</v>
      </c>
      <c r="H18" s="309">
        <v>42623</v>
      </c>
      <c r="I18" s="186" t="s">
        <v>103</v>
      </c>
      <c r="J18" s="186">
        <v>0</v>
      </c>
      <c r="K18" s="181" t="s">
        <v>104</v>
      </c>
      <c r="L18" s="256">
        <v>54</v>
      </c>
      <c r="M18" s="181">
        <v>0</v>
      </c>
      <c r="N18" s="181">
        <v>1</v>
      </c>
      <c r="O18" s="181">
        <v>4</v>
      </c>
      <c r="P18" s="282"/>
      <c r="Q18" s="282"/>
      <c r="R18" s="282"/>
    </row>
    <row r="19" spans="1:18" s="69" customFormat="1" ht="46" customHeight="1">
      <c r="A19" s="181" t="s">
        <v>44</v>
      </c>
      <c r="B19" s="181" t="s">
        <v>45</v>
      </c>
      <c r="C19" s="181" t="s">
        <v>46</v>
      </c>
      <c r="D19" s="181" t="s">
        <v>105</v>
      </c>
      <c r="E19" s="187">
        <v>28</v>
      </c>
      <c r="F19" s="256">
        <v>0.13814528019334599</v>
      </c>
      <c r="G19" s="181">
        <v>1</v>
      </c>
      <c r="H19" s="309">
        <v>42621</v>
      </c>
      <c r="I19" s="186" t="s">
        <v>106</v>
      </c>
      <c r="J19" s="186">
        <v>0</v>
      </c>
      <c r="K19" s="181" t="s">
        <v>104</v>
      </c>
      <c r="L19" s="256">
        <v>54</v>
      </c>
      <c r="M19" s="181">
        <v>2</v>
      </c>
      <c r="N19" s="181">
        <v>1</v>
      </c>
      <c r="O19" s="181">
        <v>6</v>
      </c>
      <c r="P19" s="282"/>
      <c r="Q19" s="282"/>
      <c r="R19" s="282"/>
    </row>
    <row r="20" spans="1:18" s="69" customFormat="1" ht="45">
      <c r="A20" s="181" t="s">
        <v>44</v>
      </c>
      <c r="B20" s="181" t="s">
        <v>45</v>
      </c>
      <c r="C20" s="181" t="s">
        <v>46</v>
      </c>
      <c r="D20" s="181" t="s">
        <v>107</v>
      </c>
      <c r="E20" s="187">
        <v>21</v>
      </c>
      <c r="F20" s="256">
        <v>0.33586551846988799</v>
      </c>
      <c r="G20" s="181">
        <v>1</v>
      </c>
      <c r="H20" s="309">
        <v>42621</v>
      </c>
      <c r="I20" s="186" t="s">
        <v>108</v>
      </c>
      <c r="J20" s="186">
        <v>0</v>
      </c>
      <c r="K20" s="181" t="s">
        <v>104</v>
      </c>
      <c r="L20" s="256">
        <v>54</v>
      </c>
      <c r="M20" s="181">
        <v>0</v>
      </c>
      <c r="N20" s="181">
        <v>1</v>
      </c>
      <c r="O20" s="181">
        <v>6</v>
      </c>
      <c r="P20" s="282"/>
      <c r="Q20" s="282"/>
      <c r="R20" s="282"/>
    </row>
    <row r="21" spans="1:18" s="69" customFormat="1" ht="45">
      <c r="A21" s="181" t="s">
        <v>44</v>
      </c>
      <c r="B21" s="181" t="s">
        <v>59</v>
      </c>
      <c r="C21" s="181" t="s">
        <v>46</v>
      </c>
      <c r="D21" s="181" t="s">
        <v>109</v>
      </c>
      <c r="E21" s="187">
        <v>30</v>
      </c>
      <c r="F21" s="256">
        <v>0.66888578427563605</v>
      </c>
      <c r="G21" s="181">
        <v>1</v>
      </c>
      <c r="H21" s="309">
        <v>42621</v>
      </c>
      <c r="I21" s="186" t="s">
        <v>110</v>
      </c>
      <c r="J21" s="186">
        <v>0</v>
      </c>
      <c r="K21" s="181" t="s">
        <v>104</v>
      </c>
      <c r="L21" s="256">
        <v>54</v>
      </c>
      <c r="M21" s="181">
        <v>0</v>
      </c>
      <c r="N21" s="181">
        <v>1</v>
      </c>
      <c r="O21" s="181">
        <v>6</v>
      </c>
      <c r="P21" s="282"/>
      <c r="Q21" s="282"/>
      <c r="R21" s="282"/>
    </row>
    <row r="22" spans="1:18" s="69" customFormat="1" ht="45" customHeight="1">
      <c r="A22" s="181" t="s">
        <v>44</v>
      </c>
      <c r="B22" s="181" t="s">
        <v>59</v>
      </c>
      <c r="C22" s="181" t="s">
        <v>46</v>
      </c>
      <c r="D22" s="181" t="s">
        <v>111</v>
      </c>
      <c r="E22" s="187">
        <v>41</v>
      </c>
      <c r="F22" s="256">
        <v>9.5100265036714302E-2</v>
      </c>
      <c r="G22" s="181">
        <v>1</v>
      </c>
      <c r="H22" s="309">
        <v>42621</v>
      </c>
      <c r="I22" s="186" t="s">
        <v>112</v>
      </c>
      <c r="J22" s="186">
        <v>0</v>
      </c>
      <c r="K22" s="181" t="s">
        <v>104</v>
      </c>
      <c r="L22" s="256">
        <v>54</v>
      </c>
      <c r="M22" s="181">
        <v>0</v>
      </c>
      <c r="N22" s="181">
        <v>1</v>
      </c>
      <c r="O22" s="181">
        <v>6</v>
      </c>
      <c r="P22" s="282"/>
      <c r="Q22" s="282"/>
      <c r="R22" s="282"/>
    </row>
    <row r="23" spans="1:18" s="69" customFormat="1" ht="45">
      <c r="A23" s="181" t="s">
        <v>44</v>
      </c>
      <c r="B23" s="181" t="s">
        <v>59</v>
      </c>
      <c r="C23" s="181" t="s">
        <v>46</v>
      </c>
      <c r="D23" s="181" t="s">
        <v>113</v>
      </c>
      <c r="E23" s="187">
        <v>27</v>
      </c>
      <c r="F23" s="256">
        <v>0.57860834454473398</v>
      </c>
      <c r="G23" s="181">
        <v>1</v>
      </c>
      <c r="H23" s="309">
        <v>42621</v>
      </c>
      <c r="I23" s="186" t="s">
        <v>114</v>
      </c>
      <c r="J23" s="186">
        <v>0</v>
      </c>
      <c r="K23" s="186" t="s">
        <v>104</v>
      </c>
      <c r="L23" s="256">
        <v>54</v>
      </c>
      <c r="M23" s="181">
        <v>0</v>
      </c>
      <c r="N23" s="181">
        <v>1</v>
      </c>
      <c r="O23" s="181">
        <v>6</v>
      </c>
      <c r="P23" s="282">
        <v>0</v>
      </c>
      <c r="Q23" s="282"/>
      <c r="R23" s="282"/>
    </row>
    <row r="24" spans="1:18" s="69" customFormat="1" ht="60" hidden="1">
      <c r="A24" s="181" t="s">
        <v>115</v>
      </c>
      <c r="B24" s="181" t="s">
        <v>45</v>
      </c>
      <c r="C24" s="181" t="s">
        <v>80</v>
      </c>
      <c r="D24" s="186" t="s">
        <v>116</v>
      </c>
      <c r="E24" s="187">
        <v>64</v>
      </c>
      <c r="F24" s="256">
        <v>3.4386371784278502E-4</v>
      </c>
      <c r="G24" s="181">
        <v>1</v>
      </c>
      <c r="H24" s="309">
        <v>43780</v>
      </c>
      <c r="I24" s="181" t="s">
        <v>117</v>
      </c>
      <c r="J24" s="181">
        <v>0</v>
      </c>
      <c r="K24" s="181" t="s">
        <v>118</v>
      </c>
      <c r="L24" s="256">
        <v>50</v>
      </c>
      <c r="M24" s="181">
        <v>0</v>
      </c>
      <c r="N24" s="181">
        <v>1</v>
      </c>
      <c r="O24" s="181">
        <v>1</v>
      </c>
      <c r="P24" s="282">
        <f>AVERAGE(M24:M41)</f>
        <v>0.33333333333333331</v>
      </c>
      <c r="Q24" s="282">
        <f>AVERAGE(N24:N41)</f>
        <v>1</v>
      </c>
      <c r="R24" s="282">
        <f>AVERAGE(O24:O41)</f>
        <v>5.2777777777777777</v>
      </c>
    </row>
    <row r="25" spans="1:18" s="69" customFormat="1" ht="63" hidden="1" customHeight="1">
      <c r="A25" s="181" t="s">
        <v>115</v>
      </c>
      <c r="B25" s="181" t="s">
        <v>119</v>
      </c>
      <c r="C25" s="181" t="s">
        <v>46</v>
      </c>
      <c r="D25" s="311" t="s">
        <v>120</v>
      </c>
      <c r="E25" s="187">
        <v>144</v>
      </c>
      <c r="F25" s="256">
        <v>0.74884229608998698</v>
      </c>
      <c r="G25" s="181">
        <v>1</v>
      </c>
      <c r="H25" s="309">
        <v>43267</v>
      </c>
      <c r="I25" s="186" t="s">
        <v>121</v>
      </c>
      <c r="J25" s="186">
        <v>1</v>
      </c>
      <c r="K25" s="181" t="s">
        <v>122</v>
      </c>
      <c r="L25" s="256">
        <v>166</v>
      </c>
      <c r="M25" s="181">
        <v>2</v>
      </c>
      <c r="N25" s="181">
        <v>1</v>
      </c>
      <c r="O25" s="181">
        <v>5</v>
      </c>
      <c r="P25" s="282"/>
      <c r="Q25" s="282"/>
      <c r="R25" s="282"/>
    </row>
    <row r="26" spans="1:18" s="69" customFormat="1" ht="60" hidden="1">
      <c r="A26" s="181" t="s">
        <v>115</v>
      </c>
      <c r="B26" s="181" t="s">
        <v>45</v>
      </c>
      <c r="C26" s="181" t="s">
        <v>80</v>
      </c>
      <c r="D26" s="181" t="s">
        <v>123</v>
      </c>
      <c r="E26" s="187">
        <v>84</v>
      </c>
      <c r="F26" s="256">
        <v>1.7157883738083399E-2</v>
      </c>
      <c r="G26" s="181">
        <v>1</v>
      </c>
      <c r="H26" s="309">
        <v>43255</v>
      </c>
      <c r="I26" s="181" t="s">
        <v>124</v>
      </c>
      <c r="J26" s="181">
        <v>0</v>
      </c>
      <c r="K26" s="181" t="s">
        <v>125</v>
      </c>
      <c r="L26" s="256">
        <v>82</v>
      </c>
      <c r="M26" s="181">
        <v>0</v>
      </c>
      <c r="N26" s="181">
        <v>1</v>
      </c>
      <c r="O26" s="181">
        <v>2</v>
      </c>
      <c r="P26" s="282"/>
      <c r="Q26" s="282"/>
      <c r="R26" s="282"/>
    </row>
    <row r="27" spans="1:18" s="69" customFormat="1" ht="120" hidden="1">
      <c r="A27" s="181" t="s">
        <v>115</v>
      </c>
      <c r="B27" s="181" t="s">
        <v>45</v>
      </c>
      <c r="C27" s="181" t="s">
        <v>46</v>
      </c>
      <c r="D27" s="186" t="s">
        <v>126</v>
      </c>
      <c r="E27" s="187">
        <v>166</v>
      </c>
      <c r="F27" s="256">
        <v>2.2121083396164899E-6</v>
      </c>
      <c r="G27" s="181">
        <v>1</v>
      </c>
      <c r="H27" s="309">
        <v>43206</v>
      </c>
      <c r="I27" s="186" t="s">
        <v>127</v>
      </c>
      <c r="J27" s="186">
        <v>0</v>
      </c>
      <c r="K27" s="181" t="s">
        <v>128</v>
      </c>
      <c r="L27" s="256">
        <v>169</v>
      </c>
      <c r="M27" s="181">
        <v>0</v>
      </c>
      <c r="N27" s="181">
        <v>1</v>
      </c>
      <c r="O27" s="181">
        <v>2</v>
      </c>
      <c r="P27" s="282"/>
      <c r="Q27" s="282"/>
      <c r="R27" s="282"/>
    </row>
    <row r="28" spans="1:18" s="69" customFormat="1" ht="63" hidden="1" customHeight="1">
      <c r="A28" s="181" t="s">
        <v>115</v>
      </c>
      <c r="B28" s="181" t="s">
        <v>45</v>
      </c>
      <c r="C28" s="181" t="s">
        <v>46</v>
      </c>
      <c r="D28" s="186" t="s">
        <v>129</v>
      </c>
      <c r="E28" s="187">
        <v>160</v>
      </c>
      <c r="F28" s="256">
        <v>5.5463902992602996E-7</v>
      </c>
      <c r="G28" s="181">
        <v>1</v>
      </c>
      <c r="H28" s="309">
        <v>43191</v>
      </c>
      <c r="I28" s="181" t="s">
        <v>130</v>
      </c>
      <c r="J28" s="181">
        <v>0</v>
      </c>
      <c r="K28" s="181" t="s">
        <v>131</v>
      </c>
      <c r="L28" s="256">
        <v>131</v>
      </c>
      <c r="M28" s="181">
        <v>0</v>
      </c>
      <c r="N28" s="181">
        <v>1</v>
      </c>
      <c r="O28" s="181">
        <v>3</v>
      </c>
      <c r="P28" s="282"/>
      <c r="Q28" s="282"/>
      <c r="R28" s="282"/>
    </row>
    <row r="29" spans="1:18" s="69" customFormat="1" ht="60" hidden="1">
      <c r="A29" s="181" t="s">
        <v>115</v>
      </c>
      <c r="B29" s="181" t="s">
        <v>59</v>
      </c>
      <c r="C29" s="181" t="s">
        <v>46</v>
      </c>
      <c r="D29" s="186" t="s">
        <v>132</v>
      </c>
      <c r="E29" s="187">
        <v>81</v>
      </c>
      <c r="F29" s="256">
        <v>0.280950657366279</v>
      </c>
      <c r="G29" s="181">
        <v>1</v>
      </c>
      <c r="H29" s="309">
        <v>43185</v>
      </c>
      <c r="I29" s="186" t="s">
        <v>133</v>
      </c>
      <c r="J29" s="186">
        <v>0</v>
      </c>
      <c r="K29" s="181" t="s">
        <v>134</v>
      </c>
      <c r="L29" s="256">
        <v>89</v>
      </c>
      <c r="M29" s="181">
        <v>0</v>
      </c>
      <c r="N29" s="181">
        <v>1</v>
      </c>
      <c r="O29" s="181">
        <v>1</v>
      </c>
      <c r="P29" s="282"/>
      <c r="Q29" s="282"/>
      <c r="R29" s="282"/>
    </row>
    <row r="30" spans="1:18" s="69" customFormat="1" ht="135" hidden="1">
      <c r="A30" s="181" t="s">
        <v>115</v>
      </c>
      <c r="B30" s="181" t="s">
        <v>45</v>
      </c>
      <c r="C30" s="181" t="s">
        <v>46</v>
      </c>
      <c r="D30" s="186" t="s">
        <v>135</v>
      </c>
      <c r="E30" s="187">
        <v>242</v>
      </c>
      <c r="F30" s="256">
        <v>0.80005350769811401</v>
      </c>
      <c r="G30" s="181">
        <v>1</v>
      </c>
      <c r="H30" s="309">
        <v>43158</v>
      </c>
      <c r="I30" s="181" t="s">
        <v>136</v>
      </c>
      <c r="J30" s="181">
        <v>0</v>
      </c>
      <c r="K30" s="181" t="s">
        <v>137</v>
      </c>
      <c r="L30" s="256">
        <v>116</v>
      </c>
      <c r="M30" s="181">
        <v>0</v>
      </c>
      <c r="N30" s="181">
        <v>1</v>
      </c>
      <c r="O30" s="181">
        <v>3</v>
      </c>
      <c r="P30" s="282"/>
      <c r="Q30" s="282"/>
      <c r="R30" s="282"/>
    </row>
    <row r="31" spans="1:18" s="69" customFormat="1" ht="60" hidden="1">
      <c r="A31" s="181" t="s">
        <v>115</v>
      </c>
      <c r="B31" s="181" t="s">
        <v>59</v>
      </c>
      <c r="C31" s="181" t="s">
        <v>46</v>
      </c>
      <c r="D31" s="181" t="s">
        <v>138</v>
      </c>
      <c r="E31" s="187">
        <v>30</v>
      </c>
      <c r="F31" s="256">
        <v>5.7547793456569399E-5</v>
      </c>
      <c r="G31" s="181">
        <v>1</v>
      </c>
      <c r="H31" s="309">
        <v>43118</v>
      </c>
      <c r="I31" s="181" t="s">
        <v>139</v>
      </c>
      <c r="J31" s="181">
        <v>1</v>
      </c>
      <c r="K31" s="181" t="s">
        <v>140</v>
      </c>
      <c r="L31" s="256">
        <v>84</v>
      </c>
      <c r="M31" s="181">
        <v>0</v>
      </c>
      <c r="N31" s="181">
        <v>1</v>
      </c>
      <c r="O31" s="181">
        <v>4</v>
      </c>
      <c r="P31" s="282"/>
      <c r="Q31" s="282"/>
      <c r="R31" s="282"/>
    </row>
    <row r="32" spans="1:18" s="69" customFormat="1" ht="90" hidden="1">
      <c r="A32" s="181" t="s">
        <v>115</v>
      </c>
      <c r="B32" s="181" t="s">
        <v>119</v>
      </c>
      <c r="C32" s="181" t="s">
        <v>46</v>
      </c>
      <c r="D32" s="186" t="s">
        <v>141</v>
      </c>
      <c r="E32" s="187">
        <v>168</v>
      </c>
      <c r="F32" s="256">
        <v>3.2160683239834702E-4</v>
      </c>
      <c r="G32" s="181">
        <v>1</v>
      </c>
      <c r="H32" s="309">
        <v>43114</v>
      </c>
      <c r="I32" s="186" t="s">
        <v>142</v>
      </c>
      <c r="J32" s="186">
        <v>1</v>
      </c>
      <c r="K32" s="186" t="s">
        <v>143</v>
      </c>
      <c r="L32" s="256">
        <v>83</v>
      </c>
      <c r="M32" s="181">
        <v>1</v>
      </c>
      <c r="N32" s="181">
        <v>1</v>
      </c>
      <c r="O32" s="181">
        <v>2</v>
      </c>
      <c r="P32" s="282"/>
      <c r="Q32" s="282"/>
      <c r="R32" s="282"/>
    </row>
    <row r="33" spans="1:18" s="69" customFormat="1" ht="105" hidden="1">
      <c r="A33" s="181" t="s">
        <v>115</v>
      </c>
      <c r="B33" s="181" t="s">
        <v>45</v>
      </c>
      <c r="C33" s="181" t="s">
        <v>46</v>
      </c>
      <c r="D33" s="186" t="s">
        <v>144</v>
      </c>
      <c r="E33" s="187">
        <v>152</v>
      </c>
      <c r="F33" s="256">
        <v>3.4010565153365098E-2</v>
      </c>
      <c r="G33" s="181">
        <v>1</v>
      </c>
      <c r="H33" s="309">
        <v>43103</v>
      </c>
      <c r="I33" s="181" t="s">
        <v>145</v>
      </c>
      <c r="J33" s="181">
        <v>1</v>
      </c>
      <c r="K33" s="181" t="s">
        <v>146</v>
      </c>
      <c r="L33" s="256">
        <v>139</v>
      </c>
      <c r="M33" s="181">
        <v>0</v>
      </c>
      <c r="N33" s="181">
        <v>1</v>
      </c>
      <c r="O33" s="181">
        <v>5</v>
      </c>
      <c r="P33" s="282"/>
      <c r="Q33" s="282"/>
      <c r="R33" s="282"/>
    </row>
    <row r="34" spans="1:18" s="69" customFormat="1" ht="105" hidden="1">
      <c r="A34" s="181" t="s">
        <v>115</v>
      </c>
      <c r="B34" s="181" t="s">
        <v>59</v>
      </c>
      <c r="C34" s="181" t="s">
        <v>46</v>
      </c>
      <c r="D34" s="186" t="s">
        <v>147</v>
      </c>
      <c r="E34" s="187">
        <v>140</v>
      </c>
      <c r="F34" s="256">
        <v>7.1176378758531902E-2</v>
      </c>
      <c r="G34" s="181">
        <v>1</v>
      </c>
      <c r="H34" s="309">
        <v>43102</v>
      </c>
      <c r="I34" s="181" t="s">
        <v>148</v>
      </c>
      <c r="J34" s="181">
        <v>1</v>
      </c>
      <c r="K34" s="181" t="s">
        <v>149</v>
      </c>
      <c r="L34" s="256">
        <v>98</v>
      </c>
      <c r="M34" s="181">
        <v>0</v>
      </c>
      <c r="N34" s="181">
        <v>1</v>
      </c>
      <c r="O34" s="181">
        <v>2</v>
      </c>
      <c r="P34" s="282"/>
      <c r="Q34" s="282"/>
      <c r="R34" s="282"/>
    </row>
    <row r="35" spans="1:18" s="69" customFormat="1" ht="60" hidden="1">
      <c r="A35" s="181" t="s">
        <v>115</v>
      </c>
      <c r="B35" s="181" t="s">
        <v>59</v>
      </c>
      <c r="C35" s="181" t="s">
        <v>46</v>
      </c>
      <c r="D35" s="186" t="s">
        <v>150</v>
      </c>
      <c r="E35" s="187">
        <v>46</v>
      </c>
      <c r="F35" s="256">
        <v>3.6236201437487597E-2</v>
      </c>
      <c r="G35" s="181">
        <v>1</v>
      </c>
      <c r="H35" s="308">
        <v>43079</v>
      </c>
      <c r="I35" s="181" t="s">
        <v>151</v>
      </c>
      <c r="J35" s="181">
        <v>1</v>
      </c>
      <c r="K35" s="181" t="s">
        <v>152</v>
      </c>
      <c r="L35" s="256">
        <v>81</v>
      </c>
      <c r="M35" s="181">
        <v>0</v>
      </c>
      <c r="N35" s="181">
        <v>1</v>
      </c>
      <c r="O35" s="181">
        <v>2</v>
      </c>
      <c r="P35" s="282"/>
      <c r="Q35" s="282"/>
      <c r="R35" s="282"/>
    </row>
    <row r="36" spans="1:18" s="69" customFormat="1" ht="75" hidden="1">
      <c r="A36" s="181" t="s">
        <v>115</v>
      </c>
      <c r="B36" s="181" t="s">
        <v>59</v>
      </c>
      <c r="C36" s="181" t="s">
        <v>46</v>
      </c>
      <c r="D36" s="186" t="s">
        <v>150</v>
      </c>
      <c r="E36" s="187">
        <v>21</v>
      </c>
      <c r="F36" s="256">
        <v>6.7806448746156794E-2</v>
      </c>
      <c r="G36" s="181">
        <v>1</v>
      </c>
      <c r="H36" s="308">
        <v>43076</v>
      </c>
      <c r="I36" s="181" t="s">
        <v>154</v>
      </c>
      <c r="J36" s="181">
        <v>1</v>
      </c>
      <c r="K36" s="181" t="s">
        <v>155</v>
      </c>
      <c r="L36" s="256">
        <v>99</v>
      </c>
      <c r="M36" s="181">
        <v>0</v>
      </c>
      <c r="N36" s="181">
        <v>1</v>
      </c>
      <c r="O36" s="181">
        <v>1</v>
      </c>
      <c r="P36" s="282"/>
      <c r="Q36" s="282"/>
      <c r="R36" s="282"/>
    </row>
    <row r="37" spans="1:18" s="69" customFormat="1" ht="120" hidden="1">
      <c r="A37" s="181" t="s">
        <v>115</v>
      </c>
      <c r="B37" s="181" t="s">
        <v>45</v>
      </c>
      <c r="C37" s="181" t="s">
        <v>46</v>
      </c>
      <c r="D37" s="186" t="s">
        <v>156</v>
      </c>
      <c r="E37" s="187">
        <v>116</v>
      </c>
      <c r="F37" s="256">
        <v>0.73812989787273398</v>
      </c>
      <c r="G37" s="181">
        <v>1</v>
      </c>
      <c r="H37" s="279">
        <v>43066</v>
      </c>
      <c r="I37" s="181" t="s">
        <v>157</v>
      </c>
      <c r="J37" s="181">
        <v>1</v>
      </c>
      <c r="K37" s="181" t="s">
        <v>158</v>
      </c>
      <c r="L37" s="256">
        <v>177</v>
      </c>
      <c r="M37" s="181">
        <v>0</v>
      </c>
      <c r="N37" s="181">
        <v>1</v>
      </c>
      <c r="O37" s="181">
        <v>11</v>
      </c>
      <c r="P37" s="282"/>
      <c r="Q37" s="282"/>
      <c r="R37" s="282"/>
    </row>
    <row r="38" spans="1:18" s="69" customFormat="1" ht="120" hidden="1">
      <c r="A38" s="181" t="s">
        <v>115</v>
      </c>
      <c r="B38" s="181" t="s">
        <v>45</v>
      </c>
      <c r="C38" s="181" t="s">
        <v>80</v>
      </c>
      <c r="D38" s="186" t="s">
        <v>159</v>
      </c>
      <c r="E38" s="187">
        <v>50</v>
      </c>
      <c r="F38" s="256">
        <v>0.97193257358908103</v>
      </c>
      <c r="G38" s="181">
        <v>1</v>
      </c>
      <c r="H38" s="279">
        <v>43066</v>
      </c>
      <c r="I38" s="186" t="s">
        <v>160</v>
      </c>
      <c r="J38" s="186">
        <v>0</v>
      </c>
      <c r="K38" s="181" t="s">
        <v>158</v>
      </c>
      <c r="L38" s="256">
        <v>177</v>
      </c>
      <c r="M38" s="181">
        <v>0</v>
      </c>
      <c r="N38" s="181">
        <v>1</v>
      </c>
      <c r="O38" s="181">
        <v>11</v>
      </c>
      <c r="P38" s="282"/>
      <c r="Q38" s="282"/>
      <c r="R38" s="282"/>
    </row>
    <row r="39" spans="1:18" s="69" customFormat="1" ht="120" hidden="1">
      <c r="A39" s="181" t="s">
        <v>115</v>
      </c>
      <c r="B39" s="181" t="s">
        <v>45</v>
      </c>
      <c r="C39" s="181" t="s">
        <v>80</v>
      </c>
      <c r="D39" s="186" t="s">
        <v>161</v>
      </c>
      <c r="E39" s="187">
        <v>37</v>
      </c>
      <c r="F39" s="256">
        <v>0.93956345889675397</v>
      </c>
      <c r="G39" s="181">
        <v>1</v>
      </c>
      <c r="H39" s="279">
        <v>43064</v>
      </c>
      <c r="I39" s="258" t="s">
        <v>162</v>
      </c>
      <c r="J39" s="258">
        <v>0</v>
      </c>
      <c r="K39" s="181" t="s">
        <v>163</v>
      </c>
      <c r="L39" s="256">
        <v>179</v>
      </c>
      <c r="M39" s="181">
        <v>0</v>
      </c>
      <c r="N39" s="181">
        <v>1</v>
      </c>
      <c r="O39" s="181">
        <v>4</v>
      </c>
      <c r="P39" s="282"/>
      <c r="Q39" s="282"/>
      <c r="R39" s="282"/>
    </row>
    <row r="40" spans="1:18" s="69" customFormat="1" ht="75" hidden="1">
      <c r="A40" s="181" t="s">
        <v>115</v>
      </c>
      <c r="B40" s="181" t="s">
        <v>45</v>
      </c>
      <c r="C40" s="181" t="s">
        <v>46</v>
      </c>
      <c r="D40" s="186" t="s">
        <v>164</v>
      </c>
      <c r="E40" s="187">
        <v>124</v>
      </c>
      <c r="F40" s="256">
        <v>3.6526355096100398E-6</v>
      </c>
      <c r="G40" s="181">
        <v>0</v>
      </c>
      <c r="H40" s="279">
        <v>42877</v>
      </c>
      <c r="I40" s="181" t="s">
        <v>165</v>
      </c>
      <c r="J40" s="181">
        <v>1</v>
      </c>
      <c r="K40" s="181" t="s">
        <v>166</v>
      </c>
      <c r="L40" s="256">
        <v>99</v>
      </c>
      <c r="M40" s="181">
        <v>2</v>
      </c>
      <c r="N40" s="181">
        <v>1</v>
      </c>
      <c r="O40" s="181">
        <v>24</v>
      </c>
      <c r="P40" s="282"/>
      <c r="Q40" s="282"/>
      <c r="R40" s="282"/>
    </row>
    <row r="41" spans="1:18" s="69" customFormat="1" ht="45" hidden="1">
      <c r="A41" s="181" t="s">
        <v>115</v>
      </c>
      <c r="B41" s="181" t="s">
        <v>45</v>
      </c>
      <c r="C41" s="181" t="s">
        <v>46</v>
      </c>
      <c r="D41" s="186" t="s">
        <v>167</v>
      </c>
      <c r="E41" s="187">
        <v>70</v>
      </c>
      <c r="F41" s="256">
        <v>0.74049533461038097</v>
      </c>
      <c r="G41" s="181">
        <v>1</v>
      </c>
      <c r="H41" s="279">
        <v>42734</v>
      </c>
      <c r="I41" s="186" t="s">
        <v>168</v>
      </c>
      <c r="J41" s="186">
        <v>1</v>
      </c>
      <c r="K41" s="312" t="s">
        <v>169</v>
      </c>
      <c r="L41" s="256">
        <v>40</v>
      </c>
      <c r="M41" s="181">
        <v>1</v>
      </c>
      <c r="N41" s="181">
        <v>1</v>
      </c>
      <c r="O41" s="181">
        <v>12</v>
      </c>
      <c r="P41" s="282">
        <v>0</v>
      </c>
      <c r="Q41" s="282"/>
      <c r="R41" s="282"/>
    </row>
    <row r="42" spans="1:18" s="69" customFormat="1" ht="75" hidden="1">
      <c r="A42" s="181" t="s">
        <v>170</v>
      </c>
      <c r="B42" s="181" t="s">
        <v>45</v>
      </c>
      <c r="C42" s="181" t="s">
        <v>46</v>
      </c>
      <c r="D42" s="186" t="s">
        <v>171</v>
      </c>
      <c r="E42" s="187">
        <v>98</v>
      </c>
      <c r="F42" s="256">
        <v>0.99821968697710495</v>
      </c>
      <c r="G42" s="181">
        <v>1</v>
      </c>
      <c r="H42" s="279">
        <v>43319</v>
      </c>
      <c r="I42" s="181" t="s">
        <v>172</v>
      </c>
      <c r="J42" s="181">
        <v>1</v>
      </c>
      <c r="K42" s="186" t="s">
        <v>173</v>
      </c>
      <c r="L42" s="256">
        <v>104</v>
      </c>
      <c r="M42" s="181">
        <v>1</v>
      </c>
      <c r="N42" s="181">
        <v>1</v>
      </c>
      <c r="O42" s="181">
        <v>9</v>
      </c>
      <c r="P42" s="282">
        <f>AVERAGE(M42:M57)</f>
        <v>0.5</v>
      </c>
      <c r="Q42" s="282">
        <f>AVERAGE(N42:N57)</f>
        <v>1</v>
      </c>
      <c r="R42" s="282">
        <f>AVERAGE(O42:O57)</f>
        <v>7.1875</v>
      </c>
    </row>
    <row r="43" spans="1:18" s="69" customFormat="1" ht="60" hidden="1">
      <c r="A43" s="181" t="s">
        <v>170</v>
      </c>
      <c r="B43" s="181" t="s">
        <v>45</v>
      </c>
      <c r="C43" s="181" t="s">
        <v>80</v>
      </c>
      <c r="D43" s="258" t="s">
        <v>174</v>
      </c>
      <c r="E43" s="187">
        <v>62</v>
      </c>
      <c r="F43" s="256">
        <v>3.8807513990102302E-6</v>
      </c>
      <c r="G43" s="181">
        <v>1</v>
      </c>
      <c r="H43" s="279">
        <v>43256</v>
      </c>
      <c r="I43" s="181" t="s">
        <v>175</v>
      </c>
      <c r="J43" s="181">
        <v>0</v>
      </c>
      <c r="K43" s="181" t="s">
        <v>176</v>
      </c>
      <c r="L43" s="256">
        <v>89</v>
      </c>
      <c r="M43" s="181">
        <v>2</v>
      </c>
      <c r="N43" s="181">
        <v>1</v>
      </c>
      <c r="O43" s="181">
        <v>8</v>
      </c>
      <c r="P43" s="282"/>
      <c r="Q43" s="282"/>
      <c r="R43" s="282"/>
    </row>
    <row r="44" spans="1:18" s="69" customFormat="1" ht="120" hidden="1">
      <c r="A44" s="181" t="s">
        <v>170</v>
      </c>
      <c r="B44" s="181" t="s">
        <v>45</v>
      </c>
      <c r="C44" s="181" t="s">
        <v>80</v>
      </c>
      <c r="D44" s="186" t="s">
        <v>177</v>
      </c>
      <c r="E44" s="187">
        <v>112</v>
      </c>
      <c r="F44" s="256">
        <v>2.3868041821972801E-5</v>
      </c>
      <c r="G44" s="181">
        <v>1</v>
      </c>
      <c r="H44" s="279">
        <v>43238</v>
      </c>
      <c r="I44" s="181" t="s">
        <v>178</v>
      </c>
      <c r="J44" s="181">
        <v>1</v>
      </c>
      <c r="K44" s="181" t="s">
        <v>179</v>
      </c>
      <c r="L44" s="256">
        <v>158</v>
      </c>
      <c r="M44" s="181">
        <v>0</v>
      </c>
      <c r="N44" s="181">
        <v>1</v>
      </c>
      <c r="O44" s="181">
        <v>4</v>
      </c>
      <c r="P44" s="282"/>
      <c r="Q44" s="282"/>
      <c r="R44" s="282"/>
    </row>
    <row r="45" spans="1:18" s="69" customFormat="1" ht="180" hidden="1">
      <c r="A45" s="181" t="s">
        <v>170</v>
      </c>
      <c r="B45" s="181" t="s">
        <v>45</v>
      </c>
      <c r="C45" s="181" t="s">
        <v>80</v>
      </c>
      <c r="D45" s="258" t="s">
        <v>180</v>
      </c>
      <c r="E45" s="187">
        <v>53</v>
      </c>
      <c r="F45" s="256">
        <v>7.0002701842541995E-5</v>
      </c>
      <c r="G45" s="181">
        <v>1</v>
      </c>
      <c r="H45" s="279">
        <v>43230</v>
      </c>
      <c r="I45" s="181" t="s">
        <v>181</v>
      </c>
      <c r="J45" s="181">
        <v>0</v>
      </c>
      <c r="K45" s="181" t="s">
        <v>182</v>
      </c>
      <c r="L45" s="256">
        <v>254</v>
      </c>
      <c r="M45" s="181">
        <v>0</v>
      </c>
      <c r="N45" s="181">
        <v>1</v>
      </c>
      <c r="O45" s="181">
        <v>13</v>
      </c>
      <c r="P45" s="282"/>
      <c r="Q45" s="282"/>
      <c r="R45" s="282"/>
    </row>
    <row r="46" spans="1:18" s="69" customFormat="1" ht="135" hidden="1">
      <c r="A46" s="181" t="s">
        <v>170</v>
      </c>
      <c r="B46" s="181" t="s">
        <v>45</v>
      </c>
      <c r="C46" s="181" t="s">
        <v>80</v>
      </c>
      <c r="D46" s="258" t="s">
        <v>183</v>
      </c>
      <c r="E46" s="187">
        <v>239</v>
      </c>
      <c r="F46" s="256">
        <v>0.31733637035029</v>
      </c>
      <c r="G46" s="181">
        <v>1</v>
      </c>
      <c r="H46" s="279">
        <v>43226</v>
      </c>
      <c r="I46" s="181" t="s">
        <v>184</v>
      </c>
      <c r="J46" s="181">
        <v>1</v>
      </c>
      <c r="K46" s="181" t="s">
        <v>185</v>
      </c>
      <c r="L46" s="256">
        <v>101</v>
      </c>
      <c r="M46" s="181">
        <v>0</v>
      </c>
      <c r="N46" s="181">
        <v>1</v>
      </c>
      <c r="O46" s="181">
        <v>8</v>
      </c>
      <c r="P46" s="282"/>
      <c r="Q46" s="282"/>
      <c r="R46" s="282"/>
    </row>
    <row r="47" spans="1:18" s="69" customFormat="1" ht="75" hidden="1">
      <c r="A47" s="181" t="s">
        <v>170</v>
      </c>
      <c r="B47" s="181" t="s">
        <v>59</v>
      </c>
      <c r="C47" s="181" t="s">
        <v>80</v>
      </c>
      <c r="D47" s="258" t="s">
        <v>186</v>
      </c>
      <c r="E47" s="187">
        <v>79</v>
      </c>
      <c r="F47" s="256">
        <v>0.95682268529248704</v>
      </c>
      <c r="G47" s="181">
        <v>1</v>
      </c>
      <c r="H47" s="279">
        <v>43202</v>
      </c>
      <c r="I47" s="181" t="s">
        <v>187</v>
      </c>
      <c r="J47" s="181">
        <v>1</v>
      </c>
      <c r="K47" s="181" t="s">
        <v>188</v>
      </c>
      <c r="L47" s="256">
        <v>95</v>
      </c>
      <c r="M47" s="181">
        <v>1</v>
      </c>
      <c r="N47" s="181">
        <v>1</v>
      </c>
      <c r="O47" s="181">
        <v>4</v>
      </c>
      <c r="P47" s="282"/>
      <c r="Q47" s="282"/>
      <c r="R47" s="282"/>
    </row>
    <row r="48" spans="1:18" s="69" customFormat="1" ht="60" hidden="1">
      <c r="A48" s="181" t="s">
        <v>170</v>
      </c>
      <c r="B48" s="181" t="s">
        <v>59</v>
      </c>
      <c r="C48" s="181" t="s">
        <v>80</v>
      </c>
      <c r="D48" s="181" t="s">
        <v>189</v>
      </c>
      <c r="E48" s="187">
        <v>85</v>
      </c>
      <c r="F48" s="256">
        <v>0.99957809179387302</v>
      </c>
      <c r="G48" s="181">
        <v>1</v>
      </c>
      <c r="H48" s="308">
        <v>43170</v>
      </c>
      <c r="I48" s="181" t="s">
        <v>190</v>
      </c>
      <c r="J48" s="181">
        <v>1</v>
      </c>
      <c r="K48" s="181" t="s">
        <v>191</v>
      </c>
      <c r="L48" s="256">
        <v>93</v>
      </c>
      <c r="M48" s="181">
        <v>0</v>
      </c>
      <c r="N48" s="181">
        <v>1</v>
      </c>
      <c r="O48" s="181">
        <v>3</v>
      </c>
      <c r="P48" s="282"/>
      <c r="Q48" s="282"/>
      <c r="R48" s="282"/>
    </row>
    <row r="49" spans="1:18" s="69" customFormat="1" ht="135" hidden="1">
      <c r="A49" s="181" t="s">
        <v>170</v>
      </c>
      <c r="B49" s="181" t="s">
        <v>45</v>
      </c>
      <c r="C49" s="181" t="s">
        <v>46</v>
      </c>
      <c r="D49" s="181" t="s">
        <v>192</v>
      </c>
      <c r="E49" s="187">
        <v>81</v>
      </c>
      <c r="F49" s="256">
        <v>5.6405313753060698E-9</v>
      </c>
      <c r="G49" s="181">
        <v>1</v>
      </c>
      <c r="H49" s="279">
        <v>43136</v>
      </c>
      <c r="I49" s="181" t="s">
        <v>193</v>
      </c>
      <c r="J49" s="181">
        <v>0</v>
      </c>
      <c r="K49" s="181" t="s">
        <v>194</v>
      </c>
      <c r="L49" s="256">
        <v>106</v>
      </c>
      <c r="M49" s="181">
        <v>1</v>
      </c>
      <c r="N49" s="181">
        <v>1</v>
      </c>
      <c r="O49" s="181">
        <v>1</v>
      </c>
      <c r="P49" s="282"/>
      <c r="Q49" s="282"/>
      <c r="R49" s="282"/>
    </row>
    <row r="50" spans="1:18" s="69" customFormat="1" ht="105" hidden="1">
      <c r="A50" s="181" t="s">
        <v>170</v>
      </c>
      <c r="B50" s="181" t="s">
        <v>45</v>
      </c>
      <c r="C50" s="181" t="s">
        <v>80</v>
      </c>
      <c r="D50" s="258" t="s">
        <v>195</v>
      </c>
      <c r="E50" s="187">
        <v>69</v>
      </c>
      <c r="F50" s="256">
        <v>2.8029772977295701E-2</v>
      </c>
      <c r="G50" s="181">
        <v>1</v>
      </c>
      <c r="H50" s="279">
        <v>43116</v>
      </c>
      <c r="I50" s="186" t="s">
        <v>196</v>
      </c>
      <c r="J50" s="186">
        <v>0</v>
      </c>
      <c r="K50" s="181" t="s">
        <v>4350</v>
      </c>
      <c r="L50" s="256">
        <v>140</v>
      </c>
      <c r="M50" s="181">
        <v>0</v>
      </c>
      <c r="N50" s="181">
        <v>1</v>
      </c>
      <c r="O50" s="181">
        <v>1</v>
      </c>
      <c r="P50" s="282"/>
      <c r="Q50" s="282"/>
      <c r="R50" s="282"/>
    </row>
    <row r="51" spans="1:18" s="69" customFormat="1" ht="105" hidden="1">
      <c r="A51" s="181" t="s">
        <v>170</v>
      </c>
      <c r="B51" s="181" t="s">
        <v>45</v>
      </c>
      <c r="C51" s="181" t="s">
        <v>46</v>
      </c>
      <c r="D51" s="186" t="s">
        <v>198</v>
      </c>
      <c r="E51" s="187">
        <v>32</v>
      </c>
      <c r="F51" s="256">
        <v>1.86658333286428E-2</v>
      </c>
      <c r="G51" s="181">
        <v>1</v>
      </c>
      <c r="H51" s="279">
        <v>43067</v>
      </c>
      <c r="I51" s="258" t="s">
        <v>198</v>
      </c>
      <c r="J51" s="258">
        <v>0</v>
      </c>
      <c r="K51" s="181" t="s">
        <v>199</v>
      </c>
      <c r="L51" s="256">
        <v>135</v>
      </c>
      <c r="M51" s="181">
        <v>0</v>
      </c>
      <c r="N51" s="181">
        <v>1</v>
      </c>
      <c r="O51" s="181">
        <v>2</v>
      </c>
      <c r="P51" s="282"/>
      <c r="Q51" s="282"/>
      <c r="R51" s="282"/>
    </row>
    <row r="52" spans="1:18" s="69" customFormat="1" ht="90" hidden="1">
      <c r="A52" s="181" t="s">
        <v>170</v>
      </c>
      <c r="B52" s="181" t="s">
        <v>45</v>
      </c>
      <c r="C52" s="181" t="s">
        <v>80</v>
      </c>
      <c r="D52" s="181" t="s">
        <v>200</v>
      </c>
      <c r="E52" s="187">
        <v>59</v>
      </c>
      <c r="F52" s="256">
        <v>2.29340850550486E-5</v>
      </c>
      <c r="G52" s="181">
        <v>1</v>
      </c>
      <c r="H52" s="279">
        <v>43048</v>
      </c>
      <c r="I52" s="181" t="s">
        <v>201</v>
      </c>
      <c r="J52" s="181">
        <v>0</v>
      </c>
      <c r="K52" s="181" t="s">
        <v>199</v>
      </c>
      <c r="L52" s="256">
        <v>135</v>
      </c>
      <c r="M52" s="181">
        <v>0</v>
      </c>
      <c r="N52" s="181">
        <v>1</v>
      </c>
      <c r="O52" s="181">
        <v>5</v>
      </c>
      <c r="P52" s="282"/>
      <c r="Q52" s="282"/>
      <c r="R52" s="282"/>
    </row>
    <row r="53" spans="1:18" s="69" customFormat="1" ht="165" hidden="1">
      <c r="A53" s="181" t="s">
        <v>170</v>
      </c>
      <c r="B53" s="181" t="s">
        <v>45</v>
      </c>
      <c r="C53" s="181" t="s">
        <v>46</v>
      </c>
      <c r="D53" s="186" t="s">
        <v>202</v>
      </c>
      <c r="E53" s="187">
        <v>286</v>
      </c>
      <c r="F53" s="256">
        <v>6.35811747695891E-4</v>
      </c>
      <c r="G53" s="181">
        <v>1</v>
      </c>
      <c r="H53" s="308">
        <v>42807</v>
      </c>
      <c r="I53" s="181" t="s">
        <v>203</v>
      </c>
      <c r="J53" s="181">
        <v>1</v>
      </c>
      <c r="K53" s="186" t="s">
        <v>204</v>
      </c>
      <c r="L53" s="256">
        <v>106</v>
      </c>
      <c r="M53" s="181">
        <v>0</v>
      </c>
      <c r="N53" s="181">
        <v>1</v>
      </c>
      <c r="O53" s="181">
        <v>7</v>
      </c>
      <c r="P53" s="282"/>
      <c r="Q53" s="282"/>
      <c r="R53" s="282"/>
    </row>
    <row r="54" spans="1:18" s="69" customFormat="1" ht="60" hidden="1">
      <c r="A54" s="181" t="s">
        <v>170</v>
      </c>
      <c r="B54" s="181" t="s">
        <v>45</v>
      </c>
      <c r="C54" s="181" t="s">
        <v>80</v>
      </c>
      <c r="D54" s="258" t="s">
        <v>205</v>
      </c>
      <c r="E54" s="187">
        <v>90</v>
      </c>
      <c r="F54" s="256">
        <v>4.0793980509712402E-4</v>
      </c>
      <c r="G54" s="181">
        <v>1</v>
      </c>
      <c r="H54" s="308">
        <v>42726</v>
      </c>
      <c r="I54" s="181" t="s">
        <v>206</v>
      </c>
      <c r="J54" s="181">
        <v>1</v>
      </c>
      <c r="K54" s="181" t="s">
        <v>207</v>
      </c>
      <c r="L54" s="256">
        <v>33</v>
      </c>
      <c r="M54" s="181">
        <v>0</v>
      </c>
      <c r="N54" s="181">
        <v>1</v>
      </c>
      <c r="O54" s="181">
        <v>14</v>
      </c>
      <c r="P54" s="282"/>
      <c r="Q54" s="282"/>
      <c r="R54" s="282"/>
    </row>
    <row r="55" spans="1:18" s="69" customFormat="1" ht="75" hidden="1">
      <c r="A55" s="181" t="s">
        <v>170</v>
      </c>
      <c r="B55" s="181" t="s">
        <v>45</v>
      </c>
      <c r="C55" s="181" t="s">
        <v>46</v>
      </c>
      <c r="D55" s="186" t="s">
        <v>208</v>
      </c>
      <c r="E55" s="187">
        <v>39</v>
      </c>
      <c r="F55" s="256">
        <v>3.30793028143261E-3</v>
      </c>
      <c r="G55" s="181">
        <v>1</v>
      </c>
      <c r="H55" s="308">
        <v>42692</v>
      </c>
      <c r="I55" s="181" t="s">
        <v>209</v>
      </c>
      <c r="J55" s="181">
        <v>0</v>
      </c>
      <c r="K55" s="186" t="s">
        <v>210</v>
      </c>
      <c r="L55" s="256">
        <v>51</v>
      </c>
      <c r="M55" s="181">
        <v>2</v>
      </c>
      <c r="N55" s="181">
        <v>1</v>
      </c>
      <c r="O55" s="181">
        <v>11</v>
      </c>
      <c r="P55" s="282"/>
      <c r="Q55" s="282"/>
      <c r="R55" s="282"/>
    </row>
    <row r="56" spans="1:18" s="69" customFormat="1" ht="270" hidden="1">
      <c r="A56" s="181" t="s">
        <v>170</v>
      </c>
      <c r="B56" s="181" t="s">
        <v>45</v>
      </c>
      <c r="C56" s="181" t="s">
        <v>46</v>
      </c>
      <c r="D56" s="186" t="s">
        <v>4351</v>
      </c>
      <c r="E56" s="187">
        <v>454</v>
      </c>
      <c r="F56" s="256">
        <v>0.999999999999996</v>
      </c>
      <c r="G56" s="181">
        <v>1</v>
      </c>
      <c r="H56" s="279">
        <v>42669</v>
      </c>
      <c r="I56" s="181" t="s">
        <v>4352</v>
      </c>
      <c r="J56" s="181">
        <v>1</v>
      </c>
      <c r="K56" s="181" t="s">
        <v>213</v>
      </c>
      <c r="L56" s="256">
        <v>67</v>
      </c>
      <c r="M56" s="181">
        <v>1</v>
      </c>
      <c r="N56" s="181">
        <v>1</v>
      </c>
      <c r="O56" s="181">
        <v>9</v>
      </c>
      <c r="P56" s="282"/>
      <c r="Q56" s="282"/>
      <c r="R56" s="282"/>
    </row>
    <row r="57" spans="1:18" s="69" customFormat="1" ht="105" hidden="1">
      <c r="A57" s="181" t="s">
        <v>170</v>
      </c>
      <c r="B57" s="181" t="s">
        <v>45</v>
      </c>
      <c r="C57" s="181" t="s">
        <v>46</v>
      </c>
      <c r="D57" s="186" t="s">
        <v>214</v>
      </c>
      <c r="E57" s="187">
        <v>104</v>
      </c>
      <c r="F57" s="256">
        <v>6.0204384187287898E-3</v>
      </c>
      <c r="G57" s="181">
        <v>1</v>
      </c>
      <c r="H57" s="279">
        <v>42637</v>
      </c>
      <c r="I57" s="181" t="s">
        <v>215</v>
      </c>
      <c r="J57" s="181">
        <v>0</v>
      </c>
      <c r="K57" s="181" t="s">
        <v>216</v>
      </c>
      <c r="L57" s="256">
        <v>57</v>
      </c>
      <c r="M57" s="181">
        <v>0</v>
      </c>
      <c r="N57" s="181">
        <v>1</v>
      </c>
      <c r="O57" s="181">
        <v>16</v>
      </c>
      <c r="P57" s="282">
        <v>9</v>
      </c>
      <c r="Q57" s="282"/>
      <c r="R57" s="282"/>
    </row>
  </sheetData>
  <autoFilter ref="A1:O57" xr:uid="{00000000-0009-0000-0000-000001000000}">
    <filterColumn colId="0">
      <filters>
        <filter val="梅峰河"/>
      </filters>
    </filterColumn>
  </autoFilter>
  <phoneticPr fontId="16" type="noConversion"/>
  <hyperlinks>
    <hyperlink ref="D25" r:id="rId1" tooltip="http://fz12345.fuzhou.gov.cn/fzwp/callDetail.jsp?callId=FZ18061600385" xr:uid="{00000000-0004-0000-0100-000000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44"/>
  <sheetViews>
    <sheetView topLeftCell="J741" workbookViewId="0">
      <selection activeCell="A2" sqref="A2:O744"/>
    </sheetView>
  </sheetViews>
  <sheetFormatPr baseColWidth="10" defaultColWidth="8.6640625" defaultRowHeight="15"/>
  <cols>
    <col min="2" max="3" width="9" customWidth="1"/>
    <col min="4" max="8" width="10.83203125" customWidth="1"/>
    <col min="9" max="9" width="55.5" customWidth="1"/>
    <col min="10" max="10" width="13.5" style="286" customWidth="1"/>
    <col min="11" max="11" width="42.83203125" customWidth="1"/>
    <col min="12" max="12" width="9" customWidth="1"/>
  </cols>
  <sheetData>
    <row r="1" spans="1:18" s="69" customFormat="1" ht="45">
      <c r="A1" s="181" t="s">
        <v>1</v>
      </c>
      <c r="B1" s="254" t="s">
        <v>2</v>
      </c>
      <c r="C1" s="254" t="s">
        <v>3</v>
      </c>
      <c r="D1" s="254" t="s">
        <v>4</v>
      </c>
      <c r="E1" s="146" t="s">
        <v>5</v>
      </c>
      <c r="F1" s="254" t="s">
        <v>4342</v>
      </c>
      <c r="G1" s="254" t="s">
        <v>11</v>
      </c>
      <c r="H1" s="255" t="s">
        <v>12</v>
      </c>
      <c r="I1" s="254" t="s">
        <v>18</v>
      </c>
      <c r="J1" s="292" t="s">
        <v>4343</v>
      </c>
      <c r="K1" s="181" t="s">
        <v>19</v>
      </c>
      <c r="L1" s="256" t="s">
        <v>20</v>
      </c>
      <c r="M1" s="181" t="s">
        <v>21</v>
      </c>
      <c r="N1" s="181" t="s">
        <v>4344</v>
      </c>
      <c r="O1" s="181" t="s">
        <v>22</v>
      </c>
      <c r="P1" s="136" t="s">
        <v>23</v>
      </c>
    </row>
    <row r="2" spans="1:18" s="69" customFormat="1" ht="60">
      <c r="A2" s="256" t="s">
        <v>217</v>
      </c>
      <c r="B2" s="254" t="s">
        <v>45</v>
      </c>
      <c r="C2" s="254" t="s">
        <v>80</v>
      </c>
      <c r="D2" s="261" t="s">
        <v>218</v>
      </c>
      <c r="E2" s="146">
        <f>LEN(I2)</f>
        <v>23</v>
      </c>
      <c r="F2" s="254"/>
      <c r="G2" s="181">
        <v>1</v>
      </c>
      <c r="H2" s="287">
        <v>44162</v>
      </c>
      <c r="I2" s="265" t="s">
        <v>219</v>
      </c>
      <c r="J2" s="293">
        <v>0</v>
      </c>
      <c r="K2" s="261" t="s">
        <v>220</v>
      </c>
      <c r="L2" s="256">
        <f>LEN(K2)</f>
        <v>77</v>
      </c>
      <c r="M2" s="181">
        <v>1</v>
      </c>
      <c r="N2" s="181">
        <v>1</v>
      </c>
      <c r="O2" s="181">
        <v>3</v>
      </c>
      <c r="P2" s="136">
        <f>AVERAGE(M2:M103)</f>
        <v>0.28431372549019607</v>
      </c>
      <c r="Q2" s="69">
        <f>AVERAGE(M2:N103)</f>
        <v>0.72058823529411764</v>
      </c>
      <c r="R2" s="69">
        <f>AVERAGE(O2:O103)</f>
        <v>5</v>
      </c>
    </row>
    <row r="3" spans="1:18" s="69" customFormat="1" ht="90">
      <c r="A3" s="256" t="s">
        <v>217</v>
      </c>
      <c r="B3" s="254" t="s">
        <v>59</v>
      </c>
      <c r="C3" s="254" t="s">
        <v>221</v>
      </c>
      <c r="D3" s="261" t="s">
        <v>222</v>
      </c>
      <c r="E3" s="146">
        <f t="shared" ref="E3:E8" si="0">LEN(I3)</f>
        <v>84</v>
      </c>
      <c r="F3" s="254"/>
      <c r="G3" s="288" t="s">
        <v>223</v>
      </c>
      <c r="H3" s="263">
        <v>44160</v>
      </c>
      <c r="I3" s="261" t="s">
        <v>224</v>
      </c>
      <c r="J3" s="269">
        <v>1</v>
      </c>
      <c r="K3" s="181" t="s">
        <v>225</v>
      </c>
      <c r="L3" s="256">
        <f t="shared" ref="L3:L8" si="1">LEN(K3)</f>
        <v>110</v>
      </c>
      <c r="M3" s="181">
        <v>0</v>
      </c>
      <c r="N3" s="181">
        <v>1</v>
      </c>
      <c r="O3" s="181">
        <v>1</v>
      </c>
      <c r="P3" s="136">
        <f>AVERAGE(M2:M744)</f>
        <v>0.45087483176312249</v>
      </c>
      <c r="Q3" s="69">
        <f>AVERAGE(N2:N744)</f>
        <v>1.2166890982503364</v>
      </c>
      <c r="R3" s="69">
        <f>AVERAGE(O2:O744)</f>
        <v>6.6873315363881405</v>
      </c>
    </row>
    <row r="4" spans="1:18" s="69" customFormat="1" ht="75">
      <c r="A4" s="256" t="s">
        <v>217</v>
      </c>
      <c r="B4" s="254" t="s">
        <v>45</v>
      </c>
      <c r="C4" s="254" t="s">
        <v>221</v>
      </c>
      <c r="D4" s="261" t="s">
        <v>226</v>
      </c>
      <c r="E4" s="146">
        <f t="shared" si="0"/>
        <v>47</v>
      </c>
      <c r="F4" s="254"/>
      <c r="G4" s="181">
        <v>1</v>
      </c>
      <c r="H4" s="263">
        <v>44112</v>
      </c>
      <c r="I4" s="254" t="s">
        <v>227</v>
      </c>
      <c r="J4" s="292" t="s">
        <v>223</v>
      </c>
      <c r="K4" s="181" t="s">
        <v>228</v>
      </c>
      <c r="L4" s="256">
        <f t="shared" si="1"/>
        <v>68</v>
      </c>
      <c r="M4" s="181">
        <v>0</v>
      </c>
      <c r="N4" s="181">
        <v>1</v>
      </c>
      <c r="O4" s="181">
        <v>4</v>
      </c>
      <c r="P4" s="136"/>
    </row>
    <row r="5" spans="1:18" s="69" customFormat="1" ht="75">
      <c r="A5" s="256" t="s">
        <v>217</v>
      </c>
      <c r="B5" s="254" t="s">
        <v>59</v>
      </c>
      <c r="C5" s="254" t="s">
        <v>80</v>
      </c>
      <c r="D5" s="254" t="s">
        <v>229</v>
      </c>
      <c r="E5" s="146">
        <f t="shared" si="0"/>
        <v>47</v>
      </c>
      <c r="F5" s="254"/>
      <c r="G5" s="181">
        <v>1</v>
      </c>
      <c r="H5" s="287">
        <v>44089</v>
      </c>
      <c r="I5" s="254" t="s">
        <v>230</v>
      </c>
      <c r="J5" s="292" t="s">
        <v>4353</v>
      </c>
      <c r="K5" s="181" t="s">
        <v>231</v>
      </c>
      <c r="L5" s="256">
        <f t="shared" si="1"/>
        <v>94</v>
      </c>
      <c r="M5" s="181">
        <v>0</v>
      </c>
      <c r="N5" s="181">
        <v>1</v>
      </c>
      <c r="O5" s="181">
        <v>1</v>
      </c>
      <c r="P5" s="136"/>
    </row>
    <row r="6" spans="1:18" s="69" customFormat="1" ht="45">
      <c r="A6" s="256" t="s">
        <v>217</v>
      </c>
      <c r="B6" s="254" t="s">
        <v>45</v>
      </c>
      <c r="C6" s="254" t="s">
        <v>80</v>
      </c>
      <c r="D6" s="254" t="s">
        <v>232</v>
      </c>
      <c r="E6" s="146">
        <f t="shared" si="0"/>
        <v>50</v>
      </c>
      <c r="F6" s="254"/>
      <c r="G6" s="181">
        <v>1</v>
      </c>
      <c r="H6" s="263">
        <v>44055</v>
      </c>
      <c r="I6" s="254" t="s">
        <v>4354</v>
      </c>
      <c r="J6" s="292" t="s">
        <v>223</v>
      </c>
      <c r="K6" s="261" t="s">
        <v>234</v>
      </c>
      <c r="L6" s="256">
        <f t="shared" si="1"/>
        <v>63</v>
      </c>
      <c r="M6" s="181">
        <v>1</v>
      </c>
      <c r="N6" s="181">
        <v>1</v>
      </c>
      <c r="O6" s="181">
        <v>5</v>
      </c>
      <c r="P6" s="136"/>
    </row>
    <row r="7" spans="1:18" s="69" customFormat="1" ht="45">
      <c r="A7" s="256" t="s">
        <v>217</v>
      </c>
      <c r="B7" s="254" t="s">
        <v>59</v>
      </c>
      <c r="C7" s="254" t="s">
        <v>221</v>
      </c>
      <c r="D7" s="254" t="s">
        <v>235</v>
      </c>
      <c r="E7" s="146">
        <f t="shared" si="0"/>
        <v>15</v>
      </c>
      <c r="F7" s="254"/>
      <c r="G7" s="181">
        <v>1</v>
      </c>
      <c r="H7" s="263">
        <v>44050</v>
      </c>
      <c r="I7" s="265" t="s">
        <v>235</v>
      </c>
      <c r="J7" s="292" t="s">
        <v>4353</v>
      </c>
      <c r="K7" s="261" t="s">
        <v>236</v>
      </c>
      <c r="L7" s="256">
        <f t="shared" si="1"/>
        <v>40</v>
      </c>
      <c r="M7" s="181">
        <v>0</v>
      </c>
      <c r="N7" s="181">
        <v>1</v>
      </c>
      <c r="O7" s="181">
        <v>0</v>
      </c>
      <c r="P7" s="136"/>
    </row>
    <row r="8" spans="1:18" s="69" customFormat="1" ht="120">
      <c r="A8" s="256" t="s">
        <v>217</v>
      </c>
      <c r="B8" s="254" t="s">
        <v>59</v>
      </c>
      <c r="C8" s="254" t="s">
        <v>221</v>
      </c>
      <c r="D8" s="254" t="s">
        <v>237</v>
      </c>
      <c r="E8" s="146">
        <f t="shared" si="0"/>
        <v>32</v>
      </c>
      <c r="F8" s="254"/>
      <c r="G8" s="181">
        <v>1</v>
      </c>
      <c r="H8" s="263">
        <v>44046</v>
      </c>
      <c r="I8" s="261" t="s">
        <v>238</v>
      </c>
      <c r="J8" s="292" t="s">
        <v>4353</v>
      </c>
      <c r="K8" s="261" t="s">
        <v>239</v>
      </c>
      <c r="L8" s="256">
        <f t="shared" si="1"/>
        <v>171</v>
      </c>
      <c r="M8" s="181">
        <v>0</v>
      </c>
      <c r="N8" s="181">
        <v>1</v>
      </c>
      <c r="O8" s="181">
        <v>1</v>
      </c>
      <c r="P8" s="136"/>
    </row>
    <row r="9" spans="1:18" s="69" customFormat="1" ht="90">
      <c r="A9" s="256" t="s">
        <v>217</v>
      </c>
      <c r="B9" s="256" t="s">
        <v>45</v>
      </c>
      <c r="C9" s="256" t="s">
        <v>80</v>
      </c>
      <c r="D9" s="186" t="s">
        <v>159</v>
      </c>
      <c r="E9" s="187">
        <v>108</v>
      </c>
      <c r="F9" s="256">
        <v>4.2584281380115803E-3</v>
      </c>
      <c r="G9" s="181">
        <v>1</v>
      </c>
      <c r="H9" s="287">
        <v>44008</v>
      </c>
      <c r="I9" s="186" t="s">
        <v>240</v>
      </c>
      <c r="J9" s="293">
        <v>0</v>
      </c>
      <c r="K9" s="186" t="s">
        <v>241</v>
      </c>
      <c r="L9" s="256">
        <v>121</v>
      </c>
      <c r="M9" s="256">
        <v>2</v>
      </c>
      <c r="N9" s="256">
        <v>1</v>
      </c>
      <c r="O9" s="256">
        <v>11</v>
      </c>
      <c r="P9" s="69">
        <f>AVERAGE(M9:M103)</f>
        <v>0.28421052631578947</v>
      </c>
      <c r="Q9" s="69">
        <f>AVERAGE(M9:M744)</f>
        <v>0.45244565217391303</v>
      </c>
    </row>
    <row r="10" spans="1:18" s="69" customFormat="1" ht="90">
      <c r="A10" s="256" t="s">
        <v>217</v>
      </c>
      <c r="B10" s="256" t="s">
        <v>45</v>
      </c>
      <c r="C10" s="256" t="s">
        <v>80</v>
      </c>
      <c r="D10" s="186" t="s">
        <v>242</v>
      </c>
      <c r="E10" s="187">
        <v>109</v>
      </c>
      <c r="F10" s="256">
        <v>0.94252522278291395</v>
      </c>
      <c r="G10" s="181">
        <v>1</v>
      </c>
      <c r="H10" s="279">
        <v>44008</v>
      </c>
      <c r="I10" s="181" t="s">
        <v>243</v>
      </c>
      <c r="J10" s="288">
        <v>1</v>
      </c>
      <c r="K10" s="186" t="s">
        <v>244</v>
      </c>
      <c r="L10" s="256">
        <v>117</v>
      </c>
      <c r="M10" s="256">
        <v>4</v>
      </c>
      <c r="N10" s="256">
        <v>2</v>
      </c>
      <c r="O10" s="256">
        <v>10</v>
      </c>
      <c r="P10" s="69">
        <f>AVERAGE(O9:O103)</f>
        <v>5.2105263157894735</v>
      </c>
      <c r="Q10" s="69">
        <f>AVERAGE(O9:O744)</f>
        <v>6.7306122448979595</v>
      </c>
    </row>
    <row r="11" spans="1:18" s="69" customFormat="1" ht="75">
      <c r="A11" s="256" t="s">
        <v>217</v>
      </c>
      <c r="B11" s="256" t="s">
        <v>45</v>
      </c>
      <c r="C11" s="256" t="s">
        <v>221</v>
      </c>
      <c r="D11" s="186" t="s">
        <v>245</v>
      </c>
      <c r="E11" s="187">
        <v>24</v>
      </c>
      <c r="F11" s="256">
        <v>0.64855908630779302</v>
      </c>
      <c r="G11" s="181">
        <v>1</v>
      </c>
      <c r="H11" s="279">
        <v>43999</v>
      </c>
      <c r="I11" s="258" t="s">
        <v>245</v>
      </c>
      <c r="J11" s="294">
        <v>1</v>
      </c>
      <c r="K11" s="186" t="s">
        <v>246</v>
      </c>
      <c r="L11" s="256">
        <v>93</v>
      </c>
      <c r="M11" s="256">
        <v>0</v>
      </c>
      <c r="N11" s="256">
        <v>1</v>
      </c>
      <c r="O11" s="256">
        <v>1</v>
      </c>
    </row>
    <row r="12" spans="1:18" s="69" customFormat="1" ht="75">
      <c r="A12" s="256" t="s">
        <v>217</v>
      </c>
      <c r="B12" s="256" t="s">
        <v>45</v>
      </c>
      <c r="C12" s="256" t="s">
        <v>80</v>
      </c>
      <c r="D12" s="186" t="s">
        <v>247</v>
      </c>
      <c r="E12" s="187">
        <v>34</v>
      </c>
      <c r="F12" s="256">
        <v>1.49993417020563E-2</v>
      </c>
      <c r="G12" s="181">
        <v>0</v>
      </c>
      <c r="H12" s="279">
        <v>43972</v>
      </c>
      <c r="I12" s="186" t="s">
        <v>248</v>
      </c>
      <c r="J12" s="293">
        <v>1</v>
      </c>
      <c r="K12" s="186" t="s">
        <v>249</v>
      </c>
      <c r="L12" s="256">
        <v>102</v>
      </c>
      <c r="M12" s="256">
        <v>0</v>
      </c>
      <c r="N12" s="256">
        <v>1</v>
      </c>
      <c r="O12" s="256">
        <v>5</v>
      </c>
    </row>
    <row r="13" spans="1:18" s="69" customFormat="1" ht="75">
      <c r="A13" s="256" t="s">
        <v>217</v>
      </c>
      <c r="B13" s="256" t="s">
        <v>119</v>
      </c>
      <c r="C13" s="256" t="s">
        <v>221</v>
      </c>
      <c r="D13" s="186" t="s">
        <v>250</v>
      </c>
      <c r="E13" s="187">
        <v>71</v>
      </c>
      <c r="F13" s="256">
        <v>0.99998923923096295</v>
      </c>
      <c r="G13" s="181">
        <v>0</v>
      </c>
      <c r="H13" s="279">
        <v>43796</v>
      </c>
      <c r="I13" s="186" t="s">
        <v>251</v>
      </c>
      <c r="J13" s="293">
        <v>1</v>
      </c>
      <c r="K13" s="186" t="s">
        <v>252</v>
      </c>
      <c r="L13" s="256">
        <v>90</v>
      </c>
      <c r="M13" s="256">
        <v>0</v>
      </c>
      <c r="N13" s="256">
        <v>1</v>
      </c>
      <c r="O13" s="256">
        <v>1</v>
      </c>
    </row>
    <row r="14" spans="1:18" s="69" customFormat="1" ht="105">
      <c r="A14" s="256" t="s">
        <v>217</v>
      </c>
      <c r="B14" s="256" t="s">
        <v>45</v>
      </c>
      <c r="C14" s="256" t="s">
        <v>46</v>
      </c>
      <c r="D14" s="186" t="s">
        <v>253</v>
      </c>
      <c r="E14" s="187">
        <v>162</v>
      </c>
      <c r="F14" s="256">
        <v>1.6932561757599901E-3</v>
      </c>
      <c r="G14" s="181">
        <v>1</v>
      </c>
      <c r="H14" s="279">
        <v>43702</v>
      </c>
      <c r="I14" s="186" t="s">
        <v>254</v>
      </c>
      <c r="J14" s="293">
        <v>1</v>
      </c>
      <c r="K14" s="186" t="s">
        <v>255</v>
      </c>
      <c r="L14" s="256">
        <v>146</v>
      </c>
      <c r="M14" s="256">
        <v>0</v>
      </c>
      <c r="N14" s="256">
        <v>1</v>
      </c>
      <c r="O14" s="256">
        <v>2</v>
      </c>
    </row>
    <row r="15" spans="1:18" s="69" customFormat="1" ht="75">
      <c r="A15" s="256" t="s">
        <v>217</v>
      </c>
      <c r="B15" s="256" t="s">
        <v>45</v>
      </c>
      <c r="C15" s="256" t="s">
        <v>46</v>
      </c>
      <c r="D15" s="186" t="s">
        <v>256</v>
      </c>
      <c r="E15" s="187">
        <v>130</v>
      </c>
      <c r="F15" s="256">
        <v>0.49140668545917499</v>
      </c>
      <c r="G15" s="181">
        <v>1</v>
      </c>
      <c r="H15" s="279">
        <v>43640</v>
      </c>
      <c r="I15" s="181" t="s">
        <v>257</v>
      </c>
      <c r="J15" s="288">
        <v>0</v>
      </c>
      <c r="K15" s="186" t="s">
        <v>258</v>
      </c>
      <c r="L15" s="256">
        <v>102</v>
      </c>
      <c r="M15" s="256">
        <v>0</v>
      </c>
      <c r="N15" s="256">
        <v>1</v>
      </c>
      <c r="O15" s="256">
        <v>2</v>
      </c>
    </row>
    <row r="16" spans="1:18" s="69" customFormat="1" ht="90">
      <c r="A16" s="256" t="s">
        <v>217</v>
      </c>
      <c r="B16" s="256" t="s">
        <v>45</v>
      </c>
      <c r="C16" s="256" t="s">
        <v>46</v>
      </c>
      <c r="D16" s="181" t="s">
        <v>259</v>
      </c>
      <c r="E16" s="187">
        <v>95</v>
      </c>
      <c r="F16" s="256">
        <v>0.97664641935385199</v>
      </c>
      <c r="G16" s="181">
        <v>1</v>
      </c>
      <c r="H16" s="279">
        <v>43638</v>
      </c>
      <c r="I16" s="186" t="s">
        <v>260</v>
      </c>
      <c r="J16" s="293">
        <v>0</v>
      </c>
      <c r="K16" s="186" t="s">
        <v>261</v>
      </c>
      <c r="L16" s="256">
        <v>84</v>
      </c>
      <c r="M16" s="256">
        <v>0</v>
      </c>
      <c r="N16" s="256">
        <v>1</v>
      </c>
      <c r="O16" s="256">
        <v>2</v>
      </c>
    </row>
    <row r="17" spans="1:15" s="69" customFormat="1" ht="45">
      <c r="A17" s="256" t="s">
        <v>217</v>
      </c>
      <c r="B17" s="256" t="s">
        <v>45</v>
      </c>
      <c r="C17" s="256" t="s">
        <v>80</v>
      </c>
      <c r="D17" s="186" t="s">
        <v>262</v>
      </c>
      <c r="E17" s="187">
        <v>48</v>
      </c>
      <c r="F17" s="256">
        <v>0.72106875507711998</v>
      </c>
      <c r="G17" s="181">
        <v>1</v>
      </c>
      <c r="H17" s="279">
        <v>43634</v>
      </c>
      <c r="I17" s="186" t="s">
        <v>263</v>
      </c>
      <c r="J17" s="293">
        <v>0</v>
      </c>
      <c r="K17" s="186" t="s">
        <v>264</v>
      </c>
      <c r="L17" s="256">
        <v>54</v>
      </c>
      <c r="M17" s="256">
        <v>0</v>
      </c>
      <c r="N17" s="256">
        <v>1</v>
      </c>
      <c r="O17" s="256">
        <v>7</v>
      </c>
    </row>
    <row r="18" spans="1:15" s="69" customFormat="1" ht="75">
      <c r="A18" s="256" t="s">
        <v>217</v>
      </c>
      <c r="B18" s="256" t="s">
        <v>45</v>
      </c>
      <c r="C18" s="256" t="s">
        <v>80</v>
      </c>
      <c r="D18" s="186" t="s">
        <v>265</v>
      </c>
      <c r="E18" s="187">
        <v>69</v>
      </c>
      <c r="F18" s="256">
        <v>8.0536680808329696E-4</v>
      </c>
      <c r="G18" s="181">
        <v>1</v>
      </c>
      <c r="H18" s="279">
        <v>43633</v>
      </c>
      <c r="I18" s="186" t="s">
        <v>266</v>
      </c>
      <c r="J18" s="293">
        <v>1</v>
      </c>
      <c r="K18" s="186" t="s">
        <v>267</v>
      </c>
      <c r="L18" s="256">
        <v>104</v>
      </c>
      <c r="M18" s="256">
        <v>0</v>
      </c>
      <c r="N18" s="256">
        <v>1</v>
      </c>
      <c r="O18" s="256">
        <v>4</v>
      </c>
    </row>
    <row r="19" spans="1:15" s="69" customFormat="1" ht="60">
      <c r="A19" s="256" t="s">
        <v>217</v>
      </c>
      <c r="B19" s="256" t="s">
        <v>45</v>
      </c>
      <c r="C19" s="256" t="s">
        <v>80</v>
      </c>
      <c r="D19" s="181" t="s">
        <v>268</v>
      </c>
      <c r="E19" s="187">
        <v>105</v>
      </c>
      <c r="F19" s="256">
        <v>7.4883579233819804E-3</v>
      </c>
      <c r="G19" s="181">
        <v>1</v>
      </c>
      <c r="H19" s="279">
        <v>43628</v>
      </c>
      <c r="I19" s="186" t="s">
        <v>269</v>
      </c>
      <c r="J19" s="293">
        <v>0</v>
      </c>
      <c r="K19" s="186" t="s">
        <v>270</v>
      </c>
      <c r="L19" s="256">
        <v>66</v>
      </c>
      <c r="M19" s="256">
        <v>1</v>
      </c>
      <c r="N19" s="256">
        <v>1</v>
      </c>
      <c r="O19" s="256">
        <v>2</v>
      </c>
    </row>
    <row r="20" spans="1:15" s="69" customFormat="1" ht="120">
      <c r="A20" s="256" t="s">
        <v>217</v>
      </c>
      <c r="B20" s="256" t="s">
        <v>45</v>
      </c>
      <c r="C20" s="256" t="s">
        <v>221</v>
      </c>
      <c r="D20" s="186" t="s">
        <v>271</v>
      </c>
      <c r="E20" s="187">
        <v>63</v>
      </c>
      <c r="F20" s="256">
        <v>0.13818979266615</v>
      </c>
      <c r="G20" s="181">
        <v>0</v>
      </c>
      <c r="H20" s="289">
        <v>43583</v>
      </c>
      <c r="I20" s="186" t="s">
        <v>272</v>
      </c>
      <c r="J20" s="293">
        <v>0</v>
      </c>
      <c r="K20" s="186" t="s">
        <v>273</v>
      </c>
      <c r="L20" s="256">
        <v>169</v>
      </c>
      <c r="M20" s="256">
        <v>0</v>
      </c>
      <c r="N20" s="256">
        <v>1</v>
      </c>
      <c r="O20" s="256">
        <v>1</v>
      </c>
    </row>
    <row r="21" spans="1:15" s="69" customFormat="1" ht="75">
      <c r="A21" s="256" t="s">
        <v>217</v>
      </c>
      <c r="B21" s="256" t="s">
        <v>45</v>
      </c>
      <c r="C21" s="256" t="s">
        <v>46</v>
      </c>
      <c r="D21" s="186" t="s">
        <v>274</v>
      </c>
      <c r="E21" s="187">
        <v>25</v>
      </c>
      <c r="F21" s="256">
        <v>8.8328944933713198E-5</v>
      </c>
      <c r="G21" s="181">
        <v>1</v>
      </c>
      <c r="H21" s="279">
        <v>43456</v>
      </c>
      <c r="I21" s="181" t="s">
        <v>275</v>
      </c>
      <c r="J21" s="288">
        <v>1</v>
      </c>
      <c r="K21" s="186" t="s">
        <v>276</v>
      </c>
      <c r="L21" s="256">
        <v>92</v>
      </c>
      <c r="M21" s="256">
        <v>0</v>
      </c>
      <c r="N21" s="256">
        <v>1</v>
      </c>
      <c r="O21" s="256">
        <v>2</v>
      </c>
    </row>
    <row r="22" spans="1:15" s="69" customFormat="1" ht="30">
      <c r="A22" s="256" t="s">
        <v>217</v>
      </c>
      <c r="B22" s="256" t="s">
        <v>45</v>
      </c>
      <c r="C22" s="256" t="s">
        <v>80</v>
      </c>
      <c r="D22" s="186" t="s">
        <v>277</v>
      </c>
      <c r="E22" s="187">
        <v>46</v>
      </c>
      <c r="F22" s="256">
        <v>1.3286776468455001E-2</v>
      </c>
      <c r="G22" s="181">
        <v>1</v>
      </c>
      <c r="H22" s="279">
        <v>43447</v>
      </c>
      <c r="I22" s="181" t="s">
        <v>278</v>
      </c>
      <c r="J22" s="288">
        <v>1</v>
      </c>
      <c r="K22" s="186" t="s">
        <v>279</v>
      </c>
      <c r="L22" s="256">
        <v>43</v>
      </c>
      <c r="M22" s="256">
        <v>2</v>
      </c>
      <c r="N22" s="256">
        <v>1</v>
      </c>
      <c r="O22" s="256">
        <v>8</v>
      </c>
    </row>
    <row r="23" spans="1:15" s="69" customFormat="1" ht="90">
      <c r="A23" s="256" t="s">
        <v>217</v>
      </c>
      <c r="B23" s="256" t="s">
        <v>59</v>
      </c>
      <c r="C23" s="256" t="s">
        <v>46</v>
      </c>
      <c r="D23" s="181" t="s">
        <v>280</v>
      </c>
      <c r="E23" s="187">
        <v>91</v>
      </c>
      <c r="F23" s="256">
        <v>5.64212721235978E-2</v>
      </c>
      <c r="G23" s="181">
        <v>1</v>
      </c>
      <c r="H23" s="279">
        <v>43353</v>
      </c>
      <c r="I23" s="186" t="s">
        <v>281</v>
      </c>
      <c r="J23" s="293">
        <v>0</v>
      </c>
      <c r="K23" s="186" t="s">
        <v>282</v>
      </c>
      <c r="L23" s="256">
        <v>129</v>
      </c>
      <c r="M23" s="256">
        <v>0</v>
      </c>
      <c r="N23" s="256">
        <v>1</v>
      </c>
      <c r="O23" s="256">
        <v>0</v>
      </c>
    </row>
    <row r="24" spans="1:15" s="69" customFormat="1" ht="165">
      <c r="A24" s="256" t="s">
        <v>217</v>
      </c>
      <c r="B24" s="256" t="s">
        <v>59</v>
      </c>
      <c r="C24" s="256" t="s">
        <v>46</v>
      </c>
      <c r="D24" s="186" t="s">
        <v>283</v>
      </c>
      <c r="E24" s="187">
        <v>263</v>
      </c>
      <c r="F24" s="256">
        <v>6.8585505574869601E-7</v>
      </c>
      <c r="G24" s="181">
        <v>1</v>
      </c>
      <c r="H24" s="279">
        <v>43331</v>
      </c>
      <c r="I24" s="186" t="s">
        <v>284</v>
      </c>
      <c r="J24" s="293">
        <v>0</v>
      </c>
      <c r="K24" s="186" t="s">
        <v>285</v>
      </c>
      <c r="L24" s="256">
        <v>238</v>
      </c>
      <c r="M24" s="256">
        <v>1</v>
      </c>
      <c r="N24" s="256">
        <v>1</v>
      </c>
      <c r="O24" s="256">
        <v>3</v>
      </c>
    </row>
    <row r="25" spans="1:15" s="69" customFormat="1" ht="60">
      <c r="A25" s="256" t="s">
        <v>217</v>
      </c>
      <c r="B25" s="256" t="s">
        <v>45</v>
      </c>
      <c r="C25" s="256" t="s">
        <v>46</v>
      </c>
      <c r="D25" s="186" t="s">
        <v>286</v>
      </c>
      <c r="E25" s="187">
        <v>87</v>
      </c>
      <c r="F25" s="256">
        <v>5.9922876258611301E-4</v>
      </c>
      <c r="G25" s="181">
        <v>0</v>
      </c>
      <c r="H25" s="279">
        <v>43317</v>
      </c>
      <c r="I25" s="186" t="s">
        <v>288</v>
      </c>
      <c r="J25" s="293">
        <v>1</v>
      </c>
      <c r="K25" s="186" t="s">
        <v>289</v>
      </c>
      <c r="L25" s="256">
        <v>68</v>
      </c>
      <c r="M25" s="256">
        <v>0</v>
      </c>
      <c r="N25" s="256">
        <v>1</v>
      </c>
      <c r="O25" s="256">
        <v>2</v>
      </c>
    </row>
    <row r="26" spans="1:15" s="69" customFormat="1" ht="60">
      <c r="A26" s="256" t="s">
        <v>217</v>
      </c>
      <c r="B26" s="256" t="s">
        <v>45</v>
      </c>
      <c r="C26" s="256" t="s">
        <v>80</v>
      </c>
      <c r="D26" s="290" t="s">
        <v>290</v>
      </c>
      <c r="E26" s="187">
        <v>119</v>
      </c>
      <c r="F26" s="256">
        <v>1.14352971536391E-13</v>
      </c>
      <c r="G26" s="181">
        <v>1</v>
      </c>
      <c r="H26" s="279">
        <v>43317</v>
      </c>
      <c r="I26" s="186" t="s">
        <v>291</v>
      </c>
      <c r="J26" s="293">
        <v>0</v>
      </c>
      <c r="K26" s="186" t="s">
        <v>292</v>
      </c>
      <c r="L26" s="256">
        <v>51</v>
      </c>
      <c r="M26" s="295">
        <v>0</v>
      </c>
      <c r="N26" s="186">
        <v>1</v>
      </c>
      <c r="O26" s="295">
        <v>4</v>
      </c>
    </row>
    <row r="27" spans="1:15" s="69" customFormat="1" ht="60">
      <c r="A27" s="256" t="s">
        <v>217</v>
      </c>
      <c r="B27" s="256" t="s">
        <v>45</v>
      </c>
      <c r="C27" s="256" t="s">
        <v>80</v>
      </c>
      <c r="D27" s="186" t="s">
        <v>293</v>
      </c>
      <c r="E27" s="187">
        <v>51</v>
      </c>
      <c r="F27" s="256">
        <v>1.75036334573964E-3</v>
      </c>
      <c r="G27" s="181">
        <v>1</v>
      </c>
      <c r="H27" s="279">
        <v>43315</v>
      </c>
      <c r="I27" s="186" t="s">
        <v>294</v>
      </c>
      <c r="J27" s="293">
        <v>0</v>
      </c>
      <c r="K27" s="186" t="s">
        <v>295</v>
      </c>
      <c r="L27" s="256">
        <v>87</v>
      </c>
      <c r="M27" s="256">
        <v>0</v>
      </c>
      <c r="N27" s="256">
        <v>1</v>
      </c>
      <c r="O27" s="256">
        <v>4</v>
      </c>
    </row>
    <row r="28" spans="1:15" s="69" customFormat="1" ht="60">
      <c r="A28" s="256" t="s">
        <v>217</v>
      </c>
      <c r="B28" s="256" t="s">
        <v>45</v>
      </c>
      <c r="C28" s="256" t="s">
        <v>80</v>
      </c>
      <c r="D28" s="186" t="s">
        <v>296</v>
      </c>
      <c r="E28" s="187">
        <v>47</v>
      </c>
      <c r="F28" s="256">
        <v>3.3549497549858502E-3</v>
      </c>
      <c r="G28" s="181">
        <v>1</v>
      </c>
      <c r="H28" s="283">
        <v>43304</v>
      </c>
      <c r="I28" s="186" t="s">
        <v>297</v>
      </c>
      <c r="J28" s="293">
        <v>0</v>
      </c>
      <c r="K28" s="186" t="s">
        <v>298</v>
      </c>
      <c r="L28" s="256">
        <v>78</v>
      </c>
      <c r="M28" s="256">
        <v>0</v>
      </c>
      <c r="N28" s="256">
        <v>1</v>
      </c>
      <c r="O28" s="256">
        <v>3</v>
      </c>
    </row>
    <row r="29" spans="1:15" s="69" customFormat="1" ht="75">
      <c r="A29" s="256" t="s">
        <v>217</v>
      </c>
      <c r="B29" s="256" t="s">
        <v>45</v>
      </c>
      <c r="C29" s="256" t="s">
        <v>80</v>
      </c>
      <c r="D29" s="186" t="s">
        <v>299</v>
      </c>
      <c r="E29" s="187">
        <v>118</v>
      </c>
      <c r="F29" s="256">
        <v>1.9137331712326701E-5</v>
      </c>
      <c r="G29" s="181">
        <v>1</v>
      </c>
      <c r="H29" s="283">
        <v>43279</v>
      </c>
      <c r="I29" s="186" t="s">
        <v>300</v>
      </c>
      <c r="J29" s="293">
        <v>0</v>
      </c>
      <c r="K29" s="186" t="s">
        <v>301</v>
      </c>
      <c r="L29" s="256">
        <v>94</v>
      </c>
      <c r="M29" s="256">
        <v>0</v>
      </c>
      <c r="N29" s="256">
        <v>1</v>
      </c>
      <c r="O29" s="256">
        <v>4</v>
      </c>
    </row>
    <row r="30" spans="1:15" s="69" customFormat="1" ht="75">
      <c r="A30" s="256" t="s">
        <v>217</v>
      </c>
      <c r="B30" s="256" t="s">
        <v>45</v>
      </c>
      <c r="C30" s="256" t="s">
        <v>80</v>
      </c>
      <c r="D30" s="186" t="s">
        <v>302</v>
      </c>
      <c r="E30" s="187">
        <v>96</v>
      </c>
      <c r="F30" s="256">
        <v>5.1680771218087798E-8</v>
      </c>
      <c r="G30" s="181">
        <v>1</v>
      </c>
      <c r="H30" s="279">
        <v>43277</v>
      </c>
      <c r="I30" s="186" t="s">
        <v>303</v>
      </c>
      <c r="J30" s="293">
        <v>0</v>
      </c>
      <c r="K30" s="186" t="s">
        <v>304</v>
      </c>
      <c r="L30" s="256">
        <v>60</v>
      </c>
      <c r="M30" s="256">
        <v>0</v>
      </c>
      <c r="N30" s="256">
        <v>1</v>
      </c>
      <c r="O30" s="256">
        <v>2</v>
      </c>
    </row>
    <row r="31" spans="1:15" s="69" customFormat="1" ht="60">
      <c r="A31" s="256" t="s">
        <v>217</v>
      </c>
      <c r="B31" s="256" t="s">
        <v>45</v>
      </c>
      <c r="C31" s="256" t="s">
        <v>80</v>
      </c>
      <c r="D31" s="290" t="s">
        <v>305</v>
      </c>
      <c r="E31" s="187">
        <v>46</v>
      </c>
      <c r="F31" s="256">
        <v>4.6539627453490203E-5</v>
      </c>
      <c r="G31" s="181">
        <v>1</v>
      </c>
      <c r="H31" s="279">
        <v>43251</v>
      </c>
      <c r="I31" s="186" t="s">
        <v>306</v>
      </c>
      <c r="J31" s="293">
        <v>0</v>
      </c>
      <c r="K31" s="186" t="s">
        <v>307</v>
      </c>
      <c r="L31" s="256">
        <v>70</v>
      </c>
      <c r="M31" s="295">
        <v>0</v>
      </c>
      <c r="N31" s="186">
        <v>1</v>
      </c>
      <c r="O31" s="295">
        <v>4</v>
      </c>
    </row>
    <row r="32" spans="1:15" s="69" customFormat="1" ht="45">
      <c r="A32" s="256" t="s">
        <v>217</v>
      </c>
      <c r="B32" s="256" t="s">
        <v>45</v>
      </c>
      <c r="C32" s="256" t="s">
        <v>80</v>
      </c>
      <c r="D32" s="186" t="s">
        <v>308</v>
      </c>
      <c r="E32" s="187">
        <v>87</v>
      </c>
      <c r="F32" s="256">
        <v>0.98022319083782405</v>
      </c>
      <c r="G32" s="181">
        <v>1</v>
      </c>
      <c r="H32" s="279">
        <v>43246</v>
      </c>
      <c r="I32" s="186" t="s">
        <v>309</v>
      </c>
      <c r="J32" s="293">
        <v>1</v>
      </c>
      <c r="K32" s="186" t="s">
        <v>310</v>
      </c>
      <c r="L32" s="256">
        <v>42</v>
      </c>
      <c r="M32" s="256">
        <v>1</v>
      </c>
      <c r="N32" s="256">
        <v>1</v>
      </c>
      <c r="O32" s="256">
        <v>4</v>
      </c>
    </row>
    <row r="33" spans="1:15" s="69" customFormat="1" ht="90">
      <c r="A33" s="256" t="s">
        <v>217</v>
      </c>
      <c r="B33" s="256" t="s">
        <v>45</v>
      </c>
      <c r="C33" s="256" t="s">
        <v>80</v>
      </c>
      <c r="D33" s="186" t="s">
        <v>311</v>
      </c>
      <c r="E33" s="187">
        <v>64</v>
      </c>
      <c r="F33" s="256">
        <v>3.9634292299156798E-2</v>
      </c>
      <c r="G33" s="181">
        <v>1</v>
      </c>
      <c r="H33" s="279">
        <v>43242</v>
      </c>
      <c r="I33" s="186" t="s">
        <v>312</v>
      </c>
      <c r="J33" s="293">
        <v>0</v>
      </c>
      <c r="K33" s="186" t="s">
        <v>313</v>
      </c>
      <c r="L33" s="256">
        <v>125</v>
      </c>
      <c r="M33" s="256">
        <v>1</v>
      </c>
      <c r="N33" s="256">
        <v>1</v>
      </c>
      <c r="O33" s="256">
        <v>6</v>
      </c>
    </row>
    <row r="34" spans="1:15" s="69" customFormat="1" ht="165">
      <c r="A34" s="256" t="s">
        <v>217</v>
      </c>
      <c r="B34" s="256" t="s">
        <v>45</v>
      </c>
      <c r="C34" s="256" t="s">
        <v>80</v>
      </c>
      <c r="D34" s="181" t="s">
        <v>314</v>
      </c>
      <c r="E34" s="187">
        <v>70</v>
      </c>
      <c r="F34" s="256">
        <v>4.0569105528298596E-6</v>
      </c>
      <c r="G34" s="181">
        <v>1</v>
      </c>
      <c r="H34" s="279">
        <v>43236</v>
      </c>
      <c r="I34" s="186" t="s">
        <v>315</v>
      </c>
      <c r="J34" s="293">
        <v>0</v>
      </c>
      <c r="K34" s="186" t="s">
        <v>316</v>
      </c>
      <c r="L34" s="256">
        <v>248</v>
      </c>
      <c r="M34" s="256">
        <v>0</v>
      </c>
      <c r="N34" s="256">
        <v>1</v>
      </c>
      <c r="O34" s="256">
        <v>1</v>
      </c>
    </row>
    <row r="35" spans="1:15" s="69" customFormat="1" ht="90">
      <c r="A35" s="256" t="s">
        <v>217</v>
      </c>
      <c r="B35" s="256" t="s">
        <v>59</v>
      </c>
      <c r="C35" s="256" t="s">
        <v>46</v>
      </c>
      <c r="D35" s="186" t="s">
        <v>317</v>
      </c>
      <c r="E35" s="187">
        <v>121</v>
      </c>
      <c r="F35" s="256">
        <v>6.99389398457262E-4</v>
      </c>
      <c r="G35" s="181">
        <v>1</v>
      </c>
      <c r="H35" s="279">
        <v>43229</v>
      </c>
      <c r="I35" s="186" t="s">
        <v>318</v>
      </c>
      <c r="J35" s="293">
        <v>1</v>
      </c>
      <c r="K35" s="186" t="s">
        <v>319</v>
      </c>
      <c r="L35" s="256">
        <v>132</v>
      </c>
      <c r="M35" s="256">
        <v>0</v>
      </c>
      <c r="N35" s="256">
        <v>2</v>
      </c>
      <c r="O35" s="256">
        <v>1</v>
      </c>
    </row>
    <row r="36" spans="1:15" s="69" customFormat="1" ht="75">
      <c r="A36" s="256" t="s">
        <v>217</v>
      </c>
      <c r="B36" s="256" t="s">
        <v>45</v>
      </c>
      <c r="C36" s="256" t="s">
        <v>80</v>
      </c>
      <c r="D36" s="181" t="s">
        <v>320</v>
      </c>
      <c r="E36" s="187">
        <v>109</v>
      </c>
      <c r="F36" s="256">
        <v>1.6946078797985801E-6</v>
      </c>
      <c r="G36" s="181">
        <v>1</v>
      </c>
      <c r="H36" s="279">
        <v>43225</v>
      </c>
      <c r="I36" s="186" t="s">
        <v>321</v>
      </c>
      <c r="J36" s="293">
        <v>1</v>
      </c>
      <c r="K36" s="186" t="s">
        <v>322</v>
      </c>
      <c r="L36" s="256">
        <v>92</v>
      </c>
      <c r="M36" s="256">
        <v>1</v>
      </c>
      <c r="N36" s="256">
        <v>1</v>
      </c>
      <c r="O36" s="256">
        <v>3</v>
      </c>
    </row>
    <row r="37" spans="1:15" s="69" customFormat="1" ht="75">
      <c r="A37" s="256" t="s">
        <v>217</v>
      </c>
      <c r="B37" s="256" t="s">
        <v>45</v>
      </c>
      <c r="C37" s="256" t="s">
        <v>80</v>
      </c>
      <c r="D37" s="186" t="s">
        <v>302</v>
      </c>
      <c r="E37" s="187">
        <v>116</v>
      </c>
      <c r="F37" s="256">
        <v>1.26787846888021E-9</v>
      </c>
      <c r="G37" s="181">
        <v>1</v>
      </c>
      <c r="H37" s="279">
        <v>43222</v>
      </c>
      <c r="I37" s="186" t="s">
        <v>323</v>
      </c>
      <c r="J37" s="293">
        <v>0</v>
      </c>
      <c r="K37" s="186" t="s">
        <v>324</v>
      </c>
      <c r="L37" s="256">
        <v>67</v>
      </c>
      <c r="M37" s="256">
        <v>1</v>
      </c>
      <c r="N37" s="256">
        <v>1</v>
      </c>
      <c r="O37" s="256">
        <v>5</v>
      </c>
    </row>
    <row r="38" spans="1:15" s="69" customFormat="1" ht="75">
      <c r="A38" s="256" t="s">
        <v>217</v>
      </c>
      <c r="B38" s="256" t="s">
        <v>59</v>
      </c>
      <c r="C38" s="256" t="s">
        <v>46</v>
      </c>
      <c r="D38" s="186" t="s">
        <v>325</v>
      </c>
      <c r="E38" s="187">
        <v>49</v>
      </c>
      <c r="F38" s="256">
        <v>4.76268501057866E-2</v>
      </c>
      <c r="G38" s="181">
        <v>1</v>
      </c>
      <c r="H38" s="279">
        <v>43220</v>
      </c>
      <c r="I38" s="186" t="s">
        <v>327</v>
      </c>
      <c r="J38" s="293">
        <v>1</v>
      </c>
      <c r="K38" s="186" t="s">
        <v>328</v>
      </c>
      <c r="L38" s="256">
        <v>98</v>
      </c>
      <c r="M38" s="256">
        <v>2</v>
      </c>
      <c r="N38" s="256">
        <v>1</v>
      </c>
      <c r="O38" s="256">
        <v>3</v>
      </c>
    </row>
    <row r="39" spans="1:15" s="69" customFormat="1" ht="90">
      <c r="A39" s="256" t="s">
        <v>217</v>
      </c>
      <c r="B39" s="256" t="s">
        <v>45</v>
      </c>
      <c r="C39" s="256" t="s">
        <v>80</v>
      </c>
      <c r="D39" s="186" t="s">
        <v>180</v>
      </c>
      <c r="E39" s="187">
        <v>57</v>
      </c>
      <c r="F39" s="256">
        <v>6.5870618304142404E-4</v>
      </c>
      <c r="G39" s="181">
        <v>1</v>
      </c>
      <c r="H39" s="279">
        <v>43220</v>
      </c>
      <c r="I39" s="186" t="s">
        <v>329</v>
      </c>
      <c r="J39" s="293">
        <v>0</v>
      </c>
      <c r="K39" s="186" t="s">
        <v>330</v>
      </c>
      <c r="L39" s="256">
        <v>114</v>
      </c>
      <c r="M39" s="256">
        <v>0</v>
      </c>
      <c r="N39" s="256">
        <v>1</v>
      </c>
      <c r="O39" s="256">
        <v>3</v>
      </c>
    </row>
    <row r="40" spans="1:15" s="69" customFormat="1" ht="105">
      <c r="A40" s="256" t="s">
        <v>217</v>
      </c>
      <c r="B40" s="256" t="s">
        <v>45</v>
      </c>
      <c r="C40" s="256" t="s">
        <v>46</v>
      </c>
      <c r="D40" s="186" t="s">
        <v>331</v>
      </c>
      <c r="E40" s="187">
        <v>175</v>
      </c>
      <c r="F40" s="256">
        <v>0.98101752350901805</v>
      </c>
      <c r="G40" s="181">
        <v>1</v>
      </c>
      <c r="H40" s="291">
        <v>43202</v>
      </c>
      <c r="I40" s="186" t="s">
        <v>332</v>
      </c>
      <c r="J40" s="293">
        <v>1</v>
      </c>
      <c r="K40" s="186" t="s">
        <v>333</v>
      </c>
      <c r="L40" s="256">
        <v>103</v>
      </c>
      <c r="M40" s="256">
        <v>1</v>
      </c>
      <c r="N40" s="256">
        <v>1</v>
      </c>
      <c r="O40" s="256">
        <v>14</v>
      </c>
    </row>
    <row r="41" spans="1:15" s="69" customFormat="1" ht="75">
      <c r="A41" s="256" t="s">
        <v>217</v>
      </c>
      <c r="B41" s="256" t="s">
        <v>45</v>
      </c>
      <c r="C41" s="256" t="s">
        <v>46</v>
      </c>
      <c r="D41" s="186" t="s">
        <v>334</v>
      </c>
      <c r="E41" s="187">
        <v>122</v>
      </c>
      <c r="F41" s="256">
        <v>0.188904627290338</v>
      </c>
      <c r="G41" s="181">
        <v>1</v>
      </c>
      <c r="H41" s="279">
        <v>43201</v>
      </c>
      <c r="I41" s="186" t="s">
        <v>335</v>
      </c>
      <c r="J41" s="293">
        <v>1</v>
      </c>
      <c r="K41" s="186" t="s">
        <v>336</v>
      </c>
      <c r="L41" s="256">
        <v>55</v>
      </c>
      <c r="M41" s="256">
        <v>1</v>
      </c>
      <c r="N41" s="256">
        <v>1</v>
      </c>
      <c r="O41" s="256">
        <v>5</v>
      </c>
    </row>
    <row r="42" spans="1:15" s="69" customFormat="1" ht="105">
      <c r="A42" s="256" t="s">
        <v>217</v>
      </c>
      <c r="B42" s="256" t="s">
        <v>45</v>
      </c>
      <c r="C42" s="256" t="s">
        <v>80</v>
      </c>
      <c r="D42" s="186" t="s">
        <v>200</v>
      </c>
      <c r="E42" s="187">
        <v>65</v>
      </c>
      <c r="F42" s="256">
        <v>5.5782840552298702E-6</v>
      </c>
      <c r="G42" s="181">
        <v>1</v>
      </c>
      <c r="H42" s="279">
        <v>43193</v>
      </c>
      <c r="I42" s="186" t="s">
        <v>337</v>
      </c>
      <c r="J42" s="293">
        <v>0</v>
      </c>
      <c r="K42" s="186" t="s">
        <v>338</v>
      </c>
      <c r="L42" s="256">
        <v>159</v>
      </c>
      <c r="M42" s="256">
        <v>0</v>
      </c>
      <c r="N42" s="256">
        <v>2</v>
      </c>
      <c r="O42" s="256">
        <v>5</v>
      </c>
    </row>
    <row r="43" spans="1:15" s="69" customFormat="1" ht="105">
      <c r="A43" s="256" t="s">
        <v>217</v>
      </c>
      <c r="B43" s="256" t="s">
        <v>45</v>
      </c>
      <c r="C43" s="256" t="s">
        <v>80</v>
      </c>
      <c r="D43" s="186" t="s">
        <v>159</v>
      </c>
      <c r="E43" s="187">
        <v>98</v>
      </c>
      <c r="F43" s="256">
        <v>4.4428421083209102E-6</v>
      </c>
      <c r="G43" s="181">
        <v>1</v>
      </c>
      <c r="H43" s="279">
        <v>43186</v>
      </c>
      <c r="I43" s="186" t="s">
        <v>339</v>
      </c>
      <c r="J43" s="293">
        <v>0</v>
      </c>
      <c r="K43" s="186" t="s">
        <v>340</v>
      </c>
      <c r="L43" s="256">
        <v>155</v>
      </c>
      <c r="M43" s="256">
        <v>0</v>
      </c>
      <c r="N43" s="256">
        <v>2</v>
      </c>
      <c r="O43" s="256">
        <v>4</v>
      </c>
    </row>
    <row r="44" spans="1:15" s="69" customFormat="1" ht="75">
      <c r="A44" s="256" t="s">
        <v>217</v>
      </c>
      <c r="B44" s="256" t="s">
        <v>45</v>
      </c>
      <c r="C44" s="256" t="s">
        <v>80</v>
      </c>
      <c r="D44" s="186" t="s">
        <v>159</v>
      </c>
      <c r="E44" s="187">
        <v>45</v>
      </c>
      <c r="F44" s="256">
        <v>3.6690936512048201E-3</v>
      </c>
      <c r="G44" s="181">
        <v>1</v>
      </c>
      <c r="H44" s="279">
        <v>43186</v>
      </c>
      <c r="I44" s="186" t="s">
        <v>341</v>
      </c>
      <c r="J44" s="293">
        <v>0</v>
      </c>
      <c r="K44" s="186" t="s">
        <v>342</v>
      </c>
      <c r="L44" s="256">
        <v>91</v>
      </c>
      <c r="M44" s="256">
        <v>0</v>
      </c>
      <c r="N44" s="256">
        <v>2</v>
      </c>
      <c r="O44" s="256">
        <v>2</v>
      </c>
    </row>
    <row r="45" spans="1:15" s="69" customFormat="1" ht="105">
      <c r="A45" s="256" t="s">
        <v>217</v>
      </c>
      <c r="B45" s="256" t="s">
        <v>45</v>
      </c>
      <c r="C45" s="256" t="s">
        <v>46</v>
      </c>
      <c r="D45" s="186" t="s">
        <v>343</v>
      </c>
      <c r="E45" s="187">
        <v>126</v>
      </c>
      <c r="F45" s="256">
        <v>5.6574321521130099E-4</v>
      </c>
      <c r="G45" s="181">
        <v>0</v>
      </c>
      <c r="H45" s="279">
        <v>43186</v>
      </c>
      <c r="I45" s="186" t="s">
        <v>344</v>
      </c>
      <c r="J45" s="293">
        <v>0</v>
      </c>
      <c r="K45" s="296" t="s">
        <v>345</v>
      </c>
      <c r="L45" s="256">
        <v>153</v>
      </c>
      <c r="M45" s="256">
        <v>0</v>
      </c>
      <c r="N45" s="256">
        <v>2</v>
      </c>
      <c r="O45" s="256">
        <v>2</v>
      </c>
    </row>
    <row r="46" spans="1:15" s="69" customFormat="1" ht="105">
      <c r="A46" s="256" t="s">
        <v>217</v>
      </c>
      <c r="B46" s="256" t="s">
        <v>45</v>
      </c>
      <c r="C46" s="256" t="s">
        <v>80</v>
      </c>
      <c r="D46" s="186" t="s">
        <v>305</v>
      </c>
      <c r="E46" s="187">
        <v>157</v>
      </c>
      <c r="F46" s="256">
        <v>1.9706005716102498E-9</v>
      </c>
      <c r="G46" s="181">
        <v>1</v>
      </c>
      <c r="H46" s="279">
        <v>43183</v>
      </c>
      <c r="I46" s="186" t="s">
        <v>346</v>
      </c>
      <c r="J46" s="293">
        <v>0</v>
      </c>
      <c r="K46" s="181" t="s">
        <v>346</v>
      </c>
      <c r="L46" s="256">
        <v>157</v>
      </c>
      <c r="M46" s="256">
        <v>0</v>
      </c>
      <c r="N46" s="256">
        <v>2</v>
      </c>
      <c r="O46" s="256">
        <v>5</v>
      </c>
    </row>
    <row r="47" spans="1:15" s="69" customFormat="1" ht="135">
      <c r="A47" s="256" t="s">
        <v>217</v>
      </c>
      <c r="B47" s="256" t="s">
        <v>45</v>
      </c>
      <c r="C47" s="256" t="s">
        <v>46</v>
      </c>
      <c r="D47" s="186" t="s">
        <v>347</v>
      </c>
      <c r="E47" s="187">
        <v>254</v>
      </c>
      <c r="F47" s="256">
        <v>1.03478559054793E-10</v>
      </c>
      <c r="G47" s="181">
        <v>1</v>
      </c>
      <c r="H47" s="279">
        <v>43181</v>
      </c>
      <c r="I47" s="186" t="s">
        <v>4355</v>
      </c>
      <c r="J47" s="293">
        <v>1</v>
      </c>
      <c r="K47" s="186" t="s">
        <v>349</v>
      </c>
      <c r="L47" s="256">
        <v>26</v>
      </c>
      <c r="M47" s="256">
        <v>0</v>
      </c>
      <c r="N47" s="256">
        <v>1</v>
      </c>
      <c r="O47" s="256">
        <v>13</v>
      </c>
    </row>
    <row r="48" spans="1:15" s="69" customFormat="1" ht="60">
      <c r="A48" s="256" t="s">
        <v>217</v>
      </c>
      <c r="B48" s="256" t="s">
        <v>45</v>
      </c>
      <c r="C48" s="256" t="s">
        <v>46</v>
      </c>
      <c r="D48" s="186" t="s">
        <v>350</v>
      </c>
      <c r="E48" s="187">
        <v>108</v>
      </c>
      <c r="F48" s="256">
        <v>0.48677289961811299</v>
      </c>
      <c r="G48" s="181">
        <v>0</v>
      </c>
      <c r="H48" s="279">
        <v>43179</v>
      </c>
      <c r="I48" s="186" t="s">
        <v>351</v>
      </c>
      <c r="J48" s="293">
        <v>1</v>
      </c>
      <c r="K48" s="186" t="s">
        <v>352</v>
      </c>
      <c r="L48" s="256">
        <v>78</v>
      </c>
      <c r="M48" s="256">
        <v>1</v>
      </c>
      <c r="N48" s="256">
        <v>1</v>
      </c>
      <c r="O48" s="256">
        <v>3</v>
      </c>
    </row>
    <row r="49" spans="1:15" s="69" customFormat="1" ht="105">
      <c r="A49" s="256" t="s">
        <v>217</v>
      </c>
      <c r="B49" s="256" t="s">
        <v>45</v>
      </c>
      <c r="C49" s="256" t="s">
        <v>46</v>
      </c>
      <c r="D49" s="186" t="s">
        <v>353</v>
      </c>
      <c r="E49" s="187">
        <v>189</v>
      </c>
      <c r="F49" s="256">
        <v>0.55565248685721302</v>
      </c>
      <c r="G49" s="181">
        <v>1</v>
      </c>
      <c r="H49" s="279">
        <v>43166</v>
      </c>
      <c r="I49" s="186" t="s">
        <v>4356</v>
      </c>
      <c r="J49" s="293">
        <v>0</v>
      </c>
      <c r="K49" s="186" t="s">
        <v>355</v>
      </c>
      <c r="L49" s="256">
        <v>141</v>
      </c>
      <c r="M49" s="256">
        <v>0</v>
      </c>
      <c r="N49" s="256">
        <v>2</v>
      </c>
      <c r="O49" s="256">
        <v>6</v>
      </c>
    </row>
    <row r="50" spans="1:15" s="69" customFormat="1" ht="45">
      <c r="A50" s="256" t="s">
        <v>217</v>
      </c>
      <c r="B50" s="256" t="s">
        <v>45</v>
      </c>
      <c r="C50" s="256" t="s">
        <v>80</v>
      </c>
      <c r="D50" s="186" t="s">
        <v>180</v>
      </c>
      <c r="E50" s="187">
        <v>53</v>
      </c>
      <c r="F50" s="256">
        <v>5.6882206869999098E-2</v>
      </c>
      <c r="G50" s="181">
        <v>0</v>
      </c>
      <c r="H50" s="279">
        <v>43125</v>
      </c>
      <c r="I50" s="186" t="s">
        <v>356</v>
      </c>
      <c r="J50" s="293">
        <v>0</v>
      </c>
      <c r="K50" s="186" t="s">
        <v>357</v>
      </c>
      <c r="L50" s="256">
        <v>54</v>
      </c>
      <c r="M50" s="256">
        <v>0</v>
      </c>
      <c r="N50" s="256">
        <v>1</v>
      </c>
      <c r="O50" s="256">
        <v>5</v>
      </c>
    </row>
    <row r="51" spans="1:15" s="69" customFormat="1" ht="90">
      <c r="A51" s="256" t="s">
        <v>217</v>
      </c>
      <c r="B51" s="256" t="s">
        <v>45</v>
      </c>
      <c r="C51" s="256" t="s">
        <v>80</v>
      </c>
      <c r="D51" s="186" t="s">
        <v>359</v>
      </c>
      <c r="E51" s="187">
        <v>91</v>
      </c>
      <c r="F51" s="256">
        <v>8.1805786450074303E-3</v>
      </c>
      <c r="G51" s="181">
        <v>0</v>
      </c>
      <c r="H51" s="279">
        <v>43119</v>
      </c>
      <c r="I51" s="186" t="s">
        <v>360</v>
      </c>
      <c r="J51" s="293">
        <v>0</v>
      </c>
      <c r="K51" s="186" t="s">
        <v>361</v>
      </c>
      <c r="L51" s="256">
        <v>134</v>
      </c>
      <c r="M51" s="256">
        <v>0</v>
      </c>
      <c r="N51" s="256">
        <v>1</v>
      </c>
      <c r="O51" s="256">
        <v>5</v>
      </c>
    </row>
    <row r="52" spans="1:15" s="69" customFormat="1" ht="105">
      <c r="A52" s="256" t="s">
        <v>217</v>
      </c>
      <c r="B52" s="256" t="s">
        <v>45</v>
      </c>
      <c r="C52" s="256" t="s">
        <v>80</v>
      </c>
      <c r="D52" s="181" t="s">
        <v>359</v>
      </c>
      <c r="E52" s="187">
        <v>67</v>
      </c>
      <c r="F52" s="256">
        <v>6.5349065237030297E-5</v>
      </c>
      <c r="G52" s="181">
        <v>1</v>
      </c>
      <c r="H52" s="279">
        <v>43096</v>
      </c>
      <c r="I52" s="186" t="s">
        <v>362</v>
      </c>
      <c r="J52" s="293">
        <v>0</v>
      </c>
      <c r="K52" s="186" t="s">
        <v>363</v>
      </c>
      <c r="L52" s="256">
        <v>160</v>
      </c>
      <c r="M52" s="256">
        <v>0</v>
      </c>
      <c r="N52" s="256">
        <v>1</v>
      </c>
      <c r="O52" s="256">
        <v>2</v>
      </c>
    </row>
    <row r="53" spans="1:15" s="69" customFormat="1" ht="75">
      <c r="A53" s="256" t="s">
        <v>217</v>
      </c>
      <c r="B53" s="256" t="s">
        <v>45</v>
      </c>
      <c r="C53" s="256" t="s">
        <v>80</v>
      </c>
      <c r="D53" s="181" t="s">
        <v>364</v>
      </c>
      <c r="E53" s="187">
        <v>48</v>
      </c>
      <c r="F53" s="256">
        <v>0.31797587836458702</v>
      </c>
      <c r="G53" s="181">
        <v>1</v>
      </c>
      <c r="H53" s="291">
        <v>43089</v>
      </c>
      <c r="I53" s="181" t="s">
        <v>365</v>
      </c>
      <c r="J53" s="288">
        <v>0</v>
      </c>
      <c r="K53" s="186" t="s">
        <v>366</v>
      </c>
      <c r="L53" s="256">
        <v>102</v>
      </c>
      <c r="M53" s="256">
        <v>0</v>
      </c>
      <c r="N53" s="256">
        <v>1</v>
      </c>
      <c r="O53" s="256">
        <v>5</v>
      </c>
    </row>
    <row r="54" spans="1:15" s="69" customFormat="1" ht="120">
      <c r="A54" s="256" t="s">
        <v>217</v>
      </c>
      <c r="B54" s="256" t="s">
        <v>45</v>
      </c>
      <c r="C54" s="256" t="s">
        <v>80</v>
      </c>
      <c r="D54" s="186" t="s">
        <v>293</v>
      </c>
      <c r="E54" s="187">
        <v>113</v>
      </c>
      <c r="F54" s="256">
        <v>2.3780568748632602E-6</v>
      </c>
      <c r="G54" s="181">
        <v>1</v>
      </c>
      <c r="H54" s="279">
        <v>43089</v>
      </c>
      <c r="I54" s="186" t="s">
        <v>367</v>
      </c>
      <c r="J54" s="293">
        <v>0</v>
      </c>
      <c r="K54" s="186" t="s">
        <v>368</v>
      </c>
      <c r="L54" s="256">
        <v>184</v>
      </c>
      <c r="M54" s="256">
        <v>0</v>
      </c>
      <c r="N54" s="256">
        <v>1</v>
      </c>
      <c r="O54" s="256">
        <v>2</v>
      </c>
    </row>
    <row r="55" spans="1:15" s="69" customFormat="1" ht="90">
      <c r="A55" s="256" t="s">
        <v>217</v>
      </c>
      <c r="B55" s="256" t="s">
        <v>45</v>
      </c>
      <c r="C55" s="256" t="s">
        <v>46</v>
      </c>
      <c r="D55" s="186" t="s">
        <v>369</v>
      </c>
      <c r="E55" s="187">
        <v>89</v>
      </c>
      <c r="F55" s="256">
        <v>1.6031741896728301E-2</v>
      </c>
      <c r="G55" s="181">
        <v>1</v>
      </c>
      <c r="H55" s="279">
        <v>43087</v>
      </c>
      <c r="I55" s="186" t="s">
        <v>370</v>
      </c>
      <c r="J55" s="293">
        <v>0</v>
      </c>
      <c r="K55" s="186" t="s">
        <v>371</v>
      </c>
      <c r="L55" s="256">
        <v>142</v>
      </c>
      <c r="M55" s="256">
        <v>0</v>
      </c>
      <c r="N55" s="256">
        <v>1</v>
      </c>
      <c r="O55" s="256">
        <v>2</v>
      </c>
    </row>
    <row r="56" spans="1:15" s="69" customFormat="1" ht="90">
      <c r="A56" s="256" t="s">
        <v>217</v>
      </c>
      <c r="B56" s="256" t="s">
        <v>45</v>
      </c>
      <c r="C56" s="256" t="s">
        <v>80</v>
      </c>
      <c r="D56" s="186" t="s">
        <v>159</v>
      </c>
      <c r="E56" s="187">
        <v>39</v>
      </c>
      <c r="F56" s="256">
        <v>1.7012216834531801E-2</v>
      </c>
      <c r="G56" s="181">
        <v>1</v>
      </c>
      <c r="H56" s="279">
        <v>43085</v>
      </c>
      <c r="I56" s="186" t="s">
        <v>372</v>
      </c>
      <c r="J56" s="293">
        <v>0</v>
      </c>
      <c r="K56" s="186" t="s">
        <v>371</v>
      </c>
      <c r="L56" s="256">
        <v>142</v>
      </c>
      <c r="M56" s="256">
        <v>0</v>
      </c>
      <c r="N56" s="256">
        <v>1</v>
      </c>
      <c r="O56" s="256">
        <v>4</v>
      </c>
    </row>
    <row r="57" spans="1:15" s="69" customFormat="1" ht="105">
      <c r="A57" s="256" t="s">
        <v>217</v>
      </c>
      <c r="B57" s="256" t="s">
        <v>45</v>
      </c>
      <c r="C57" s="256" t="s">
        <v>80</v>
      </c>
      <c r="D57" s="186" t="s">
        <v>293</v>
      </c>
      <c r="E57" s="187">
        <v>67</v>
      </c>
      <c r="F57" s="256">
        <v>1.58561029783451E-2</v>
      </c>
      <c r="G57" s="181">
        <v>1</v>
      </c>
      <c r="H57" s="279">
        <v>43083</v>
      </c>
      <c r="I57" s="181" t="s">
        <v>373</v>
      </c>
      <c r="J57" s="288">
        <v>0</v>
      </c>
      <c r="K57" s="186" t="s">
        <v>374</v>
      </c>
      <c r="L57" s="256">
        <v>151</v>
      </c>
      <c r="M57" s="256">
        <v>0</v>
      </c>
      <c r="N57" s="256">
        <v>1</v>
      </c>
      <c r="O57" s="256">
        <v>5</v>
      </c>
    </row>
    <row r="58" spans="1:15" s="69" customFormat="1" ht="105">
      <c r="A58" s="256" t="s">
        <v>217</v>
      </c>
      <c r="B58" s="256" t="s">
        <v>45</v>
      </c>
      <c r="C58" s="256" t="s">
        <v>80</v>
      </c>
      <c r="D58" s="186" t="s">
        <v>159</v>
      </c>
      <c r="E58" s="187">
        <v>45</v>
      </c>
      <c r="F58" s="256">
        <v>4.3816004760762299E-2</v>
      </c>
      <c r="G58" s="181">
        <v>1</v>
      </c>
      <c r="H58" s="279">
        <v>43076</v>
      </c>
      <c r="I58" s="186" t="s">
        <v>375</v>
      </c>
      <c r="J58" s="293">
        <v>0</v>
      </c>
      <c r="K58" s="186" t="s">
        <v>376</v>
      </c>
      <c r="L58" s="256">
        <v>157</v>
      </c>
      <c r="M58" s="256">
        <v>0</v>
      </c>
      <c r="N58" s="256">
        <v>1</v>
      </c>
      <c r="O58" s="256">
        <v>5</v>
      </c>
    </row>
    <row r="59" spans="1:15" s="69" customFormat="1" ht="60">
      <c r="A59" s="256" t="s">
        <v>217</v>
      </c>
      <c r="B59" s="256" t="s">
        <v>45</v>
      </c>
      <c r="C59" s="256" t="s">
        <v>46</v>
      </c>
      <c r="D59" s="181" t="s">
        <v>377</v>
      </c>
      <c r="E59" s="187">
        <v>93</v>
      </c>
      <c r="F59" s="256">
        <v>0.16674535871634</v>
      </c>
      <c r="G59" s="181">
        <v>1</v>
      </c>
      <c r="H59" s="279">
        <v>43076</v>
      </c>
      <c r="I59" s="186" t="s">
        <v>378</v>
      </c>
      <c r="J59" s="293">
        <v>1</v>
      </c>
      <c r="K59" s="186" t="s">
        <v>379</v>
      </c>
      <c r="L59" s="256">
        <v>53</v>
      </c>
      <c r="M59" s="256">
        <v>0</v>
      </c>
      <c r="N59" s="256">
        <v>1</v>
      </c>
      <c r="O59" s="256">
        <v>4</v>
      </c>
    </row>
    <row r="60" spans="1:15" s="69" customFormat="1" ht="105">
      <c r="A60" s="256" t="s">
        <v>217</v>
      </c>
      <c r="B60" s="256" t="s">
        <v>45</v>
      </c>
      <c r="C60" s="256" t="s">
        <v>80</v>
      </c>
      <c r="D60" s="186" t="s">
        <v>359</v>
      </c>
      <c r="E60" s="187">
        <v>41</v>
      </c>
      <c r="F60" s="256">
        <v>2.3050952351135499E-2</v>
      </c>
      <c r="G60" s="181">
        <v>1</v>
      </c>
      <c r="H60" s="279">
        <v>43066</v>
      </c>
      <c r="I60" s="186" t="s">
        <v>380</v>
      </c>
      <c r="J60" s="293">
        <v>0</v>
      </c>
      <c r="K60" s="181" t="s">
        <v>381</v>
      </c>
      <c r="L60" s="256">
        <v>161</v>
      </c>
      <c r="M60" s="256">
        <v>0</v>
      </c>
      <c r="N60" s="256">
        <v>1</v>
      </c>
      <c r="O60" s="256">
        <v>3</v>
      </c>
    </row>
    <row r="61" spans="1:15" s="69" customFormat="1" ht="90">
      <c r="A61" s="256" t="s">
        <v>217</v>
      </c>
      <c r="B61" s="256" t="s">
        <v>45</v>
      </c>
      <c r="C61" s="256" t="s">
        <v>46</v>
      </c>
      <c r="D61" s="186" t="s">
        <v>382</v>
      </c>
      <c r="E61" s="187">
        <v>151</v>
      </c>
      <c r="F61" s="256">
        <v>3.0856344905672001E-4</v>
      </c>
      <c r="G61" s="181">
        <v>0</v>
      </c>
      <c r="H61" s="279">
        <v>43053</v>
      </c>
      <c r="I61" s="186" t="s">
        <v>383</v>
      </c>
      <c r="J61" s="293">
        <v>0</v>
      </c>
      <c r="K61" s="186" t="s">
        <v>384</v>
      </c>
      <c r="L61" s="256">
        <v>136</v>
      </c>
      <c r="M61" s="256">
        <v>0</v>
      </c>
      <c r="N61" s="256">
        <v>1</v>
      </c>
      <c r="O61" s="256">
        <v>2</v>
      </c>
    </row>
    <row r="62" spans="1:15" s="69" customFormat="1" ht="60">
      <c r="A62" s="256" t="s">
        <v>217</v>
      </c>
      <c r="B62" s="256" t="s">
        <v>45</v>
      </c>
      <c r="C62" s="256" t="s">
        <v>80</v>
      </c>
      <c r="D62" s="186" t="s">
        <v>159</v>
      </c>
      <c r="E62" s="187">
        <v>42</v>
      </c>
      <c r="F62" s="256">
        <v>6.33482398890408E-2</v>
      </c>
      <c r="G62" s="181">
        <v>1</v>
      </c>
      <c r="H62" s="279">
        <v>43051</v>
      </c>
      <c r="I62" s="186" t="s">
        <v>385</v>
      </c>
      <c r="J62" s="293">
        <v>0</v>
      </c>
      <c r="K62" s="186" t="s">
        <v>386</v>
      </c>
      <c r="L62" s="256">
        <v>73</v>
      </c>
      <c r="M62" s="256">
        <v>1</v>
      </c>
      <c r="N62" s="256">
        <v>1</v>
      </c>
      <c r="O62" s="256">
        <v>2</v>
      </c>
    </row>
    <row r="63" spans="1:15" s="69" customFormat="1" ht="105">
      <c r="A63" s="256" t="s">
        <v>217</v>
      </c>
      <c r="B63" s="256" t="s">
        <v>45</v>
      </c>
      <c r="C63" s="256" t="s">
        <v>46</v>
      </c>
      <c r="D63" s="186" t="s">
        <v>387</v>
      </c>
      <c r="E63" s="187">
        <v>42</v>
      </c>
      <c r="F63" s="256">
        <v>0.60357537890861601</v>
      </c>
      <c r="G63" s="181">
        <v>1</v>
      </c>
      <c r="H63" s="279">
        <v>43030</v>
      </c>
      <c r="I63" s="186" t="s">
        <v>388</v>
      </c>
      <c r="J63" s="293">
        <v>0</v>
      </c>
      <c r="K63" s="186" t="s">
        <v>389</v>
      </c>
      <c r="L63" s="256">
        <v>163</v>
      </c>
      <c r="M63" s="256">
        <v>0</v>
      </c>
      <c r="N63" s="256">
        <v>2</v>
      </c>
      <c r="O63" s="256">
        <v>3</v>
      </c>
    </row>
    <row r="64" spans="1:15" s="69" customFormat="1" ht="45">
      <c r="A64" s="256" t="s">
        <v>217</v>
      </c>
      <c r="B64" s="256" t="s">
        <v>45</v>
      </c>
      <c r="C64" s="256" t="s">
        <v>80</v>
      </c>
      <c r="D64" s="186" t="s">
        <v>359</v>
      </c>
      <c r="E64" s="187">
        <v>76</v>
      </c>
      <c r="F64" s="256">
        <v>1.9873238727430301E-5</v>
      </c>
      <c r="G64" s="181">
        <v>1</v>
      </c>
      <c r="H64" s="279">
        <v>43026</v>
      </c>
      <c r="I64" s="186" t="s">
        <v>390</v>
      </c>
      <c r="J64" s="293">
        <v>0</v>
      </c>
      <c r="K64" s="186" t="s">
        <v>391</v>
      </c>
      <c r="L64" s="256">
        <v>49</v>
      </c>
      <c r="M64" s="256">
        <v>0</v>
      </c>
      <c r="N64" s="256">
        <v>1</v>
      </c>
      <c r="O64" s="256">
        <v>1</v>
      </c>
    </row>
    <row r="65" spans="1:15" s="69" customFormat="1" ht="45">
      <c r="A65" s="256" t="s">
        <v>217</v>
      </c>
      <c r="B65" s="256" t="s">
        <v>45</v>
      </c>
      <c r="C65" s="256" t="s">
        <v>46</v>
      </c>
      <c r="D65" s="186" t="s">
        <v>180</v>
      </c>
      <c r="E65" s="187">
        <v>39</v>
      </c>
      <c r="F65" s="256">
        <v>9.0123843788567998E-2</v>
      </c>
      <c r="G65" s="181">
        <v>1</v>
      </c>
      <c r="H65" s="279">
        <v>43025</v>
      </c>
      <c r="I65" s="186" t="s">
        <v>392</v>
      </c>
      <c r="J65" s="293">
        <v>0</v>
      </c>
      <c r="K65" s="186" t="s">
        <v>393</v>
      </c>
      <c r="L65" s="256">
        <v>57</v>
      </c>
      <c r="M65" s="256">
        <v>0</v>
      </c>
      <c r="N65" s="256">
        <v>1</v>
      </c>
      <c r="O65" s="256">
        <v>9</v>
      </c>
    </row>
    <row r="66" spans="1:15" s="69" customFormat="1" ht="105">
      <c r="A66" s="256" t="s">
        <v>217</v>
      </c>
      <c r="B66" s="256" t="s">
        <v>45</v>
      </c>
      <c r="C66" s="256" t="s">
        <v>46</v>
      </c>
      <c r="D66" s="186" t="s">
        <v>394</v>
      </c>
      <c r="E66" s="187">
        <v>187</v>
      </c>
      <c r="F66" s="256">
        <v>1.42571870709318E-5</v>
      </c>
      <c r="G66" s="181">
        <v>0</v>
      </c>
      <c r="H66" s="279">
        <v>43021</v>
      </c>
      <c r="I66" s="186" t="s">
        <v>395</v>
      </c>
      <c r="J66" s="293">
        <v>0</v>
      </c>
      <c r="K66" s="181" t="s">
        <v>396</v>
      </c>
      <c r="L66" s="256">
        <v>160</v>
      </c>
      <c r="M66" s="256">
        <v>0</v>
      </c>
      <c r="N66" s="256">
        <v>2</v>
      </c>
      <c r="O66" s="256">
        <v>3</v>
      </c>
    </row>
    <row r="67" spans="1:15" s="69" customFormat="1" ht="90">
      <c r="A67" s="256" t="s">
        <v>217</v>
      </c>
      <c r="B67" s="256" t="s">
        <v>45</v>
      </c>
      <c r="C67" s="256" t="s">
        <v>80</v>
      </c>
      <c r="D67" s="186" t="s">
        <v>359</v>
      </c>
      <c r="E67" s="187">
        <v>39</v>
      </c>
      <c r="F67" s="256">
        <v>1.37398263836186E-4</v>
      </c>
      <c r="G67" s="181">
        <v>1</v>
      </c>
      <c r="H67" s="279">
        <v>43021</v>
      </c>
      <c r="I67" s="186" t="s">
        <v>397</v>
      </c>
      <c r="J67" s="293">
        <v>0</v>
      </c>
      <c r="K67" s="186" t="s">
        <v>398</v>
      </c>
      <c r="L67" s="256">
        <v>115</v>
      </c>
      <c r="M67" s="256">
        <v>0</v>
      </c>
      <c r="N67" s="256">
        <v>1</v>
      </c>
      <c r="O67" s="256">
        <v>6</v>
      </c>
    </row>
    <row r="68" spans="1:15" s="69" customFormat="1" ht="90">
      <c r="A68" s="256" t="s">
        <v>217</v>
      </c>
      <c r="B68" s="256" t="s">
        <v>45</v>
      </c>
      <c r="C68" s="256" t="s">
        <v>46</v>
      </c>
      <c r="D68" s="186" t="s">
        <v>399</v>
      </c>
      <c r="E68" s="187">
        <v>151</v>
      </c>
      <c r="F68" s="256">
        <v>1.9760579893501901E-6</v>
      </c>
      <c r="G68" s="181">
        <v>1</v>
      </c>
      <c r="H68" s="279">
        <v>43020</v>
      </c>
      <c r="I68" s="186" t="s">
        <v>400</v>
      </c>
      <c r="J68" s="293">
        <v>0</v>
      </c>
      <c r="K68" s="186" t="s">
        <v>401</v>
      </c>
      <c r="L68" s="256">
        <v>54</v>
      </c>
      <c r="M68" s="256">
        <v>0</v>
      </c>
      <c r="N68" s="256">
        <v>1</v>
      </c>
      <c r="O68" s="256">
        <v>12</v>
      </c>
    </row>
    <row r="69" spans="1:15" s="69" customFormat="1" ht="105">
      <c r="A69" s="256" t="s">
        <v>217</v>
      </c>
      <c r="B69" s="256" t="s">
        <v>45</v>
      </c>
      <c r="C69" s="256" t="s">
        <v>46</v>
      </c>
      <c r="D69" s="181" t="s">
        <v>402</v>
      </c>
      <c r="E69" s="187">
        <v>95</v>
      </c>
      <c r="F69" s="256">
        <v>3.6935481509553498E-3</v>
      </c>
      <c r="G69" s="181">
        <v>1</v>
      </c>
      <c r="H69" s="279">
        <v>43019</v>
      </c>
      <c r="I69" s="186" t="s">
        <v>403</v>
      </c>
      <c r="J69" s="293">
        <v>0</v>
      </c>
      <c r="K69" s="186" t="s">
        <v>404</v>
      </c>
      <c r="L69" s="256">
        <v>160</v>
      </c>
      <c r="M69" s="256">
        <v>0</v>
      </c>
      <c r="N69" s="256">
        <v>1</v>
      </c>
      <c r="O69" s="256">
        <v>5</v>
      </c>
    </row>
    <row r="70" spans="1:15" s="69" customFormat="1" ht="45">
      <c r="A70" s="256" t="s">
        <v>217</v>
      </c>
      <c r="B70" s="256" t="s">
        <v>45</v>
      </c>
      <c r="C70" s="256" t="s">
        <v>80</v>
      </c>
      <c r="D70" s="186" t="s">
        <v>180</v>
      </c>
      <c r="E70" s="187">
        <v>55</v>
      </c>
      <c r="F70" s="256">
        <v>4.5783299716939403E-5</v>
      </c>
      <c r="G70" s="181">
        <v>1</v>
      </c>
      <c r="H70" s="279">
        <v>43018</v>
      </c>
      <c r="I70" s="186" t="s">
        <v>405</v>
      </c>
      <c r="J70" s="293">
        <v>0</v>
      </c>
      <c r="K70" s="186" t="s">
        <v>406</v>
      </c>
      <c r="L70" s="256">
        <v>51</v>
      </c>
      <c r="M70" s="256">
        <v>0</v>
      </c>
      <c r="N70" s="256">
        <v>1</v>
      </c>
      <c r="O70" s="256">
        <v>1</v>
      </c>
    </row>
    <row r="71" spans="1:15" s="69" customFormat="1" ht="90">
      <c r="A71" s="256" t="s">
        <v>217</v>
      </c>
      <c r="B71" s="256" t="s">
        <v>45</v>
      </c>
      <c r="C71" s="256" t="s">
        <v>46</v>
      </c>
      <c r="D71" s="181" t="s">
        <v>407</v>
      </c>
      <c r="E71" s="187">
        <v>174</v>
      </c>
      <c r="F71" s="256">
        <v>1.2934777815498701E-7</v>
      </c>
      <c r="G71" s="181">
        <v>1</v>
      </c>
      <c r="H71" s="279">
        <v>43017</v>
      </c>
      <c r="I71" s="186" t="s">
        <v>408</v>
      </c>
      <c r="J71" s="293">
        <v>0</v>
      </c>
      <c r="K71" s="186" t="s">
        <v>409</v>
      </c>
      <c r="L71" s="256">
        <v>66</v>
      </c>
      <c r="M71" s="256">
        <v>0</v>
      </c>
      <c r="N71" s="256">
        <v>1</v>
      </c>
      <c r="O71" s="256">
        <v>1</v>
      </c>
    </row>
    <row r="72" spans="1:15" s="69" customFormat="1" ht="60">
      <c r="A72" s="256" t="s">
        <v>217</v>
      </c>
      <c r="B72" s="256" t="s">
        <v>45</v>
      </c>
      <c r="C72" s="256" t="s">
        <v>80</v>
      </c>
      <c r="D72" s="186" t="s">
        <v>410</v>
      </c>
      <c r="E72" s="187">
        <v>75</v>
      </c>
      <c r="F72" s="256">
        <v>8.4007304901689795E-4</v>
      </c>
      <c r="G72" s="181">
        <v>1</v>
      </c>
      <c r="H72" s="279">
        <v>43016</v>
      </c>
      <c r="I72" s="186" t="s">
        <v>411</v>
      </c>
      <c r="J72" s="293">
        <v>0</v>
      </c>
      <c r="K72" s="186" t="s">
        <v>412</v>
      </c>
      <c r="L72" s="256">
        <v>90</v>
      </c>
      <c r="M72" s="256">
        <v>0</v>
      </c>
      <c r="N72" s="256">
        <v>1</v>
      </c>
      <c r="O72" s="256">
        <v>3</v>
      </c>
    </row>
    <row r="73" spans="1:15" s="69" customFormat="1" ht="30">
      <c r="A73" s="256" t="s">
        <v>217</v>
      </c>
      <c r="B73" s="256" t="s">
        <v>45</v>
      </c>
      <c r="C73" s="256" t="s">
        <v>80</v>
      </c>
      <c r="D73" s="181" t="s">
        <v>180</v>
      </c>
      <c r="E73" s="187">
        <v>45</v>
      </c>
      <c r="F73" s="256">
        <v>2.3646998034376299E-2</v>
      </c>
      <c r="G73" s="181">
        <v>1</v>
      </c>
      <c r="H73" s="279">
        <v>43013</v>
      </c>
      <c r="I73" s="186" t="s">
        <v>413</v>
      </c>
      <c r="J73" s="293">
        <v>0</v>
      </c>
      <c r="K73" s="186" t="s">
        <v>414</v>
      </c>
      <c r="L73" s="256">
        <v>39</v>
      </c>
      <c r="M73" s="256">
        <v>0</v>
      </c>
      <c r="N73" s="256">
        <v>1</v>
      </c>
      <c r="O73" s="256">
        <v>4</v>
      </c>
    </row>
    <row r="74" spans="1:15" s="69" customFormat="1" ht="90">
      <c r="A74" s="256" t="s">
        <v>217</v>
      </c>
      <c r="B74" s="256" t="s">
        <v>119</v>
      </c>
      <c r="C74" s="256" t="s">
        <v>46</v>
      </c>
      <c r="D74" s="186" t="s">
        <v>415</v>
      </c>
      <c r="E74" s="187">
        <v>138</v>
      </c>
      <c r="F74" s="256">
        <v>0.99995767831135296</v>
      </c>
      <c r="G74" s="181">
        <v>0</v>
      </c>
      <c r="H74" s="279">
        <v>43013</v>
      </c>
      <c r="I74" s="186" t="s">
        <v>416</v>
      </c>
      <c r="J74" s="293">
        <v>1</v>
      </c>
      <c r="K74" s="186" t="s">
        <v>417</v>
      </c>
      <c r="L74" s="256">
        <v>131</v>
      </c>
      <c r="M74" s="256">
        <v>0</v>
      </c>
      <c r="N74" s="256">
        <v>1</v>
      </c>
      <c r="O74" s="256">
        <v>6</v>
      </c>
    </row>
    <row r="75" spans="1:15" s="69" customFormat="1" ht="90">
      <c r="A75" s="256" t="s">
        <v>217</v>
      </c>
      <c r="B75" s="256" t="s">
        <v>45</v>
      </c>
      <c r="C75" s="256" t="s">
        <v>80</v>
      </c>
      <c r="D75" s="186" t="s">
        <v>418</v>
      </c>
      <c r="E75" s="187">
        <v>60</v>
      </c>
      <c r="F75" s="256">
        <v>0.915697248208315</v>
      </c>
      <c r="G75" s="181">
        <v>1</v>
      </c>
      <c r="H75" s="279">
        <v>43007</v>
      </c>
      <c r="I75" s="181" t="s">
        <v>419</v>
      </c>
      <c r="J75" s="288">
        <v>1</v>
      </c>
      <c r="K75" s="186" t="s">
        <v>420</v>
      </c>
      <c r="L75" s="256">
        <v>132</v>
      </c>
      <c r="M75" s="256">
        <v>0</v>
      </c>
      <c r="N75" s="256">
        <v>1</v>
      </c>
      <c r="O75" s="256">
        <v>17</v>
      </c>
    </row>
    <row r="76" spans="1:15" s="69" customFormat="1" ht="30">
      <c r="A76" s="256" t="s">
        <v>217</v>
      </c>
      <c r="B76" s="256" t="s">
        <v>45</v>
      </c>
      <c r="C76" s="256" t="s">
        <v>80</v>
      </c>
      <c r="D76" s="186" t="s">
        <v>359</v>
      </c>
      <c r="E76" s="187">
        <v>42</v>
      </c>
      <c r="F76" s="256">
        <v>3.7603823373253902E-2</v>
      </c>
      <c r="G76" s="181">
        <v>1</v>
      </c>
      <c r="H76" s="279">
        <v>43005</v>
      </c>
      <c r="I76" s="186" t="s">
        <v>421</v>
      </c>
      <c r="J76" s="293">
        <v>0</v>
      </c>
      <c r="K76" s="186" t="s">
        <v>422</v>
      </c>
      <c r="L76" s="256">
        <v>29</v>
      </c>
      <c r="M76" s="256">
        <v>0</v>
      </c>
      <c r="N76" s="256">
        <v>1</v>
      </c>
      <c r="O76" s="256">
        <v>2</v>
      </c>
    </row>
    <row r="77" spans="1:15" s="69" customFormat="1" ht="135">
      <c r="A77" s="256" t="s">
        <v>217</v>
      </c>
      <c r="B77" s="256" t="s">
        <v>45</v>
      </c>
      <c r="C77" s="256" t="s">
        <v>46</v>
      </c>
      <c r="D77" s="186" t="s">
        <v>423</v>
      </c>
      <c r="E77" s="187">
        <v>235</v>
      </c>
      <c r="F77" s="256">
        <v>1.4432899320127E-14</v>
      </c>
      <c r="G77" s="181">
        <v>1</v>
      </c>
      <c r="H77" s="279">
        <v>43005</v>
      </c>
      <c r="I77" s="186" t="s">
        <v>424</v>
      </c>
      <c r="J77" s="293">
        <v>1</v>
      </c>
      <c r="K77" s="186" t="s">
        <v>425</v>
      </c>
      <c r="L77" s="256">
        <v>145</v>
      </c>
      <c r="M77" s="256">
        <v>0</v>
      </c>
      <c r="N77" s="256">
        <v>1</v>
      </c>
      <c r="O77" s="256">
        <v>19</v>
      </c>
    </row>
    <row r="78" spans="1:15" s="69" customFormat="1" ht="30">
      <c r="A78" s="256" t="s">
        <v>217</v>
      </c>
      <c r="B78" s="256" t="s">
        <v>45</v>
      </c>
      <c r="C78" s="256" t="s">
        <v>80</v>
      </c>
      <c r="D78" s="181" t="s">
        <v>180</v>
      </c>
      <c r="E78" s="187">
        <v>34</v>
      </c>
      <c r="F78" s="256">
        <v>2.2156603142141601E-2</v>
      </c>
      <c r="G78" s="181">
        <v>1</v>
      </c>
      <c r="H78" s="279">
        <v>42993</v>
      </c>
      <c r="I78" s="186" t="s">
        <v>426</v>
      </c>
      <c r="J78" s="293">
        <v>0</v>
      </c>
      <c r="K78" s="186" t="s">
        <v>427</v>
      </c>
      <c r="L78" s="256">
        <v>38</v>
      </c>
      <c r="M78" s="256">
        <v>0</v>
      </c>
      <c r="N78" s="256">
        <v>1</v>
      </c>
      <c r="O78" s="256">
        <v>7</v>
      </c>
    </row>
    <row r="79" spans="1:15" s="69" customFormat="1" ht="45">
      <c r="A79" s="256" t="s">
        <v>217</v>
      </c>
      <c r="B79" s="256" t="s">
        <v>45</v>
      </c>
      <c r="C79" s="256" t="s">
        <v>80</v>
      </c>
      <c r="D79" s="181" t="s">
        <v>180</v>
      </c>
      <c r="E79" s="187">
        <v>65</v>
      </c>
      <c r="F79" s="256">
        <v>0.149212682441695</v>
      </c>
      <c r="G79" s="181">
        <v>1</v>
      </c>
      <c r="H79" s="279">
        <v>42991</v>
      </c>
      <c r="I79" s="186" t="s">
        <v>428</v>
      </c>
      <c r="J79" s="293">
        <v>0</v>
      </c>
      <c r="K79" s="186" t="s">
        <v>429</v>
      </c>
      <c r="L79" s="256">
        <v>43</v>
      </c>
      <c r="M79" s="256">
        <v>0</v>
      </c>
      <c r="N79" s="256">
        <v>1</v>
      </c>
      <c r="O79" s="256">
        <v>1</v>
      </c>
    </row>
    <row r="80" spans="1:15" s="69" customFormat="1" ht="328">
      <c r="A80" s="256" t="s">
        <v>217</v>
      </c>
      <c r="B80" s="256" t="s">
        <v>59</v>
      </c>
      <c r="C80" s="256" t="s">
        <v>46</v>
      </c>
      <c r="D80" s="186" t="s">
        <v>430</v>
      </c>
      <c r="E80" s="187">
        <v>218</v>
      </c>
      <c r="F80" s="256">
        <v>0.999942404090434</v>
      </c>
      <c r="G80" s="181">
        <v>1</v>
      </c>
      <c r="H80" s="279">
        <v>42989</v>
      </c>
      <c r="I80" s="186" t="s">
        <v>431</v>
      </c>
      <c r="J80" s="293">
        <v>1</v>
      </c>
      <c r="K80" s="186" t="s">
        <v>4357</v>
      </c>
      <c r="L80" s="256">
        <v>490</v>
      </c>
      <c r="M80" s="256">
        <v>1</v>
      </c>
      <c r="N80" s="256">
        <v>2</v>
      </c>
      <c r="O80" s="256">
        <v>7</v>
      </c>
    </row>
    <row r="81" spans="1:15" s="69" customFormat="1" ht="150">
      <c r="A81" s="256" t="s">
        <v>217</v>
      </c>
      <c r="B81" s="256" t="s">
        <v>59</v>
      </c>
      <c r="C81" s="256" t="s">
        <v>46</v>
      </c>
      <c r="D81" s="181" t="s">
        <v>433</v>
      </c>
      <c r="E81" s="187">
        <v>187</v>
      </c>
      <c r="F81" s="256">
        <v>3.9756335903493598E-3</v>
      </c>
      <c r="G81" s="181">
        <v>1</v>
      </c>
      <c r="H81" s="279">
        <v>42987</v>
      </c>
      <c r="I81" s="186" t="s">
        <v>434</v>
      </c>
      <c r="J81" s="293">
        <v>1</v>
      </c>
      <c r="K81" s="186" t="s">
        <v>435</v>
      </c>
      <c r="L81" s="256">
        <v>153</v>
      </c>
      <c r="M81" s="256">
        <v>0</v>
      </c>
      <c r="N81" s="256">
        <v>1</v>
      </c>
      <c r="O81" s="256">
        <v>2</v>
      </c>
    </row>
    <row r="82" spans="1:15" s="69" customFormat="1" ht="120">
      <c r="A82" s="256" t="s">
        <v>217</v>
      </c>
      <c r="B82" s="256" t="s">
        <v>45</v>
      </c>
      <c r="C82" s="256" t="s">
        <v>46</v>
      </c>
      <c r="D82" s="186" t="s">
        <v>436</v>
      </c>
      <c r="E82" s="187">
        <v>203</v>
      </c>
      <c r="F82" s="256">
        <v>0.999997942140749</v>
      </c>
      <c r="G82" s="181">
        <v>1</v>
      </c>
      <c r="H82" s="279">
        <v>42952</v>
      </c>
      <c r="I82" s="186" t="s">
        <v>437</v>
      </c>
      <c r="J82" s="293">
        <v>1</v>
      </c>
      <c r="K82" s="186" t="s">
        <v>438</v>
      </c>
      <c r="L82" s="256">
        <v>157</v>
      </c>
      <c r="M82" s="256">
        <v>1</v>
      </c>
      <c r="N82" s="256">
        <v>1</v>
      </c>
      <c r="O82" s="256">
        <v>19</v>
      </c>
    </row>
    <row r="83" spans="1:15" s="69" customFormat="1" ht="105">
      <c r="A83" s="256" t="s">
        <v>217</v>
      </c>
      <c r="B83" s="256" t="s">
        <v>45</v>
      </c>
      <c r="C83" s="256" t="s">
        <v>46</v>
      </c>
      <c r="D83" s="186" t="s">
        <v>439</v>
      </c>
      <c r="E83" s="187">
        <v>182</v>
      </c>
      <c r="F83" s="256">
        <v>4.9504116624854399E-6</v>
      </c>
      <c r="G83" s="181">
        <v>1</v>
      </c>
      <c r="H83" s="279">
        <v>42939</v>
      </c>
      <c r="I83" s="186" t="s">
        <v>4358</v>
      </c>
      <c r="J83" s="293">
        <v>0</v>
      </c>
      <c r="K83" s="186" t="s">
        <v>441</v>
      </c>
      <c r="L83" s="256">
        <v>118</v>
      </c>
      <c r="M83" s="256">
        <v>0</v>
      </c>
      <c r="N83" s="256">
        <v>2</v>
      </c>
      <c r="O83" s="256">
        <v>22</v>
      </c>
    </row>
    <row r="84" spans="1:15" s="69" customFormat="1" ht="90">
      <c r="A84" s="256" t="s">
        <v>217</v>
      </c>
      <c r="B84" s="256" t="s">
        <v>119</v>
      </c>
      <c r="C84" s="256" t="s">
        <v>46</v>
      </c>
      <c r="D84" s="181" t="s">
        <v>415</v>
      </c>
      <c r="E84" s="187">
        <v>101</v>
      </c>
      <c r="F84" s="256">
        <v>4.08451452319381E-4</v>
      </c>
      <c r="G84" s="181">
        <v>0</v>
      </c>
      <c r="H84" s="279">
        <v>42933</v>
      </c>
      <c r="I84" s="181" t="s">
        <v>442</v>
      </c>
      <c r="J84" s="288">
        <v>1</v>
      </c>
      <c r="K84" s="186" t="s">
        <v>443</v>
      </c>
      <c r="L84" s="256">
        <v>116</v>
      </c>
      <c r="M84" s="256">
        <v>0</v>
      </c>
      <c r="N84" s="256">
        <v>2</v>
      </c>
      <c r="O84" s="256">
        <v>1</v>
      </c>
    </row>
    <row r="85" spans="1:15" s="69" customFormat="1" ht="135">
      <c r="A85" s="256" t="s">
        <v>217</v>
      </c>
      <c r="B85" s="256" t="s">
        <v>45</v>
      </c>
      <c r="C85" s="256" t="s">
        <v>46</v>
      </c>
      <c r="D85" s="186" t="s">
        <v>444</v>
      </c>
      <c r="E85" s="187">
        <v>174</v>
      </c>
      <c r="F85" s="256">
        <v>0.73472253674644195</v>
      </c>
      <c r="G85" s="181">
        <v>1</v>
      </c>
      <c r="H85" s="279">
        <v>42927</v>
      </c>
      <c r="I85" s="181" t="s">
        <v>445</v>
      </c>
      <c r="J85" s="288">
        <v>1</v>
      </c>
      <c r="K85" s="186" t="s">
        <v>446</v>
      </c>
      <c r="L85" s="256">
        <v>197</v>
      </c>
      <c r="M85" s="256">
        <v>0</v>
      </c>
      <c r="N85" s="256">
        <v>1</v>
      </c>
      <c r="O85" s="256">
        <v>7</v>
      </c>
    </row>
    <row r="86" spans="1:15" s="69" customFormat="1" ht="120">
      <c r="A86" s="256" t="s">
        <v>217</v>
      </c>
      <c r="B86" s="256" t="s">
        <v>119</v>
      </c>
      <c r="C86" s="256" t="s">
        <v>46</v>
      </c>
      <c r="D86" s="186" t="s">
        <v>447</v>
      </c>
      <c r="E86" s="187">
        <v>82</v>
      </c>
      <c r="F86" s="256">
        <v>0.99864281799566501</v>
      </c>
      <c r="G86" s="181">
        <v>1</v>
      </c>
      <c r="H86" s="279">
        <v>42925</v>
      </c>
      <c r="I86" s="186" t="s">
        <v>448</v>
      </c>
      <c r="J86" s="293">
        <v>1</v>
      </c>
      <c r="K86" s="186" t="s">
        <v>449</v>
      </c>
      <c r="L86" s="256">
        <v>165</v>
      </c>
      <c r="M86" s="256">
        <v>0</v>
      </c>
      <c r="N86" s="256">
        <v>1</v>
      </c>
      <c r="O86" s="256">
        <v>1</v>
      </c>
    </row>
    <row r="87" spans="1:15" s="69" customFormat="1" ht="180">
      <c r="A87" s="256" t="s">
        <v>217</v>
      </c>
      <c r="B87" s="256" t="s">
        <v>45</v>
      </c>
      <c r="C87" s="256" t="s">
        <v>46</v>
      </c>
      <c r="D87" s="186" t="s">
        <v>450</v>
      </c>
      <c r="E87" s="187">
        <v>256</v>
      </c>
      <c r="F87" s="256">
        <v>0.47058526913295901</v>
      </c>
      <c r="G87" s="181">
        <v>1</v>
      </c>
      <c r="H87" s="279">
        <v>42924</v>
      </c>
      <c r="I87" s="186" t="s">
        <v>451</v>
      </c>
      <c r="J87" s="293">
        <v>1</v>
      </c>
      <c r="K87" s="186" t="s">
        <v>452</v>
      </c>
      <c r="L87" s="256">
        <v>256</v>
      </c>
      <c r="M87" s="256">
        <v>0</v>
      </c>
      <c r="N87" s="256">
        <v>1</v>
      </c>
      <c r="O87" s="256">
        <v>9</v>
      </c>
    </row>
    <row r="88" spans="1:15" s="69" customFormat="1" ht="165">
      <c r="A88" s="256" t="s">
        <v>217</v>
      </c>
      <c r="B88" s="256" t="s">
        <v>119</v>
      </c>
      <c r="C88" s="256" t="s">
        <v>46</v>
      </c>
      <c r="D88" s="186" t="s">
        <v>453</v>
      </c>
      <c r="E88" s="187">
        <v>161</v>
      </c>
      <c r="F88" s="256">
        <v>0.99999996453849205</v>
      </c>
      <c r="G88" s="181">
        <v>1</v>
      </c>
      <c r="H88" s="279">
        <v>42923</v>
      </c>
      <c r="I88" s="186" t="s">
        <v>454</v>
      </c>
      <c r="J88" s="293">
        <v>1</v>
      </c>
      <c r="K88" s="186" t="s">
        <v>455</v>
      </c>
      <c r="L88" s="256">
        <v>242</v>
      </c>
      <c r="M88" s="256">
        <v>0</v>
      </c>
      <c r="N88" s="256">
        <v>2</v>
      </c>
      <c r="O88" s="256">
        <v>7</v>
      </c>
    </row>
    <row r="89" spans="1:15" s="69" customFormat="1" ht="255">
      <c r="A89" s="256" t="s">
        <v>217</v>
      </c>
      <c r="B89" s="256" t="s">
        <v>45</v>
      </c>
      <c r="C89" s="256" t="s">
        <v>46</v>
      </c>
      <c r="D89" s="186" t="s">
        <v>456</v>
      </c>
      <c r="E89" s="187">
        <v>159</v>
      </c>
      <c r="F89" s="256">
        <v>0.99981088406901497</v>
      </c>
      <c r="G89" s="181">
        <v>1</v>
      </c>
      <c r="H89" s="279">
        <v>42922</v>
      </c>
      <c r="I89" s="186" t="s">
        <v>457</v>
      </c>
      <c r="J89" s="293">
        <v>1</v>
      </c>
      <c r="K89" s="186" t="s">
        <v>458</v>
      </c>
      <c r="L89" s="256">
        <v>370</v>
      </c>
      <c r="M89" s="256">
        <v>1</v>
      </c>
      <c r="N89" s="256">
        <v>2</v>
      </c>
      <c r="O89" s="256">
        <v>1</v>
      </c>
    </row>
    <row r="90" spans="1:15" s="69" customFormat="1" ht="165">
      <c r="A90" s="256" t="s">
        <v>217</v>
      </c>
      <c r="B90" s="256" t="s">
        <v>45</v>
      </c>
      <c r="C90" s="256" t="s">
        <v>46</v>
      </c>
      <c r="D90" s="186" t="s">
        <v>459</v>
      </c>
      <c r="E90" s="187">
        <v>231</v>
      </c>
      <c r="F90" s="256">
        <v>2.96770582351358E-3</v>
      </c>
      <c r="G90" s="181">
        <v>1</v>
      </c>
      <c r="H90" s="279">
        <v>42922</v>
      </c>
      <c r="I90" s="186" t="s">
        <v>460</v>
      </c>
      <c r="J90" s="293">
        <v>1</v>
      </c>
      <c r="K90" s="186" t="s">
        <v>455</v>
      </c>
      <c r="L90" s="256">
        <v>242</v>
      </c>
      <c r="M90" s="256">
        <v>0</v>
      </c>
      <c r="N90" s="256">
        <v>2</v>
      </c>
      <c r="O90" s="256">
        <v>8</v>
      </c>
    </row>
    <row r="91" spans="1:15" s="69" customFormat="1" ht="255">
      <c r="A91" s="256" t="s">
        <v>217</v>
      </c>
      <c r="B91" s="256" t="s">
        <v>45</v>
      </c>
      <c r="C91" s="256" t="s">
        <v>46</v>
      </c>
      <c r="D91" s="181" t="s">
        <v>461</v>
      </c>
      <c r="E91" s="187">
        <v>149</v>
      </c>
      <c r="F91" s="256">
        <v>0.99999999020661201</v>
      </c>
      <c r="G91" s="181">
        <v>1</v>
      </c>
      <c r="H91" s="279">
        <v>42921</v>
      </c>
      <c r="I91" s="186" t="s">
        <v>462</v>
      </c>
      <c r="J91" s="293">
        <v>1</v>
      </c>
      <c r="K91" s="186" t="s">
        <v>458</v>
      </c>
      <c r="L91" s="256">
        <v>370</v>
      </c>
      <c r="M91" s="256">
        <v>1</v>
      </c>
      <c r="N91" s="256">
        <v>1</v>
      </c>
      <c r="O91" s="256">
        <v>2</v>
      </c>
    </row>
    <row r="92" spans="1:15" s="69" customFormat="1" ht="60">
      <c r="A92" s="256" t="s">
        <v>217</v>
      </c>
      <c r="B92" s="256" t="s">
        <v>119</v>
      </c>
      <c r="C92" s="256" t="s">
        <v>46</v>
      </c>
      <c r="D92" s="186" t="s">
        <v>463</v>
      </c>
      <c r="E92" s="187">
        <v>112</v>
      </c>
      <c r="F92" s="256">
        <v>0.95088820904414995</v>
      </c>
      <c r="G92" s="181">
        <v>1</v>
      </c>
      <c r="H92" s="279">
        <v>42906</v>
      </c>
      <c r="I92" s="186" t="s">
        <v>4359</v>
      </c>
      <c r="J92" s="293">
        <v>1</v>
      </c>
      <c r="K92" s="186" t="s">
        <v>465</v>
      </c>
      <c r="L92" s="256">
        <v>91</v>
      </c>
      <c r="M92" s="256">
        <v>1</v>
      </c>
      <c r="N92" s="256">
        <v>1</v>
      </c>
      <c r="O92" s="256">
        <v>10</v>
      </c>
    </row>
    <row r="93" spans="1:15" s="69" customFormat="1" ht="60">
      <c r="A93" s="256" t="s">
        <v>217</v>
      </c>
      <c r="B93" s="256" t="s">
        <v>45</v>
      </c>
      <c r="C93" s="256" t="s">
        <v>46</v>
      </c>
      <c r="D93" s="181" t="s">
        <v>466</v>
      </c>
      <c r="E93" s="187">
        <v>85</v>
      </c>
      <c r="F93" s="256">
        <v>0.98700039897130398</v>
      </c>
      <c r="G93" s="181">
        <v>1</v>
      </c>
      <c r="H93" s="279">
        <v>42893</v>
      </c>
      <c r="I93" s="186" t="s">
        <v>467</v>
      </c>
      <c r="J93" s="293">
        <v>1</v>
      </c>
      <c r="K93" s="186" t="s">
        <v>468</v>
      </c>
      <c r="L93" s="256">
        <v>58</v>
      </c>
      <c r="M93" s="256">
        <v>1</v>
      </c>
      <c r="N93" s="256">
        <v>1</v>
      </c>
      <c r="O93" s="256">
        <v>15</v>
      </c>
    </row>
    <row r="94" spans="1:15" s="69" customFormat="1" ht="60">
      <c r="A94" s="256" t="s">
        <v>217</v>
      </c>
      <c r="B94" s="256" t="s">
        <v>45</v>
      </c>
      <c r="C94" s="256" t="s">
        <v>46</v>
      </c>
      <c r="D94" s="181" t="s">
        <v>469</v>
      </c>
      <c r="E94" s="187">
        <v>55</v>
      </c>
      <c r="F94" s="256">
        <v>2.0518708935057801E-3</v>
      </c>
      <c r="G94" s="181">
        <v>1</v>
      </c>
      <c r="H94" s="279">
        <v>42876</v>
      </c>
      <c r="I94" s="181" t="s">
        <v>470</v>
      </c>
      <c r="J94" s="288">
        <v>1</v>
      </c>
      <c r="K94" s="186" t="s">
        <v>471</v>
      </c>
      <c r="L94" s="256">
        <v>74</v>
      </c>
      <c r="M94" s="256">
        <v>0</v>
      </c>
      <c r="N94" s="256">
        <v>1</v>
      </c>
      <c r="O94" s="256">
        <v>9</v>
      </c>
    </row>
    <row r="95" spans="1:15" s="69" customFormat="1" ht="45">
      <c r="A95" s="256" t="s">
        <v>217</v>
      </c>
      <c r="B95" s="256" t="s">
        <v>45</v>
      </c>
      <c r="C95" s="256" t="s">
        <v>80</v>
      </c>
      <c r="D95" s="181" t="s">
        <v>472</v>
      </c>
      <c r="E95" s="187">
        <v>45</v>
      </c>
      <c r="F95" s="256">
        <v>0.137330726785483</v>
      </c>
      <c r="G95" s="181">
        <v>1</v>
      </c>
      <c r="H95" s="279">
        <v>42876</v>
      </c>
      <c r="I95" s="186" t="s">
        <v>474</v>
      </c>
      <c r="J95" s="293">
        <v>1</v>
      </c>
      <c r="K95" s="186" t="s">
        <v>475</v>
      </c>
      <c r="L95" s="256">
        <v>43</v>
      </c>
      <c r="M95" s="256">
        <v>0</v>
      </c>
      <c r="N95" s="256">
        <v>1</v>
      </c>
      <c r="O95" s="256">
        <v>3</v>
      </c>
    </row>
    <row r="96" spans="1:15" s="69" customFormat="1" ht="60">
      <c r="A96" s="256" t="s">
        <v>217</v>
      </c>
      <c r="B96" s="256" t="s">
        <v>59</v>
      </c>
      <c r="C96" s="256" t="s">
        <v>46</v>
      </c>
      <c r="D96" s="186" t="s">
        <v>476</v>
      </c>
      <c r="E96" s="187">
        <v>30</v>
      </c>
      <c r="F96" s="256">
        <v>9.5916613399316098E-4</v>
      </c>
      <c r="G96" s="181">
        <v>0</v>
      </c>
      <c r="H96" s="279">
        <v>42734</v>
      </c>
      <c r="I96" s="181" t="s">
        <v>478</v>
      </c>
      <c r="J96" s="288">
        <v>1</v>
      </c>
      <c r="K96" s="186" t="s">
        <v>479</v>
      </c>
      <c r="L96" s="256">
        <v>93</v>
      </c>
      <c r="M96" s="256">
        <v>1</v>
      </c>
      <c r="N96" s="256">
        <v>1</v>
      </c>
      <c r="O96" s="256">
        <v>7</v>
      </c>
    </row>
    <row r="97" spans="1:18" s="69" customFormat="1" ht="165">
      <c r="A97" s="256" t="s">
        <v>217</v>
      </c>
      <c r="B97" s="256" t="s">
        <v>45</v>
      </c>
      <c r="C97" s="256" t="s">
        <v>46</v>
      </c>
      <c r="D97" s="186" t="s">
        <v>480</v>
      </c>
      <c r="E97" s="187">
        <v>288</v>
      </c>
      <c r="F97" s="256">
        <v>0.99976061384866399</v>
      </c>
      <c r="G97" s="181">
        <v>1</v>
      </c>
      <c r="H97" s="279">
        <v>42668</v>
      </c>
      <c r="I97" s="181" t="s">
        <v>4360</v>
      </c>
      <c r="J97" s="288">
        <v>1</v>
      </c>
      <c r="K97" s="186" t="s">
        <v>482</v>
      </c>
      <c r="L97" s="256">
        <v>84</v>
      </c>
      <c r="M97" s="256">
        <v>0</v>
      </c>
      <c r="N97" s="256">
        <v>1</v>
      </c>
      <c r="O97" s="256">
        <v>3</v>
      </c>
    </row>
    <row r="98" spans="1:18" s="69" customFormat="1" ht="60">
      <c r="A98" s="256" t="s">
        <v>217</v>
      </c>
      <c r="B98" s="256" t="s">
        <v>119</v>
      </c>
      <c r="C98" s="256" t="s">
        <v>46</v>
      </c>
      <c r="D98" s="181" t="s">
        <v>483</v>
      </c>
      <c r="E98" s="187">
        <v>17</v>
      </c>
      <c r="F98" s="256">
        <v>0.75374160135938995</v>
      </c>
      <c r="G98" s="181">
        <v>1</v>
      </c>
      <c r="H98" s="291">
        <v>42664</v>
      </c>
      <c r="I98" s="258" t="s">
        <v>483</v>
      </c>
      <c r="J98" s="294">
        <v>1</v>
      </c>
      <c r="K98" s="186" t="s">
        <v>482</v>
      </c>
      <c r="L98" s="256">
        <v>84</v>
      </c>
      <c r="M98" s="256">
        <v>0</v>
      </c>
      <c r="N98" s="256">
        <v>1</v>
      </c>
      <c r="O98" s="256">
        <v>7</v>
      </c>
    </row>
    <row r="99" spans="1:18" s="69" customFormat="1" ht="60">
      <c r="A99" s="256" t="s">
        <v>217</v>
      </c>
      <c r="B99" s="256" t="s">
        <v>119</v>
      </c>
      <c r="C99" s="256" t="s">
        <v>46</v>
      </c>
      <c r="D99" s="186" t="s">
        <v>485</v>
      </c>
      <c r="E99" s="187">
        <v>71</v>
      </c>
      <c r="F99" s="256">
        <v>0.97514811383947797</v>
      </c>
      <c r="G99" s="181">
        <v>1</v>
      </c>
      <c r="H99" s="291">
        <v>42639</v>
      </c>
      <c r="I99" s="186" t="s">
        <v>486</v>
      </c>
      <c r="J99" s="293">
        <v>1</v>
      </c>
      <c r="K99" s="186" t="s">
        <v>487</v>
      </c>
      <c r="L99" s="256">
        <v>66</v>
      </c>
      <c r="M99" s="256">
        <v>0</v>
      </c>
      <c r="N99" s="256">
        <v>1</v>
      </c>
      <c r="O99" s="256">
        <v>14</v>
      </c>
    </row>
    <row r="100" spans="1:18" s="69" customFormat="1" ht="75">
      <c r="A100" s="256" t="s">
        <v>217</v>
      </c>
      <c r="B100" s="256" t="s">
        <v>59</v>
      </c>
      <c r="C100" s="256" t="s">
        <v>46</v>
      </c>
      <c r="D100" s="186" t="s">
        <v>488</v>
      </c>
      <c r="E100" s="187">
        <v>90</v>
      </c>
      <c r="F100" s="256">
        <v>5.6588906085157202E-2</v>
      </c>
      <c r="G100" s="181">
        <v>0</v>
      </c>
      <c r="H100" s="279">
        <v>42635</v>
      </c>
      <c r="I100" s="186" t="s">
        <v>489</v>
      </c>
      <c r="J100" s="293">
        <v>1</v>
      </c>
      <c r="K100" s="186" t="s">
        <v>490</v>
      </c>
      <c r="L100" s="256">
        <v>65</v>
      </c>
      <c r="M100" s="256">
        <v>0</v>
      </c>
      <c r="N100" s="256">
        <v>1</v>
      </c>
      <c r="O100" s="256">
        <v>1</v>
      </c>
    </row>
    <row r="101" spans="1:18" s="69" customFormat="1" ht="60">
      <c r="A101" s="256" t="s">
        <v>217</v>
      </c>
      <c r="B101" s="256" t="s">
        <v>119</v>
      </c>
      <c r="C101" s="256" t="s">
        <v>46</v>
      </c>
      <c r="D101" s="186" t="s">
        <v>483</v>
      </c>
      <c r="E101" s="187">
        <v>31</v>
      </c>
      <c r="F101" s="256">
        <v>0.95518652979363505</v>
      </c>
      <c r="G101" s="181">
        <v>1</v>
      </c>
      <c r="H101" s="279">
        <v>42608</v>
      </c>
      <c r="I101" s="290" t="s">
        <v>491</v>
      </c>
      <c r="J101" s="293">
        <v>1</v>
      </c>
      <c r="K101" s="186" t="s">
        <v>492</v>
      </c>
      <c r="L101" s="256">
        <v>77</v>
      </c>
      <c r="M101" s="298">
        <v>0</v>
      </c>
      <c r="N101" s="258">
        <v>1</v>
      </c>
      <c r="O101" s="298">
        <v>7</v>
      </c>
    </row>
    <row r="102" spans="1:18" s="69" customFormat="1" ht="60">
      <c r="A102" s="256" t="s">
        <v>217</v>
      </c>
      <c r="B102" s="256" t="s">
        <v>119</v>
      </c>
      <c r="C102" s="256" t="s">
        <v>46</v>
      </c>
      <c r="D102" s="186" t="s">
        <v>493</v>
      </c>
      <c r="E102" s="187">
        <v>22</v>
      </c>
      <c r="F102" s="256">
        <v>2.81422122553687E-3</v>
      </c>
      <c r="G102" s="181">
        <v>1</v>
      </c>
      <c r="H102" s="279">
        <v>42526</v>
      </c>
      <c r="I102" s="258" t="s">
        <v>494</v>
      </c>
      <c r="J102" s="294">
        <v>1</v>
      </c>
      <c r="K102" s="186" t="s">
        <v>495</v>
      </c>
      <c r="L102" s="256">
        <v>82</v>
      </c>
      <c r="M102" s="256">
        <v>0</v>
      </c>
      <c r="N102" s="256">
        <v>1</v>
      </c>
      <c r="O102" s="256">
        <v>7</v>
      </c>
    </row>
    <row r="103" spans="1:18" s="69" customFormat="1" ht="135">
      <c r="A103" s="256" t="s">
        <v>217</v>
      </c>
      <c r="B103" s="256" t="s">
        <v>45</v>
      </c>
      <c r="C103" s="256" t="s">
        <v>46</v>
      </c>
      <c r="D103" s="186" t="s">
        <v>496</v>
      </c>
      <c r="E103" s="187">
        <v>159</v>
      </c>
      <c r="F103" s="256">
        <v>8.1460719292270099E-7</v>
      </c>
      <c r="G103" s="181">
        <v>0</v>
      </c>
      <c r="H103" s="291">
        <v>42457</v>
      </c>
      <c r="I103" s="186" t="s">
        <v>497</v>
      </c>
      <c r="J103" s="293">
        <v>1</v>
      </c>
      <c r="K103" s="186" t="s">
        <v>498</v>
      </c>
      <c r="L103" s="256">
        <v>193</v>
      </c>
      <c r="M103" s="256">
        <v>0</v>
      </c>
      <c r="N103" s="256">
        <v>1</v>
      </c>
      <c r="O103" s="256">
        <v>11</v>
      </c>
    </row>
    <row r="104" spans="1:18" s="69" customFormat="1" ht="90">
      <c r="A104" s="256" t="s">
        <v>499</v>
      </c>
      <c r="B104" s="256" t="s">
        <v>45</v>
      </c>
      <c r="C104" s="256" t="s">
        <v>221</v>
      </c>
      <c r="D104" s="181" t="s">
        <v>500</v>
      </c>
      <c r="E104" s="187">
        <v>54</v>
      </c>
      <c r="F104" s="256">
        <v>0.99109483464348702</v>
      </c>
      <c r="G104" s="181">
        <v>1</v>
      </c>
      <c r="H104" s="279">
        <v>44023</v>
      </c>
      <c r="I104" s="186" t="s">
        <v>501</v>
      </c>
      <c r="J104" s="186">
        <v>1</v>
      </c>
      <c r="K104" s="186" t="s">
        <v>502</v>
      </c>
      <c r="L104" s="256">
        <v>132</v>
      </c>
      <c r="M104" s="256">
        <v>1</v>
      </c>
      <c r="N104" s="256">
        <v>1</v>
      </c>
      <c r="O104" s="256">
        <v>6</v>
      </c>
      <c r="P104" s="69">
        <f>AVERAGE(M104:M137)</f>
        <v>1.088235294117647</v>
      </c>
      <c r="Q104" s="69">
        <f>AVERAGE(N104:N137)</f>
        <v>1.2352941176470589</v>
      </c>
      <c r="R104" s="69">
        <f>AVERAGE(O104:O137)</f>
        <v>7.4117647058823533</v>
      </c>
    </row>
    <row r="105" spans="1:18" s="69" customFormat="1" ht="75">
      <c r="A105" s="256" t="s">
        <v>499</v>
      </c>
      <c r="B105" s="256" t="s">
        <v>45</v>
      </c>
      <c r="C105" s="256" t="s">
        <v>221</v>
      </c>
      <c r="D105" s="186" t="s">
        <v>503</v>
      </c>
      <c r="E105" s="187">
        <v>56</v>
      </c>
      <c r="F105" s="256">
        <v>0.99631714008533401</v>
      </c>
      <c r="G105" s="181">
        <v>1</v>
      </c>
      <c r="H105" s="279">
        <v>44010</v>
      </c>
      <c r="I105" s="186" t="s">
        <v>504</v>
      </c>
      <c r="J105" s="186">
        <v>0</v>
      </c>
      <c r="K105" s="186" t="s">
        <v>505</v>
      </c>
      <c r="L105" s="256">
        <v>48</v>
      </c>
      <c r="M105" s="256">
        <v>4</v>
      </c>
      <c r="N105" s="256">
        <v>1</v>
      </c>
      <c r="O105" s="256">
        <v>9</v>
      </c>
    </row>
    <row r="106" spans="1:18" s="69" customFormat="1" ht="75">
      <c r="A106" s="256" t="s">
        <v>499</v>
      </c>
      <c r="B106" s="256" t="s">
        <v>45</v>
      </c>
      <c r="C106" s="256" t="s">
        <v>221</v>
      </c>
      <c r="D106" s="186" t="s">
        <v>506</v>
      </c>
      <c r="E106" s="187">
        <v>57</v>
      </c>
      <c r="F106" s="256">
        <v>3.9965910936295E-2</v>
      </c>
      <c r="G106" s="181">
        <v>1</v>
      </c>
      <c r="H106" s="291">
        <v>44006</v>
      </c>
      <c r="I106" s="186" t="s">
        <v>508</v>
      </c>
      <c r="J106" s="186">
        <v>0</v>
      </c>
      <c r="K106" s="186" t="s">
        <v>505</v>
      </c>
      <c r="L106" s="256">
        <v>48</v>
      </c>
      <c r="M106" s="256">
        <v>2</v>
      </c>
      <c r="N106" s="256">
        <v>1</v>
      </c>
      <c r="O106" s="256">
        <v>6</v>
      </c>
    </row>
    <row r="107" spans="1:18" s="69" customFormat="1" ht="75">
      <c r="A107" s="256" t="s">
        <v>499</v>
      </c>
      <c r="B107" s="256" t="s">
        <v>45</v>
      </c>
      <c r="C107" s="256" t="s">
        <v>221</v>
      </c>
      <c r="D107" s="181" t="s">
        <v>509</v>
      </c>
      <c r="E107" s="187">
        <v>9</v>
      </c>
      <c r="F107" s="256">
        <v>0.669073801384101</v>
      </c>
      <c r="G107" s="181">
        <v>0</v>
      </c>
      <c r="H107" s="279">
        <v>43718</v>
      </c>
      <c r="I107" s="258" t="s">
        <v>510</v>
      </c>
      <c r="J107" s="258">
        <v>1</v>
      </c>
      <c r="K107" s="186" t="s">
        <v>511</v>
      </c>
      <c r="L107" s="256">
        <v>97</v>
      </c>
      <c r="M107" s="256">
        <v>2</v>
      </c>
      <c r="N107" s="256">
        <v>1</v>
      </c>
      <c r="O107" s="256">
        <v>8</v>
      </c>
    </row>
    <row r="108" spans="1:18" s="69" customFormat="1" ht="60">
      <c r="A108" s="256" t="s">
        <v>499</v>
      </c>
      <c r="B108" s="256" t="s">
        <v>45</v>
      </c>
      <c r="C108" s="256" t="s">
        <v>46</v>
      </c>
      <c r="D108" s="186" t="s">
        <v>512</v>
      </c>
      <c r="E108" s="187">
        <v>61</v>
      </c>
      <c r="F108" s="256">
        <v>7.1490368615867396E-4</v>
      </c>
      <c r="G108" s="181">
        <v>1</v>
      </c>
      <c r="H108" s="279">
        <v>43612</v>
      </c>
      <c r="I108" s="186" t="s">
        <v>513</v>
      </c>
      <c r="J108" s="186">
        <v>1</v>
      </c>
      <c r="K108" s="186" t="s">
        <v>514</v>
      </c>
      <c r="L108" s="256">
        <v>71</v>
      </c>
      <c r="M108" s="256">
        <v>2</v>
      </c>
      <c r="N108" s="256">
        <v>1</v>
      </c>
      <c r="O108" s="256">
        <v>3</v>
      </c>
    </row>
    <row r="109" spans="1:18" s="69" customFormat="1" ht="60">
      <c r="A109" s="256" t="s">
        <v>499</v>
      </c>
      <c r="B109" s="256" t="s">
        <v>45</v>
      </c>
      <c r="C109" s="256" t="s">
        <v>221</v>
      </c>
      <c r="D109" s="181" t="s">
        <v>499</v>
      </c>
      <c r="E109" s="187">
        <v>29</v>
      </c>
      <c r="F109" s="256">
        <v>0.25019887008493102</v>
      </c>
      <c r="G109" s="181">
        <v>0</v>
      </c>
      <c r="H109" s="279">
        <v>43599</v>
      </c>
      <c r="I109" s="181" t="s">
        <v>515</v>
      </c>
      <c r="J109" s="181">
        <v>1</v>
      </c>
      <c r="K109" s="186" t="s">
        <v>516</v>
      </c>
      <c r="L109" s="256">
        <v>81</v>
      </c>
      <c r="M109" s="256">
        <v>1</v>
      </c>
      <c r="N109" s="256">
        <v>1</v>
      </c>
      <c r="O109" s="256">
        <v>6</v>
      </c>
    </row>
    <row r="110" spans="1:18" s="69" customFormat="1" ht="75">
      <c r="A110" s="256" t="s">
        <v>499</v>
      </c>
      <c r="B110" s="256" t="s">
        <v>45</v>
      </c>
      <c r="C110" s="256" t="s">
        <v>221</v>
      </c>
      <c r="D110" s="181" t="s">
        <v>499</v>
      </c>
      <c r="E110" s="187">
        <v>48</v>
      </c>
      <c r="F110" s="256">
        <v>2.8681556114297201E-3</v>
      </c>
      <c r="G110" s="181">
        <v>0</v>
      </c>
      <c r="H110" s="297">
        <v>43595</v>
      </c>
      <c r="I110" s="186" t="s">
        <v>517</v>
      </c>
      <c r="J110" s="186">
        <v>1</v>
      </c>
      <c r="K110" s="186" t="s">
        <v>518</v>
      </c>
      <c r="L110" s="256">
        <v>94</v>
      </c>
      <c r="M110" s="256">
        <v>1</v>
      </c>
      <c r="N110" s="256">
        <v>1</v>
      </c>
      <c r="O110" s="256">
        <v>10</v>
      </c>
    </row>
    <row r="111" spans="1:18" s="69" customFormat="1" ht="45">
      <c r="A111" s="256" t="s">
        <v>499</v>
      </c>
      <c r="B111" s="256" t="s">
        <v>59</v>
      </c>
      <c r="C111" s="256" t="s">
        <v>519</v>
      </c>
      <c r="D111" s="220" t="s">
        <v>520</v>
      </c>
      <c r="E111" s="187">
        <v>86</v>
      </c>
      <c r="F111" s="256">
        <v>2.5648594200533899E-2</v>
      </c>
      <c r="G111" s="181">
        <v>1</v>
      </c>
      <c r="H111" s="279">
        <v>43530</v>
      </c>
      <c r="I111" s="186" t="s">
        <v>521</v>
      </c>
      <c r="J111" s="186">
        <v>1</v>
      </c>
      <c r="K111" s="186" t="s">
        <v>522</v>
      </c>
      <c r="L111" s="256">
        <v>38</v>
      </c>
      <c r="M111" s="220">
        <v>0</v>
      </c>
      <c r="N111" s="186">
        <v>1</v>
      </c>
      <c r="O111" s="220">
        <v>5</v>
      </c>
    </row>
    <row r="112" spans="1:18" s="69" customFormat="1" ht="75">
      <c r="A112" s="256" t="s">
        <v>499</v>
      </c>
      <c r="B112" s="256" t="s">
        <v>119</v>
      </c>
      <c r="C112" s="256" t="s">
        <v>519</v>
      </c>
      <c r="D112" s="186" t="s">
        <v>520</v>
      </c>
      <c r="E112" s="187">
        <v>121</v>
      </c>
      <c r="F112" s="256">
        <v>0.99976512231319203</v>
      </c>
      <c r="G112" s="181">
        <v>1</v>
      </c>
      <c r="H112" s="279">
        <v>43524</v>
      </c>
      <c r="I112" s="186" t="s">
        <v>523</v>
      </c>
      <c r="J112" s="186">
        <v>1</v>
      </c>
      <c r="K112" s="186" t="s">
        <v>524</v>
      </c>
      <c r="L112" s="256">
        <v>56</v>
      </c>
      <c r="M112" s="256">
        <v>1</v>
      </c>
      <c r="N112" s="256">
        <v>1</v>
      </c>
      <c r="O112" s="256">
        <v>4</v>
      </c>
    </row>
    <row r="113" spans="1:15" s="69" customFormat="1" ht="180">
      <c r="A113" s="256" t="s">
        <v>499</v>
      </c>
      <c r="B113" s="256" t="s">
        <v>119</v>
      </c>
      <c r="C113" s="256" t="s">
        <v>46</v>
      </c>
      <c r="D113" s="186" t="s">
        <v>525</v>
      </c>
      <c r="E113" s="187">
        <v>329</v>
      </c>
      <c r="F113" s="256">
        <v>1</v>
      </c>
      <c r="G113" s="181">
        <v>1</v>
      </c>
      <c r="H113" s="279">
        <v>43405</v>
      </c>
      <c r="I113" s="181" t="s">
        <v>4361</v>
      </c>
      <c r="J113" s="181">
        <v>1</v>
      </c>
      <c r="K113" s="186" t="s">
        <v>527</v>
      </c>
      <c r="L113" s="256">
        <v>77</v>
      </c>
      <c r="M113" s="256">
        <v>2</v>
      </c>
      <c r="N113" s="256">
        <v>1</v>
      </c>
      <c r="O113" s="256">
        <v>7</v>
      </c>
    </row>
    <row r="114" spans="1:15" s="69" customFormat="1" ht="45">
      <c r="A114" s="256" t="s">
        <v>499</v>
      </c>
      <c r="B114" s="256" t="s">
        <v>119</v>
      </c>
      <c r="C114" s="256" t="s">
        <v>46</v>
      </c>
      <c r="D114" s="186" t="s">
        <v>528</v>
      </c>
      <c r="E114" s="187">
        <v>53</v>
      </c>
      <c r="F114" s="256">
        <v>9.5810194401785106E-2</v>
      </c>
      <c r="G114" s="181">
        <v>1</v>
      </c>
      <c r="H114" s="279">
        <v>43382</v>
      </c>
      <c r="I114" s="186" t="s">
        <v>529</v>
      </c>
      <c r="J114" s="186">
        <v>1</v>
      </c>
      <c r="K114" s="186" t="s">
        <v>530</v>
      </c>
      <c r="L114" s="256">
        <v>61</v>
      </c>
      <c r="M114" s="256">
        <v>1</v>
      </c>
      <c r="N114" s="256">
        <v>1</v>
      </c>
      <c r="O114" s="256">
        <v>2</v>
      </c>
    </row>
    <row r="115" spans="1:15" s="69" customFormat="1" ht="45">
      <c r="A115" s="256" t="s">
        <v>499</v>
      </c>
      <c r="B115" s="256" t="s">
        <v>45</v>
      </c>
      <c r="C115" s="256" t="s">
        <v>46</v>
      </c>
      <c r="D115" s="186" t="s">
        <v>531</v>
      </c>
      <c r="E115" s="187">
        <v>42</v>
      </c>
      <c r="F115" s="256">
        <v>0.45367155769898099</v>
      </c>
      <c r="G115" s="181">
        <v>1</v>
      </c>
      <c r="H115" s="279">
        <v>43382</v>
      </c>
      <c r="I115" s="186" t="s">
        <v>532</v>
      </c>
      <c r="J115" s="186">
        <v>1</v>
      </c>
      <c r="K115" s="186" t="s">
        <v>530</v>
      </c>
      <c r="L115" s="256">
        <v>61</v>
      </c>
      <c r="M115" s="256">
        <v>1</v>
      </c>
      <c r="N115" s="256">
        <v>1</v>
      </c>
      <c r="O115" s="256">
        <v>1</v>
      </c>
    </row>
    <row r="116" spans="1:15" s="69" customFormat="1" ht="45">
      <c r="A116" s="256" t="s">
        <v>499</v>
      </c>
      <c r="B116" s="256" t="s">
        <v>45</v>
      </c>
      <c r="C116" s="256" t="s">
        <v>46</v>
      </c>
      <c r="D116" s="186" t="s">
        <v>533</v>
      </c>
      <c r="E116" s="187">
        <v>54</v>
      </c>
      <c r="F116" s="256">
        <v>0.49917739737957401</v>
      </c>
      <c r="G116" s="181">
        <v>1</v>
      </c>
      <c r="H116" s="279">
        <v>43375</v>
      </c>
      <c r="I116" s="220" t="s">
        <v>534</v>
      </c>
      <c r="J116" s="186">
        <v>1</v>
      </c>
      <c r="K116" s="186" t="s">
        <v>535</v>
      </c>
      <c r="L116" s="256">
        <v>34</v>
      </c>
      <c r="M116" s="220">
        <v>2</v>
      </c>
      <c r="N116" s="186">
        <v>2</v>
      </c>
      <c r="O116" s="220">
        <v>16</v>
      </c>
    </row>
    <row r="117" spans="1:15" s="69" customFormat="1" ht="60">
      <c r="A117" s="256" t="s">
        <v>499</v>
      </c>
      <c r="B117" s="256" t="s">
        <v>45</v>
      </c>
      <c r="C117" s="256" t="s">
        <v>46</v>
      </c>
      <c r="D117" s="220" t="s">
        <v>536</v>
      </c>
      <c r="E117" s="187">
        <v>38</v>
      </c>
      <c r="F117" s="256">
        <v>0.85127997829903201</v>
      </c>
      <c r="G117" s="181">
        <v>1</v>
      </c>
      <c r="H117" s="279">
        <v>43367</v>
      </c>
      <c r="I117" s="186" t="s">
        <v>537</v>
      </c>
      <c r="J117" s="186">
        <v>1</v>
      </c>
      <c r="K117" s="186" t="s">
        <v>538</v>
      </c>
      <c r="L117" s="256">
        <v>76</v>
      </c>
      <c r="M117" s="220">
        <v>1</v>
      </c>
      <c r="N117" s="186">
        <v>1</v>
      </c>
      <c r="O117" s="220">
        <v>6</v>
      </c>
    </row>
    <row r="118" spans="1:15" s="69" customFormat="1" ht="45">
      <c r="A118" s="256" t="s">
        <v>499</v>
      </c>
      <c r="B118" s="256" t="s">
        <v>45</v>
      </c>
      <c r="C118" s="256" t="s">
        <v>46</v>
      </c>
      <c r="D118" s="220" t="s">
        <v>539</v>
      </c>
      <c r="E118" s="187">
        <v>67</v>
      </c>
      <c r="F118" s="256">
        <v>0.99970395341653395</v>
      </c>
      <c r="G118" s="181">
        <v>1</v>
      </c>
      <c r="H118" s="279">
        <v>43338</v>
      </c>
      <c r="I118" s="220" t="s">
        <v>540</v>
      </c>
      <c r="J118" s="186">
        <v>1</v>
      </c>
      <c r="K118" s="186" t="s">
        <v>541</v>
      </c>
      <c r="L118" s="256">
        <v>33</v>
      </c>
      <c r="M118" s="220">
        <v>0</v>
      </c>
      <c r="N118" s="186">
        <v>1</v>
      </c>
      <c r="O118" s="220">
        <v>3</v>
      </c>
    </row>
    <row r="119" spans="1:15" s="69" customFormat="1" ht="45">
      <c r="A119" s="256" t="s">
        <v>499</v>
      </c>
      <c r="B119" s="256" t="s">
        <v>59</v>
      </c>
      <c r="C119" s="256" t="s">
        <v>46</v>
      </c>
      <c r="D119" s="258" t="s">
        <v>542</v>
      </c>
      <c r="E119" s="187">
        <v>74</v>
      </c>
      <c r="F119" s="256">
        <v>4.3667673245294499E-3</v>
      </c>
      <c r="G119" s="181">
        <v>1</v>
      </c>
      <c r="H119" s="279">
        <v>43303</v>
      </c>
      <c r="I119" s="186" t="s">
        <v>543</v>
      </c>
      <c r="J119" s="186">
        <v>0</v>
      </c>
      <c r="K119" s="186" t="s">
        <v>544</v>
      </c>
      <c r="L119" s="256">
        <v>36</v>
      </c>
      <c r="M119" s="256">
        <v>1</v>
      </c>
      <c r="N119" s="256">
        <v>1</v>
      </c>
      <c r="O119" s="256">
        <v>2</v>
      </c>
    </row>
    <row r="120" spans="1:15" s="69" customFormat="1" ht="90">
      <c r="A120" s="256" t="s">
        <v>499</v>
      </c>
      <c r="B120" s="256" t="s">
        <v>45</v>
      </c>
      <c r="C120" s="256" t="s">
        <v>46</v>
      </c>
      <c r="D120" s="220" t="s">
        <v>545</v>
      </c>
      <c r="E120" s="187">
        <v>76</v>
      </c>
      <c r="F120" s="256">
        <v>1.5121833569409199E-4</v>
      </c>
      <c r="G120" s="181">
        <v>1</v>
      </c>
      <c r="H120" s="279">
        <v>43289</v>
      </c>
      <c r="I120" s="186" t="s">
        <v>546</v>
      </c>
      <c r="J120" s="186">
        <v>1</v>
      </c>
      <c r="K120" s="186" t="s">
        <v>547</v>
      </c>
      <c r="L120" s="256">
        <v>112</v>
      </c>
      <c r="M120" s="220">
        <v>0</v>
      </c>
      <c r="N120" s="186">
        <v>1</v>
      </c>
      <c r="O120" s="220">
        <v>5</v>
      </c>
    </row>
    <row r="121" spans="1:15" s="69" customFormat="1" ht="60">
      <c r="A121" s="256" t="s">
        <v>499</v>
      </c>
      <c r="B121" s="256" t="s">
        <v>45</v>
      </c>
      <c r="C121" s="256" t="s">
        <v>519</v>
      </c>
      <c r="D121" s="220" t="s">
        <v>520</v>
      </c>
      <c r="E121" s="187">
        <v>96</v>
      </c>
      <c r="F121" s="256">
        <v>0.94894467819441197</v>
      </c>
      <c r="G121" s="181">
        <v>1</v>
      </c>
      <c r="H121" s="279">
        <v>43238</v>
      </c>
      <c r="I121" s="186" t="s">
        <v>548</v>
      </c>
      <c r="J121" s="186">
        <v>1</v>
      </c>
      <c r="K121" s="186" t="s">
        <v>549</v>
      </c>
      <c r="L121" s="256">
        <v>67</v>
      </c>
      <c r="M121" s="220">
        <v>1</v>
      </c>
      <c r="N121" s="186">
        <v>1</v>
      </c>
      <c r="O121" s="220">
        <v>13</v>
      </c>
    </row>
    <row r="122" spans="1:15" s="69" customFormat="1" ht="60">
      <c r="A122" s="256" t="s">
        <v>499</v>
      </c>
      <c r="B122" s="256" t="s">
        <v>119</v>
      </c>
      <c r="C122" s="256" t="s">
        <v>519</v>
      </c>
      <c r="D122" s="181" t="s">
        <v>520</v>
      </c>
      <c r="E122" s="187">
        <v>88</v>
      </c>
      <c r="F122" s="256">
        <v>8.0196481778228995E-2</v>
      </c>
      <c r="G122" s="181">
        <v>1</v>
      </c>
      <c r="H122" s="279">
        <v>43237</v>
      </c>
      <c r="I122" s="186" t="s">
        <v>550</v>
      </c>
      <c r="J122" s="186">
        <v>1</v>
      </c>
      <c r="K122" s="186" t="s">
        <v>551</v>
      </c>
      <c r="L122" s="256">
        <v>43</v>
      </c>
      <c r="M122" s="256">
        <v>1</v>
      </c>
      <c r="N122" s="256">
        <v>3</v>
      </c>
      <c r="O122" s="256">
        <v>11</v>
      </c>
    </row>
    <row r="123" spans="1:15" s="69" customFormat="1" ht="135">
      <c r="A123" s="256" t="s">
        <v>499</v>
      </c>
      <c r="B123" s="256" t="s">
        <v>45</v>
      </c>
      <c r="C123" s="256" t="s">
        <v>519</v>
      </c>
      <c r="D123" s="186" t="s">
        <v>520</v>
      </c>
      <c r="E123" s="187">
        <v>173</v>
      </c>
      <c r="F123" s="256">
        <v>1.1398008317681001E-2</v>
      </c>
      <c r="G123" s="181">
        <v>1</v>
      </c>
      <c r="H123" s="297">
        <v>43175</v>
      </c>
      <c r="I123" s="186" t="s">
        <v>552</v>
      </c>
      <c r="J123" s="186">
        <v>0</v>
      </c>
      <c r="K123" s="186" t="s">
        <v>553</v>
      </c>
      <c r="L123" s="256">
        <v>189</v>
      </c>
      <c r="M123" s="256">
        <v>3</v>
      </c>
      <c r="N123" s="256">
        <v>1</v>
      </c>
      <c r="O123" s="256">
        <v>7</v>
      </c>
    </row>
    <row r="124" spans="1:15" s="69" customFormat="1" ht="75">
      <c r="A124" s="256" t="s">
        <v>499</v>
      </c>
      <c r="B124" s="256" t="s">
        <v>45</v>
      </c>
      <c r="C124" s="256" t="s">
        <v>519</v>
      </c>
      <c r="D124" s="186" t="s">
        <v>520</v>
      </c>
      <c r="E124" s="187">
        <v>129</v>
      </c>
      <c r="F124" s="256">
        <v>1.9616453590387601E-6</v>
      </c>
      <c r="G124" s="181">
        <v>1</v>
      </c>
      <c r="H124" s="291">
        <v>43172</v>
      </c>
      <c r="I124" s="186" t="s">
        <v>554</v>
      </c>
      <c r="J124" s="186">
        <v>1</v>
      </c>
      <c r="K124" s="186" t="s">
        <v>555</v>
      </c>
      <c r="L124" s="256">
        <v>102</v>
      </c>
      <c r="M124" s="256">
        <v>1</v>
      </c>
      <c r="N124" s="256">
        <v>3</v>
      </c>
      <c r="O124" s="256">
        <v>1</v>
      </c>
    </row>
    <row r="125" spans="1:15" s="69" customFormat="1" ht="60">
      <c r="A125" s="256" t="s">
        <v>499</v>
      </c>
      <c r="B125" s="256" t="s">
        <v>59</v>
      </c>
      <c r="C125" s="256" t="s">
        <v>46</v>
      </c>
      <c r="D125" s="220" t="s">
        <v>556</v>
      </c>
      <c r="E125" s="187">
        <v>91</v>
      </c>
      <c r="F125" s="256">
        <v>0.99998565765092295</v>
      </c>
      <c r="G125" s="181">
        <v>1</v>
      </c>
      <c r="H125" s="279">
        <v>43155</v>
      </c>
      <c r="I125" s="186" t="s">
        <v>557</v>
      </c>
      <c r="J125" s="186">
        <v>1</v>
      </c>
      <c r="K125" s="186" t="s">
        <v>558</v>
      </c>
      <c r="L125" s="256">
        <v>78</v>
      </c>
      <c r="M125" s="220">
        <v>0</v>
      </c>
      <c r="N125" s="186">
        <v>1</v>
      </c>
      <c r="O125" s="220">
        <v>11</v>
      </c>
    </row>
    <row r="126" spans="1:15" s="69" customFormat="1" ht="120">
      <c r="A126" s="256" t="s">
        <v>499</v>
      </c>
      <c r="B126" s="256" t="s">
        <v>45</v>
      </c>
      <c r="C126" s="256" t="s">
        <v>80</v>
      </c>
      <c r="D126" s="186" t="s">
        <v>559</v>
      </c>
      <c r="E126" s="187">
        <v>151</v>
      </c>
      <c r="F126" s="256">
        <v>1.4132206516137599E-10</v>
      </c>
      <c r="G126" s="181">
        <v>0</v>
      </c>
      <c r="H126" s="279">
        <v>43039</v>
      </c>
      <c r="I126" s="186" t="s">
        <v>560</v>
      </c>
      <c r="J126" s="186">
        <v>0</v>
      </c>
      <c r="K126" s="186" t="s">
        <v>561</v>
      </c>
      <c r="L126" s="256">
        <v>180</v>
      </c>
      <c r="M126" s="256">
        <v>0</v>
      </c>
      <c r="N126" s="256">
        <v>2</v>
      </c>
      <c r="O126" s="256">
        <v>24</v>
      </c>
    </row>
    <row r="127" spans="1:15" s="69" customFormat="1" ht="60">
      <c r="A127" s="256" t="s">
        <v>499</v>
      </c>
      <c r="B127" s="256" t="s">
        <v>45</v>
      </c>
      <c r="C127" s="256" t="s">
        <v>80</v>
      </c>
      <c r="D127" s="220" t="s">
        <v>562</v>
      </c>
      <c r="E127" s="187">
        <v>93</v>
      </c>
      <c r="F127" s="256">
        <v>0.45382128548546402</v>
      </c>
      <c r="G127" s="181">
        <v>1</v>
      </c>
      <c r="H127" s="279">
        <v>43002</v>
      </c>
      <c r="I127" s="186" t="s">
        <v>563</v>
      </c>
      <c r="J127" s="186">
        <v>1</v>
      </c>
      <c r="K127" s="186" t="s">
        <v>564</v>
      </c>
      <c r="L127" s="256">
        <v>66</v>
      </c>
      <c r="M127" s="220">
        <v>0</v>
      </c>
      <c r="N127" s="186">
        <v>1</v>
      </c>
      <c r="O127" s="220">
        <v>15</v>
      </c>
    </row>
    <row r="128" spans="1:15" s="69" customFormat="1" ht="90">
      <c r="A128" s="256" t="s">
        <v>499</v>
      </c>
      <c r="B128" s="256" t="s">
        <v>59</v>
      </c>
      <c r="C128" s="256" t="s">
        <v>46</v>
      </c>
      <c r="D128" s="186" t="s">
        <v>565</v>
      </c>
      <c r="E128" s="187">
        <v>32</v>
      </c>
      <c r="F128" s="256">
        <v>0.99989896908840303</v>
      </c>
      <c r="G128" s="181">
        <v>1</v>
      </c>
      <c r="H128" s="279">
        <v>42976</v>
      </c>
      <c r="I128" s="186" t="s">
        <v>566</v>
      </c>
      <c r="J128" s="186">
        <v>0</v>
      </c>
      <c r="K128" s="258" t="s">
        <v>567</v>
      </c>
      <c r="L128" s="256">
        <v>15</v>
      </c>
      <c r="M128" s="256">
        <v>1</v>
      </c>
      <c r="N128" s="256">
        <v>2</v>
      </c>
      <c r="O128" s="256">
        <v>0</v>
      </c>
    </row>
    <row r="129" spans="1:18" s="69" customFormat="1" ht="90">
      <c r="A129" s="256" t="s">
        <v>499</v>
      </c>
      <c r="B129" s="256" t="s">
        <v>59</v>
      </c>
      <c r="C129" s="256" t="s">
        <v>46</v>
      </c>
      <c r="D129" s="186" t="s">
        <v>565</v>
      </c>
      <c r="E129" s="187">
        <v>32</v>
      </c>
      <c r="F129" s="256">
        <v>0.99989896908840303</v>
      </c>
      <c r="G129" s="181">
        <v>1</v>
      </c>
      <c r="H129" s="279">
        <v>42976</v>
      </c>
      <c r="I129" s="186" t="s">
        <v>566</v>
      </c>
      <c r="J129" s="186">
        <v>0</v>
      </c>
      <c r="K129" s="186" t="s">
        <v>568</v>
      </c>
      <c r="L129" s="256">
        <v>32</v>
      </c>
      <c r="M129" s="256">
        <v>1</v>
      </c>
      <c r="N129" s="256">
        <v>2</v>
      </c>
      <c r="O129" s="256">
        <v>0</v>
      </c>
    </row>
    <row r="130" spans="1:18" s="69" customFormat="1" ht="105">
      <c r="A130" s="256" t="s">
        <v>499</v>
      </c>
      <c r="B130" s="256" t="s">
        <v>119</v>
      </c>
      <c r="C130" s="256" t="s">
        <v>80</v>
      </c>
      <c r="D130" s="186" t="s">
        <v>569</v>
      </c>
      <c r="E130" s="187">
        <v>182</v>
      </c>
      <c r="F130" s="256">
        <v>2.1045714744389898E-3</v>
      </c>
      <c r="G130" s="181">
        <v>1</v>
      </c>
      <c r="H130" s="279">
        <v>42949</v>
      </c>
      <c r="I130" s="186" t="s">
        <v>570</v>
      </c>
      <c r="J130" s="186">
        <v>0</v>
      </c>
      <c r="K130" s="186" t="s">
        <v>571</v>
      </c>
      <c r="L130" s="256">
        <v>153</v>
      </c>
      <c r="M130" s="256">
        <v>1</v>
      </c>
      <c r="N130" s="256">
        <v>1</v>
      </c>
      <c r="O130" s="256">
        <v>6</v>
      </c>
    </row>
    <row r="131" spans="1:18" s="69" customFormat="1" ht="90">
      <c r="A131" s="256" t="s">
        <v>499</v>
      </c>
      <c r="B131" s="256" t="s">
        <v>45</v>
      </c>
      <c r="C131" s="256" t="s">
        <v>80</v>
      </c>
      <c r="D131" s="220" t="s">
        <v>572</v>
      </c>
      <c r="E131" s="187">
        <v>51</v>
      </c>
      <c r="F131" s="256">
        <v>3.7144494655662601E-2</v>
      </c>
      <c r="G131" s="181">
        <v>1</v>
      </c>
      <c r="H131" s="279">
        <v>42837</v>
      </c>
      <c r="I131" s="186" t="s">
        <v>573</v>
      </c>
      <c r="J131" s="186">
        <v>1</v>
      </c>
      <c r="K131" s="186" t="s">
        <v>574</v>
      </c>
      <c r="L131" s="256">
        <v>130</v>
      </c>
      <c r="M131" s="220">
        <v>0</v>
      </c>
      <c r="N131" s="186">
        <v>1</v>
      </c>
      <c r="O131" s="220">
        <v>12</v>
      </c>
    </row>
    <row r="132" spans="1:18" s="69" customFormat="1" ht="75">
      <c r="A132" s="256" t="s">
        <v>499</v>
      </c>
      <c r="B132" s="256" t="s">
        <v>59</v>
      </c>
      <c r="C132" s="256" t="s">
        <v>46</v>
      </c>
      <c r="D132" s="186" t="s">
        <v>575</v>
      </c>
      <c r="E132" s="187">
        <v>98</v>
      </c>
      <c r="F132" s="256">
        <v>8.6926704422475701E-2</v>
      </c>
      <c r="G132" s="181">
        <v>1</v>
      </c>
      <c r="H132" s="279">
        <v>42801</v>
      </c>
      <c r="I132" s="181" t="s">
        <v>576</v>
      </c>
      <c r="J132" s="181">
        <v>1</v>
      </c>
      <c r="K132" s="186" t="s">
        <v>577</v>
      </c>
      <c r="L132" s="256">
        <v>107</v>
      </c>
      <c r="M132" s="256">
        <v>1</v>
      </c>
      <c r="N132" s="256">
        <v>1</v>
      </c>
      <c r="O132" s="256">
        <v>13</v>
      </c>
    </row>
    <row r="133" spans="1:18" s="69" customFormat="1" ht="30">
      <c r="A133" s="256" t="s">
        <v>499</v>
      </c>
      <c r="B133" s="256" t="s">
        <v>45</v>
      </c>
      <c r="C133" s="256" t="s">
        <v>80</v>
      </c>
      <c r="D133" s="186" t="s">
        <v>578</v>
      </c>
      <c r="E133" s="187">
        <v>56</v>
      </c>
      <c r="F133" s="256">
        <v>0.62114070363135998</v>
      </c>
      <c r="G133" s="181">
        <v>1</v>
      </c>
      <c r="H133" s="279">
        <v>42735</v>
      </c>
      <c r="I133" s="220" t="s">
        <v>579</v>
      </c>
      <c r="J133" s="186">
        <v>1</v>
      </c>
      <c r="K133" s="186" t="s">
        <v>580</v>
      </c>
      <c r="L133" s="256">
        <v>24</v>
      </c>
      <c r="M133" s="220">
        <v>1</v>
      </c>
      <c r="N133" s="186">
        <v>1</v>
      </c>
      <c r="O133" s="220">
        <v>16</v>
      </c>
    </row>
    <row r="134" spans="1:18" s="69" customFormat="1" ht="165">
      <c r="A134" s="256" t="s">
        <v>499</v>
      </c>
      <c r="B134" s="256" t="s">
        <v>45</v>
      </c>
      <c r="C134" s="256" t="s">
        <v>46</v>
      </c>
      <c r="D134" s="258" t="s">
        <v>480</v>
      </c>
      <c r="E134" s="187">
        <v>288</v>
      </c>
      <c r="F134" s="256">
        <v>0.99976061384866399</v>
      </c>
      <c r="G134" s="181">
        <v>1</v>
      </c>
      <c r="H134" s="279">
        <v>42668</v>
      </c>
      <c r="I134" s="181" t="s">
        <v>4360</v>
      </c>
      <c r="J134" s="181">
        <v>1</v>
      </c>
      <c r="K134" s="186" t="s">
        <v>482</v>
      </c>
      <c r="L134" s="256">
        <v>84</v>
      </c>
      <c r="M134" s="256">
        <v>0</v>
      </c>
      <c r="N134" s="256">
        <v>1</v>
      </c>
      <c r="O134" s="256">
        <v>3</v>
      </c>
    </row>
    <row r="135" spans="1:18" s="69" customFormat="1" ht="60">
      <c r="A135" s="256" t="s">
        <v>499</v>
      </c>
      <c r="B135" s="256" t="s">
        <v>59</v>
      </c>
      <c r="C135" s="256" t="s">
        <v>80</v>
      </c>
      <c r="D135" s="186" t="s">
        <v>581</v>
      </c>
      <c r="E135" s="187">
        <v>33</v>
      </c>
      <c r="F135" s="256">
        <v>0.55873933852233604</v>
      </c>
      <c r="G135" s="181">
        <v>1</v>
      </c>
      <c r="H135" s="279">
        <v>42584</v>
      </c>
      <c r="I135" s="186" t="s">
        <v>582</v>
      </c>
      <c r="J135" s="186">
        <v>1</v>
      </c>
      <c r="K135" s="186" t="s">
        <v>583</v>
      </c>
      <c r="L135" s="256">
        <v>51</v>
      </c>
      <c r="M135" s="256">
        <v>1</v>
      </c>
      <c r="N135" s="256">
        <v>1</v>
      </c>
      <c r="O135" s="256">
        <v>7</v>
      </c>
    </row>
    <row r="136" spans="1:18" s="69" customFormat="1" ht="90">
      <c r="A136" s="256" t="s">
        <v>499</v>
      </c>
      <c r="B136" s="256" t="s">
        <v>59</v>
      </c>
      <c r="C136" s="256" t="s">
        <v>46</v>
      </c>
      <c r="D136" s="186" t="s">
        <v>4362</v>
      </c>
      <c r="E136" s="187">
        <v>67</v>
      </c>
      <c r="F136" s="256">
        <v>0.337249906969186</v>
      </c>
      <c r="G136" s="181">
        <v>1</v>
      </c>
      <c r="H136" s="279">
        <v>42478</v>
      </c>
      <c r="I136" s="181" t="s">
        <v>4363</v>
      </c>
      <c r="J136" s="181">
        <v>0</v>
      </c>
      <c r="K136" s="181" t="s">
        <v>4364</v>
      </c>
      <c r="L136" s="256">
        <v>116</v>
      </c>
      <c r="M136" s="256">
        <v>1</v>
      </c>
      <c r="N136" s="256">
        <v>1</v>
      </c>
      <c r="O136" s="256">
        <v>3</v>
      </c>
    </row>
    <row r="137" spans="1:18" s="69" customFormat="1" ht="45">
      <c r="A137" s="256" t="s">
        <v>499</v>
      </c>
      <c r="B137" s="256" t="s">
        <v>59</v>
      </c>
      <c r="C137" s="256" t="s">
        <v>80</v>
      </c>
      <c r="D137" s="186" t="s">
        <v>587</v>
      </c>
      <c r="E137" s="187">
        <v>12</v>
      </c>
      <c r="F137" s="256">
        <v>0.25273029973654998</v>
      </c>
      <c r="G137" s="181">
        <v>1</v>
      </c>
      <c r="H137" s="279">
        <v>42429</v>
      </c>
      <c r="I137" s="258" t="s">
        <v>587</v>
      </c>
      <c r="J137" s="258">
        <v>0</v>
      </c>
      <c r="K137" s="186" t="s">
        <v>588</v>
      </c>
      <c r="L137" s="256">
        <v>25</v>
      </c>
      <c r="M137" s="256">
        <v>2</v>
      </c>
      <c r="N137" s="256">
        <v>1</v>
      </c>
      <c r="O137" s="256">
        <v>11</v>
      </c>
    </row>
    <row r="138" spans="1:18" s="69" customFormat="1" ht="165">
      <c r="A138" s="256" t="s">
        <v>589</v>
      </c>
      <c r="B138" s="256" t="s">
        <v>45</v>
      </c>
      <c r="C138" s="256" t="s">
        <v>46</v>
      </c>
      <c r="D138" s="186" t="s">
        <v>590</v>
      </c>
      <c r="E138" s="187"/>
      <c r="F138" s="256"/>
      <c r="G138" s="181">
        <v>1</v>
      </c>
      <c r="H138" s="263">
        <v>44194</v>
      </c>
      <c r="I138" s="261" t="s">
        <v>591</v>
      </c>
      <c r="J138" s="258">
        <v>1</v>
      </c>
      <c r="K138" s="261" t="s">
        <v>592</v>
      </c>
      <c r="L138" s="256"/>
      <c r="M138" s="256">
        <v>0</v>
      </c>
      <c r="N138" s="256">
        <v>4</v>
      </c>
      <c r="O138" s="256">
        <v>2</v>
      </c>
      <c r="P138" s="69">
        <f>AVERAGE(M138:M376)</f>
        <v>0.32635983263598328</v>
      </c>
      <c r="Q138" s="69">
        <f>AVERAGE(N138:N376)</f>
        <v>1.2050209205020921</v>
      </c>
      <c r="R138" s="69">
        <f>AVERAGE(M138:O376)</f>
        <v>2.5405027932960893</v>
      </c>
    </row>
    <row r="139" spans="1:18" s="69" customFormat="1" ht="180">
      <c r="A139" s="256" t="s">
        <v>589</v>
      </c>
      <c r="B139" s="256" t="s">
        <v>45</v>
      </c>
      <c r="C139" s="256" t="s">
        <v>46</v>
      </c>
      <c r="D139" s="186" t="s">
        <v>4365</v>
      </c>
      <c r="E139" s="187"/>
      <c r="F139" s="256"/>
      <c r="G139" s="181">
        <v>1</v>
      </c>
      <c r="H139" s="263">
        <v>44176</v>
      </c>
      <c r="I139" s="261" t="s">
        <v>4366</v>
      </c>
      <c r="J139" s="258">
        <v>0</v>
      </c>
      <c r="K139" s="137" t="s">
        <v>595</v>
      </c>
      <c r="L139" s="256"/>
      <c r="M139" s="256">
        <v>0</v>
      </c>
      <c r="N139" s="256">
        <v>2</v>
      </c>
      <c r="O139" s="256">
        <v>3</v>
      </c>
    </row>
    <row r="140" spans="1:18" s="69" customFormat="1" ht="135">
      <c r="A140" s="256" t="s">
        <v>589</v>
      </c>
      <c r="B140" s="256" t="s">
        <v>45</v>
      </c>
      <c r="C140" s="256" t="s">
        <v>46</v>
      </c>
      <c r="D140" s="261" t="s">
        <v>596</v>
      </c>
      <c r="E140" s="187"/>
      <c r="F140" s="256"/>
      <c r="G140" s="181">
        <v>1</v>
      </c>
      <c r="H140" s="263">
        <v>44162</v>
      </c>
      <c r="I140" s="261" t="s">
        <v>597</v>
      </c>
      <c r="J140" s="258">
        <v>1</v>
      </c>
      <c r="K140" s="261" t="s">
        <v>598</v>
      </c>
      <c r="L140" s="256"/>
      <c r="M140" s="256">
        <v>0</v>
      </c>
      <c r="N140" s="256">
        <v>1</v>
      </c>
      <c r="O140" s="256">
        <v>3</v>
      </c>
    </row>
    <row r="141" spans="1:18" s="69" customFormat="1" ht="135">
      <c r="A141" s="256" t="s">
        <v>589</v>
      </c>
      <c r="B141" s="256" t="s">
        <v>45</v>
      </c>
      <c r="C141" s="256" t="s">
        <v>221</v>
      </c>
      <c r="D141" s="261" t="s">
        <v>599</v>
      </c>
      <c r="E141" s="187"/>
      <c r="F141" s="256"/>
      <c r="G141" s="181">
        <v>1</v>
      </c>
      <c r="H141" s="263">
        <v>44162</v>
      </c>
      <c r="I141" s="186" t="s">
        <v>4367</v>
      </c>
      <c r="J141" s="258">
        <v>0</v>
      </c>
      <c r="K141" s="137" t="s">
        <v>601</v>
      </c>
      <c r="L141" s="256"/>
      <c r="M141" s="256">
        <v>0</v>
      </c>
      <c r="N141" s="256">
        <v>2</v>
      </c>
      <c r="O141" s="256">
        <v>0</v>
      </c>
    </row>
    <row r="142" spans="1:18" s="69" customFormat="1" ht="120">
      <c r="A142" s="256" t="s">
        <v>589</v>
      </c>
      <c r="B142" s="256" t="s">
        <v>45</v>
      </c>
      <c r="C142" s="256" t="s">
        <v>80</v>
      </c>
      <c r="D142" s="186" t="s">
        <v>602</v>
      </c>
      <c r="E142" s="187"/>
      <c r="F142" s="256"/>
      <c r="G142" s="181">
        <v>1</v>
      </c>
      <c r="H142" s="263">
        <v>44151</v>
      </c>
      <c r="I142" s="261" t="s">
        <v>603</v>
      </c>
      <c r="J142" s="258">
        <v>1</v>
      </c>
      <c r="K142" s="137" t="s">
        <v>604</v>
      </c>
      <c r="L142" s="256"/>
      <c r="M142" s="256">
        <v>3</v>
      </c>
      <c r="N142" s="256">
        <v>3</v>
      </c>
      <c r="O142" s="256">
        <v>1</v>
      </c>
    </row>
    <row r="143" spans="1:18" s="69" customFormat="1" ht="90">
      <c r="A143" s="256" t="s">
        <v>589</v>
      </c>
      <c r="B143" s="256" t="s">
        <v>45</v>
      </c>
      <c r="C143" s="256" t="s">
        <v>46</v>
      </c>
      <c r="D143" s="261" t="s">
        <v>605</v>
      </c>
      <c r="E143" s="187"/>
      <c r="F143" s="256"/>
      <c r="G143" s="181">
        <v>1</v>
      </c>
      <c r="H143" s="263">
        <v>44133</v>
      </c>
      <c r="I143" s="261" t="s">
        <v>606</v>
      </c>
      <c r="J143" s="258">
        <v>0</v>
      </c>
      <c r="K143" s="261" t="s">
        <v>607</v>
      </c>
      <c r="L143" s="256"/>
      <c r="M143" s="256">
        <v>0</v>
      </c>
      <c r="N143" s="256">
        <v>1</v>
      </c>
      <c r="O143" s="256">
        <v>1</v>
      </c>
    </row>
    <row r="144" spans="1:18" s="69" customFormat="1" ht="135">
      <c r="A144" s="256" t="s">
        <v>589</v>
      </c>
      <c r="B144" s="256" t="s">
        <v>119</v>
      </c>
      <c r="C144" s="256" t="s">
        <v>221</v>
      </c>
      <c r="D144" s="186" t="s">
        <v>608</v>
      </c>
      <c r="E144" s="187"/>
      <c r="F144" s="256"/>
      <c r="G144" s="181">
        <v>1</v>
      </c>
      <c r="H144" s="263">
        <v>44132</v>
      </c>
      <c r="I144" s="261" t="s">
        <v>609</v>
      </c>
      <c r="J144" s="258">
        <v>1</v>
      </c>
      <c r="K144" s="261" t="s">
        <v>610</v>
      </c>
      <c r="L144" s="256"/>
      <c r="M144" s="256">
        <v>0</v>
      </c>
      <c r="N144" s="256">
        <v>1</v>
      </c>
      <c r="O144" s="256">
        <v>1</v>
      </c>
    </row>
    <row r="145" spans="1:16" s="69" customFormat="1" ht="75">
      <c r="A145" s="256" t="s">
        <v>589</v>
      </c>
      <c r="B145" s="256" t="s">
        <v>45</v>
      </c>
      <c r="C145" s="256" t="s">
        <v>221</v>
      </c>
      <c r="D145" s="186" t="s">
        <v>611</v>
      </c>
      <c r="E145" s="187"/>
      <c r="F145" s="256"/>
      <c r="G145" s="181">
        <v>0</v>
      </c>
      <c r="H145" s="263">
        <v>44131</v>
      </c>
      <c r="I145" s="265" t="s">
        <v>612</v>
      </c>
      <c r="J145" s="258">
        <v>0</v>
      </c>
      <c r="K145" s="261" t="s">
        <v>613</v>
      </c>
      <c r="L145" s="256"/>
      <c r="M145" s="256">
        <v>0</v>
      </c>
      <c r="N145" s="256">
        <v>1</v>
      </c>
      <c r="O145" s="256">
        <v>2</v>
      </c>
    </row>
    <row r="146" spans="1:16" s="69" customFormat="1" ht="180">
      <c r="A146" s="256" t="s">
        <v>589</v>
      </c>
      <c r="B146" s="256" t="s">
        <v>45</v>
      </c>
      <c r="C146" s="256" t="s">
        <v>46</v>
      </c>
      <c r="D146" s="261" t="s">
        <v>614</v>
      </c>
      <c r="E146" s="187"/>
      <c r="F146" s="256"/>
      <c r="G146" s="181">
        <v>0</v>
      </c>
      <c r="H146" s="264">
        <v>44131</v>
      </c>
      <c r="I146" s="261" t="s">
        <v>615</v>
      </c>
      <c r="J146" s="258">
        <v>1</v>
      </c>
      <c r="K146" s="261" t="s">
        <v>616</v>
      </c>
      <c r="L146" s="256"/>
      <c r="M146" s="256">
        <v>0</v>
      </c>
      <c r="N146" s="256">
        <v>1</v>
      </c>
      <c r="O146" s="256">
        <v>2</v>
      </c>
    </row>
    <row r="147" spans="1:16" s="69" customFormat="1" ht="195">
      <c r="A147" s="256" t="s">
        <v>589</v>
      </c>
      <c r="B147" s="256" t="s">
        <v>45</v>
      </c>
      <c r="C147" s="256" t="s">
        <v>221</v>
      </c>
      <c r="D147" s="186" t="s">
        <v>617</v>
      </c>
      <c r="E147" s="187"/>
      <c r="F147" s="256"/>
      <c r="G147" s="181">
        <v>0</v>
      </c>
      <c r="H147" s="263">
        <v>44112</v>
      </c>
      <c r="I147" s="261" t="s">
        <v>618</v>
      </c>
      <c r="J147" s="258">
        <v>0</v>
      </c>
      <c r="K147" s="261" t="s">
        <v>619</v>
      </c>
      <c r="L147" s="256"/>
      <c r="M147" s="256">
        <v>0</v>
      </c>
      <c r="N147" s="256">
        <v>1</v>
      </c>
      <c r="O147" s="256">
        <v>1</v>
      </c>
    </row>
    <row r="148" spans="1:16" s="69" customFormat="1" ht="120">
      <c r="A148" s="256" t="s">
        <v>589</v>
      </c>
      <c r="B148" s="256" t="s">
        <v>45</v>
      </c>
      <c r="C148" s="256" t="s">
        <v>80</v>
      </c>
      <c r="D148" s="261" t="s">
        <v>620</v>
      </c>
      <c r="E148" s="187"/>
      <c r="F148" s="256"/>
      <c r="G148" s="181">
        <v>1</v>
      </c>
      <c r="H148" s="263">
        <v>44107</v>
      </c>
      <c r="I148" s="261" t="s">
        <v>621</v>
      </c>
      <c r="J148" s="258">
        <v>0</v>
      </c>
      <c r="K148" s="261" t="s">
        <v>622</v>
      </c>
      <c r="L148" s="256"/>
      <c r="M148" s="256">
        <v>0</v>
      </c>
      <c r="N148" s="256">
        <v>1</v>
      </c>
      <c r="O148" s="256">
        <v>7</v>
      </c>
    </row>
    <row r="149" spans="1:16" s="69" customFormat="1" ht="90">
      <c r="A149" s="256" t="s">
        <v>589</v>
      </c>
      <c r="B149" s="256" t="s">
        <v>45</v>
      </c>
      <c r="C149" s="256" t="s">
        <v>221</v>
      </c>
      <c r="D149" s="186" t="s">
        <v>623</v>
      </c>
      <c r="E149" s="187"/>
      <c r="F149" s="256"/>
      <c r="G149" s="181">
        <v>1</v>
      </c>
      <c r="H149" s="263">
        <v>44078</v>
      </c>
      <c r="I149" s="261" t="s">
        <v>624</v>
      </c>
      <c r="J149" s="258">
        <v>0</v>
      </c>
      <c r="K149" s="261" t="s">
        <v>625</v>
      </c>
      <c r="L149" s="256"/>
      <c r="M149" s="256">
        <v>0</v>
      </c>
      <c r="N149" s="256">
        <v>1</v>
      </c>
      <c r="O149" s="256">
        <v>3</v>
      </c>
    </row>
    <row r="150" spans="1:16" s="69" customFormat="1" ht="120">
      <c r="A150" s="256" t="s">
        <v>589</v>
      </c>
      <c r="B150" s="256" t="s">
        <v>45</v>
      </c>
      <c r="C150" s="256" t="s">
        <v>46</v>
      </c>
      <c r="D150" s="261" t="s">
        <v>4368</v>
      </c>
      <c r="E150" s="187"/>
      <c r="F150" s="256"/>
      <c r="G150" s="181">
        <v>0</v>
      </c>
      <c r="H150" s="263">
        <v>44067</v>
      </c>
      <c r="I150" s="261" t="s">
        <v>4369</v>
      </c>
      <c r="J150" s="258">
        <v>0</v>
      </c>
      <c r="K150" s="261" t="s">
        <v>628</v>
      </c>
      <c r="L150" s="256"/>
      <c r="M150" s="256">
        <v>0</v>
      </c>
      <c r="N150" s="256">
        <v>1</v>
      </c>
      <c r="O150" s="256">
        <v>1</v>
      </c>
    </row>
    <row r="151" spans="1:16" s="69" customFormat="1" ht="120">
      <c r="A151" s="256" t="s">
        <v>589</v>
      </c>
      <c r="B151" s="256" t="s">
        <v>59</v>
      </c>
      <c r="C151" s="256" t="s">
        <v>46</v>
      </c>
      <c r="D151" s="186" t="s">
        <v>589</v>
      </c>
      <c r="E151" s="187"/>
      <c r="F151" s="256"/>
      <c r="G151" s="181">
        <v>0</v>
      </c>
      <c r="H151" s="263">
        <v>44061</v>
      </c>
      <c r="I151" s="261" t="s">
        <v>629</v>
      </c>
      <c r="J151" s="258">
        <v>0</v>
      </c>
      <c r="K151" s="261" t="s">
        <v>630</v>
      </c>
      <c r="L151" s="256"/>
      <c r="M151" s="256">
        <v>0</v>
      </c>
      <c r="N151" s="256">
        <v>1</v>
      </c>
      <c r="O151" s="256">
        <v>1</v>
      </c>
    </row>
    <row r="152" spans="1:16" s="69" customFormat="1" ht="75">
      <c r="A152" s="256" t="s">
        <v>589</v>
      </c>
      <c r="B152" s="256" t="s">
        <v>59</v>
      </c>
      <c r="C152" s="256" t="s">
        <v>221</v>
      </c>
      <c r="D152" s="261" t="s">
        <v>631</v>
      </c>
      <c r="E152" s="187"/>
      <c r="F152" s="256"/>
      <c r="G152" s="181">
        <v>1</v>
      </c>
      <c r="H152" s="263">
        <v>44045</v>
      </c>
      <c r="I152" s="261" t="s">
        <v>632</v>
      </c>
      <c r="J152" s="258">
        <v>0</v>
      </c>
      <c r="K152" s="261" t="s">
        <v>633</v>
      </c>
      <c r="L152" s="256"/>
      <c r="M152" s="256">
        <v>0</v>
      </c>
      <c r="N152" s="256">
        <v>1</v>
      </c>
      <c r="O152" s="256">
        <v>1</v>
      </c>
    </row>
    <row r="153" spans="1:16" s="69" customFormat="1" ht="75">
      <c r="A153" s="256" t="s">
        <v>589</v>
      </c>
      <c r="B153" s="256" t="s">
        <v>45</v>
      </c>
      <c r="C153" s="256" t="s">
        <v>80</v>
      </c>
      <c r="D153" s="186" t="s">
        <v>634</v>
      </c>
      <c r="E153" s="187"/>
      <c r="F153" s="256"/>
      <c r="G153" s="181">
        <v>1</v>
      </c>
      <c r="H153" s="263">
        <v>44037</v>
      </c>
      <c r="I153" s="261" t="s">
        <v>635</v>
      </c>
      <c r="J153" s="258">
        <v>0</v>
      </c>
      <c r="K153" s="261" t="s">
        <v>636</v>
      </c>
      <c r="L153" s="256"/>
      <c r="M153" s="256">
        <v>0</v>
      </c>
      <c r="N153" s="256">
        <v>1</v>
      </c>
      <c r="O153" s="256">
        <v>2</v>
      </c>
    </row>
    <row r="154" spans="1:16" s="69" customFormat="1" ht="135">
      <c r="A154" s="256" t="s">
        <v>589</v>
      </c>
      <c r="B154" s="256" t="s">
        <v>45</v>
      </c>
      <c r="C154" s="256" t="s">
        <v>46</v>
      </c>
      <c r="D154" s="186" t="s">
        <v>637</v>
      </c>
      <c r="E154" s="187"/>
      <c r="F154" s="256"/>
      <c r="G154" s="181">
        <v>0</v>
      </c>
      <c r="H154" s="263">
        <v>44034</v>
      </c>
      <c r="I154" s="261" t="s">
        <v>4370</v>
      </c>
      <c r="J154" s="258">
        <v>1</v>
      </c>
      <c r="K154" s="261" t="s">
        <v>639</v>
      </c>
      <c r="L154" s="256"/>
      <c r="M154" s="256">
        <v>2</v>
      </c>
      <c r="N154" s="256">
        <v>1</v>
      </c>
      <c r="O154" s="256">
        <v>1</v>
      </c>
    </row>
    <row r="155" spans="1:16" s="69" customFormat="1" ht="105">
      <c r="A155" s="256" t="s">
        <v>589</v>
      </c>
      <c r="B155" s="256" t="s">
        <v>45</v>
      </c>
      <c r="C155" s="256" t="s">
        <v>80</v>
      </c>
      <c r="D155" s="265" t="s">
        <v>640</v>
      </c>
      <c r="E155" s="187"/>
      <c r="F155" s="256"/>
      <c r="G155" s="181">
        <v>1</v>
      </c>
      <c r="H155" s="263">
        <v>44013</v>
      </c>
      <c r="I155" s="261" t="s">
        <v>641</v>
      </c>
      <c r="J155" s="258">
        <v>0</v>
      </c>
      <c r="K155" s="261" t="s">
        <v>642</v>
      </c>
      <c r="L155" s="256"/>
      <c r="M155" s="256">
        <v>0</v>
      </c>
      <c r="N155" s="256">
        <v>1</v>
      </c>
      <c r="O155" s="256">
        <v>1</v>
      </c>
    </row>
    <row r="156" spans="1:16" s="69" customFormat="1" ht="90">
      <c r="A156" s="256" t="s">
        <v>589</v>
      </c>
      <c r="B156" s="256" t="s">
        <v>45</v>
      </c>
      <c r="C156" s="256" t="s">
        <v>80</v>
      </c>
      <c r="D156" s="186" t="s">
        <v>643</v>
      </c>
      <c r="E156" s="187">
        <v>48</v>
      </c>
      <c r="F156" s="256">
        <v>6.3822557890502702E-5</v>
      </c>
      <c r="G156" s="181">
        <v>1</v>
      </c>
      <c r="H156" s="279">
        <v>44013</v>
      </c>
      <c r="I156" s="186" t="s">
        <v>644</v>
      </c>
      <c r="J156" s="186">
        <v>0</v>
      </c>
      <c r="K156" s="186" t="s">
        <v>645</v>
      </c>
      <c r="L156" s="256">
        <v>118</v>
      </c>
      <c r="M156" s="256">
        <v>0</v>
      </c>
      <c r="N156" s="256">
        <v>1</v>
      </c>
      <c r="O156" s="256">
        <v>1</v>
      </c>
      <c r="P156" s="69">
        <f>AVERAGE(M156:M376)</f>
        <v>0.33031674208144796</v>
      </c>
    </row>
    <row r="157" spans="1:16" s="69" customFormat="1" ht="75">
      <c r="A157" s="256" t="s">
        <v>589</v>
      </c>
      <c r="B157" s="256" t="s">
        <v>45</v>
      </c>
      <c r="C157" s="256" t="s">
        <v>80</v>
      </c>
      <c r="D157" s="186" t="s">
        <v>646</v>
      </c>
      <c r="E157" s="187">
        <v>58</v>
      </c>
      <c r="F157" s="256">
        <v>7.5786243380360197E-4</v>
      </c>
      <c r="G157" s="181">
        <v>1</v>
      </c>
      <c r="H157" s="279">
        <v>44011</v>
      </c>
      <c r="I157" s="186" t="s">
        <v>647</v>
      </c>
      <c r="J157" s="186">
        <v>0</v>
      </c>
      <c r="K157" s="186" t="s">
        <v>648</v>
      </c>
      <c r="L157" s="256">
        <v>109</v>
      </c>
      <c r="M157" s="256">
        <v>0</v>
      </c>
      <c r="N157" s="256">
        <v>1</v>
      </c>
      <c r="O157" s="256">
        <v>1</v>
      </c>
      <c r="P157" s="69">
        <f>AVERAGE(O156:O376)</f>
        <v>6.4545454545454541</v>
      </c>
    </row>
    <row r="158" spans="1:16" s="69" customFormat="1" ht="90">
      <c r="A158" s="256" t="s">
        <v>589</v>
      </c>
      <c r="B158" s="256" t="s">
        <v>45</v>
      </c>
      <c r="C158" s="256" t="s">
        <v>221</v>
      </c>
      <c r="D158" s="186" t="s">
        <v>649</v>
      </c>
      <c r="E158" s="187">
        <v>27</v>
      </c>
      <c r="F158" s="256">
        <v>0.80495152794277403</v>
      </c>
      <c r="G158" s="181">
        <v>1</v>
      </c>
      <c r="H158" s="279">
        <v>44010</v>
      </c>
      <c r="I158" s="258" t="s">
        <v>650</v>
      </c>
      <c r="J158" s="258">
        <v>0</v>
      </c>
      <c r="K158" s="186" t="s">
        <v>651</v>
      </c>
      <c r="L158" s="256">
        <v>124</v>
      </c>
      <c r="M158" s="256">
        <v>0</v>
      </c>
      <c r="N158" s="256">
        <v>1</v>
      </c>
      <c r="O158" s="256">
        <v>1</v>
      </c>
    </row>
    <row r="159" spans="1:16" s="69" customFormat="1" ht="120">
      <c r="A159" s="256" t="s">
        <v>589</v>
      </c>
      <c r="B159" s="256" t="s">
        <v>45</v>
      </c>
      <c r="C159" s="256" t="s">
        <v>221</v>
      </c>
      <c r="D159" s="186" t="s">
        <v>652</v>
      </c>
      <c r="E159" s="187">
        <v>57</v>
      </c>
      <c r="F159" s="256">
        <v>2.7632928410420199E-2</v>
      </c>
      <c r="G159" s="181">
        <v>1</v>
      </c>
      <c r="H159" s="279">
        <v>44008</v>
      </c>
      <c r="I159" s="186" t="s">
        <v>653</v>
      </c>
      <c r="J159" s="186">
        <v>0</v>
      </c>
      <c r="K159" s="186" t="s">
        <v>654</v>
      </c>
      <c r="L159" s="256">
        <v>170</v>
      </c>
      <c r="M159" s="256">
        <v>0</v>
      </c>
      <c r="N159" s="256">
        <v>1</v>
      </c>
      <c r="O159" s="256">
        <v>3</v>
      </c>
    </row>
    <row r="160" spans="1:16" s="69" customFormat="1" ht="120">
      <c r="A160" s="256" t="s">
        <v>589</v>
      </c>
      <c r="B160" s="256" t="s">
        <v>45</v>
      </c>
      <c r="C160" s="256" t="s">
        <v>46</v>
      </c>
      <c r="D160" s="186" t="s">
        <v>655</v>
      </c>
      <c r="E160" s="187">
        <v>34</v>
      </c>
      <c r="F160" s="256">
        <v>0.41682080668497101</v>
      </c>
      <c r="G160" s="181">
        <v>0</v>
      </c>
      <c r="H160" s="279">
        <v>44001</v>
      </c>
      <c r="I160" s="186" t="s">
        <v>656</v>
      </c>
      <c r="J160" s="186">
        <v>1</v>
      </c>
      <c r="K160" s="186" t="s">
        <v>657</v>
      </c>
      <c r="L160" s="256">
        <v>126</v>
      </c>
      <c r="M160" s="256">
        <v>0</v>
      </c>
      <c r="N160" s="256">
        <v>1</v>
      </c>
      <c r="O160" s="256">
        <v>16</v>
      </c>
    </row>
    <row r="161" spans="1:15" s="69" customFormat="1" ht="75">
      <c r="A161" s="256" t="s">
        <v>589</v>
      </c>
      <c r="B161" s="256" t="s">
        <v>59</v>
      </c>
      <c r="C161" s="256" t="s">
        <v>80</v>
      </c>
      <c r="D161" s="186" t="s">
        <v>658</v>
      </c>
      <c r="E161" s="187">
        <v>24</v>
      </c>
      <c r="F161" s="256">
        <v>7.3374854589360203E-2</v>
      </c>
      <c r="G161" s="181">
        <v>1</v>
      </c>
      <c r="H161" s="279">
        <v>43998</v>
      </c>
      <c r="I161" s="258" t="s">
        <v>659</v>
      </c>
      <c r="J161" s="258">
        <v>0</v>
      </c>
      <c r="K161" s="186" t="s">
        <v>660</v>
      </c>
      <c r="L161" s="256">
        <v>93</v>
      </c>
      <c r="M161" s="256">
        <v>0</v>
      </c>
      <c r="N161" s="256">
        <v>1</v>
      </c>
      <c r="O161" s="256">
        <v>1</v>
      </c>
    </row>
    <row r="162" spans="1:15" s="69" customFormat="1" ht="120">
      <c r="A162" s="256" t="s">
        <v>589</v>
      </c>
      <c r="B162" s="256" t="s">
        <v>45</v>
      </c>
      <c r="C162" s="256" t="s">
        <v>80</v>
      </c>
      <c r="D162" s="220" t="s">
        <v>661</v>
      </c>
      <c r="E162" s="187">
        <v>123</v>
      </c>
      <c r="F162" s="256">
        <v>2.8708888928606902E-3</v>
      </c>
      <c r="G162" s="181">
        <v>1</v>
      </c>
      <c r="H162" s="279">
        <v>43997</v>
      </c>
      <c r="I162" s="220" t="s">
        <v>662</v>
      </c>
      <c r="J162" s="186">
        <v>0</v>
      </c>
      <c r="K162" s="186" t="s">
        <v>663</v>
      </c>
      <c r="L162" s="256">
        <v>172</v>
      </c>
      <c r="M162" s="220">
        <v>0</v>
      </c>
      <c r="N162" s="186">
        <v>1</v>
      </c>
      <c r="O162" s="220">
        <v>1</v>
      </c>
    </row>
    <row r="163" spans="1:15" s="69" customFormat="1" ht="120">
      <c r="A163" s="256" t="s">
        <v>589</v>
      </c>
      <c r="B163" s="256" t="s">
        <v>45</v>
      </c>
      <c r="C163" s="256" t="s">
        <v>664</v>
      </c>
      <c r="D163" s="186" t="s">
        <v>665</v>
      </c>
      <c r="E163" s="187">
        <v>119</v>
      </c>
      <c r="F163" s="256">
        <v>0.99999571078266902</v>
      </c>
      <c r="G163" s="181">
        <v>0</v>
      </c>
      <c r="H163" s="297">
        <v>43995</v>
      </c>
      <c r="I163" s="186" t="s">
        <v>666</v>
      </c>
      <c r="J163" s="186">
        <v>0</v>
      </c>
      <c r="K163" s="186" t="s">
        <v>667</v>
      </c>
      <c r="L163" s="256">
        <v>162</v>
      </c>
      <c r="M163" s="256">
        <v>0</v>
      </c>
      <c r="N163" s="256">
        <v>1</v>
      </c>
      <c r="O163" s="256">
        <v>3</v>
      </c>
    </row>
    <row r="164" spans="1:15" s="69" customFormat="1" ht="105">
      <c r="A164" s="256" t="s">
        <v>589</v>
      </c>
      <c r="B164" s="256" t="s">
        <v>45</v>
      </c>
      <c r="C164" s="256" t="s">
        <v>221</v>
      </c>
      <c r="D164" s="186" t="s">
        <v>668</v>
      </c>
      <c r="E164" s="187">
        <v>69</v>
      </c>
      <c r="F164" s="256">
        <v>0.58214517975685698</v>
      </c>
      <c r="G164" s="181">
        <v>1</v>
      </c>
      <c r="H164" s="279">
        <v>43989</v>
      </c>
      <c r="I164" s="186" t="s">
        <v>669</v>
      </c>
      <c r="J164" s="186">
        <v>0</v>
      </c>
      <c r="K164" s="186" t="s">
        <v>670</v>
      </c>
      <c r="L164" s="256">
        <v>152</v>
      </c>
      <c r="M164" s="256">
        <v>0</v>
      </c>
      <c r="N164" s="256">
        <v>1</v>
      </c>
      <c r="O164" s="256"/>
    </row>
    <row r="165" spans="1:15" s="69" customFormat="1" ht="328">
      <c r="A165" s="256" t="s">
        <v>589</v>
      </c>
      <c r="B165" s="256" t="s">
        <v>45</v>
      </c>
      <c r="C165" s="256" t="s">
        <v>46</v>
      </c>
      <c r="D165" s="186" t="s">
        <v>671</v>
      </c>
      <c r="E165" s="187">
        <v>577</v>
      </c>
      <c r="F165" s="256">
        <v>8.4994389304426901E-10</v>
      </c>
      <c r="G165" s="181">
        <v>1</v>
      </c>
      <c r="H165" s="279">
        <v>43984</v>
      </c>
      <c r="I165" s="181" t="s">
        <v>672</v>
      </c>
      <c r="J165" s="181">
        <v>1</v>
      </c>
      <c r="K165" s="186" t="s">
        <v>673</v>
      </c>
      <c r="L165" s="256">
        <v>249</v>
      </c>
      <c r="M165" s="256">
        <v>0</v>
      </c>
      <c r="N165" s="256">
        <v>1</v>
      </c>
      <c r="O165" s="256">
        <v>1</v>
      </c>
    </row>
    <row r="166" spans="1:15" s="69" customFormat="1" ht="90">
      <c r="A166" s="256" t="s">
        <v>589</v>
      </c>
      <c r="B166" s="256" t="s">
        <v>45</v>
      </c>
      <c r="C166" s="256" t="s">
        <v>80</v>
      </c>
      <c r="D166" s="186" t="s">
        <v>674</v>
      </c>
      <c r="E166" s="187">
        <v>103</v>
      </c>
      <c r="F166" s="256">
        <v>0.25497854665780201</v>
      </c>
      <c r="G166" s="181">
        <v>1</v>
      </c>
      <c r="H166" s="279">
        <v>43983</v>
      </c>
      <c r="I166" s="186" t="s">
        <v>675</v>
      </c>
      <c r="J166" s="186">
        <v>0</v>
      </c>
      <c r="K166" s="186" t="s">
        <v>676</v>
      </c>
      <c r="L166" s="256">
        <v>128</v>
      </c>
      <c r="M166" s="256">
        <v>0</v>
      </c>
      <c r="N166" s="256">
        <v>1</v>
      </c>
      <c r="O166" s="256">
        <v>3</v>
      </c>
    </row>
    <row r="167" spans="1:15" s="69" customFormat="1" ht="60">
      <c r="A167" s="256" t="s">
        <v>589</v>
      </c>
      <c r="B167" s="256" t="s">
        <v>45</v>
      </c>
      <c r="C167" s="256" t="s">
        <v>80</v>
      </c>
      <c r="D167" s="186" t="s">
        <v>677</v>
      </c>
      <c r="E167" s="187">
        <v>65</v>
      </c>
      <c r="F167" s="256">
        <v>0.95386546275751505</v>
      </c>
      <c r="G167" s="181">
        <v>1</v>
      </c>
      <c r="H167" s="279">
        <v>43981</v>
      </c>
      <c r="I167" s="186" t="s">
        <v>678</v>
      </c>
      <c r="J167" s="186">
        <v>0</v>
      </c>
      <c r="K167" s="186" t="s">
        <v>679</v>
      </c>
      <c r="L167" s="256">
        <v>84</v>
      </c>
      <c r="M167" s="256">
        <v>0</v>
      </c>
      <c r="N167" s="256">
        <v>1</v>
      </c>
      <c r="O167" s="256">
        <v>3</v>
      </c>
    </row>
    <row r="168" spans="1:15" s="69" customFormat="1" ht="60">
      <c r="A168" s="256" t="s">
        <v>589</v>
      </c>
      <c r="B168" s="256" t="s">
        <v>45</v>
      </c>
      <c r="C168" s="256" t="s">
        <v>221</v>
      </c>
      <c r="D168" s="186" t="s">
        <v>680</v>
      </c>
      <c r="E168" s="187">
        <v>11</v>
      </c>
      <c r="F168" s="256">
        <v>4.8764987199913103E-2</v>
      </c>
      <c r="G168" s="181">
        <v>1</v>
      </c>
      <c r="H168" s="279">
        <v>43981</v>
      </c>
      <c r="I168" s="258" t="s">
        <v>681</v>
      </c>
      <c r="J168" s="258">
        <v>1</v>
      </c>
      <c r="K168" s="186" t="s">
        <v>682</v>
      </c>
      <c r="L168" s="256">
        <v>87</v>
      </c>
      <c r="M168" s="256">
        <v>0</v>
      </c>
      <c r="N168" s="256">
        <v>1</v>
      </c>
      <c r="O168" s="256">
        <v>3</v>
      </c>
    </row>
    <row r="169" spans="1:15" s="69" customFormat="1" ht="120">
      <c r="A169" s="256" t="s">
        <v>589</v>
      </c>
      <c r="B169" s="256" t="s">
        <v>59</v>
      </c>
      <c r="C169" s="256" t="s">
        <v>46</v>
      </c>
      <c r="D169" s="296" t="s">
        <v>683</v>
      </c>
      <c r="E169" s="187">
        <v>232</v>
      </c>
      <c r="F169" s="256">
        <v>1.1252308440568E-6</v>
      </c>
      <c r="G169" s="181">
        <v>0</v>
      </c>
      <c r="H169" s="279">
        <v>43957</v>
      </c>
      <c r="I169" s="186" t="s">
        <v>684</v>
      </c>
      <c r="J169" s="186">
        <v>1</v>
      </c>
      <c r="K169" s="186" t="s">
        <v>685</v>
      </c>
      <c r="L169" s="256">
        <v>176</v>
      </c>
      <c r="M169" s="256">
        <v>0</v>
      </c>
      <c r="N169" s="256">
        <v>1</v>
      </c>
      <c r="O169" s="256">
        <v>1</v>
      </c>
    </row>
    <row r="170" spans="1:15" s="69" customFormat="1" ht="75">
      <c r="A170" s="256" t="s">
        <v>589</v>
      </c>
      <c r="B170" s="256" t="s">
        <v>45</v>
      </c>
      <c r="C170" s="256" t="s">
        <v>46</v>
      </c>
      <c r="D170" s="296" t="s">
        <v>686</v>
      </c>
      <c r="E170" s="187">
        <v>55</v>
      </c>
      <c r="F170" s="256">
        <v>0.12674674053354501</v>
      </c>
      <c r="G170" s="181">
        <v>0</v>
      </c>
      <c r="H170" s="279">
        <v>43947</v>
      </c>
      <c r="I170" s="186" t="s">
        <v>687</v>
      </c>
      <c r="J170" s="186">
        <v>0</v>
      </c>
      <c r="K170" s="186" t="s">
        <v>688</v>
      </c>
      <c r="L170" s="256">
        <v>46</v>
      </c>
      <c r="M170" s="256">
        <v>0</v>
      </c>
      <c r="N170" s="256">
        <v>1</v>
      </c>
      <c r="O170" s="256">
        <v>2</v>
      </c>
    </row>
    <row r="171" spans="1:15" s="69" customFormat="1" ht="90">
      <c r="A171" s="256" t="s">
        <v>589</v>
      </c>
      <c r="B171" s="256" t="s">
        <v>45</v>
      </c>
      <c r="C171" s="256" t="s">
        <v>46</v>
      </c>
      <c r="D171" s="220" t="s">
        <v>689</v>
      </c>
      <c r="E171" s="187">
        <v>68</v>
      </c>
      <c r="F171" s="256">
        <v>4.3675985322356101E-2</v>
      </c>
      <c r="G171" s="181">
        <v>1</v>
      </c>
      <c r="H171" s="279">
        <v>43938</v>
      </c>
      <c r="I171" s="186" t="s">
        <v>690</v>
      </c>
      <c r="J171" s="186">
        <v>1</v>
      </c>
      <c r="K171" s="186" t="s">
        <v>691</v>
      </c>
      <c r="L171" s="256">
        <v>135</v>
      </c>
      <c r="M171" s="220">
        <v>1</v>
      </c>
      <c r="N171" s="186">
        <v>2</v>
      </c>
      <c r="O171" s="220">
        <v>34</v>
      </c>
    </row>
    <row r="172" spans="1:15" s="69" customFormat="1" ht="45">
      <c r="A172" s="256" t="s">
        <v>589</v>
      </c>
      <c r="B172" s="256" t="s">
        <v>45</v>
      </c>
      <c r="C172" s="256" t="s">
        <v>80</v>
      </c>
      <c r="D172" s="220" t="s">
        <v>159</v>
      </c>
      <c r="E172" s="187">
        <v>57</v>
      </c>
      <c r="F172" s="256">
        <v>9.3208817792074294E-2</v>
      </c>
      <c r="G172" s="181">
        <v>1</v>
      </c>
      <c r="H172" s="279">
        <v>43933</v>
      </c>
      <c r="I172" s="186" t="s">
        <v>692</v>
      </c>
      <c r="J172" s="186">
        <v>0</v>
      </c>
      <c r="K172" s="186" t="s">
        <v>693</v>
      </c>
      <c r="L172" s="256">
        <v>47</v>
      </c>
      <c r="M172" s="220">
        <v>2</v>
      </c>
      <c r="N172" s="186">
        <v>1</v>
      </c>
      <c r="O172" s="220">
        <v>14</v>
      </c>
    </row>
    <row r="173" spans="1:15" s="69" customFormat="1" ht="135">
      <c r="A173" s="256" t="s">
        <v>589</v>
      </c>
      <c r="B173" s="256" t="s">
        <v>45</v>
      </c>
      <c r="C173" s="256" t="s">
        <v>221</v>
      </c>
      <c r="D173" s="220" t="s">
        <v>694</v>
      </c>
      <c r="E173" s="187">
        <v>164</v>
      </c>
      <c r="F173" s="256">
        <v>2.2642765386852201E-3</v>
      </c>
      <c r="G173" s="181">
        <v>1</v>
      </c>
      <c r="H173" s="279">
        <v>43904</v>
      </c>
      <c r="I173" s="181" t="s">
        <v>695</v>
      </c>
      <c r="J173" s="181">
        <v>1</v>
      </c>
      <c r="K173" s="186" t="s">
        <v>696</v>
      </c>
      <c r="L173" s="256">
        <v>191</v>
      </c>
      <c r="M173" s="220">
        <v>1</v>
      </c>
      <c r="N173" s="186">
        <v>1</v>
      </c>
      <c r="O173" s="220">
        <v>3</v>
      </c>
    </row>
    <row r="174" spans="1:15" s="69" customFormat="1" ht="180">
      <c r="A174" s="256" t="s">
        <v>589</v>
      </c>
      <c r="B174" s="256" t="s">
        <v>45</v>
      </c>
      <c r="C174" s="256" t="s">
        <v>46</v>
      </c>
      <c r="D174" s="186" t="s">
        <v>697</v>
      </c>
      <c r="E174" s="187">
        <v>280</v>
      </c>
      <c r="F174" s="256">
        <v>4.4853384539855799E-7</v>
      </c>
      <c r="G174" s="181">
        <v>0</v>
      </c>
      <c r="H174" s="279">
        <v>43836</v>
      </c>
      <c r="I174" s="181" t="s">
        <v>698</v>
      </c>
      <c r="J174" s="181">
        <v>1</v>
      </c>
      <c r="K174" s="186" t="s">
        <v>699</v>
      </c>
      <c r="L174" s="256">
        <v>120</v>
      </c>
      <c r="M174" s="256">
        <v>0</v>
      </c>
      <c r="N174" s="256">
        <v>1</v>
      </c>
      <c r="O174" s="256">
        <v>7</v>
      </c>
    </row>
    <row r="175" spans="1:15" s="69" customFormat="1" ht="60">
      <c r="A175" s="256" t="s">
        <v>589</v>
      </c>
      <c r="B175" s="256" t="s">
        <v>45</v>
      </c>
      <c r="C175" s="256" t="s">
        <v>80</v>
      </c>
      <c r="D175" s="220" t="s">
        <v>700</v>
      </c>
      <c r="E175" s="187">
        <v>75</v>
      </c>
      <c r="F175" s="256">
        <v>1.0057820767017701E-5</v>
      </c>
      <c r="G175" s="181">
        <v>1</v>
      </c>
      <c r="H175" s="279">
        <v>43833</v>
      </c>
      <c r="I175" s="186" t="s">
        <v>701</v>
      </c>
      <c r="J175" s="186">
        <v>0</v>
      </c>
      <c r="K175" s="186" t="s">
        <v>702</v>
      </c>
      <c r="L175" s="256">
        <v>72</v>
      </c>
      <c r="M175" s="220">
        <v>1</v>
      </c>
      <c r="N175" s="186">
        <v>1</v>
      </c>
      <c r="O175" s="220">
        <v>6</v>
      </c>
    </row>
    <row r="176" spans="1:15" s="69" customFormat="1" ht="75">
      <c r="A176" s="256" t="s">
        <v>589</v>
      </c>
      <c r="B176" s="256" t="s">
        <v>45</v>
      </c>
      <c r="C176" s="256" t="s">
        <v>221</v>
      </c>
      <c r="D176" s="186" t="s">
        <v>703</v>
      </c>
      <c r="E176" s="187">
        <v>99</v>
      </c>
      <c r="F176" s="256">
        <v>1.05778537258972E-3</v>
      </c>
      <c r="G176" s="181">
        <v>1</v>
      </c>
      <c r="H176" s="279">
        <v>43827</v>
      </c>
      <c r="I176" s="186" t="s">
        <v>704</v>
      </c>
      <c r="J176" s="186">
        <v>1</v>
      </c>
      <c r="K176" s="186" t="s">
        <v>705</v>
      </c>
      <c r="L176" s="256">
        <v>99</v>
      </c>
      <c r="M176" s="256">
        <v>0</v>
      </c>
      <c r="N176" s="256">
        <v>1</v>
      </c>
      <c r="O176" s="256">
        <v>3</v>
      </c>
    </row>
    <row r="177" spans="1:15" s="69" customFormat="1" ht="60">
      <c r="A177" s="256" t="s">
        <v>589</v>
      </c>
      <c r="B177" s="256" t="s">
        <v>59</v>
      </c>
      <c r="C177" s="256" t="s">
        <v>221</v>
      </c>
      <c r="D177" s="186" t="s">
        <v>706</v>
      </c>
      <c r="E177" s="187">
        <v>40</v>
      </c>
      <c r="F177" s="256">
        <v>4.9866031740290501E-2</v>
      </c>
      <c r="G177" s="181">
        <v>1</v>
      </c>
      <c r="H177" s="279">
        <v>43802</v>
      </c>
      <c r="I177" s="186" t="s">
        <v>707</v>
      </c>
      <c r="J177" s="186">
        <v>0</v>
      </c>
      <c r="K177" s="186" t="s">
        <v>708</v>
      </c>
      <c r="L177" s="256">
        <v>51</v>
      </c>
      <c r="M177" s="256">
        <v>0</v>
      </c>
      <c r="N177" s="256">
        <v>1</v>
      </c>
      <c r="O177" s="256">
        <v>2</v>
      </c>
    </row>
    <row r="178" spans="1:15" s="69" customFormat="1" ht="120">
      <c r="A178" s="256" t="s">
        <v>589</v>
      </c>
      <c r="B178" s="256" t="s">
        <v>45</v>
      </c>
      <c r="C178" s="256" t="s">
        <v>46</v>
      </c>
      <c r="D178" s="186" t="s">
        <v>709</v>
      </c>
      <c r="E178" s="187">
        <v>103</v>
      </c>
      <c r="F178" s="256">
        <v>0.56895197239538597</v>
      </c>
      <c r="G178" s="181">
        <v>1</v>
      </c>
      <c r="H178" s="279">
        <v>43799</v>
      </c>
      <c r="I178" s="186" t="s">
        <v>710</v>
      </c>
      <c r="J178" s="186">
        <v>1</v>
      </c>
      <c r="K178" s="186" t="s">
        <v>711</v>
      </c>
      <c r="L178" s="256">
        <v>138</v>
      </c>
      <c r="M178" s="256">
        <v>3</v>
      </c>
      <c r="N178" s="256">
        <v>1</v>
      </c>
      <c r="O178" s="256">
        <v>3</v>
      </c>
    </row>
    <row r="179" spans="1:15" s="69" customFormat="1" ht="105">
      <c r="A179" s="256" t="s">
        <v>589</v>
      </c>
      <c r="B179" s="256" t="s">
        <v>45</v>
      </c>
      <c r="C179" s="256" t="s">
        <v>221</v>
      </c>
      <c r="D179" s="220" t="s">
        <v>712</v>
      </c>
      <c r="E179" s="187">
        <v>29</v>
      </c>
      <c r="F179" s="256">
        <v>0.113059006005339</v>
      </c>
      <c r="G179" s="181">
        <v>0</v>
      </c>
      <c r="H179" s="279">
        <v>43783</v>
      </c>
      <c r="I179" s="258" t="s">
        <v>713</v>
      </c>
      <c r="J179" s="258">
        <v>0</v>
      </c>
      <c r="K179" s="186" t="s">
        <v>714</v>
      </c>
      <c r="L179" s="256">
        <v>145</v>
      </c>
      <c r="M179" s="220">
        <v>1</v>
      </c>
      <c r="N179" s="186">
        <v>1</v>
      </c>
      <c r="O179" s="220">
        <v>4</v>
      </c>
    </row>
    <row r="180" spans="1:15" s="69" customFormat="1" ht="90">
      <c r="A180" s="256" t="s">
        <v>589</v>
      </c>
      <c r="B180" s="256" t="s">
        <v>45</v>
      </c>
      <c r="C180" s="256" t="s">
        <v>46</v>
      </c>
      <c r="D180" s="186" t="s">
        <v>715</v>
      </c>
      <c r="E180" s="187">
        <v>46</v>
      </c>
      <c r="F180" s="256">
        <v>0.90257485772375801</v>
      </c>
      <c r="G180" s="181">
        <v>0</v>
      </c>
      <c r="H180" s="279">
        <v>43781</v>
      </c>
      <c r="I180" s="186" t="s">
        <v>716</v>
      </c>
      <c r="J180" s="186">
        <v>1</v>
      </c>
      <c r="K180" s="186" t="s">
        <v>717</v>
      </c>
      <c r="L180" s="256">
        <v>128</v>
      </c>
      <c r="M180" s="256">
        <v>0</v>
      </c>
      <c r="N180" s="256">
        <v>1</v>
      </c>
      <c r="O180" s="256">
        <v>3</v>
      </c>
    </row>
    <row r="181" spans="1:15" s="69" customFormat="1" ht="90">
      <c r="A181" s="256" t="s">
        <v>589</v>
      </c>
      <c r="B181" s="256" t="s">
        <v>45</v>
      </c>
      <c r="C181" s="256" t="s">
        <v>80</v>
      </c>
      <c r="D181" s="220" t="s">
        <v>718</v>
      </c>
      <c r="E181" s="187">
        <v>51</v>
      </c>
      <c r="F181" s="256">
        <v>6.7811449784585295E-2</v>
      </c>
      <c r="G181" s="181">
        <v>1</v>
      </c>
      <c r="H181" s="279">
        <v>43729</v>
      </c>
      <c r="I181" s="220" t="s">
        <v>719</v>
      </c>
      <c r="J181" s="186">
        <v>0</v>
      </c>
      <c r="K181" s="186" t="s">
        <v>720</v>
      </c>
      <c r="L181" s="256">
        <v>120</v>
      </c>
      <c r="M181" s="220">
        <v>0</v>
      </c>
      <c r="N181" s="186">
        <v>1</v>
      </c>
      <c r="O181" s="220">
        <v>4</v>
      </c>
    </row>
    <row r="182" spans="1:15" s="69" customFormat="1" ht="105">
      <c r="A182" s="256" t="s">
        <v>589</v>
      </c>
      <c r="B182" s="256" t="s">
        <v>45</v>
      </c>
      <c r="C182" s="256" t="s">
        <v>664</v>
      </c>
      <c r="D182" s="186" t="s">
        <v>721</v>
      </c>
      <c r="E182" s="187">
        <v>173</v>
      </c>
      <c r="F182" s="256">
        <v>0.176170273505946</v>
      </c>
      <c r="G182" s="181">
        <v>0</v>
      </c>
      <c r="H182" s="279">
        <v>43724</v>
      </c>
      <c r="I182" s="186" t="s">
        <v>722</v>
      </c>
      <c r="J182" s="186">
        <v>1</v>
      </c>
      <c r="K182" s="186" t="s">
        <v>723</v>
      </c>
      <c r="L182" s="256">
        <v>135</v>
      </c>
      <c r="M182" s="256">
        <v>0</v>
      </c>
      <c r="N182" s="256">
        <v>1</v>
      </c>
      <c r="O182" s="256">
        <v>1</v>
      </c>
    </row>
    <row r="183" spans="1:15" s="69" customFormat="1" ht="60">
      <c r="A183" s="256" t="s">
        <v>589</v>
      </c>
      <c r="B183" s="256" t="s">
        <v>45</v>
      </c>
      <c r="C183" s="256" t="s">
        <v>80</v>
      </c>
      <c r="D183" s="220" t="s">
        <v>724</v>
      </c>
      <c r="E183" s="187">
        <v>42</v>
      </c>
      <c r="F183" s="256">
        <v>0.24897401258323201</v>
      </c>
      <c r="G183" s="181">
        <v>1</v>
      </c>
      <c r="H183" s="279">
        <v>43720</v>
      </c>
      <c r="I183" s="186" t="s">
        <v>725</v>
      </c>
      <c r="J183" s="186">
        <v>0</v>
      </c>
      <c r="K183" s="186" t="s">
        <v>726</v>
      </c>
      <c r="L183" s="256">
        <v>68</v>
      </c>
      <c r="M183" s="220">
        <v>0</v>
      </c>
      <c r="N183" s="186">
        <v>1</v>
      </c>
      <c r="O183" s="220">
        <v>4</v>
      </c>
    </row>
    <row r="184" spans="1:15" s="69" customFormat="1" ht="45">
      <c r="A184" s="256" t="s">
        <v>589</v>
      </c>
      <c r="B184" s="256" t="s">
        <v>45</v>
      </c>
      <c r="C184" s="256" t="s">
        <v>80</v>
      </c>
      <c r="D184" s="186" t="s">
        <v>727</v>
      </c>
      <c r="E184" s="187">
        <v>68</v>
      </c>
      <c r="F184" s="256">
        <v>0.24731827872977</v>
      </c>
      <c r="G184" s="181">
        <v>1</v>
      </c>
      <c r="H184" s="279">
        <v>43720</v>
      </c>
      <c r="I184" s="186" t="s">
        <v>728</v>
      </c>
      <c r="J184" s="186">
        <v>0</v>
      </c>
      <c r="K184" s="186" t="s">
        <v>729</v>
      </c>
      <c r="L184" s="256">
        <v>46</v>
      </c>
      <c r="M184" s="256">
        <v>1</v>
      </c>
      <c r="N184" s="256">
        <v>1</v>
      </c>
      <c r="O184" s="256">
        <v>12</v>
      </c>
    </row>
    <row r="185" spans="1:15" s="69" customFormat="1" ht="135">
      <c r="A185" s="256" t="s">
        <v>589</v>
      </c>
      <c r="B185" s="256" t="s">
        <v>45</v>
      </c>
      <c r="C185" s="256" t="s">
        <v>80</v>
      </c>
      <c r="D185" s="258" t="s">
        <v>159</v>
      </c>
      <c r="E185" s="187">
        <v>66</v>
      </c>
      <c r="F185" s="256">
        <v>2.5750975352789601E-4</v>
      </c>
      <c r="G185" s="181">
        <v>1</v>
      </c>
      <c r="H185" s="279">
        <v>43718</v>
      </c>
      <c r="I185" s="220" t="s">
        <v>730</v>
      </c>
      <c r="J185" s="186">
        <v>0</v>
      </c>
      <c r="K185" s="186" t="s">
        <v>731</v>
      </c>
      <c r="L185" s="256">
        <v>189</v>
      </c>
      <c r="M185" s="220">
        <v>0</v>
      </c>
      <c r="N185" s="186">
        <v>1</v>
      </c>
      <c r="O185" s="220">
        <v>2</v>
      </c>
    </row>
    <row r="186" spans="1:15" s="69" customFormat="1" ht="135">
      <c r="A186" s="256" t="s">
        <v>589</v>
      </c>
      <c r="B186" s="256" t="s">
        <v>45</v>
      </c>
      <c r="C186" s="256" t="s">
        <v>664</v>
      </c>
      <c r="D186" s="186" t="s">
        <v>732</v>
      </c>
      <c r="E186" s="187">
        <v>61</v>
      </c>
      <c r="F186" s="256">
        <v>0.54496235308201602</v>
      </c>
      <c r="G186" s="181">
        <v>1</v>
      </c>
      <c r="H186" s="279">
        <v>43718</v>
      </c>
      <c r="I186" s="186" t="s">
        <v>733</v>
      </c>
      <c r="J186" s="186">
        <v>0</v>
      </c>
      <c r="K186" s="186" t="s">
        <v>731</v>
      </c>
      <c r="L186" s="256">
        <v>189</v>
      </c>
      <c r="M186" s="256">
        <v>0</v>
      </c>
      <c r="N186" s="256">
        <v>1</v>
      </c>
      <c r="O186" s="256">
        <v>2</v>
      </c>
    </row>
    <row r="187" spans="1:15" s="69" customFormat="1" ht="135">
      <c r="A187" s="256" t="s">
        <v>589</v>
      </c>
      <c r="B187" s="256" t="s">
        <v>45</v>
      </c>
      <c r="C187" s="256" t="s">
        <v>80</v>
      </c>
      <c r="D187" s="258" t="s">
        <v>159</v>
      </c>
      <c r="E187" s="187">
        <v>42</v>
      </c>
      <c r="F187" s="256">
        <v>6.6395516064416002E-2</v>
      </c>
      <c r="G187" s="181">
        <v>1</v>
      </c>
      <c r="H187" s="279">
        <v>43715</v>
      </c>
      <c r="I187" s="186" t="s">
        <v>734</v>
      </c>
      <c r="J187" s="186">
        <v>0</v>
      </c>
      <c r="K187" s="186" t="s">
        <v>735</v>
      </c>
      <c r="L187" s="256">
        <v>194</v>
      </c>
      <c r="M187" s="256">
        <v>0</v>
      </c>
      <c r="N187" s="256">
        <v>1</v>
      </c>
      <c r="O187" s="256">
        <v>4</v>
      </c>
    </row>
    <row r="188" spans="1:15" s="69" customFormat="1" ht="120">
      <c r="A188" s="256" t="s">
        <v>589</v>
      </c>
      <c r="B188" s="256" t="s">
        <v>45</v>
      </c>
      <c r="C188" s="256" t="s">
        <v>221</v>
      </c>
      <c r="D188" s="186" t="s">
        <v>736</v>
      </c>
      <c r="E188" s="187">
        <v>56</v>
      </c>
      <c r="F188" s="256">
        <v>0.93136004502022296</v>
      </c>
      <c r="G188" s="181">
        <v>1</v>
      </c>
      <c r="H188" s="279">
        <v>43712</v>
      </c>
      <c r="I188" s="299" t="s">
        <v>737</v>
      </c>
      <c r="J188" s="299">
        <v>1</v>
      </c>
      <c r="K188" s="186" t="s">
        <v>738</v>
      </c>
      <c r="L188" s="256">
        <v>157</v>
      </c>
      <c r="M188" s="256">
        <v>1</v>
      </c>
      <c r="N188" s="256">
        <v>1</v>
      </c>
      <c r="O188" s="256">
        <v>6</v>
      </c>
    </row>
    <row r="189" spans="1:15" s="69" customFormat="1" ht="75">
      <c r="A189" s="256" t="s">
        <v>589</v>
      </c>
      <c r="B189" s="256" t="s">
        <v>45</v>
      </c>
      <c r="C189" s="256" t="s">
        <v>80</v>
      </c>
      <c r="D189" s="258" t="s">
        <v>739</v>
      </c>
      <c r="E189" s="187">
        <v>54</v>
      </c>
      <c r="F189" s="256">
        <v>0.427295470685783</v>
      </c>
      <c r="G189" s="181">
        <v>1</v>
      </c>
      <c r="H189" s="279">
        <v>43711</v>
      </c>
      <c r="I189" s="186" t="s">
        <v>740</v>
      </c>
      <c r="J189" s="186">
        <v>0</v>
      </c>
      <c r="K189" s="186" t="s">
        <v>741</v>
      </c>
      <c r="L189" s="256">
        <v>106</v>
      </c>
      <c r="M189" s="256">
        <v>1</v>
      </c>
      <c r="N189" s="256">
        <v>1</v>
      </c>
      <c r="O189" s="256">
        <v>7</v>
      </c>
    </row>
    <row r="190" spans="1:15" s="69" customFormat="1" ht="45">
      <c r="A190" s="256" t="s">
        <v>589</v>
      </c>
      <c r="B190" s="256" t="s">
        <v>45</v>
      </c>
      <c r="C190" s="256" t="s">
        <v>80</v>
      </c>
      <c r="D190" s="258" t="s">
        <v>180</v>
      </c>
      <c r="E190" s="187">
        <v>51</v>
      </c>
      <c r="F190" s="256">
        <v>1.6378772585423401E-2</v>
      </c>
      <c r="G190" s="181">
        <v>1</v>
      </c>
      <c r="H190" s="279">
        <v>43710</v>
      </c>
      <c r="I190" s="186" t="s">
        <v>742</v>
      </c>
      <c r="J190" s="186">
        <v>0</v>
      </c>
      <c r="K190" s="186" t="s">
        <v>743</v>
      </c>
      <c r="L190" s="256">
        <v>65</v>
      </c>
      <c r="M190" s="256">
        <v>0</v>
      </c>
      <c r="N190" s="256">
        <v>1</v>
      </c>
      <c r="O190" s="256">
        <v>2</v>
      </c>
    </row>
    <row r="191" spans="1:15" s="69" customFormat="1" ht="150">
      <c r="A191" s="256" t="s">
        <v>589</v>
      </c>
      <c r="B191" s="256" t="s">
        <v>45</v>
      </c>
      <c r="C191" s="256" t="s">
        <v>80</v>
      </c>
      <c r="D191" s="186" t="s">
        <v>744</v>
      </c>
      <c r="E191" s="187">
        <v>78</v>
      </c>
      <c r="F191" s="256">
        <v>1.3757666642888499E-3</v>
      </c>
      <c r="G191" s="181">
        <v>1</v>
      </c>
      <c r="H191" s="279">
        <v>43709</v>
      </c>
      <c r="I191" s="186" t="s">
        <v>745</v>
      </c>
      <c r="J191" s="186">
        <v>0</v>
      </c>
      <c r="K191" s="186" t="s">
        <v>746</v>
      </c>
      <c r="L191" s="256">
        <v>216</v>
      </c>
      <c r="M191" s="256">
        <v>0</v>
      </c>
      <c r="N191" s="256">
        <v>1</v>
      </c>
      <c r="O191" s="256">
        <v>3</v>
      </c>
    </row>
    <row r="192" spans="1:15" s="69" customFormat="1" ht="90">
      <c r="A192" s="256" t="s">
        <v>589</v>
      </c>
      <c r="B192" s="256" t="s">
        <v>45</v>
      </c>
      <c r="C192" s="256" t="s">
        <v>46</v>
      </c>
      <c r="D192" s="186" t="s">
        <v>747</v>
      </c>
      <c r="E192" s="187">
        <v>81</v>
      </c>
      <c r="F192" s="256">
        <v>1.3674657917128701E-7</v>
      </c>
      <c r="G192" s="181">
        <v>1</v>
      </c>
      <c r="H192" s="279">
        <v>43707</v>
      </c>
      <c r="I192" s="220" t="s">
        <v>748</v>
      </c>
      <c r="J192" s="186">
        <v>0</v>
      </c>
      <c r="K192" s="186" t="s">
        <v>749</v>
      </c>
      <c r="L192" s="256">
        <v>101</v>
      </c>
      <c r="M192" s="220">
        <v>0</v>
      </c>
      <c r="N192" s="186">
        <v>1</v>
      </c>
      <c r="O192" s="220">
        <v>4</v>
      </c>
    </row>
    <row r="193" spans="1:15" s="69" customFormat="1" ht="90">
      <c r="A193" s="256" t="s">
        <v>589</v>
      </c>
      <c r="B193" s="256" t="s">
        <v>45</v>
      </c>
      <c r="C193" s="256" t="s">
        <v>221</v>
      </c>
      <c r="D193" s="186" t="s">
        <v>750</v>
      </c>
      <c r="E193" s="187">
        <v>138</v>
      </c>
      <c r="F193" s="256">
        <v>8.8046673570992794E-3</v>
      </c>
      <c r="G193" s="181">
        <v>1</v>
      </c>
      <c r="H193" s="279">
        <v>43697</v>
      </c>
      <c r="I193" s="220" t="s">
        <v>751</v>
      </c>
      <c r="J193" s="186">
        <v>0</v>
      </c>
      <c r="K193" s="186" t="s">
        <v>752</v>
      </c>
      <c r="L193" s="256">
        <v>116</v>
      </c>
      <c r="M193" s="220">
        <v>1</v>
      </c>
      <c r="N193" s="186">
        <v>1</v>
      </c>
      <c r="O193" s="220">
        <v>3</v>
      </c>
    </row>
    <row r="194" spans="1:15" s="69" customFormat="1" ht="90">
      <c r="A194" s="256" t="s">
        <v>589</v>
      </c>
      <c r="B194" s="256" t="s">
        <v>45</v>
      </c>
      <c r="C194" s="256" t="s">
        <v>221</v>
      </c>
      <c r="D194" s="186" t="s">
        <v>753</v>
      </c>
      <c r="E194" s="187">
        <v>39</v>
      </c>
      <c r="F194" s="256">
        <v>0.93888411687749895</v>
      </c>
      <c r="G194" s="181">
        <v>1</v>
      </c>
      <c r="H194" s="279">
        <v>43694</v>
      </c>
      <c r="I194" s="186" t="s">
        <v>754</v>
      </c>
      <c r="J194" s="186">
        <v>1</v>
      </c>
      <c r="K194" s="186" t="s">
        <v>755</v>
      </c>
      <c r="L194" s="256">
        <v>116</v>
      </c>
      <c r="M194" s="256">
        <v>1</v>
      </c>
      <c r="N194" s="256">
        <v>1</v>
      </c>
      <c r="O194" s="256">
        <v>5</v>
      </c>
    </row>
    <row r="195" spans="1:15" s="69" customFormat="1" ht="90">
      <c r="A195" s="256" t="s">
        <v>589</v>
      </c>
      <c r="B195" s="256" t="s">
        <v>45</v>
      </c>
      <c r="C195" s="256" t="s">
        <v>221</v>
      </c>
      <c r="D195" s="186" t="s">
        <v>756</v>
      </c>
      <c r="E195" s="187">
        <v>36</v>
      </c>
      <c r="F195" s="256">
        <v>1.2841576726517E-2</v>
      </c>
      <c r="G195" s="181">
        <v>0</v>
      </c>
      <c r="H195" s="279">
        <v>43694</v>
      </c>
      <c r="I195" s="186" t="s">
        <v>757</v>
      </c>
      <c r="J195" s="186">
        <v>0</v>
      </c>
      <c r="K195" s="186" t="s">
        <v>755</v>
      </c>
      <c r="L195" s="256">
        <v>116</v>
      </c>
      <c r="M195" s="256">
        <v>1</v>
      </c>
      <c r="N195" s="256">
        <v>1</v>
      </c>
      <c r="O195" s="256">
        <v>5</v>
      </c>
    </row>
    <row r="196" spans="1:15" s="69" customFormat="1" ht="60">
      <c r="A196" s="256" t="s">
        <v>589</v>
      </c>
      <c r="B196" s="256" t="s">
        <v>45</v>
      </c>
      <c r="C196" s="256" t="s">
        <v>80</v>
      </c>
      <c r="D196" s="186" t="s">
        <v>758</v>
      </c>
      <c r="E196" s="187">
        <v>41</v>
      </c>
      <c r="F196" s="256">
        <v>1.80881701573132E-3</v>
      </c>
      <c r="G196" s="181">
        <v>1</v>
      </c>
      <c r="H196" s="279">
        <v>43679</v>
      </c>
      <c r="I196" s="220" t="s">
        <v>759</v>
      </c>
      <c r="J196" s="186">
        <v>0</v>
      </c>
      <c r="K196" s="186" t="s">
        <v>760</v>
      </c>
      <c r="L196" s="256">
        <v>51</v>
      </c>
      <c r="M196" s="220">
        <v>0</v>
      </c>
      <c r="N196" s="186">
        <v>1</v>
      </c>
      <c r="O196" s="220">
        <v>4</v>
      </c>
    </row>
    <row r="197" spans="1:15" s="69" customFormat="1" ht="60">
      <c r="A197" s="256" t="s">
        <v>589</v>
      </c>
      <c r="B197" s="256" t="s">
        <v>45</v>
      </c>
      <c r="C197" s="256" t="s">
        <v>46</v>
      </c>
      <c r="D197" s="186" t="s">
        <v>4371</v>
      </c>
      <c r="E197" s="187">
        <v>72</v>
      </c>
      <c r="F197" s="256">
        <v>0.79970659237530595</v>
      </c>
      <c r="G197" s="181">
        <v>0</v>
      </c>
      <c r="H197" s="279">
        <v>43678</v>
      </c>
      <c r="I197" s="186" t="s">
        <v>4372</v>
      </c>
      <c r="J197" s="186">
        <v>1</v>
      </c>
      <c r="K197" s="258" t="s">
        <v>763</v>
      </c>
      <c r="L197" s="256">
        <v>16</v>
      </c>
      <c r="M197" s="256">
        <v>0</v>
      </c>
      <c r="N197" s="256">
        <v>1</v>
      </c>
      <c r="O197" s="256">
        <v>6</v>
      </c>
    </row>
    <row r="198" spans="1:15" s="69" customFormat="1" ht="90">
      <c r="A198" s="256" t="s">
        <v>589</v>
      </c>
      <c r="B198" s="256" t="s">
        <v>59</v>
      </c>
      <c r="C198" s="256" t="s">
        <v>664</v>
      </c>
      <c r="D198" s="186" t="s">
        <v>764</v>
      </c>
      <c r="E198" s="187">
        <v>53</v>
      </c>
      <c r="F198" s="256">
        <v>0.12401627976373</v>
      </c>
      <c r="G198" s="181">
        <v>0</v>
      </c>
      <c r="H198" s="279">
        <v>43667</v>
      </c>
      <c r="I198" s="186" t="s">
        <v>765</v>
      </c>
      <c r="J198" s="186">
        <v>0</v>
      </c>
      <c r="K198" s="186" t="s">
        <v>766</v>
      </c>
      <c r="L198" s="256">
        <v>122</v>
      </c>
      <c r="M198" s="256">
        <v>2</v>
      </c>
      <c r="N198" s="256">
        <v>1</v>
      </c>
      <c r="O198" s="256">
        <v>3</v>
      </c>
    </row>
    <row r="199" spans="1:15" s="69" customFormat="1" ht="75">
      <c r="A199" s="256" t="s">
        <v>589</v>
      </c>
      <c r="B199" s="256" t="s">
        <v>45</v>
      </c>
      <c r="C199" s="256" t="s">
        <v>80</v>
      </c>
      <c r="D199" s="220" t="s">
        <v>767</v>
      </c>
      <c r="E199" s="187">
        <v>44</v>
      </c>
      <c r="F199" s="256">
        <v>4.79839963999108E-2</v>
      </c>
      <c r="G199" s="181">
        <v>1</v>
      </c>
      <c r="H199" s="279">
        <v>43663</v>
      </c>
      <c r="I199" s="186" t="s">
        <v>768</v>
      </c>
      <c r="J199" s="186">
        <v>0</v>
      </c>
      <c r="K199" s="186" t="s">
        <v>769</v>
      </c>
      <c r="L199" s="256">
        <v>106</v>
      </c>
      <c r="M199" s="220">
        <v>0</v>
      </c>
      <c r="N199" s="186">
        <v>1</v>
      </c>
      <c r="O199" s="220">
        <v>0</v>
      </c>
    </row>
    <row r="200" spans="1:15" s="69" customFormat="1" ht="210">
      <c r="A200" s="256" t="s">
        <v>589</v>
      </c>
      <c r="B200" s="256" t="s">
        <v>45</v>
      </c>
      <c r="C200" s="256" t="s">
        <v>80</v>
      </c>
      <c r="D200" s="186" t="s">
        <v>770</v>
      </c>
      <c r="E200" s="187">
        <v>397</v>
      </c>
      <c r="F200" s="256">
        <v>2.4186537149684101E-4</v>
      </c>
      <c r="G200" s="181">
        <v>1</v>
      </c>
      <c r="H200" s="279">
        <v>43650</v>
      </c>
      <c r="I200" s="186" t="s">
        <v>771</v>
      </c>
      <c r="J200" s="186">
        <v>1</v>
      </c>
      <c r="K200" s="186" t="s">
        <v>4373</v>
      </c>
      <c r="L200" s="256">
        <v>182</v>
      </c>
      <c r="M200" s="256">
        <v>0</v>
      </c>
      <c r="N200" s="256">
        <v>1</v>
      </c>
      <c r="O200" s="256">
        <v>5</v>
      </c>
    </row>
    <row r="201" spans="1:15" s="69" customFormat="1" ht="60">
      <c r="A201" s="256" t="s">
        <v>589</v>
      </c>
      <c r="B201" s="256" t="s">
        <v>45</v>
      </c>
      <c r="C201" s="256" t="s">
        <v>80</v>
      </c>
      <c r="D201" s="186" t="s">
        <v>773</v>
      </c>
      <c r="E201" s="187">
        <v>106</v>
      </c>
      <c r="F201" s="256">
        <v>0.99996175298754797</v>
      </c>
      <c r="G201" s="181">
        <v>1</v>
      </c>
      <c r="H201" s="289">
        <v>43643</v>
      </c>
      <c r="I201" s="186" t="s">
        <v>774</v>
      </c>
      <c r="J201" s="186">
        <v>1</v>
      </c>
      <c r="K201" s="186" t="s">
        <v>775</v>
      </c>
      <c r="L201" s="256">
        <v>64</v>
      </c>
      <c r="M201" s="256">
        <v>0</v>
      </c>
      <c r="N201" s="256">
        <v>1</v>
      </c>
      <c r="O201" s="256">
        <v>1</v>
      </c>
    </row>
    <row r="202" spans="1:15" s="69" customFormat="1" ht="45">
      <c r="A202" s="256" t="s">
        <v>589</v>
      </c>
      <c r="B202" s="256" t="s">
        <v>45</v>
      </c>
      <c r="C202" s="256" t="s">
        <v>80</v>
      </c>
      <c r="D202" s="258" t="s">
        <v>159</v>
      </c>
      <c r="E202" s="187">
        <v>91</v>
      </c>
      <c r="F202" s="256">
        <v>1.0798457209249E-4</v>
      </c>
      <c r="G202" s="181">
        <v>1</v>
      </c>
      <c r="H202" s="279">
        <v>43641</v>
      </c>
      <c r="I202" s="186" t="s">
        <v>776</v>
      </c>
      <c r="J202" s="186">
        <v>0</v>
      </c>
      <c r="K202" s="186" t="s">
        <v>777</v>
      </c>
      <c r="L202" s="256">
        <v>59</v>
      </c>
      <c r="M202" s="256">
        <v>0</v>
      </c>
      <c r="N202" s="256">
        <v>1</v>
      </c>
      <c r="O202" s="256">
        <v>6</v>
      </c>
    </row>
    <row r="203" spans="1:15" s="69" customFormat="1" ht="45">
      <c r="A203" s="256" t="s">
        <v>589</v>
      </c>
      <c r="B203" s="256" t="s">
        <v>45</v>
      </c>
      <c r="C203" s="256" t="s">
        <v>80</v>
      </c>
      <c r="D203" s="186" t="s">
        <v>778</v>
      </c>
      <c r="E203" s="187">
        <v>54</v>
      </c>
      <c r="F203" s="256">
        <v>0.116710204103787</v>
      </c>
      <c r="G203" s="181">
        <v>1</v>
      </c>
      <c r="H203" s="279">
        <v>43641</v>
      </c>
      <c r="I203" s="186" t="s">
        <v>779</v>
      </c>
      <c r="J203" s="186">
        <v>0</v>
      </c>
      <c r="K203" s="186" t="s">
        <v>780</v>
      </c>
      <c r="L203" s="256">
        <v>49</v>
      </c>
      <c r="M203" s="256">
        <v>0</v>
      </c>
      <c r="N203" s="256">
        <v>1</v>
      </c>
      <c r="O203" s="256">
        <v>3</v>
      </c>
    </row>
    <row r="204" spans="1:15" s="69" customFormat="1" ht="75">
      <c r="A204" s="256" t="s">
        <v>589</v>
      </c>
      <c r="B204" s="256" t="s">
        <v>45</v>
      </c>
      <c r="C204" s="256" t="s">
        <v>80</v>
      </c>
      <c r="D204" s="186" t="s">
        <v>781</v>
      </c>
      <c r="E204" s="187">
        <v>71</v>
      </c>
      <c r="F204" s="256">
        <v>1.31848039111815E-4</v>
      </c>
      <c r="G204" s="181">
        <v>1</v>
      </c>
      <c r="H204" s="279">
        <v>43636</v>
      </c>
      <c r="I204" s="186" t="s">
        <v>782</v>
      </c>
      <c r="J204" s="186">
        <v>0</v>
      </c>
      <c r="K204" s="186" t="s">
        <v>769</v>
      </c>
      <c r="L204" s="256">
        <v>106</v>
      </c>
      <c r="M204" s="256">
        <v>0</v>
      </c>
      <c r="N204" s="256">
        <v>1</v>
      </c>
      <c r="O204" s="256">
        <v>1</v>
      </c>
    </row>
    <row r="205" spans="1:15" s="69" customFormat="1" ht="135">
      <c r="A205" s="256" t="s">
        <v>589</v>
      </c>
      <c r="B205" s="256" t="s">
        <v>45</v>
      </c>
      <c r="C205" s="256" t="s">
        <v>46</v>
      </c>
      <c r="D205" s="296" t="s">
        <v>783</v>
      </c>
      <c r="E205" s="187">
        <v>260</v>
      </c>
      <c r="F205" s="256">
        <v>2.47307341909817E-2</v>
      </c>
      <c r="G205" s="181">
        <v>1</v>
      </c>
      <c r="H205" s="279">
        <v>43635</v>
      </c>
      <c r="I205" s="186" t="s">
        <v>784</v>
      </c>
      <c r="J205" s="186">
        <v>0</v>
      </c>
      <c r="K205" s="186" t="s">
        <v>785</v>
      </c>
      <c r="L205" s="256">
        <v>42</v>
      </c>
      <c r="M205" s="256">
        <v>0</v>
      </c>
      <c r="N205" s="256">
        <v>1</v>
      </c>
      <c r="O205" s="256">
        <v>2</v>
      </c>
    </row>
    <row r="206" spans="1:15" s="69" customFormat="1" ht="30">
      <c r="A206" s="256" t="s">
        <v>589</v>
      </c>
      <c r="B206" s="256" t="s">
        <v>45</v>
      </c>
      <c r="C206" s="256" t="s">
        <v>80</v>
      </c>
      <c r="D206" s="186" t="s">
        <v>786</v>
      </c>
      <c r="E206" s="187">
        <v>46</v>
      </c>
      <c r="F206" s="256">
        <v>4.5291008873495603E-2</v>
      </c>
      <c r="G206" s="181">
        <v>1</v>
      </c>
      <c r="H206" s="279">
        <v>43635</v>
      </c>
      <c r="I206" s="186" t="s">
        <v>787</v>
      </c>
      <c r="J206" s="186">
        <v>0</v>
      </c>
      <c r="K206" s="186" t="s">
        <v>788</v>
      </c>
      <c r="L206" s="256">
        <v>46</v>
      </c>
      <c r="M206" s="256">
        <v>2</v>
      </c>
      <c r="N206" s="256">
        <v>2</v>
      </c>
      <c r="O206" s="256">
        <v>5</v>
      </c>
    </row>
    <row r="207" spans="1:15" s="69" customFormat="1" ht="45">
      <c r="A207" s="256" t="s">
        <v>589</v>
      </c>
      <c r="B207" s="256" t="s">
        <v>45</v>
      </c>
      <c r="C207" s="256" t="s">
        <v>80</v>
      </c>
      <c r="D207" s="186" t="s">
        <v>778</v>
      </c>
      <c r="E207" s="187">
        <v>50</v>
      </c>
      <c r="F207" s="256">
        <v>9.1719061063688699E-4</v>
      </c>
      <c r="G207" s="181">
        <v>1</v>
      </c>
      <c r="H207" s="279">
        <v>43634</v>
      </c>
      <c r="I207" s="186" t="s">
        <v>789</v>
      </c>
      <c r="J207" s="186">
        <v>0</v>
      </c>
      <c r="K207" s="186" t="s">
        <v>790</v>
      </c>
      <c r="L207" s="256">
        <v>56</v>
      </c>
      <c r="M207" s="256">
        <v>0</v>
      </c>
      <c r="N207" s="256">
        <v>1</v>
      </c>
      <c r="O207" s="256">
        <v>1</v>
      </c>
    </row>
    <row r="208" spans="1:15" s="69" customFormat="1" ht="120">
      <c r="A208" s="256" t="s">
        <v>589</v>
      </c>
      <c r="B208" s="256" t="s">
        <v>45</v>
      </c>
      <c r="C208" s="256" t="s">
        <v>46</v>
      </c>
      <c r="D208" s="186" t="s">
        <v>791</v>
      </c>
      <c r="E208" s="187">
        <v>145</v>
      </c>
      <c r="F208" s="256">
        <v>0.98949905532012905</v>
      </c>
      <c r="G208" s="181">
        <v>1</v>
      </c>
      <c r="H208" s="279">
        <v>43633</v>
      </c>
      <c r="I208" s="186" t="s">
        <v>792</v>
      </c>
      <c r="J208" s="186">
        <v>1</v>
      </c>
      <c r="K208" s="186" t="s">
        <v>793</v>
      </c>
      <c r="L208" s="256">
        <v>67</v>
      </c>
      <c r="M208" s="256">
        <v>0</v>
      </c>
      <c r="N208" s="256">
        <v>1</v>
      </c>
      <c r="O208" s="256">
        <v>2</v>
      </c>
    </row>
    <row r="209" spans="1:15" s="69" customFormat="1" ht="60">
      <c r="A209" s="256" t="s">
        <v>589</v>
      </c>
      <c r="B209" s="256" t="s">
        <v>45</v>
      </c>
      <c r="C209" s="256" t="s">
        <v>221</v>
      </c>
      <c r="D209" s="186" t="s">
        <v>794</v>
      </c>
      <c r="E209" s="187">
        <v>38</v>
      </c>
      <c r="F209" s="256">
        <v>2.5299381289688402E-3</v>
      </c>
      <c r="G209" s="181">
        <v>0</v>
      </c>
      <c r="H209" s="279">
        <v>43628</v>
      </c>
      <c r="I209" s="186" t="s">
        <v>795</v>
      </c>
      <c r="J209" s="186">
        <v>0</v>
      </c>
      <c r="K209" s="186" t="s">
        <v>796</v>
      </c>
      <c r="L209" s="256">
        <v>84</v>
      </c>
      <c r="M209" s="256">
        <v>1</v>
      </c>
      <c r="N209" s="256">
        <v>2</v>
      </c>
      <c r="O209" s="256">
        <v>8</v>
      </c>
    </row>
    <row r="210" spans="1:15" s="69" customFormat="1" ht="60">
      <c r="A210" s="256" t="s">
        <v>589</v>
      </c>
      <c r="B210" s="256" t="s">
        <v>45</v>
      </c>
      <c r="C210" s="256" t="s">
        <v>80</v>
      </c>
      <c r="D210" s="186" t="s">
        <v>797</v>
      </c>
      <c r="E210" s="187">
        <v>107</v>
      </c>
      <c r="F210" s="256">
        <v>0.84826123467709402</v>
      </c>
      <c r="G210" s="181">
        <v>1</v>
      </c>
      <c r="H210" s="279">
        <v>43625</v>
      </c>
      <c r="I210" s="186" t="s">
        <v>798</v>
      </c>
      <c r="J210" s="186">
        <v>0</v>
      </c>
      <c r="K210" s="186" t="s">
        <v>799</v>
      </c>
      <c r="L210" s="256">
        <v>92</v>
      </c>
      <c r="M210" s="256">
        <v>0</v>
      </c>
      <c r="N210" s="256">
        <v>1</v>
      </c>
      <c r="O210" s="256">
        <v>3</v>
      </c>
    </row>
    <row r="211" spans="1:15" s="69" customFormat="1" ht="60">
      <c r="A211" s="256" t="s">
        <v>589</v>
      </c>
      <c r="B211" s="256" t="s">
        <v>45</v>
      </c>
      <c r="C211" s="256" t="s">
        <v>80</v>
      </c>
      <c r="D211" s="220" t="s">
        <v>800</v>
      </c>
      <c r="E211" s="187">
        <v>84</v>
      </c>
      <c r="F211" s="256">
        <v>9.3927472970356497E-4</v>
      </c>
      <c r="G211" s="181">
        <v>1</v>
      </c>
      <c r="H211" s="279">
        <v>43620</v>
      </c>
      <c r="I211" s="186" t="s">
        <v>801</v>
      </c>
      <c r="J211" s="186">
        <v>0</v>
      </c>
      <c r="K211" s="186" t="s">
        <v>802</v>
      </c>
      <c r="L211" s="256">
        <v>76</v>
      </c>
      <c r="M211" s="220">
        <v>0</v>
      </c>
      <c r="N211" s="186">
        <v>1</v>
      </c>
      <c r="O211" s="220">
        <v>6</v>
      </c>
    </row>
    <row r="212" spans="1:15" s="69" customFormat="1" ht="105">
      <c r="A212" s="256" t="s">
        <v>589</v>
      </c>
      <c r="B212" s="256" t="s">
        <v>59</v>
      </c>
      <c r="C212" s="256" t="s">
        <v>46</v>
      </c>
      <c r="D212" s="186" t="s">
        <v>803</v>
      </c>
      <c r="E212" s="187">
        <v>78</v>
      </c>
      <c r="F212" s="256">
        <v>1.6327647707215E-4</v>
      </c>
      <c r="G212" s="181">
        <v>1</v>
      </c>
      <c r="H212" s="279">
        <v>43615</v>
      </c>
      <c r="I212" s="186" t="s">
        <v>804</v>
      </c>
      <c r="J212" s="186">
        <v>0</v>
      </c>
      <c r="K212" s="186" t="s">
        <v>805</v>
      </c>
      <c r="L212" s="256">
        <v>133</v>
      </c>
      <c r="M212" s="256">
        <v>0</v>
      </c>
      <c r="N212" s="256">
        <v>1</v>
      </c>
      <c r="O212" s="256">
        <v>6</v>
      </c>
    </row>
    <row r="213" spans="1:15" s="69" customFormat="1" ht="45">
      <c r="A213" s="256" t="s">
        <v>589</v>
      </c>
      <c r="B213" s="256" t="s">
        <v>45</v>
      </c>
      <c r="C213" s="256" t="s">
        <v>221</v>
      </c>
      <c r="D213" s="220" t="s">
        <v>806</v>
      </c>
      <c r="E213" s="187">
        <v>28</v>
      </c>
      <c r="F213" s="256">
        <v>0.13987031944137601</v>
      </c>
      <c r="G213" s="181">
        <v>0</v>
      </c>
      <c r="H213" s="279">
        <v>43612</v>
      </c>
      <c r="I213" s="220" t="s">
        <v>807</v>
      </c>
      <c r="J213" s="186">
        <v>0</v>
      </c>
      <c r="K213" s="186" t="s">
        <v>808</v>
      </c>
      <c r="L213" s="256">
        <v>49</v>
      </c>
      <c r="M213" s="220">
        <v>0</v>
      </c>
      <c r="N213" s="186">
        <v>1</v>
      </c>
      <c r="O213" s="220">
        <v>2</v>
      </c>
    </row>
    <row r="214" spans="1:15" s="69" customFormat="1" ht="75">
      <c r="A214" s="256" t="s">
        <v>589</v>
      </c>
      <c r="B214" s="256" t="s">
        <v>45</v>
      </c>
      <c r="C214" s="256" t="s">
        <v>4374</v>
      </c>
      <c r="D214" s="186" t="s">
        <v>809</v>
      </c>
      <c r="E214" s="187">
        <v>39</v>
      </c>
      <c r="F214" s="256">
        <v>3.5107506877674999E-2</v>
      </c>
      <c r="G214" s="181">
        <v>1</v>
      </c>
      <c r="H214" s="279">
        <v>43609</v>
      </c>
      <c r="I214" s="186" t="s">
        <v>810</v>
      </c>
      <c r="J214" s="186">
        <v>0</v>
      </c>
      <c r="K214" s="186" t="s">
        <v>811</v>
      </c>
      <c r="L214" s="256">
        <v>93</v>
      </c>
      <c r="M214" s="256">
        <v>0</v>
      </c>
      <c r="N214" s="256">
        <v>1</v>
      </c>
      <c r="O214" s="256">
        <v>4</v>
      </c>
    </row>
    <row r="215" spans="1:15" s="69" customFormat="1" ht="90">
      <c r="A215" s="256" t="s">
        <v>589</v>
      </c>
      <c r="B215" s="256" t="s">
        <v>59</v>
      </c>
      <c r="C215" s="256" t="s">
        <v>664</v>
      </c>
      <c r="D215" s="186" t="s">
        <v>812</v>
      </c>
      <c r="E215" s="187">
        <v>147</v>
      </c>
      <c r="F215" s="256">
        <v>2.16153174581457E-7</v>
      </c>
      <c r="G215" s="181">
        <v>1</v>
      </c>
      <c r="H215" s="279">
        <v>43605</v>
      </c>
      <c r="I215" s="186" t="s">
        <v>813</v>
      </c>
      <c r="J215" s="186">
        <v>1</v>
      </c>
      <c r="K215" s="186" t="s">
        <v>814</v>
      </c>
      <c r="L215" s="256">
        <v>103</v>
      </c>
      <c r="M215" s="256">
        <v>0</v>
      </c>
      <c r="N215" s="256">
        <v>4</v>
      </c>
      <c r="O215" s="256">
        <v>4</v>
      </c>
    </row>
    <row r="216" spans="1:15" s="69" customFormat="1" ht="45">
      <c r="A216" s="256" t="s">
        <v>589</v>
      </c>
      <c r="B216" s="256" t="s">
        <v>45</v>
      </c>
      <c r="C216" s="256" t="s">
        <v>221</v>
      </c>
      <c r="D216" s="186" t="s">
        <v>815</v>
      </c>
      <c r="E216" s="187">
        <v>54</v>
      </c>
      <c r="F216" s="256">
        <v>0.75861142391773395</v>
      </c>
      <c r="G216" s="181">
        <v>0</v>
      </c>
      <c r="H216" s="279">
        <v>43600</v>
      </c>
      <c r="I216" s="186" t="s">
        <v>816</v>
      </c>
      <c r="J216" s="186">
        <v>0</v>
      </c>
      <c r="K216" s="186" t="s">
        <v>817</v>
      </c>
      <c r="L216" s="256">
        <v>57</v>
      </c>
      <c r="M216" s="256">
        <v>1</v>
      </c>
      <c r="N216" s="256">
        <v>1</v>
      </c>
      <c r="O216" s="256">
        <v>1</v>
      </c>
    </row>
    <row r="217" spans="1:15" s="69" customFormat="1" ht="135">
      <c r="A217" s="256" t="s">
        <v>589</v>
      </c>
      <c r="B217" s="256" t="s">
        <v>45</v>
      </c>
      <c r="C217" s="256" t="s">
        <v>46</v>
      </c>
      <c r="D217" s="186" t="s">
        <v>818</v>
      </c>
      <c r="E217" s="187">
        <v>199</v>
      </c>
      <c r="F217" s="256">
        <v>0.99999978829243497</v>
      </c>
      <c r="G217" s="181">
        <v>1</v>
      </c>
      <c r="H217" s="279">
        <v>43597</v>
      </c>
      <c r="I217" s="181" t="s">
        <v>1731</v>
      </c>
      <c r="J217" s="181">
        <v>0</v>
      </c>
      <c r="K217" s="186" t="s">
        <v>820</v>
      </c>
      <c r="L217" s="256">
        <v>48</v>
      </c>
      <c r="M217" s="256">
        <v>1</v>
      </c>
      <c r="N217" s="256">
        <v>2</v>
      </c>
      <c r="O217" s="256">
        <v>2</v>
      </c>
    </row>
    <row r="218" spans="1:15" s="69" customFormat="1" ht="90">
      <c r="A218" s="256" t="s">
        <v>589</v>
      </c>
      <c r="B218" s="256" t="s">
        <v>45</v>
      </c>
      <c r="C218" s="256" t="s">
        <v>46</v>
      </c>
      <c r="D218" s="186" t="s">
        <v>821</v>
      </c>
      <c r="E218" s="187">
        <v>91</v>
      </c>
      <c r="F218" s="256">
        <v>0.53766047032780795</v>
      </c>
      <c r="G218" s="181">
        <v>0</v>
      </c>
      <c r="H218" s="279">
        <v>43596</v>
      </c>
      <c r="I218" s="220" t="s">
        <v>822</v>
      </c>
      <c r="J218" s="186">
        <v>1</v>
      </c>
      <c r="K218" s="186" t="s">
        <v>823</v>
      </c>
      <c r="L218" s="256">
        <v>124</v>
      </c>
      <c r="M218" s="220">
        <v>0</v>
      </c>
      <c r="N218" s="186">
        <v>1</v>
      </c>
      <c r="O218" s="220">
        <v>4</v>
      </c>
    </row>
    <row r="219" spans="1:15" s="69" customFormat="1" ht="105">
      <c r="A219" s="256" t="s">
        <v>589</v>
      </c>
      <c r="B219" s="256" t="s">
        <v>59</v>
      </c>
      <c r="C219" s="256" t="s">
        <v>221</v>
      </c>
      <c r="D219" s="220" t="s">
        <v>824</v>
      </c>
      <c r="E219" s="187">
        <v>114</v>
      </c>
      <c r="F219" s="256">
        <v>0.95494030899807603</v>
      </c>
      <c r="G219" s="181">
        <v>1</v>
      </c>
      <c r="H219" s="279">
        <v>43596</v>
      </c>
      <c r="I219" s="186" t="s">
        <v>825</v>
      </c>
      <c r="J219" s="186">
        <v>1</v>
      </c>
      <c r="K219" s="186" t="s">
        <v>826</v>
      </c>
      <c r="L219" s="256">
        <v>156</v>
      </c>
      <c r="M219" s="220">
        <v>1</v>
      </c>
      <c r="N219" s="186">
        <v>3</v>
      </c>
      <c r="O219" s="220">
        <v>13</v>
      </c>
    </row>
    <row r="220" spans="1:15" s="69" customFormat="1" ht="105">
      <c r="A220" s="256" t="s">
        <v>589</v>
      </c>
      <c r="B220" s="256" t="s">
        <v>45</v>
      </c>
      <c r="C220" s="256" t="s">
        <v>46</v>
      </c>
      <c r="D220" s="186" t="s">
        <v>827</v>
      </c>
      <c r="E220" s="187">
        <v>190</v>
      </c>
      <c r="F220" s="256">
        <v>0.80013598565562505</v>
      </c>
      <c r="G220" s="181">
        <v>1</v>
      </c>
      <c r="H220" s="279">
        <v>43581</v>
      </c>
      <c r="I220" s="186" t="s">
        <v>828</v>
      </c>
      <c r="J220" s="186">
        <v>1</v>
      </c>
      <c r="K220" s="186" t="s">
        <v>829</v>
      </c>
      <c r="L220" s="256">
        <v>105</v>
      </c>
      <c r="M220" s="256">
        <v>0</v>
      </c>
      <c r="N220" s="256">
        <v>1</v>
      </c>
      <c r="O220" s="256">
        <v>4</v>
      </c>
    </row>
    <row r="221" spans="1:15" s="69" customFormat="1" ht="90">
      <c r="A221" s="256" t="s">
        <v>589</v>
      </c>
      <c r="B221" s="256" t="s">
        <v>45</v>
      </c>
      <c r="C221" s="256" t="s">
        <v>80</v>
      </c>
      <c r="D221" s="186" t="s">
        <v>830</v>
      </c>
      <c r="E221" s="187">
        <v>95</v>
      </c>
      <c r="F221" s="256">
        <v>0.968504358052375</v>
      </c>
      <c r="G221" s="181">
        <v>1</v>
      </c>
      <c r="H221" s="297">
        <v>43568</v>
      </c>
      <c r="I221" s="186" t="s">
        <v>831</v>
      </c>
      <c r="J221" s="186">
        <v>0</v>
      </c>
      <c r="K221" s="186" t="s">
        <v>832</v>
      </c>
      <c r="L221" s="256">
        <v>121</v>
      </c>
      <c r="M221" s="256">
        <v>0</v>
      </c>
      <c r="N221" s="256">
        <v>1</v>
      </c>
      <c r="O221" s="256">
        <v>3</v>
      </c>
    </row>
    <row r="222" spans="1:15" s="69" customFormat="1" ht="150">
      <c r="A222" s="256" t="s">
        <v>589</v>
      </c>
      <c r="B222" s="256" t="s">
        <v>45</v>
      </c>
      <c r="C222" s="256" t="s">
        <v>833</v>
      </c>
      <c r="D222" s="186" t="s">
        <v>834</v>
      </c>
      <c r="E222" s="187">
        <v>285</v>
      </c>
      <c r="F222" s="256">
        <v>2.9576341376014201E-13</v>
      </c>
      <c r="G222" s="181">
        <v>1</v>
      </c>
      <c r="H222" s="279">
        <v>43565</v>
      </c>
      <c r="I222" s="186" t="s">
        <v>835</v>
      </c>
      <c r="J222" s="186">
        <v>1</v>
      </c>
      <c r="K222" s="186" t="s">
        <v>836</v>
      </c>
      <c r="L222" s="256">
        <v>96</v>
      </c>
      <c r="M222" s="256">
        <v>0</v>
      </c>
      <c r="N222" s="256">
        <v>1</v>
      </c>
      <c r="O222" s="256">
        <v>2</v>
      </c>
    </row>
    <row r="223" spans="1:15" s="69" customFormat="1" ht="150">
      <c r="A223" s="256" t="s">
        <v>589</v>
      </c>
      <c r="B223" s="256" t="s">
        <v>45</v>
      </c>
      <c r="C223" s="256" t="s">
        <v>46</v>
      </c>
      <c r="D223" s="186" t="s">
        <v>834</v>
      </c>
      <c r="E223" s="187">
        <v>285</v>
      </c>
      <c r="F223" s="256">
        <v>2.9576341376014201E-13</v>
      </c>
      <c r="G223" s="181">
        <v>1</v>
      </c>
      <c r="H223" s="279">
        <v>43564</v>
      </c>
      <c r="I223" s="186" t="s">
        <v>837</v>
      </c>
      <c r="J223" s="186">
        <v>1</v>
      </c>
      <c r="K223" s="186" t="s">
        <v>838</v>
      </c>
      <c r="L223" s="256">
        <v>96</v>
      </c>
      <c r="M223" s="256">
        <v>0</v>
      </c>
      <c r="N223" s="256">
        <v>1</v>
      </c>
      <c r="O223" s="256">
        <v>3</v>
      </c>
    </row>
    <row r="224" spans="1:15" s="69" customFormat="1" ht="60">
      <c r="A224" s="256" t="s">
        <v>589</v>
      </c>
      <c r="B224" s="256" t="s">
        <v>45</v>
      </c>
      <c r="C224" s="256" t="s">
        <v>46</v>
      </c>
      <c r="D224" s="186" t="s">
        <v>839</v>
      </c>
      <c r="E224" s="187">
        <v>98</v>
      </c>
      <c r="F224" s="256">
        <v>5.4982364093974001E-2</v>
      </c>
      <c r="G224" s="181">
        <v>1</v>
      </c>
      <c r="H224" s="279">
        <v>43553</v>
      </c>
      <c r="I224" s="186" t="s">
        <v>840</v>
      </c>
      <c r="J224" s="186">
        <v>0</v>
      </c>
      <c r="K224" s="186" t="s">
        <v>841</v>
      </c>
      <c r="L224" s="256">
        <v>54</v>
      </c>
      <c r="M224" s="256">
        <v>1</v>
      </c>
      <c r="N224" s="256">
        <v>2</v>
      </c>
      <c r="O224" s="256">
        <v>12</v>
      </c>
    </row>
    <row r="225" spans="1:15" s="69" customFormat="1" ht="75">
      <c r="A225" s="256" t="s">
        <v>589</v>
      </c>
      <c r="B225" s="256" t="s">
        <v>59</v>
      </c>
      <c r="C225" s="256" t="s">
        <v>80</v>
      </c>
      <c r="D225" s="186" t="s">
        <v>842</v>
      </c>
      <c r="E225" s="187">
        <v>40</v>
      </c>
      <c r="F225" s="256">
        <v>3.0501129733813401E-2</v>
      </c>
      <c r="G225" s="181">
        <v>1</v>
      </c>
      <c r="H225" s="279">
        <v>43543</v>
      </c>
      <c r="I225" s="220" t="s">
        <v>843</v>
      </c>
      <c r="J225" s="186">
        <v>1</v>
      </c>
      <c r="K225" s="186" t="s">
        <v>844</v>
      </c>
      <c r="L225" s="256">
        <v>48</v>
      </c>
      <c r="M225" s="220">
        <v>0</v>
      </c>
      <c r="N225" s="186">
        <v>1</v>
      </c>
      <c r="O225" s="220">
        <v>1</v>
      </c>
    </row>
    <row r="226" spans="1:15" s="69" customFormat="1" ht="90">
      <c r="A226" s="256" t="s">
        <v>589</v>
      </c>
      <c r="B226" s="256" t="s">
        <v>45</v>
      </c>
      <c r="C226" s="256" t="s">
        <v>46</v>
      </c>
      <c r="D226" s="186" t="s">
        <v>845</v>
      </c>
      <c r="E226" s="187">
        <v>156</v>
      </c>
      <c r="F226" s="256">
        <v>1.7712495137267601E-8</v>
      </c>
      <c r="G226" s="181">
        <v>0</v>
      </c>
      <c r="H226" s="279">
        <v>43533</v>
      </c>
      <c r="I226" s="186" t="s">
        <v>846</v>
      </c>
      <c r="J226" s="186">
        <v>0</v>
      </c>
      <c r="K226" s="186" t="s">
        <v>847</v>
      </c>
      <c r="L226" s="256">
        <v>121</v>
      </c>
      <c r="M226" s="256">
        <v>1</v>
      </c>
      <c r="N226" s="256">
        <v>2</v>
      </c>
      <c r="O226" s="256">
        <v>4</v>
      </c>
    </row>
    <row r="227" spans="1:15" s="69" customFormat="1" ht="165">
      <c r="A227" s="256" t="s">
        <v>589</v>
      </c>
      <c r="B227" s="256" t="s">
        <v>45</v>
      </c>
      <c r="C227" s="256" t="s">
        <v>848</v>
      </c>
      <c r="D227" s="186" t="s">
        <v>849</v>
      </c>
      <c r="E227" s="187">
        <v>310</v>
      </c>
      <c r="F227" s="256">
        <v>1.12158747256341E-6</v>
      </c>
      <c r="G227" s="181">
        <v>1</v>
      </c>
      <c r="H227" s="279">
        <v>43528</v>
      </c>
      <c r="I227" s="186" t="s">
        <v>850</v>
      </c>
      <c r="J227" s="186">
        <v>0</v>
      </c>
      <c r="K227" s="186" t="s">
        <v>851</v>
      </c>
      <c r="L227" s="256">
        <v>218</v>
      </c>
      <c r="M227" s="256">
        <v>1</v>
      </c>
      <c r="N227" s="256">
        <v>3</v>
      </c>
      <c r="O227" s="256">
        <v>11</v>
      </c>
    </row>
    <row r="228" spans="1:15" s="69" customFormat="1" ht="60">
      <c r="A228" s="256" t="s">
        <v>589</v>
      </c>
      <c r="B228" s="256" t="s">
        <v>45</v>
      </c>
      <c r="C228" s="256" t="s">
        <v>80</v>
      </c>
      <c r="D228" s="186" t="s">
        <v>852</v>
      </c>
      <c r="E228" s="187">
        <v>55</v>
      </c>
      <c r="F228" s="256">
        <v>0.78461431176534602</v>
      </c>
      <c r="G228" s="181">
        <v>1</v>
      </c>
      <c r="H228" s="279">
        <v>43525</v>
      </c>
      <c r="I228" s="186" t="s">
        <v>853</v>
      </c>
      <c r="J228" s="186">
        <v>1</v>
      </c>
      <c r="K228" s="186" t="s">
        <v>854</v>
      </c>
      <c r="L228" s="256">
        <v>67</v>
      </c>
      <c r="M228" s="256">
        <v>2</v>
      </c>
      <c r="N228" s="256">
        <v>1</v>
      </c>
      <c r="O228" s="256">
        <v>3</v>
      </c>
    </row>
    <row r="229" spans="1:15" s="69" customFormat="1" ht="150">
      <c r="A229" s="256" t="s">
        <v>589</v>
      </c>
      <c r="B229" s="256" t="s">
        <v>45</v>
      </c>
      <c r="C229" s="256" t="s">
        <v>46</v>
      </c>
      <c r="D229" s="186" t="s">
        <v>855</v>
      </c>
      <c r="E229" s="187">
        <v>46</v>
      </c>
      <c r="F229" s="256">
        <v>0.95645095026862903</v>
      </c>
      <c r="G229" s="181">
        <v>1</v>
      </c>
      <c r="H229" s="279">
        <v>43515</v>
      </c>
      <c r="I229" s="186" t="s">
        <v>4375</v>
      </c>
      <c r="J229" s="186">
        <v>0</v>
      </c>
      <c r="K229" s="186" t="s">
        <v>851</v>
      </c>
      <c r="L229" s="256">
        <v>218</v>
      </c>
      <c r="M229" s="256">
        <v>0</v>
      </c>
      <c r="N229" s="256">
        <v>2</v>
      </c>
      <c r="O229" s="256">
        <v>14</v>
      </c>
    </row>
    <row r="230" spans="1:15" s="69" customFormat="1" ht="60">
      <c r="A230" s="256" t="s">
        <v>589</v>
      </c>
      <c r="B230" s="256" t="s">
        <v>45</v>
      </c>
      <c r="C230" s="256" t="s">
        <v>80</v>
      </c>
      <c r="D230" s="186" t="s">
        <v>857</v>
      </c>
      <c r="E230" s="187">
        <v>49</v>
      </c>
      <c r="F230" s="256">
        <v>1.18613462117783E-2</v>
      </c>
      <c r="G230" s="181">
        <v>1</v>
      </c>
      <c r="H230" s="279">
        <v>43481</v>
      </c>
      <c r="I230" s="186" t="s">
        <v>858</v>
      </c>
      <c r="J230" s="186">
        <v>0</v>
      </c>
      <c r="K230" s="186" t="s">
        <v>859</v>
      </c>
      <c r="L230" s="256">
        <v>71</v>
      </c>
      <c r="M230" s="256">
        <v>0</v>
      </c>
      <c r="N230" s="256">
        <v>1</v>
      </c>
      <c r="O230" s="256">
        <v>1</v>
      </c>
    </row>
    <row r="231" spans="1:15" s="69" customFormat="1" ht="105">
      <c r="A231" s="256" t="s">
        <v>589</v>
      </c>
      <c r="B231" s="256" t="s">
        <v>45</v>
      </c>
      <c r="C231" s="256" t="s">
        <v>80</v>
      </c>
      <c r="D231" s="258" t="s">
        <v>159</v>
      </c>
      <c r="E231" s="187">
        <v>178</v>
      </c>
      <c r="F231" s="256">
        <v>5.1015347501959199E-10</v>
      </c>
      <c r="G231" s="181">
        <v>1</v>
      </c>
      <c r="H231" s="279">
        <v>43476</v>
      </c>
      <c r="I231" s="186" t="s">
        <v>860</v>
      </c>
      <c r="J231" s="186">
        <v>0</v>
      </c>
      <c r="K231" s="186" t="s">
        <v>861</v>
      </c>
      <c r="L231" s="256">
        <v>75</v>
      </c>
      <c r="M231" s="256">
        <v>0</v>
      </c>
      <c r="N231" s="256">
        <v>1</v>
      </c>
      <c r="O231" s="256">
        <v>5</v>
      </c>
    </row>
    <row r="232" spans="1:15" s="69" customFormat="1" ht="135">
      <c r="A232" s="256" t="s">
        <v>589</v>
      </c>
      <c r="B232" s="256" t="s">
        <v>45</v>
      </c>
      <c r="C232" s="256" t="s">
        <v>80</v>
      </c>
      <c r="D232" s="186" t="s">
        <v>862</v>
      </c>
      <c r="E232" s="187">
        <v>163</v>
      </c>
      <c r="F232" s="256">
        <v>1.1466540064234399E-3</v>
      </c>
      <c r="G232" s="181">
        <v>1</v>
      </c>
      <c r="H232" s="279">
        <v>43476</v>
      </c>
      <c r="I232" s="186" t="s">
        <v>863</v>
      </c>
      <c r="J232" s="186">
        <v>0</v>
      </c>
      <c r="K232" s="186" t="s">
        <v>864</v>
      </c>
      <c r="L232" s="256">
        <v>191</v>
      </c>
      <c r="M232" s="256">
        <v>0</v>
      </c>
      <c r="N232" s="256">
        <v>1</v>
      </c>
      <c r="O232" s="256">
        <v>4</v>
      </c>
    </row>
    <row r="233" spans="1:15" s="69" customFormat="1" ht="105">
      <c r="A233" s="256" t="s">
        <v>589</v>
      </c>
      <c r="B233" s="256" t="s">
        <v>45</v>
      </c>
      <c r="C233" s="256" t="s">
        <v>80</v>
      </c>
      <c r="D233" s="258" t="s">
        <v>180</v>
      </c>
      <c r="E233" s="187">
        <v>112</v>
      </c>
      <c r="F233" s="256">
        <v>5.3221158755980998E-2</v>
      </c>
      <c r="G233" s="181">
        <v>1</v>
      </c>
      <c r="H233" s="279">
        <v>43476</v>
      </c>
      <c r="I233" s="186" t="s">
        <v>865</v>
      </c>
      <c r="J233" s="186">
        <v>0</v>
      </c>
      <c r="K233" s="186" t="s">
        <v>866</v>
      </c>
      <c r="L233" s="256">
        <v>142</v>
      </c>
      <c r="M233" s="256">
        <v>0</v>
      </c>
      <c r="N233" s="256">
        <v>1</v>
      </c>
      <c r="O233" s="256">
        <v>5</v>
      </c>
    </row>
    <row r="234" spans="1:15" s="69" customFormat="1" ht="75">
      <c r="A234" s="256" t="s">
        <v>589</v>
      </c>
      <c r="B234" s="256" t="s">
        <v>45</v>
      </c>
      <c r="C234" s="256" t="s">
        <v>80</v>
      </c>
      <c r="D234" s="186" t="s">
        <v>867</v>
      </c>
      <c r="E234" s="187">
        <v>103</v>
      </c>
      <c r="F234" s="256">
        <v>0.544531967917952</v>
      </c>
      <c r="G234" s="181">
        <v>1</v>
      </c>
      <c r="H234" s="279">
        <v>43476</v>
      </c>
      <c r="I234" s="186" t="s">
        <v>868</v>
      </c>
      <c r="J234" s="186">
        <v>0</v>
      </c>
      <c r="K234" s="186" t="s">
        <v>869</v>
      </c>
      <c r="L234" s="256">
        <v>95</v>
      </c>
      <c r="M234" s="256">
        <v>0</v>
      </c>
      <c r="N234" s="256">
        <v>1</v>
      </c>
      <c r="O234" s="256">
        <v>3</v>
      </c>
    </row>
    <row r="235" spans="1:15" s="69" customFormat="1" ht="30">
      <c r="A235" s="256" t="s">
        <v>589</v>
      </c>
      <c r="B235" s="256" t="s">
        <v>59</v>
      </c>
      <c r="C235" s="256" t="s">
        <v>46</v>
      </c>
      <c r="D235" s="258" t="s">
        <v>870</v>
      </c>
      <c r="E235" s="187">
        <v>21</v>
      </c>
      <c r="F235" s="256">
        <v>0.994408281800366</v>
      </c>
      <c r="G235" s="181">
        <v>0</v>
      </c>
      <c r="H235" s="279">
        <v>43475</v>
      </c>
      <c r="I235" s="220" t="s">
        <v>871</v>
      </c>
      <c r="J235" s="186">
        <v>0</v>
      </c>
      <c r="K235" s="186" t="s">
        <v>872</v>
      </c>
      <c r="L235" s="256">
        <v>36</v>
      </c>
      <c r="M235" s="220">
        <v>0</v>
      </c>
      <c r="N235" s="186">
        <v>1</v>
      </c>
      <c r="O235" s="220">
        <v>1</v>
      </c>
    </row>
    <row r="236" spans="1:15" s="69" customFormat="1" ht="60">
      <c r="A236" s="256" t="s">
        <v>589</v>
      </c>
      <c r="B236" s="256" t="s">
        <v>45</v>
      </c>
      <c r="C236" s="256" t="s">
        <v>80</v>
      </c>
      <c r="D236" s="186" t="s">
        <v>873</v>
      </c>
      <c r="E236" s="187">
        <v>64</v>
      </c>
      <c r="F236" s="256">
        <v>0.73441069774175505</v>
      </c>
      <c r="G236" s="181">
        <v>1</v>
      </c>
      <c r="H236" s="279">
        <v>43475</v>
      </c>
      <c r="I236" s="186" t="s">
        <v>874</v>
      </c>
      <c r="J236" s="186">
        <v>0</v>
      </c>
      <c r="K236" s="186" t="s">
        <v>875</v>
      </c>
      <c r="L236" s="256">
        <v>77</v>
      </c>
      <c r="M236" s="256">
        <v>0</v>
      </c>
      <c r="N236" s="256">
        <v>1</v>
      </c>
      <c r="O236" s="256">
        <v>4</v>
      </c>
    </row>
    <row r="237" spans="1:15" s="69" customFormat="1" ht="135">
      <c r="A237" s="256" t="s">
        <v>589</v>
      </c>
      <c r="B237" s="256" t="s">
        <v>45</v>
      </c>
      <c r="C237" s="256" t="s">
        <v>833</v>
      </c>
      <c r="D237" s="186" t="s">
        <v>876</v>
      </c>
      <c r="E237" s="187">
        <v>269</v>
      </c>
      <c r="F237" s="256">
        <v>8.8330542880043998E-10</v>
      </c>
      <c r="G237" s="181">
        <v>0</v>
      </c>
      <c r="H237" s="279">
        <v>43470</v>
      </c>
      <c r="I237" s="186" t="s">
        <v>877</v>
      </c>
      <c r="J237" s="186">
        <v>0</v>
      </c>
      <c r="K237" s="186" t="s">
        <v>878</v>
      </c>
      <c r="L237" s="256">
        <v>105</v>
      </c>
      <c r="M237" s="256">
        <v>1</v>
      </c>
      <c r="N237" s="256">
        <v>1</v>
      </c>
      <c r="O237" s="256">
        <v>18</v>
      </c>
    </row>
    <row r="238" spans="1:15" s="69" customFormat="1" ht="165">
      <c r="A238" s="256" t="s">
        <v>589</v>
      </c>
      <c r="B238" s="256" t="s">
        <v>45</v>
      </c>
      <c r="C238" s="256" t="s">
        <v>833</v>
      </c>
      <c r="D238" s="186" t="s">
        <v>879</v>
      </c>
      <c r="E238" s="187">
        <v>270</v>
      </c>
      <c r="F238" s="256">
        <v>4.6852655088969197E-10</v>
      </c>
      <c r="G238" s="181">
        <v>0</v>
      </c>
      <c r="H238" s="279">
        <v>43468</v>
      </c>
      <c r="I238" s="181" t="s">
        <v>880</v>
      </c>
      <c r="J238" s="181">
        <v>0</v>
      </c>
      <c r="K238" s="186" t="s">
        <v>881</v>
      </c>
      <c r="L238" s="256">
        <v>103</v>
      </c>
      <c r="M238" s="256">
        <v>0</v>
      </c>
      <c r="N238" s="256">
        <v>1</v>
      </c>
      <c r="O238" s="256">
        <v>14</v>
      </c>
    </row>
    <row r="239" spans="1:15" s="69" customFormat="1" ht="150">
      <c r="A239" s="256" t="s">
        <v>589</v>
      </c>
      <c r="B239" s="256" t="s">
        <v>45</v>
      </c>
      <c r="C239" s="256" t="s">
        <v>833</v>
      </c>
      <c r="D239" s="186" t="s">
        <v>879</v>
      </c>
      <c r="E239" s="187">
        <v>274</v>
      </c>
      <c r="F239" s="256">
        <v>1.02743369367886E-10</v>
      </c>
      <c r="G239" s="181">
        <v>0</v>
      </c>
      <c r="H239" s="279">
        <v>43467</v>
      </c>
      <c r="I239" s="186" t="s">
        <v>882</v>
      </c>
      <c r="J239" s="186">
        <v>0</v>
      </c>
      <c r="K239" s="186" t="s">
        <v>881</v>
      </c>
      <c r="L239" s="256">
        <v>103</v>
      </c>
      <c r="M239" s="256">
        <v>0</v>
      </c>
      <c r="N239" s="256">
        <v>1</v>
      </c>
      <c r="O239" s="256">
        <v>16</v>
      </c>
    </row>
    <row r="240" spans="1:15" s="69" customFormat="1" ht="135">
      <c r="A240" s="256" t="s">
        <v>589</v>
      </c>
      <c r="B240" s="256" t="s">
        <v>45</v>
      </c>
      <c r="C240" s="256" t="s">
        <v>833</v>
      </c>
      <c r="D240" s="186" t="s">
        <v>883</v>
      </c>
      <c r="E240" s="187">
        <v>262</v>
      </c>
      <c r="F240" s="256">
        <v>2.6565594168914701E-10</v>
      </c>
      <c r="G240" s="181">
        <v>0</v>
      </c>
      <c r="H240" s="279">
        <v>43467</v>
      </c>
      <c r="I240" s="186" t="s">
        <v>884</v>
      </c>
      <c r="J240" s="186">
        <v>0</v>
      </c>
      <c r="K240" s="186" t="s">
        <v>885</v>
      </c>
      <c r="L240" s="256">
        <v>64</v>
      </c>
      <c r="M240" s="256">
        <v>1</v>
      </c>
      <c r="N240" s="256">
        <v>1</v>
      </c>
      <c r="O240" s="256">
        <v>6</v>
      </c>
    </row>
    <row r="241" spans="1:15" s="69" customFormat="1" ht="210">
      <c r="A241" s="256" t="s">
        <v>589</v>
      </c>
      <c r="B241" s="256" t="s">
        <v>45</v>
      </c>
      <c r="C241" s="256" t="s">
        <v>833</v>
      </c>
      <c r="D241" s="220" t="s">
        <v>886</v>
      </c>
      <c r="E241" s="187">
        <v>408</v>
      </c>
      <c r="F241" s="256">
        <v>2.2204460492503101E-16</v>
      </c>
      <c r="G241" s="181">
        <v>0</v>
      </c>
      <c r="H241" s="279">
        <v>43464</v>
      </c>
      <c r="I241" s="186" t="s">
        <v>887</v>
      </c>
      <c r="J241" s="186">
        <v>0</v>
      </c>
      <c r="K241" s="186" t="s">
        <v>881</v>
      </c>
      <c r="L241" s="256">
        <v>103</v>
      </c>
      <c r="M241" s="220">
        <v>2</v>
      </c>
      <c r="N241" s="186">
        <v>1</v>
      </c>
      <c r="O241" s="220">
        <v>19</v>
      </c>
    </row>
    <row r="242" spans="1:15" s="69" customFormat="1" ht="90">
      <c r="A242" s="256" t="s">
        <v>589</v>
      </c>
      <c r="B242" s="256" t="s">
        <v>45</v>
      </c>
      <c r="C242" s="256" t="s">
        <v>833</v>
      </c>
      <c r="D242" s="186" t="s">
        <v>879</v>
      </c>
      <c r="E242" s="187">
        <v>173</v>
      </c>
      <c r="F242" s="256">
        <v>2.2923661247009602E-6</v>
      </c>
      <c r="G242" s="181">
        <v>0</v>
      </c>
      <c r="H242" s="279">
        <v>43464</v>
      </c>
      <c r="I242" s="220" t="s">
        <v>888</v>
      </c>
      <c r="J242" s="186">
        <v>0</v>
      </c>
      <c r="K242" s="186" t="s">
        <v>889</v>
      </c>
      <c r="L242" s="256">
        <v>107</v>
      </c>
      <c r="M242" s="220">
        <v>0</v>
      </c>
      <c r="N242" s="186">
        <v>1</v>
      </c>
      <c r="O242" s="220">
        <v>17</v>
      </c>
    </row>
    <row r="243" spans="1:15" s="69" customFormat="1" ht="120">
      <c r="A243" s="256" t="s">
        <v>589</v>
      </c>
      <c r="B243" s="256" t="s">
        <v>45</v>
      </c>
      <c r="C243" s="256" t="s">
        <v>833</v>
      </c>
      <c r="D243" s="186" t="s">
        <v>886</v>
      </c>
      <c r="E243" s="187">
        <v>229</v>
      </c>
      <c r="F243" s="256">
        <v>1.11872444641392E-9</v>
      </c>
      <c r="G243" s="181">
        <v>0</v>
      </c>
      <c r="H243" s="279">
        <v>43464</v>
      </c>
      <c r="I243" s="186" t="s">
        <v>890</v>
      </c>
      <c r="J243" s="186">
        <v>0</v>
      </c>
      <c r="K243" s="186" t="s">
        <v>891</v>
      </c>
      <c r="L243" s="256">
        <v>105</v>
      </c>
      <c r="M243" s="256">
        <v>2</v>
      </c>
      <c r="N243" s="256">
        <v>1</v>
      </c>
      <c r="O243" s="256">
        <v>31</v>
      </c>
    </row>
    <row r="244" spans="1:15" s="69" customFormat="1" ht="90">
      <c r="A244" s="256" t="s">
        <v>589</v>
      </c>
      <c r="B244" s="256" t="s">
        <v>45</v>
      </c>
      <c r="C244" s="256" t="s">
        <v>833</v>
      </c>
      <c r="D244" s="220" t="s">
        <v>879</v>
      </c>
      <c r="E244" s="187">
        <v>151</v>
      </c>
      <c r="F244" s="256">
        <v>6.4150165170471203E-3</v>
      </c>
      <c r="G244" s="181">
        <v>0</v>
      </c>
      <c r="H244" s="279">
        <v>43464</v>
      </c>
      <c r="I244" s="186" t="s">
        <v>892</v>
      </c>
      <c r="J244" s="186">
        <v>0</v>
      </c>
      <c r="K244" s="186" t="s">
        <v>893</v>
      </c>
      <c r="L244" s="256">
        <v>108</v>
      </c>
      <c r="M244" s="220">
        <v>0</v>
      </c>
      <c r="N244" s="186">
        <v>1</v>
      </c>
      <c r="O244" s="220">
        <v>17</v>
      </c>
    </row>
    <row r="245" spans="1:15" s="69" customFormat="1" ht="75">
      <c r="A245" s="256" t="s">
        <v>589</v>
      </c>
      <c r="B245" s="256" t="s">
        <v>45</v>
      </c>
      <c r="C245" s="256" t="s">
        <v>80</v>
      </c>
      <c r="D245" s="258" t="s">
        <v>180</v>
      </c>
      <c r="E245" s="187">
        <v>91</v>
      </c>
      <c r="F245" s="256">
        <v>0.96658566902705001</v>
      </c>
      <c r="G245" s="181">
        <v>0</v>
      </c>
      <c r="H245" s="279">
        <v>43463</v>
      </c>
      <c r="I245" s="186" t="s">
        <v>894</v>
      </c>
      <c r="J245" s="186">
        <v>0</v>
      </c>
      <c r="K245" s="186" t="s">
        <v>895</v>
      </c>
      <c r="L245" s="256">
        <v>95</v>
      </c>
      <c r="M245" s="256">
        <v>0</v>
      </c>
      <c r="N245" s="256">
        <v>1</v>
      </c>
      <c r="O245" s="256">
        <v>4</v>
      </c>
    </row>
    <row r="246" spans="1:15" s="69" customFormat="1" ht="90">
      <c r="A246" s="256" t="s">
        <v>589</v>
      </c>
      <c r="B246" s="256" t="s">
        <v>45</v>
      </c>
      <c r="C246" s="256" t="s">
        <v>833</v>
      </c>
      <c r="D246" s="186" t="s">
        <v>896</v>
      </c>
      <c r="E246" s="187">
        <v>124</v>
      </c>
      <c r="F246" s="256">
        <v>0.42779049419724002</v>
      </c>
      <c r="G246" s="181">
        <v>0</v>
      </c>
      <c r="H246" s="279">
        <v>43463</v>
      </c>
      <c r="I246" s="181" t="s">
        <v>897</v>
      </c>
      <c r="J246" s="181">
        <v>0</v>
      </c>
      <c r="K246" s="186" t="s">
        <v>898</v>
      </c>
      <c r="L246" s="256">
        <v>49</v>
      </c>
      <c r="M246" s="256">
        <v>0</v>
      </c>
      <c r="N246" s="256">
        <v>1</v>
      </c>
      <c r="O246" s="256">
        <v>4</v>
      </c>
    </row>
    <row r="247" spans="1:15" s="69" customFormat="1" ht="150">
      <c r="A247" s="256" t="s">
        <v>589</v>
      </c>
      <c r="B247" s="256" t="s">
        <v>45</v>
      </c>
      <c r="C247" s="256" t="s">
        <v>833</v>
      </c>
      <c r="D247" s="186" t="s">
        <v>899</v>
      </c>
      <c r="E247" s="187">
        <v>237</v>
      </c>
      <c r="F247" s="256">
        <v>3.5861262013993998E-2</v>
      </c>
      <c r="G247" s="181">
        <v>0</v>
      </c>
      <c r="H247" s="279">
        <v>43463</v>
      </c>
      <c r="I247" s="181" t="s">
        <v>900</v>
      </c>
      <c r="J247" s="181">
        <v>1</v>
      </c>
      <c r="K247" s="186" t="s">
        <v>901</v>
      </c>
      <c r="L247" s="256">
        <v>67</v>
      </c>
      <c r="M247" s="256">
        <v>0</v>
      </c>
      <c r="N247" s="256">
        <v>1</v>
      </c>
      <c r="O247" s="256">
        <v>4</v>
      </c>
    </row>
    <row r="248" spans="1:15" s="69" customFormat="1" ht="180">
      <c r="A248" s="256" t="s">
        <v>589</v>
      </c>
      <c r="B248" s="256" t="s">
        <v>45</v>
      </c>
      <c r="C248" s="256" t="s">
        <v>833</v>
      </c>
      <c r="D248" s="186" t="s">
        <v>902</v>
      </c>
      <c r="E248" s="187">
        <v>285</v>
      </c>
      <c r="F248" s="256">
        <v>1.1701750679549099E-13</v>
      </c>
      <c r="G248" s="181">
        <v>0</v>
      </c>
      <c r="H248" s="279">
        <v>43463</v>
      </c>
      <c r="I248" s="181" t="s">
        <v>903</v>
      </c>
      <c r="J248" s="181">
        <v>0</v>
      </c>
      <c r="K248" s="186" t="s">
        <v>889</v>
      </c>
      <c r="L248" s="256">
        <v>107</v>
      </c>
      <c r="M248" s="256">
        <v>2</v>
      </c>
      <c r="N248" s="256">
        <v>2</v>
      </c>
      <c r="O248" s="256">
        <v>11</v>
      </c>
    </row>
    <row r="249" spans="1:15" s="69" customFormat="1" ht="135">
      <c r="A249" s="256" t="s">
        <v>589</v>
      </c>
      <c r="B249" s="256" t="s">
        <v>45</v>
      </c>
      <c r="C249" s="256" t="s">
        <v>833</v>
      </c>
      <c r="D249" s="186" t="s">
        <v>904</v>
      </c>
      <c r="E249" s="187">
        <v>258</v>
      </c>
      <c r="F249" s="256">
        <v>0.99999999979326304</v>
      </c>
      <c r="G249" s="181">
        <v>0</v>
      </c>
      <c r="H249" s="279">
        <v>43462</v>
      </c>
      <c r="I249" s="186" t="s">
        <v>905</v>
      </c>
      <c r="J249" s="186">
        <v>1</v>
      </c>
      <c r="K249" s="186" t="s">
        <v>906</v>
      </c>
      <c r="L249" s="256">
        <v>111</v>
      </c>
      <c r="M249" s="256">
        <v>1</v>
      </c>
      <c r="N249" s="256">
        <v>1</v>
      </c>
      <c r="O249" s="256">
        <v>17</v>
      </c>
    </row>
    <row r="250" spans="1:15" s="69" customFormat="1" ht="90">
      <c r="A250" s="256" t="s">
        <v>589</v>
      </c>
      <c r="B250" s="256" t="s">
        <v>45</v>
      </c>
      <c r="C250" s="256" t="s">
        <v>46</v>
      </c>
      <c r="D250" s="186" t="s">
        <v>907</v>
      </c>
      <c r="E250" s="187">
        <v>180</v>
      </c>
      <c r="F250" s="256">
        <v>3.14903658704679E-12</v>
      </c>
      <c r="G250" s="181">
        <v>1</v>
      </c>
      <c r="H250" s="279">
        <v>43429</v>
      </c>
      <c r="I250" s="186" t="s">
        <v>4376</v>
      </c>
      <c r="J250" s="186">
        <v>1</v>
      </c>
      <c r="K250" s="186" t="s">
        <v>909</v>
      </c>
      <c r="L250" s="256">
        <v>72</v>
      </c>
      <c r="M250" s="256">
        <v>0</v>
      </c>
      <c r="N250" s="256">
        <v>1</v>
      </c>
      <c r="O250" s="256">
        <v>1</v>
      </c>
    </row>
    <row r="251" spans="1:15" s="69" customFormat="1" ht="75">
      <c r="A251" s="256" t="s">
        <v>589</v>
      </c>
      <c r="B251" s="256" t="s">
        <v>45</v>
      </c>
      <c r="C251" s="256" t="s">
        <v>80</v>
      </c>
      <c r="D251" s="220" t="s">
        <v>439</v>
      </c>
      <c r="E251" s="187">
        <v>145</v>
      </c>
      <c r="F251" s="256">
        <v>4.29524439229389E-5</v>
      </c>
      <c r="G251" s="181">
        <v>0</v>
      </c>
      <c r="H251" s="279">
        <v>43423</v>
      </c>
      <c r="I251" s="186" t="s">
        <v>910</v>
      </c>
      <c r="J251" s="186">
        <v>0</v>
      </c>
      <c r="K251" s="186" t="s">
        <v>911</v>
      </c>
      <c r="L251" s="256">
        <v>44</v>
      </c>
      <c r="M251" s="220">
        <v>0</v>
      </c>
      <c r="N251" s="186">
        <v>1</v>
      </c>
      <c r="O251" s="220">
        <v>2</v>
      </c>
    </row>
    <row r="252" spans="1:15" s="69" customFormat="1" ht="120">
      <c r="A252" s="256" t="s">
        <v>589</v>
      </c>
      <c r="B252" s="256" t="s">
        <v>45</v>
      </c>
      <c r="C252" s="256" t="s">
        <v>46</v>
      </c>
      <c r="D252" s="186" t="s">
        <v>912</v>
      </c>
      <c r="E252" s="187">
        <v>222</v>
      </c>
      <c r="F252" s="256">
        <v>1.4700582517956901E-7</v>
      </c>
      <c r="G252" s="181">
        <v>1</v>
      </c>
      <c r="H252" s="279">
        <v>43423</v>
      </c>
      <c r="I252" s="186" t="s">
        <v>913</v>
      </c>
      <c r="J252" s="186">
        <v>0</v>
      </c>
      <c r="K252" s="186" t="s">
        <v>914</v>
      </c>
      <c r="L252" s="256">
        <v>78</v>
      </c>
      <c r="M252" s="256">
        <v>0</v>
      </c>
      <c r="N252" s="256">
        <v>1</v>
      </c>
      <c r="O252" s="256">
        <v>14</v>
      </c>
    </row>
    <row r="253" spans="1:15" s="69" customFormat="1" ht="150">
      <c r="A253" s="256" t="s">
        <v>589</v>
      </c>
      <c r="B253" s="256" t="s">
        <v>45</v>
      </c>
      <c r="C253" s="256" t="s">
        <v>46</v>
      </c>
      <c r="D253" s="220" t="s">
        <v>4377</v>
      </c>
      <c r="E253" s="187">
        <v>117</v>
      </c>
      <c r="F253" s="256">
        <v>5.2580405572877404E-6</v>
      </c>
      <c r="G253" s="181">
        <v>1</v>
      </c>
      <c r="H253" s="279">
        <v>43410</v>
      </c>
      <c r="I253" s="186" t="s">
        <v>916</v>
      </c>
      <c r="J253" s="186">
        <v>1</v>
      </c>
      <c r="K253" s="186" t="s">
        <v>917</v>
      </c>
      <c r="L253" s="256">
        <v>225</v>
      </c>
      <c r="M253" s="220">
        <v>0</v>
      </c>
      <c r="N253" s="186">
        <v>1</v>
      </c>
      <c r="O253" s="220">
        <v>2</v>
      </c>
    </row>
    <row r="254" spans="1:15" s="69" customFormat="1" ht="225">
      <c r="A254" s="256" t="s">
        <v>589</v>
      </c>
      <c r="B254" s="256" t="s">
        <v>45</v>
      </c>
      <c r="C254" s="256" t="s">
        <v>46</v>
      </c>
      <c r="D254" s="186" t="s">
        <v>918</v>
      </c>
      <c r="E254" s="187">
        <v>122</v>
      </c>
      <c r="F254" s="256">
        <v>0.25459309456411999</v>
      </c>
      <c r="G254" s="181">
        <v>1</v>
      </c>
      <c r="H254" s="279">
        <v>43403</v>
      </c>
      <c r="I254" s="181" t="s">
        <v>919</v>
      </c>
      <c r="J254" s="181">
        <v>1</v>
      </c>
      <c r="K254" s="186" t="s">
        <v>920</v>
      </c>
      <c r="L254" s="256">
        <v>323</v>
      </c>
      <c r="M254" s="256">
        <v>1</v>
      </c>
      <c r="N254" s="256">
        <v>1</v>
      </c>
      <c r="O254" s="256">
        <v>6</v>
      </c>
    </row>
    <row r="255" spans="1:15" s="69" customFormat="1" ht="180">
      <c r="A255" s="256" t="s">
        <v>589</v>
      </c>
      <c r="B255" s="256" t="s">
        <v>45</v>
      </c>
      <c r="C255" s="256" t="s">
        <v>46</v>
      </c>
      <c r="D255" s="186" t="s">
        <v>921</v>
      </c>
      <c r="E255" s="187">
        <v>348</v>
      </c>
      <c r="F255" s="256">
        <v>2.2174883070972502E-2</v>
      </c>
      <c r="G255" s="181">
        <v>1</v>
      </c>
      <c r="H255" s="279">
        <v>43403</v>
      </c>
      <c r="I255" s="186" t="s">
        <v>922</v>
      </c>
      <c r="J255" s="186">
        <v>1</v>
      </c>
      <c r="K255" s="186" t="s">
        <v>4378</v>
      </c>
      <c r="L255" s="256">
        <v>132</v>
      </c>
      <c r="M255" s="256">
        <v>0</v>
      </c>
      <c r="N255" s="256">
        <v>1</v>
      </c>
      <c r="O255" s="256">
        <v>2</v>
      </c>
    </row>
    <row r="256" spans="1:15" s="69" customFormat="1" ht="90">
      <c r="A256" s="256" t="s">
        <v>589</v>
      </c>
      <c r="B256" s="256" t="s">
        <v>45</v>
      </c>
      <c r="C256" s="256" t="s">
        <v>46</v>
      </c>
      <c r="D256" s="186" t="s">
        <v>305</v>
      </c>
      <c r="E256" s="187">
        <v>161</v>
      </c>
      <c r="F256" s="256">
        <v>3.7198348623590499E-7</v>
      </c>
      <c r="G256" s="181">
        <v>1</v>
      </c>
      <c r="H256" s="279">
        <v>43391</v>
      </c>
      <c r="I256" s="186" t="s">
        <v>924</v>
      </c>
      <c r="J256" s="186">
        <v>0</v>
      </c>
      <c r="K256" s="186" t="s">
        <v>925</v>
      </c>
      <c r="L256" s="256">
        <v>118</v>
      </c>
      <c r="M256" s="256">
        <v>0</v>
      </c>
      <c r="N256" s="256">
        <v>1</v>
      </c>
      <c r="O256" s="256">
        <v>0</v>
      </c>
    </row>
    <row r="257" spans="1:15" s="69" customFormat="1" ht="60">
      <c r="A257" s="256" t="s">
        <v>589</v>
      </c>
      <c r="B257" s="256" t="s">
        <v>45</v>
      </c>
      <c r="C257" s="256" t="s">
        <v>46</v>
      </c>
      <c r="D257" s="186" t="s">
        <v>926</v>
      </c>
      <c r="E257" s="187">
        <v>114</v>
      </c>
      <c r="F257" s="256">
        <v>1.1622205052475001E-4</v>
      </c>
      <c r="G257" s="181">
        <v>0</v>
      </c>
      <c r="H257" s="279">
        <v>43391</v>
      </c>
      <c r="I257" s="220" t="s">
        <v>927</v>
      </c>
      <c r="J257" s="186">
        <v>0</v>
      </c>
      <c r="K257" s="186" t="s">
        <v>928</v>
      </c>
      <c r="L257" s="256">
        <v>65</v>
      </c>
      <c r="M257" s="220">
        <v>0</v>
      </c>
      <c r="N257" s="186">
        <v>1</v>
      </c>
      <c r="O257" s="220">
        <v>1</v>
      </c>
    </row>
    <row r="258" spans="1:15" s="69" customFormat="1" ht="60">
      <c r="A258" s="256" t="s">
        <v>589</v>
      </c>
      <c r="B258" s="256" t="s">
        <v>45</v>
      </c>
      <c r="C258" s="256" t="s">
        <v>46</v>
      </c>
      <c r="D258" s="186" t="s">
        <v>929</v>
      </c>
      <c r="E258" s="187">
        <v>60</v>
      </c>
      <c r="F258" s="256">
        <v>1.4737444355890099E-2</v>
      </c>
      <c r="G258" s="181">
        <v>0</v>
      </c>
      <c r="H258" s="279">
        <v>43390</v>
      </c>
      <c r="I258" s="186" t="s">
        <v>930</v>
      </c>
      <c r="J258" s="186">
        <v>0</v>
      </c>
      <c r="K258" s="186" t="s">
        <v>931</v>
      </c>
      <c r="L258" s="256">
        <v>87</v>
      </c>
      <c r="M258" s="256">
        <v>0</v>
      </c>
      <c r="N258" s="256">
        <v>1</v>
      </c>
      <c r="O258" s="256">
        <v>5</v>
      </c>
    </row>
    <row r="259" spans="1:15" s="69" customFormat="1" ht="90">
      <c r="A259" s="256" t="s">
        <v>589</v>
      </c>
      <c r="B259" s="256" t="s">
        <v>45</v>
      </c>
      <c r="C259" s="256" t="s">
        <v>80</v>
      </c>
      <c r="D259" s="186" t="s">
        <v>932</v>
      </c>
      <c r="E259" s="187">
        <v>92</v>
      </c>
      <c r="F259" s="256">
        <v>4.11460747894521E-3</v>
      </c>
      <c r="G259" s="181">
        <v>1</v>
      </c>
      <c r="H259" s="279">
        <v>43390</v>
      </c>
      <c r="I259" s="220" t="s">
        <v>933</v>
      </c>
      <c r="J259" s="186">
        <v>0</v>
      </c>
      <c r="K259" s="186" t="s">
        <v>934</v>
      </c>
      <c r="L259" s="256">
        <v>123</v>
      </c>
      <c r="M259" s="220">
        <v>0</v>
      </c>
      <c r="N259" s="186">
        <v>1</v>
      </c>
      <c r="O259" s="220">
        <v>2</v>
      </c>
    </row>
    <row r="260" spans="1:15" s="69" customFormat="1" ht="165">
      <c r="A260" s="256" t="s">
        <v>589</v>
      </c>
      <c r="B260" s="256" t="s">
        <v>45</v>
      </c>
      <c r="C260" s="256" t="s">
        <v>80</v>
      </c>
      <c r="D260" s="220" t="s">
        <v>935</v>
      </c>
      <c r="E260" s="187">
        <v>74</v>
      </c>
      <c r="F260" s="256">
        <v>2.5055549957020401E-6</v>
      </c>
      <c r="G260" s="181">
        <v>1</v>
      </c>
      <c r="H260" s="279">
        <v>43389</v>
      </c>
      <c r="I260" s="186" t="s">
        <v>936</v>
      </c>
      <c r="J260" s="186">
        <v>0</v>
      </c>
      <c r="K260" s="186" t="s">
        <v>937</v>
      </c>
      <c r="L260" s="256">
        <v>244</v>
      </c>
      <c r="M260" s="220">
        <v>0</v>
      </c>
      <c r="N260" s="186">
        <v>1</v>
      </c>
      <c r="O260" s="220">
        <v>6</v>
      </c>
    </row>
    <row r="261" spans="1:15" s="69" customFormat="1" ht="45">
      <c r="A261" s="256" t="s">
        <v>589</v>
      </c>
      <c r="B261" s="256" t="s">
        <v>45</v>
      </c>
      <c r="C261" s="256" t="s">
        <v>80</v>
      </c>
      <c r="D261" s="186" t="s">
        <v>938</v>
      </c>
      <c r="E261" s="187">
        <v>68</v>
      </c>
      <c r="F261" s="256">
        <v>4.6653390722628502E-5</v>
      </c>
      <c r="G261" s="181">
        <v>1</v>
      </c>
      <c r="H261" s="279">
        <v>43387</v>
      </c>
      <c r="I261" s="186" t="s">
        <v>939</v>
      </c>
      <c r="J261" s="186">
        <v>0</v>
      </c>
      <c r="K261" s="186" t="s">
        <v>940</v>
      </c>
      <c r="L261" s="256">
        <v>54</v>
      </c>
      <c r="M261" s="256">
        <v>0</v>
      </c>
      <c r="N261" s="256">
        <v>1</v>
      </c>
      <c r="O261" s="256">
        <v>3</v>
      </c>
    </row>
    <row r="262" spans="1:15" s="69" customFormat="1" ht="45">
      <c r="A262" s="256" t="s">
        <v>589</v>
      </c>
      <c r="B262" s="256" t="s">
        <v>45</v>
      </c>
      <c r="C262" s="256" t="s">
        <v>80</v>
      </c>
      <c r="D262" s="258" t="s">
        <v>159</v>
      </c>
      <c r="E262" s="187">
        <v>47</v>
      </c>
      <c r="F262" s="256">
        <v>5.3268655796665398E-2</v>
      </c>
      <c r="G262" s="181">
        <v>1</v>
      </c>
      <c r="H262" s="279">
        <v>43384</v>
      </c>
      <c r="I262" s="186" t="s">
        <v>941</v>
      </c>
      <c r="J262" s="186">
        <v>0</v>
      </c>
      <c r="K262" s="186" t="s">
        <v>942</v>
      </c>
      <c r="L262" s="256">
        <v>48</v>
      </c>
      <c r="M262" s="256">
        <v>0</v>
      </c>
      <c r="N262" s="256">
        <v>2</v>
      </c>
      <c r="O262" s="256">
        <v>6</v>
      </c>
    </row>
    <row r="263" spans="1:15" s="69" customFormat="1" ht="45">
      <c r="A263" s="256" t="s">
        <v>589</v>
      </c>
      <c r="B263" s="256" t="s">
        <v>45</v>
      </c>
      <c r="C263" s="256" t="s">
        <v>80</v>
      </c>
      <c r="D263" s="186" t="s">
        <v>938</v>
      </c>
      <c r="E263" s="187">
        <v>59</v>
      </c>
      <c r="F263" s="256">
        <v>5.2146464174040996E-4</v>
      </c>
      <c r="G263" s="181">
        <v>1</v>
      </c>
      <c r="H263" s="279">
        <v>43373</v>
      </c>
      <c r="I263" s="186" t="s">
        <v>943</v>
      </c>
      <c r="J263" s="186">
        <v>0</v>
      </c>
      <c r="K263" s="186" t="s">
        <v>940</v>
      </c>
      <c r="L263" s="256">
        <v>54</v>
      </c>
      <c r="M263" s="256">
        <v>0</v>
      </c>
      <c r="N263" s="256">
        <v>1</v>
      </c>
      <c r="O263" s="256">
        <v>9</v>
      </c>
    </row>
    <row r="264" spans="1:15" s="69" customFormat="1" ht="105">
      <c r="A264" s="256" t="s">
        <v>589</v>
      </c>
      <c r="B264" s="256" t="s">
        <v>45</v>
      </c>
      <c r="C264" s="256" t="s">
        <v>80</v>
      </c>
      <c r="D264" s="186" t="s">
        <v>944</v>
      </c>
      <c r="E264" s="187">
        <v>182</v>
      </c>
      <c r="F264" s="256">
        <v>4.62419071474559E-2</v>
      </c>
      <c r="G264" s="181">
        <v>1</v>
      </c>
      <c r="H264" s="279">
        <v>43371</v>
      </c>
      <c r="I264" s="186" t="s">
        <v>945</v>
      </c>
      <c r="J264" s="186">
        <v>0</v>
      </c>
      <c r="K264" s="186" t="s">
        <v>946</v>
      </c>
      <c r="L264" s="256">
        <v>124</v>
      </c>
      <c r="M264" s="256">
        <v>0</v>
      </c>
      <c r="N264" s="256">
        <v>1</v>
      </c>
      <c r="O264" s="256">
        <v>10</v>
      </c>
    </row>
    <row r="265" spans="1:15" s="69" customFormat="1" ht="75">
      <c r="A265" s="256" t="s">
        <v>589</v>
      </c>
      <c r="B265" s="256" t="s">
        <v>59</v>
      </c>
      <c r="C265" s="256" t="s">
        <v>46</v>
      </c>
      <c r="D265" s="186" t="s">
        <v>947</v>
      </c>
      <c r="E265" s="187">
        <v>104</v>
      </c>
      <c r="F265" s="256">
        <v>0.43496781246536198</v>
      </c>
      <c r="G265" s="181">
        <v>1</v>
      </c>
      <c r="H265" s="279">
        <v>43370</v>
      </c>
      <c r="I265" s="181" t="s">
        <v>4379</v>
      </c>
      <c r="J265" s="181">
        <v>0</v>
      </c>
      <c r="K265" s="186" t="s">
        <v>949</v>
      </c>
      <c r="L265" s="256">
        <v>85</v>
      </c>
      <c r="M265" s="256">
        <v>0</v>
      </c>
      <c r="N265" s="256">
        <v>2</v>
      </c>
      <c r="O265" s="256">
        <v>12</v>
      </c>
    </row>
    <row r="266" spans="1:15" s="69" customFormat="1" ht="135">
      <c r="A266" s="256" t="s">
        <v>589</v>
      </c>
      <c r="B266" s="256" t="s">
        <v>45</v>
      </c>
      <c r="C266" s="256" t="s">
        <v>46</v>
      </c>
      <c r="D266" s="186" t="s">
        <v>950</v>
      </c>
      <c r="E266" s="187">
        <v>143</v>
      </c>
      <c r="F266" s="256">
        <v>3.1719642905248002E-4</v>
      </c>
      <c r="G266" s="181">
        <v>1</v>
      </c>
      <c r="H266" s="279">
        <v>43368</v>
      </c>
      <c r="I266" s="186" t="s">
        <v>951</v>
      </c>
      <c r="J266" s="186">
        <v>1</v>
      </c>
      <c r="K266" s="186" t="s">
        <v>952</v>
      </c>
      <c r="L266" s="256">
        <v>186</v>
      </c>
      <c r="M266" s="256">
        <v>1</v>
      </c>
      <c r="N266" s="256">
        <v>1</v>
      </c>
      <c r="O266" s="256">
        <v>2</v>
      </c>
    </row>
    <row r="267" spans="1:15" s="69" customFormat="1" ht="45">
      <c r="A267" s="256" t="s">
        <v>589</v>
      </c>
      <c r="B267" s="256" t="s">
        <v>45</v>
      </c>
      <c r="C267" s="256" t="s">
        <v>80</v>
      </c>
      <c r="D267" s="258" t="s">
        <v>180</v>
      </c>
      <c r="E267" s="187">
        <v>74</v>
      </c>
      <c r="F267" s="256">
        <v>1.45719676648004E-4</v>
      </c>
      <c r="G267" s="181">
        <v>1</v>
      </c>
      <c r="H267" s="279">
        <v>43365</v>
      </c>
      <c r="I267" s="186" t="s">
        <v>953</v>
      </c>
      <c r="J267" s="186">
        <v>0</v>
      </c>
      <c r="K267" s="186" t="s">
        <v>954</v>
      </c>
      <c r="L267" s="256">
        <v>43</v>
      </c>
      <c r="M267" s="256">
        <v>1</v>
      </c>
      <c r="N267" s="256">
        <v>2</v>
      </c>
      <c r="O267" s="256">
        <v>17</v>
      </c>
    </row>
    <row r="268" spans="1:15" s="69" customFormat="1" ht="75">
      <c r="A268" s="256" t="s">
        <v>589</v>
      </c>
      <c r="B268" s="256" t="s">
        <v>45</v>
      </c>
      <c r="C268" s="256" t="s">
        <v>80</v>
      </c>
      <c r="D268" s="186" t="s">
        <v>938</v>
      </c>
      <c r="E268" s="187">
        <v>41</v>
      </c>
      <c r="F268" s="256">
        <v>1.39317939109005E-2</v>
      </c>
      <c r="G268" s="181">
        <v>1</v>
      </c>
      <c r="H268" s="279">
        <v>43365</v>
      </c>
      <c r="I268" s="186" t="s">
        <v>955</v>
      </c>
      <c r="J268" s="186">
        <v>0</v>
      </c>
      <c r="K268" s="186" t="s">
        <v>956</v>
      </c>
      <c r="L268" s="256">
        <v>90</v>
      </c>
      <c r="M268" s="256">
        <v>1</v>
      </c>
      <c r="N268" s="256">
        <v>1</v>
      </c>
      <c r="O268" s="256">
        <v>8</v>
      </c>
    </row>
    <row r="269" spans="1:15" s="69" customFormat="1" ht="45">
      <c r="A269" s="256" t="s">
        <v>589</v>
      </c>
      <c r="B269" s="256" t="s">
        <v>45</v>
      </c>
      <c r="C269" s="256" t="s">
        <v>80</v>
      </c>
      <c r="D269" s="220" t="s">
        <v>180</v>
      </c>
      <c r="E269" s="187">
        <v>44</v>
      </c>
      <c r="F269" s="256">
        <v>4.3046494026377301E-2</v>
      </c>
      <c r="G269" s="181">
        <v>1</v>
      </c>
      <c r="H269" s="279">
        <v>43362</v>
      </c>
      <c r="I269" s="186" t="s">
        <v>957</v>
      </c>
      <c r="J269" s="186">
        <v>0</v>
      </c>
      <c r="K269" s="186" t="s">
        <v>940</v>
      </c>
      <c r="L269" s="256">
        <v>54</v>
      </c>
      <c r="M269" s="220">
        <v>1</v>
      </c>
      <c r="N269" s="186">
        <v>1</v>
      </c>
      <c r="O269" s="220">
        <v>6</v>
      </c>
    </row>
    <row r="270" spans="1:15" s="69" customFormat="1" ht="45">
      <c r="A270" s="256" t="s">
        <v>589</v>
      </c>
      <c r="B270" s="256" t="s">
        <v>45</v>
      </c>
      <c r="C270" s="256" t="s">
        <v>46</v>
      </c>
      <c r="D270" s="186" t="s">
        <v>958</v>
      </c>
      <c r="E270" s="187">
        <v>50</v>
      </c>
      <c r="F270" s="256">
        <v>2.8367353114633299E-4</v>
      </c>
      <c r="G270" s="181">
        <v>1</v>
      </c>
      <c r="H270" s="279">
        <v>43361</v>
      </c>
      <c r="I270" s="220" t="s">
        <v>959</v>
      </c>
      <c r="J270" s="186">
        <v>0</v>
      </c>
      <c r="K270" s="186" t="s">
        <v>960</v>
      </c>
      <c r="L270" s="256">
        <v>67</v>
      </c>
      <c r="M270" s="220">
        <v>0</v>
      </c>
      <c r="N270" s="186">
        <v>1</v>
      </c>
      <c r="O270" s="220">
        <v>2</v>
      </c>
    </row>
    <row r="271" spans="1:15" s="69" customFormat="1" ht="75">
      <c r="A271" s="256" t="s">
        <v>589</v>
      </c>
      <c r="B271" s="256" t="s">
        <v>45</v>
      </c>
      <c r="C271" s="256" t="s">
        <v>80</v>
      </c>
      <c r="D271" s="258" t="s">
        <v>961</v>
      </c>
      <c r="E271" s="187">
        <v>79</v>
      </c>
      <c r="F271" s="256">
        <v>4.4878708123030598E-4</v>
      </c>
      <c r="G271" s="181">
        <v>1</v>
      </c>
      <c r="H271" s="279">
        <v>43355</v>
      </c>
      <c r="I271" s="186" t="s">
        <v>962</v>
      </c>
      <c r="J271" s="186">
        <v>0</v>
      </c>
      <c r="K271" s="181" t="s">
        <v>963</v>
      </c>
      <c r="L271" s="256">
        <v>107</v>
      </c>
      <c r="M271" s="256">
        <v>1</v>
      </c>
      <c r="N271" s="256">
        <v>2</v>
      </c>
      <c r="O271" s="256">
        <v>7</v>
      </c>
    </row>
    <row r="272" spans="1:15" s="69" customFormat="1" ht="45">
      <c r="A272" s="256" t="s">
        <v>589</v>
      </c>
      <c r="B272" s="256" t="s">
        <v>45</v>
      </c>
      <c r="C272" s="256" t="s">
        <v>80</v>
      </c>
      <c r="D272" s="186" t="s">
        <v>964</v>
      </c>
      <c r="E272" s="187">
        <v>46</v>
      </c>
      <c r="F272" s="256">
        <v>2.1034129374707402E-3</v>
      </c>
      <c r="G272" s="181">
        <v>1</v>
      </c>
      <c r="H272" s="279">
        <v>43354</v>
      </c>
      <c r="I272" s="220" t="s">
        <v>965</v>
      </c>
      <c r="J272" s="186">
        <v>0</v>
      </c>
      <c r="K272" s="186" t="s">
        <v>940</v>
      </c>
      <c r="L272" s="256">
        <v>54</v>
      </c>
      <c r="M272" s="220">
        <v>0</v>
      </c>
      <c r="N272" s="186">
        <v>1</v>
      </c>
      <c r="O272" s="220">
        <v>3</v>
      </c>
    </row>
    <row r="273" spans="1:15" s="69" customFormat="1" ht="120">
      <c r="A273" s="256" t="s">
        <v>589</v>
      </c>
      <c r="B273" s="256" t="s">
        <v>45</v>
      </c>
      <c r="C273" s="256" t="s">
        <v>80</v>
      </c>
      <c r="D273" s="186" t="s">
        <v>966</v>
      </c>
      <c r="E273" s="187">
        <v>162</v>
      </c>
      <c r="F273" s="256">
        <v>1.1989000348045E-8</v>
      </c>
      <c r="G273" s="181">
        <v>1</v>
      </c>
      <c r="H273" s="279">
        <v>43353</v>
      </c>
      <c r="I273" s="186" t="s">
        <v>967</v>
      </c>
      <c r="J273" s="186">
        <v>0</v>
      </c>
      <c r="K273" s="186" t="s">
        <v>968</v>
      </c>
      <c r="L273" s="256">
        <v>163</v>
      </c>
      <c r="M273" s="256">
        <v>0</v>
      </c>
      <c r="N273" s="256">
        <v>1</v>
      </c>
      <c r="O273" s="256">
        <v>1</v>
      </c>
    </row>
    <row r="274" spans="1:15" s="69" customFormat="1" ht="285">
      <c r="A274" s="256" t="s">
        <v>589</v>
      </c>
      <c r="B274" s="256" t="s">
        <v>45</v>
      </c>
      <c r="C274" s="256" t="s">
        <v>46</v>
      </c>
      <c r="D274" s="258" t="s">
        <v>969</v>
      </c>
      <c r="E274" s="187">
        <v>543</v>
      </c>
      <c r="F274" s="256">
        <v>0.99999407158943299</v>
      </c>
      <c r="G274" s="181">
        <v>0</v>
      </c>
      <c r="H274" s="279">
        <v>43349</v>
      </c>
      <c r="I274" s="186" t="s">
        <v>4380</v>
      </c>
      <c r="J274" s="186">
        <v>0</v>
      </c>
      <c r="K274" s="186" t="s">
        <v>971</v>
      </c>
      <c r="L274" s="256">
        <v>121</v>
      </c>
      <c r="M274" s="256">
        <v>0</v>
      </c>
      <c r="N274" s="256">
        <v>1</v>
      </c>
      <c r="O274" s="256">
        <v>6</v>
      </c>
    </row>
    <row r="275" spans="1:15" s="69" customFormat="1" ht="75">
      <c r="A275" s="256" t="s">
        <v>589</v>
      </c>
      <c r="B275" s="256" t="s">
        <v>45</v>
      </c>
      <c r="C275" s="256" t="s">
        <v>80</v>
      </c>
      <c r="D275" s="186" t="s">
        <v>972</v>
      </c>
      <c r="E275" s="187">
        <v>136</v>
      </c>
      <c r="F275" s="256">
        <v>1.42371874289893E-8</v>
      </c>
      <c r="G275" s="181">
        <v>0</v>
      </c>
      <c r="H275" s="279">
        <v>43346</v>
      </c>
      <c r="I275" s="220" t="s">
        <v>973</v>
      </c>
      <c r="J275" s="186">
        <v>1</v>
      </c>
      <c r="K275" s="186" t="s">
        <v>974</v>
      </c>
      <c r="L275" s="256">
        <v>98</v>
      </c>
      <c r="M275" s="220">
        <v>0</v>
      </c>
      <c r="N275" s="186">
        <v>1</v>
      </c>
      <c r="O275" s="220">
        <v>1</v>
      </c>
    </row>
    <row r="276" spans="1:15" s="69" customFormat="1" ht="165">
      <c r="A276" s="256" t="s">
        <v>589</v>
      </c>
      <c r="B276" s="256" t="s">
        <v>45</v>
      </c>
      <c r="C276" s="256" t="s">
        <v>46</v>
      </c>
      <c r="D276" s="186" t="s">
        <v>975</v>
      </c>
      <c r="E276" s="187">
        <v>304</v>
      </c>
      <c r="F276" s="256">
        <v>3.5622615968122801E-12</v>
      </c>
      <c r="G276" s="181">
        <v>1</v>
      </c>
      <c r="H276" s="279">
        <v>43342</v>
      </c>
      <c r="I276" s="186" t="s">
        <v>4381</v>
      </c>
      <c r="J276" s="186">
        <v>1</v>
      </c>
      <c r="K276" s="186" t="s">
        <v>977</v>
      </c>
      <c r="L276" s="256">
        <v>136</v>
      </c>
      <c r="M276" s="256">
        <v>2</v>
      </c>
      <c r="N276" s="256">
        <v>1</v>
      </c>
      <c r="O276" s="256">
        <v>8</v>
      </c>
    </row>
    <row r="277" spans="1:15" s="69" customFormat="1" ht="135">
      <c r="A277" s="256" t="s">
        <v>589</v>
      </c>
      <c r="B277" s="256" t="s">
        <v>45</v>
      </c>
      <c r="C277" s="256" t="s">
        <v>46</v>
      </c>
      <c r="D277" s="186" t="s">
        <v>975</v>
      </c>
      <c r="E277" s="187">
        <v>257</v>
      </c>
      <c r="F277" s="256">
        <v>7.1527028744355903E-10</v>
      </c>
      <c r="G277" s="181">
        <v>1</v>
      </c>
      <c r="H277" s="279">
        <v>43340</v>
      </c>
      <c r="I277" s="186" t="s">
        <v>4382</v>
      </c>
      <c r="J277" s="186">
        <v>1</v>
      </c>
      <c r="K277" s="186" t="s">
        <v>977</v>
      </c>
      <c r="L277" s="256">
        <v>136</v>
      </c>
      <c r="M277" s="256">
        <v>3</v>
      </c>
      <c r="N277" s="256">
        <v>1</v>
      </c>
      <c r="O277" s="256">
        <v>10</v>
      </c>
    </row>
    <row r="278" spans="1:15" s="69" customFormat="1" ht="30">
      <c r="A278" s="256" t="s">
        <v>589</v>
      </c>
      <c r="B278" s="256" t="s">
        <v>45</v>
      </c>
      <c r="C278" s="256" t="s">
        <v>80</v>
      </c>
      <c r="D278" s="186" t="s">
        <v>305</v>
      </c>
      <c r="E278" s="187">
        <v>54</v>
      </c>
      <c r="F278" s="256">
        <v>1.5571886389429399E-3</v>
      </c>
      <c r="G278" s="181">
        <v>1</v>
      </c>
      <c r="H278" s="279">
        <v>43333</v>
      </c>
      <c r="I278" s="186" t="s">
        <v>979</v>
      </c>
      <c r="J278" s="186">
        <v>0</v>
      </c>
      <c r="K278" s="186" t="s">
        <v>980</v>
      </c>
      <c r="L278" s="256">
        <v>36</v>
      </c>
      <c r="M278" s="256">
        <v>1</v>
      </c>
      <c r="N278" s="256">
        <v>1</v>
      </c>
      <c r="O278" s="256">
        <v>7</v>
      </c>
    </row>
    <row r="279" spans="1:15" s="69" customFormat="1" ht="60">
      <c r="A279" s="256" t="s">
        <v>589</v>
      </c>
      <c r="B279" s="256" t="s">
        <v>45</v>
      </c>
      <c r="C279" s="256" t="s">
        <v>80</v>
      </c>
      <c r="D279" s="186" t="s">
        <v>305</v>
      </c>
      <c r="E279" s="187">
        <v>99</v>
      </c>
      <c r="F279" s="256">
        <v>0.444662140942435</v>
      </c>
      <c r="G279" s="181">
        <v>1</v>
      </c>
      <c r="H279" s="279">
        <v>43333</v>
      </c>
      <c r="I279" s="186" t="s">
        <v>981</v>
      </c>
      <c r="J279" s="186">
        <v>0</v>
      </c>
      <c r="K279" s="186" t="s">
        <v>980</v>
      </c>
      <c r="L279" s="256">
        <v>36</v>
      </c>
      <c r="M279" s="256">
        <v>1</v>
      </c>
      <c r="N279" s="256">
        <v>1</v>
      </c>
      <c r="O279" s="256">
        <v>7</v>
      </c>
    </row>
    <row r="280" spans="1:15" s="69" customFormat="1" ht="45">
      <c r="A280" s="256" t="s">
        <v>589</v>
      </c>
      <c r="B280" s="256" t="s">
        <v>45</v>
      </c>
      <c r="C280" s="256" t="s">
        <v>80</v>
      </c>
      <c r="D280" s="186" t="s">
        <v>982</v>
      </c>
      <c r="E280" s="187">
        <v>79</v>
      </c>
      <c r="F280" s="256">
        <v>7.7630069542999902E-4</v>
      </c>
      <c r="G280" s="181">
        <v>1</v>
      </c>
      <c r="H280" s="279">
        <v>43333</v>
      </c>
      <c r="I280" s="186" t="s">
        <v>983</v>
      </c>
      <c r="J280" s="186">
        <v>0</v>
      </c>
      <c r="K280" s="186" t="s">
        <v>980</v>
      </c>
      <c r="L280" s="256">
        <v>36</v>
      </c>
      <c r="M280" s="256">
        <v>1</v>
      </c>
      <c r="N280" s="256">
        <v>1</v>
      </c>
      <c r="O280" s="256">
        <v>7</v>
      </c>
    </row>
    <row r="281" spans="1:15" s="69" customFormat="1" ht="45">
      <c r="A281" s="256" t="s">
        <v>589</v>
      </c>
      <c r="B281" s="256" t="s">
        <v>45</v>
      </c>
      <c r="C281" s="256" t="s">
        <v>80</v>
      </c>
      <c r="D281" s="258" t="s">
        <v>159</v>
      </c>
      <c r="E281" s="187">
        <v>68</v>
      </c>
      <c r="F281" s="256">
        <v>5.3643672806691397E-5</v>
      </c>
      <c r="G281" s="181">
        <v>1</v>
      </c>
      <c r="H281" s="279">
        <v>43330</v>
      </c>
      <c r="I281" s="186" t="s">
        <v>984</v>
      </c>
      <c r="J281" s="186">
        <v>0</v>
      </c>
      <c r="K281" s="186" t="s">
        <v>985</v>
      </c>
      <c r="L281" s="256">
        <v>53</v>
      </c>
      <c r="M281" s="256">
        <v>2</v>
      </c>
      <c r="N281" s="256">
        <v>1</v>
      </c>
      <c r="O281" s="256">
        <v>6</v>
      </c>
    </row>
    <row r="282" spans="1:15" s="69" customFormat="1" ht="45">
      <c r="A282" s="256" t="s">
        <v>589</v>
      </c>
      <c r="B282" s="256" t="s">
        <v>45</v>
      </c>
      <c r="C282" s="256" t="s">
        <v>80</v>
      </c>
      <c r="D282" s="220" t="s">
        <v>986</v>
      </c>
      <c r="E282" s="187">
        <v>55</v>
      </c>
      <c r="F282" s="256">
        <v>1.5917117805116999E-2</v>
      </c>
      <c r="G282" s="181">
        <v>1</v>
      </c>
      <c r="H282" s="279">
        <v>43323</v>
      </c>
      <c r="I282" s="220" t="s">
        <v>987</v>
      </c>
      <c r="J282" s="186">
        <v>0</v>
      </c>
      <c r="K282" s="186" t="s">
        <v>988</v>
      </c>
      <c r="L282" s="256">
        <v>47</v>
      </c>
      <c r="M282" s="220">
        <v>0</v>
      </c>
      <c r="N282" s="186">
        <v>1</v>
      </c>
      <c r="O282" s="220">
        <v>4</v>
      </c>
    </row>
    <row r="283" spans="1:15" s="69" customFormat="1" ht="105">
      <c r="A283" s="256" t="s">
        <v>589</v>
      </c>
      <c r="B283" s="256" t="s">
        <v>45</v>
      </c>
      <c r="C283" s="256" t="s">
        <v>80</v>
      </c>
      <c r="D283" s="186" t="s">
        <v>293</v>
      </c>
      <c r="E283" s="187">
        <v>53</v>
      </c>
      <c r="F283" s="256">
        <v>4.4271731423615499E-2</v>
      </c>
      <c r="G283" s="181">
        <v>1</v>
      </c>
      <c r="H283" s="279">
        <v>43321</v>
      </c>
      <c r="I283" s="186" t="s">
        <v>989</v>
      </c>
      <c r="J283" s="186">
        <v>0</v>
      </c>
      <c r="K283" s="186" t="s">
        <v>990</v>
      </c>
      <c r="L283" s="256">
        <v>140</v>
      </c>
      <c r="M283" s="256">
        <v>0</v>
      </c>
      <c r="N283" s="256">
        <v>1</v>
      </c>
      <c r="O283" s="256">
        <v>4</v>
      </c>
    </row>
    <row r="284" spans="1:15" s="69" customFormat="1" ht="75">
      <c r="A284" s="256" t="s">
        <v>589</v>
      </c>
      <c r="B284" s="256" t="s">
        <v>45</v>
      </c>
      <c r="C284" s="256" t="s">
        <v>80</v>
      </c>
      <c r="D284" s="220" t="s">
        <v>180</v>
      </c>
      <c r="E284" s="187">
        <v>68</v>
      </c>
      <c r="F284" s="256">
        <v>4.5356884187009401E-2</v>
      </c>
      <c r="G284" s="181">
        <v>1</v>
      </c>
      <c r="H284" s="279">
        <v>43318</v>
      </c>
      <c r="I284" s="186" t="s">
        <v>991</v>
      </c>
      <c r="J284" s="186">
        <v>0</v>
      </c>
      <c r="K284" s="186" t="s">
        <v>992</v>
      </c>
      <c r="L284" s="256">
        <v>114</v>
      </c>
      <c r="M284" s="220">
        <v>0</v>
      </c>
      <c r="N284" s="186">
        <v>1</v>
      </c>
      <c r="O284" s="220">
        <v>2</v>
      </c>
    </row>
    <row r="285" spans="1:15" s="69" customFormat="1" ht="45">
      <c r="A285" s="256" t="s">
        <v>589</v>
      </c>
      <c r="B285" s="256" t="s">
        <v>45</v>
      </c>
      <c r="C285" s="256" t="s">
        <v>80</v>
      </c>
      <c r="D285" s="186" t="s">
        <v>993</v>
      </c>
      <c r="E285" s="187">
        <v>50</v>
      </c>
      <c r="F285" s="256">
        <v>7.1955836729620205E-4</v>
      </c>
      <c r="G285" s="181">
        <v>1</v>
      </c>
      <c r="H285" s="279">
        <v>43311</v>
      </c>
      <c r="I285" s="186" t="s">
        <v>4383</v>
      </c>
      <c r="J285" s="186">
        <v>0</v>
      </c>
      <c r="K285" s="186" t="s">
        <v>995</v>
      </c>
      <c r="L285" s="256">
        <v>35</v>
      </c>
      <c r="M285" s="256">
        <v>0</v>
      </c>
      <c r="N285" s="256">
        <v>1</v>
      </c>
      <c r="O285" s="256">
        <v>2</v>
      </c>
    </row>
    <row r="286" spans="1:15" s="69" customFormat="1" ht="75">
      <c r="A286" s="256" t="s">
        <v>589</v>
      </c>
      <c r="B286" s="256" t="s">
        <v>45</v>
      </c>
      <c r="C286" s="256" t="s">
        <v>80</v>
      </c>
      <c r="D286" s="186" t="s">
        <v>996</v>
      </c>
      <c r="E286" s="187">
        <v>104</v>
      </c>
      <c r="F286" s="256">
        <v>1.5610451300140899E-4</v>
      </c>
      <c r="G286" s="181">
        <v>1</v>
      </c>
      <c r="H286" s="279">
        <v>43282</v>
      </c>
      <c r="I286" s="186" t="s">
        <v>997</v>
      </c>
      <c r="J286" s="186">
        <v>1</v>
      </c>
      <c r="K286" s="186" t="s">
        <v>998</v>
      </c>
      <c r="L286" s="256">
        <v>107</v>
      </c>
      <c r="M286" s="256">
        <v>0</v>
      </c>
      <c r="N286" s="256">
        <v>1</v>
      </c>
      <c r="O286" s="256">
        <v>5</v>
      </c>
    </row>
    <row r="287" spans="1:15" s="69" customFormat="1" ht="90">
      <c r="A287" s="256" t="s">
        <v>589</v>
      </c>
      <c r="B287" s="256" t="s">
        <v>59</v>
      </c>
      <c r="C287" s="256" t="s">
        <v>46</v>
      </c>
      <c r="D287" s="186" t="s">
        <v>999</v>
      </c>
      <c r="E287" s="187">
        <v>111</v>
      </c>
      <c r="F287" s="256">
        <v>2.5982492238840702E-6</v>
      </c>
      <c r="G287" s="181">
        <v>0</v>
      </c>
      <c r="H287" s="279">
        <v>43281</v>
      </c>
      <c r="I287" s="186" t="s">
        <v>1000</v>
      </c>
      <c r="J287" s="186">
        <v>0</v>
      </c>
      <c r="K287" s="186" t="s">
        <v>1001</v>
      </c>
      <c r="L287" s="256">
        <v>118</v>
      </c>
      <c r="M287" s="256">
        <v>1</v>
      </c>
      <c r="N287" s="256">
        <v>1</v>
      </c>
      <c r="O287" s="256">
        <v>3</v>
      </c>
    </row>
    <row r="288" spans="1:15" s="69" customFormat="1" ht="210">
      <c r="A288" s="256" t="s">
        <v>589</v>
      </c>
      <c r="B288" s="256" t="s">
        <v>45</v>
      </c>
      <c r="C288" s="256" t="s">
        <v>46</v>
      </c>
      <c r="D288" s="186" t="s">
        <v>1002</v>
      </c>
      <c r="E288" s="187">
        <v>402</v>
      </c>
      <c r="F288" s="256">
        <v>0.99678824679647304</v>
      </c>
      <c r="G288" s="181">
        <v>0</v>
      </c>
      <c r="H288" s="279">
        <v>43280</v>
      </c>
      <c r="I288" s="186" t="s">
        <v>1003</v>
      </c>
      <c r="J288" s="186">
        <v>1</v>
      </c>
      <c r="K288" s="186" t="s">
        <v>1004</v>
      </c>
      <c r="L288" s="256">
        <v>314</v>
      </c>
      <c r="M288" s="256">
        <v>1</v>
      </c>
      <c r="N288" s="256">
        <v>1</v>
      </c>
      <c r="O288" s="256">
        <v>5</v>
      </c>
    </row>
    <row r="289" spans="1:15" s="69" customFormat="1" ht="75">
      <c r="A289" s="256" t="s">
        <v>589</v>
      </c>
      <c r="B289" s="256" t="s">
        <v>45</v>
      </c>
      <c r="C289" s="256" t="s">
        <v>80</v>
      </c>
      <c r="D289" s="220" t="s">
        <v>1005</v>
      </c>
      <c r="E289" s="187">
        <v>98</v>
      </c>
      <c r="F289" s="256">
        <v>1.9987261038467699E-6</v>
      </c>
      <c r="G289" s="181">
        <v>1</v>
      </c>
      <c r="H289" s="279">
        <v>43271</v>
      </c>
      <c r="I289" s="186" t="s">
        <v>1006</v>
      </c>
      <c r="J289" s="186">
        <v>0</v>
      </c>
      <c r="K289" s="186" t="s">
        <v>1007</v>
      </c>
      <c r="L289" s="256">
        <v>117</v>
      </c>
      <c r="M289" s="220">
        <v>1</v>
      </c>
      <c r="N289" s="186">
        <v>1</v>
      </c>
      <c r="O289" s="220">
        <v>5</v>
      </c>
    </row>
    <row r="290" spans="1:15" s="69" customFormat="1" ht="105">
      <c r="A290" s="256" t="s">
        <v>589</v>
      </c>
      <c r="B290" s="256" t="s">
        <v>45</v>
      </c>
      <c r="C290" s="256" t="s">
        <v>80</v>
      </c>
      <c r="D290" s="186" t="s">
        <v>200</v>
      </c>
      <c r="E290" s="187">
        <v>75</v>
      </c>
      <c r="F290" s="256">
        <v>2.1684567443506198E-3</v>
      </c>
      <c r="G290" s="181">
        <v>1</v>
      </c>
      <c r="H290" s="279">
        <v>43268</v>
      </c>
      <c r="I290" s="220" t="s">
        <v>1008</v>
      </c>
      <c r="J290" s="186">
        <v>0</v>
      </c>
      <c r="K290" s="186" t="s">
        <v>1009</v>
      </c>
      <c r="L290" s="256">
        <v>134</v>
      </c>
      <c r="M290" s="220">
        <v>0</v>
      </c>
      <c r="N290" s="186">
        <v>1</v>
      </c>
      <c r="O290" s="220">
        <v>4</v>
      </c>
    </row>
    <row r="291" spans="1:15" s="69" customFormat="1" ht="60">
      <c r="A291" s="256" t="s">
        <v>589</v>
      </c>
      <c r="B291" s="256" t="s">
        <v>45</v>
      </c>
      <c r="C291" s="256" t="s">
        <v>46</v>
      </c>
      <c r="D291" s="186" t="s">
        <v>1010</v>
      </c>
      <c r="E291" s="187">
        <v>19</v>
      </c>
      <c r="F291" s="256">
        <v>8.6634728516749998E-2</v>
      </c>
      <c r="G291" s="181">
        <v>0</v>
      </c>
      <c r="H291" s="279">
        <v>43267</v>
      </c>
      <c r="I291" s="258" t="s">
        <v>1011</v>
      </c>
      <c r="J291" s="258">
        <v>0</v>
      </c>
      <c r="K291" s="186" t="s">
        <v>1012</v>
      </c>
      <c r="L291" s="256">
        <v>86</v>
      </c>
      <c r="M291" s="256">
        <v>0</v>
      </c>
      <c r="N291" s="256">
        <v>1</v>
      </c>
      <c r="O291" s="256">
        <v>3</v>
      </c>
    </row>
    <row r="292" spans="1:15" s="69" customFormat="1" ht="75">
      <c r="A292" s="256" t="s">
        <v>589</v>
      </c>
      <c r="B292" s="256" t="s">
        <v>45</v>
      </c>
      <c r="C292" s="256" t="s">
        <v>80</v>
      </c>
      <c r="D292" s="258" t="s">
        <v>439</v>
      </c>
      <c r="E292" s="187">
        <v>94</v>
      </c>
      <c r="F292" s="256">
        <v>1.2756406347902399E-6</v>
      </c>
      <c r="G292" s="181">
        <v>1</v>
      </c>
      <c r="H292" s="279">
        <v>43267</v>
      </c>
      <c r="I292" s="186" t="s">
        <v>1013</v>
      </c>
      <c r="J292" s="186">
        <v>0</v>
      </c>
      <c r="K292" s="186" t="s">
        <v>1014</v>
      </c>
      <c r="L292" s="256">
        <v>101</v>
      </c>
      <c r="M292" s="256">
        <v>0</v>
      </c>
      <c r="N292" s="256">
        <v>1</v>
      </c>
      <c r="O292" s="256">
        <v>5</v>
      </c>
    </row>
    <row r="293" spans="1:15" s="69" customFormat="1" ht="105">
      <c r="A293" s="256" t="s">
        <v>589</v>
      </c>
      <c r="B293" s="256" t="s">
        <v>45</v>
      </c>
      <c r="C293" s="256" t="s">
        <v>80</v>
      </c>
      <c r="D293" s="220" t="s">
        <v>932</v>
      </c>
      <c r="E293" s="187">
        <v>49</v>
      </c>
      <c r="F293" s="256">
        <v>1.81444044493176E-2</v>
      </c>
      <c r="G293" s="181">
        <v>1</v>
      </c>
      <c r="H293" s="279">
        <v>43262</v>
      </c>
      <c r="I293" s="186" t="s">
        <v>1015</v>
      </c>
      <c r="J293" s="186">
        <v>0</v>
      </c>
      <c r="K293" s="186" t="s">
        <v>1016</v>
      </c>
      <c r="L293" s="256">
        <v>151</v>
      </c>
      <c r="M293" s="220">
        <v>0</v>
      </c>
      <c r="N293" s="186">
        <v>1</v>
      </c>
      <c r="O293" s="220">
        <v>2</v>
      </c>
    </row>
    <row r="294" spans="1:15" s="69" customFormat="1" ht="75">
      <c r="A294" s="256" t="s">
        <v>589</v>
      </c>
      <c r="B294" s="256" t="s">
        <v>45</v>
      </c>
      <c r="C294" s="256" t="s">
        <v>80</v>
      </c>
      <c r="D294" s="258" t="s">
        <v>159</v>
      </c>
      <c r="E294" s="187">
        <v>125</v>
      </c>
      <c r="F294" s="256">
        <v>2.49069142176484E-4</v>
      </c>
      <c r="G294" s="181">
        <v>1</v>
      </c>
      <c r="H294" s="279">
        <v>43253</v>
      </c>
      <c r="I294" s="186" t="s">
        <v>1017</v>
      </c>
      <c r="J294" s="186">
        <v>0</v>
      </c>
      <c r="K294" s="186" t="s">
        <v>1018</v>
      </c>
      <c r="L294" s="256">
        <v>34</v>
      </c>
      <c r="M294" s="256">
        <v>1</v>
      </c>
      <c r="N294" s="256">
        <v>2</v>
      </c>
      <c r="O294" s="256">
        <v>9</v>
      </c>
    </row>
    <row r="295" spans="1:15" s="69" customFormat="1" ht="90">
      <c r="A295" s="256" t="s">
        <v>589</v>
      </c>
      <c r="B295" s="256" t="s">
        <v>45</v>
      </c>
      <c r="C295" s="256" t="s">
        <v>80</v>
      </c>
      <c r="D295" s="186" t="s">
        <v>1005</v>
      </c>
      <c r="E295" s="187">
        <v>83</v>
      </c>
      <c r="F295" s="256">
        <v>2.6542931324479201E-3</v>
      </c>
      <c r="G295" s="181">
        <v>1</v>
      </c>
      <c r="H295" s="279">
        <v>43250</v>
      </c>
      <c r="I295" s="186" t="s">
        <v>1019</v>
      </c>
      <c r="J295" s="186">
        <v>0</v>
      </c>
      <c r="K295" s="186" t="s">
        <v>1020</v>
      </c>
      <c r="L295" s="256">
        <v>121</v>
      </c>
      <c r="M295" s="256">
        <v>1</v>
      </c>
      <c r="N295" s="256">
        <v>2</v>
      </c>
      <c r="O295" s="256">
        <v>16</v>
      </c>
    </row>
    <row r="296" spans="1:15" s="69" customFormat="1" ht="45">
      <c r="A296" s="256" t="s">
        <v>589</v>
      </c>
      <c r="B296" s="256" t="s">
        <v>45</v>
      </c>
      <c r="C296" s="256" t="s">
        <v>80</v>
      </c>
      <c r="D296" s="258" t="s">
        <v>439</v>
      </c>
      <c r="E296" s="187">
        <v>36</v>
      </c>
      <c r="F296" s="256">
        <v>4.6454863299278896E-3</v>
      </c>
      <c r="G296" s="181">
        <v>1</v>
      </c>
      <c r="H296" s="279">
        <v>43246</v>
      </c>
      <c r="I296" s="186" t="s">
        <v>1021</v>
      </c>
      <c r="J296" s="186">
        <v>0</v>
      </c>
      <c r="K296" s="186" t="s">
        <v>1022</v>
      </c>
      <c r="L296" s="256">
        <v>65</v>
      </c>
      <c r="M296" s="256">
        <v>0</v>
      </c>
      <c r="N296" s="256">
        <v>1</v>
      </c>
      <c r="O296" s="256">
        <v>4</v>
      </c>
    </row>
    <row r="297" spans="1:15" s="69" customFormat="1" ht="90">
      <c r="A297" s="256" t="s">
        <v>589</v>
      </c>
      <c r="B297" s="256" t="s">
        <v>45</v>
      </c>
      <c r="C297" s="256" t="s">
        <v>46</v>
      </c>
      <c r="D297" s="220" t="s">
        <v>4384</v>
      </c>
      <c r="E297" s="187">
        <v>145</v>
      </c>
      <c r="F297" s="256">
        <v>1.0969278939191301E-3</v>
      </c>
      <c r="G297" s="181">
        <v>0</v>
      </c>
      <c r="H297" s="279">
        <v>43234</v>
      </c>
      <c r="I297" s="220" t="s">
        <v>4385</v>
      </c>
      <c r="J297" s="186">
        <v>0</v>
      </c>
      <c r="K297" s="186" t="s">
        <v>1025</v>
      </c>
      <c r="L297" s="256">
        <v>121</v>
      </c>
      <c r="M297" s="220">
        <v>0</v>
      </c>
      <c r="N297" s="186">
        <v>1</v>
      </c>
      <c r="O297" s="220">
        <v>2</v>
      </c>
    </row>
    <row r="298" spans="1:15" s="69" customFormat="1" ht="90">
      <c r="A298" s="256" t="s">
        <v>589</v>
      </c>
      <c r="B298" s="256" t="s">
        <v>45</v>
      </c>
      <c r="C298" s="256" t="s">
        <v>80</v>
      </c>
      <c r="D298" s="186" t="s">
        <v>1026</v>
      </c>
      <c r="E298" s="187">
        <v>50</v>
      </c>
      <c r="F298" s="256">
        <v>0.20466077923078599</v>
      </c>
      <c r="G298" s="181">
        <v>1</v>
      </c>
      <c r="H298" s="279">
        <v>43231</v>
      </c>
      <c r="I298" s="186" t="s">
        <v>1027</v>
      </c>
      <c r="J298" s="186">
        <v>0</v>
      </c>
      <c r="K298" s="186" t="s">
        <v>1028</v>
      </c>
      <c r="L298" s="256">
        <v>141</v>
      </c>
      <c r="M298" s="256">
        <v>0</v>
      </c>
      <c r="N298" s="256">
        <v>1</v>
      </c>
      <c r="O298" s="256">
        <v>4</v>
      </c>
    </row>
    <row r="299" spans="1:15" s="69" customFormat="1" ht="90">
      <c r="A299" s="256" t="s">
        <v>589</v>
      </c>
      <c r="B299" s="256" t="s">
        <v>45</v>
      </c>
      <c r="C299" s="256" t="s">
        <v>80</v>
      </c>
      <c r="D299" s="220" t="s">
        <v>159</v>
      </c>
      <c r="E299" s="187">
        <v>62</v>
      </c>
      <c r="F299" s="256">
        <v>0.165937263207764</v>
      </c>
      <c r="G299" s="181">
        <v>1</v>
      </c>
      <c r="H299" s="289">
        <v>43231</v>
      </c>
      <c r="I299" s="220" t="s">
        <v>1029</v>
      </c>
      <c r="J299" s="186">
        <v>0</v>
      </c>
      <c r="K299" s="181" t="s">
        <v>1030</v>
      </c>
      <c r="L299" s="256">
        <v>121</v>
      </c>
      <c r="M299" s="256">
        <v>0</v>
      </c>
      <c r="N299" s="256">
        <v>1</v>
      </c>
      <c r="O299" s="256">
        <v>4</v>
      </c>
    </row>
    <row r="300" spans="1:15" s="69" customFormat="1" ht="90">
      <c r="A300" s="256" t="s">
        <v>589</v>
      </c>
      <c r="B300" s="256" t="s">
        <v>45</v>
      </c>
      <c r="C300" s="256" t="s">
        <v>46</v>
      </c>
      <c r="D300" s="186" t="s">
        <v>1031</v>
      </c>
      <c r="E300" s="187">
        <v>85</v>
      </c>
      <c r="F300" s="256">
        <v>1.663784670071E-3</v>
      </c>
      <c r="G300" s="181">
        <v>1</v>
      </c>
      <c r="H300" s="279">
        <v>43223</v>
      </c>
      <c r="I300" s="186" t="s">
        <v>1032</v>
      </c>
      <c r="J300" s="186">
        <v>0</v>
      </c>
      <c r="K300" s="186" t="s">
        <v>1033</v>
      </c>
      <c r="L300" s="256">
        <v>120</v>
      </c>
      <c r="M300" s="220">
        <v>0</v>
      </c>
      <c r="N300" s="186">
        <v>1</v>
      </c>
      <c r="O300" s="220">
        <v>13</v>
      </c>
    </row>
    <row r="301" spans="1:15" s="69" customFormat="1" ht="90">
      <c r="A301" s="256" t="s">
        <v>589</v>
      </c>
      <c r="B301" s="256" t="s">
        <v>45</v>
      </c>
      <c r="C301" s="256" t="s">
        <v>80</v>
      </c>
      <c r="D301" s="220" t="s">
        <v>1034</v>
      </c>
      <c r="E301" s="187">
        <v>37</v>
      </c>
      <c r="F301" s="256">
        <v>0.20858409722233401</v>
      </c>
      <c r="G301" s="181">
        <v>1</v>
      </c>
      <c r="H301" s="279">
        <v>43216</v>
      </c>
      <c r="I301" s="186" t="s">
        <v>1035</v>
      </c>
      <c r="J301" s="186">
        <v>0</v>
      </c>
      <c r="K301" s="186" t="s">
        <v>1036</v>
      </c>
      <c r="L301" s="256">
        <v>139</v>
      </c>
      <c r="M301" s="220">
        <v>0</v>
      </c>
      <c r="N301" s="186">
        <v>1</v>
      </c>
      <c r="O301" s="220">
        <v>4</v>
      </c>
    </row>
    <row r="302" spans="1:15" s="69" customFormat="1" ht="75">
      <c r="A302" s="256" t="s">
        <v>589</v>
      </c>
      <c r="B302" s="256" t="s">
        <v>45</v>
      </c>
      <c r="C302" s="256" t="s">
        <v>80</v>
      </c>
      <c r="D302" s="258" t="s">
        <v>180</v>
      </c>
      <c r="E302" s="187">
        <v>57</v>
      </c>
      <c r="F302" s="256">
        <v>0.21276865349787999</v>
      </c>
      <c r="G302" s="181">
        <v>1</v>
      </c>
      <c r="H302" s="279">
        <v>43213</v>
      </c>
      <c r="I302" s="220" t="s">
        <v>1037</v>
      </c>
      <c r="J302" s="186">
        <v>0</v>
      </c>
      <c r="K302" s="186" t="s">
        <v>1038</v>
      </c>
      <c r="L302" s="256">
        <v>99</v>
      </c>
      <c r="M302" s="220">
        <v>0</v>
      </c>
      <c r="N302" s="186">
        <v>1</v>
      </c>
      <c r="O302" s="220">
        <v>3</v>
      </c>
    </row>
    <row r="303" spans="1:15" s="69" customFormat="1" ht="135">
      <c r="A303" s="256" t="s">
        <v>589</v>
      </c>
      <c r="B303" s="256" t="s">
        <v>45</v>
      </c>
      <c r="C303" s="256" t="s">
        <v>80</v>
      </c>
      <c r="D303" s="258" t="s">
        <v>180</v>
      </c>
      <c r="E303" s="187">
        <v>50</v>
      </c>
      <c r="F303" s="256">
        <v>0.18056544784233799</v>
      </c>
      <c r="G303" s="181">
        <v>1</v>
      </c>
      <c r="H303" s="279">
        <v>43213</v>
      </c>
      <c r="I303" s="186" t="s">
        <v>1039</v>
      </c>
      <c r="J303" s="186">
        <v>0</v>
      </c>
      <c r="K303" s="186" t="s">
        <v>1040</v>
      </c>
      <c r="L303" s="256">
        <v>198</v>
      </c>
      <c r="M303" s="256">
        <v>0</v>
      </c>
      <c r="N303" s="256">
        <v>1</v>
      </c>
      <c r="O303" s="256">
        <v>3</v>
      </c>
    </row>
    <row r="304" spans="1:15" s="69" customFormat="1" ht="105">
      <c r="A304" s="256" t="s">
        <v>589</v>
      </c>
      <c r="B304" s="256" t="s">
        <v>45</v>
      </c>
      <c r="C304" s="256" t="s">
        <v>80</v>
      </c>
      <c r="D304" s="186" t="s">
        <v>1041</v>
      </c>
      <c r="E304" s="187">
        <v>78</v>
      </c>
      <c r="F304" s="256">
        <v>1.8922323202600198E-2</v>
      </c>
      <c r="G304" s="181">
        <v>1</v>
      </c>
      <c r="H304" s="279">
        <v>43193</v>
      </c>
      <c r="I304" s="186" t="s">
        <v>1042</v>
      </c>
      <c r="J304" s="186">
        <v>0</v>
      </c>
      <c r="K304" s="186" t="s">
        <v>1043</v>
      </c>
      <c r="L304" s="256">
        <v>151</v>
      </c>
      <c r="M304" s="256">
        <v>0</v>
      </c>
      <c r="N304" s="256">
        <v>1</v>
      </c>
      <c r="O304" s="256">
        <v>1</v>
      </c>
    </row>
    <row r="305" spans="1:15" s="69" customFormat="1" ht="105">
      <c r="A305" s="256" t="s">
        <v>589</v>
      </c>
      <c r="B305" s="256" t="s">
        <v>45</v>
      </c>
      <c r="C305" s="256" t="s">
        <v>46</v>
      </c>
      <c r="D305" s="186" t="s">
        <v>1044</v>
      </c>
      <c r="E305" s="187">
        <v>55</v>
      </c>
      <c r="F305" s="256">
        <v>1.20241028663983E-2</v>
      </c>
      <c r="G305" s="181">
        <v>1</v>
      </c>
      <c r="H305" s="279">
        <v>43193</v>
      </c>
      <c r="I305" s="186" t="s">
        <v>1045</v>
      </c>
      <c r="J305" s="186">
        <v>0</v>
      </c>
      <c r="K305" s="186" t="s">
        <v>1046</v>
      </c>
      <c r="L305" s="256">
        <v>154</v>
      </c>
      <c r="M305" s="256">
        <v>0</v>
      </c>
      <c r="N305" s="256">
        <v>1</v>
      </c>
      <c r="O305" s="256">
        <v>1</v>
      </c>
    </row>
    <row r="306" spans="1:15" s="69" customFormat="1" ht="90">
      <c r="A306" s="256" t="s">
        <v>589</v>
      </c>
      <c r="B306" s="256" t="s">
        <v>45</v>
      </c>
      <c r="C306" s="256" t="s">
        <v>80</v>
      </c>
      <c r="D306" s="258" t="s">
        <v>1047</v>
      </c>
      <c r="E306" s="187">
        <v>60</v>
      </c>
      <c r="F306" s="256">
        <v>0.15013439583788299</v>
      </c>
      <c r="G306" s="181">
        <v>1</v>
      </c>
      <c r="H306" s="279">
        <v>43190</v>
      </c>
      <c r="I306" s="186" t="s">
        <v>1048</v>
      </c>
      <c r="J306" s="186">
        <v>0</v>
      </c>
      <c r="K306" s="186" t="s">
        <v>1049</v>
      </c>
      <c r="L306" s="256">
        <v>121</v>
      </c>
      <c r="M306" s="256">
        <v>1</v>
      </c>
      <c r="N306" s="256">
        <v>1</v>
      </c>
      <c r="O306" s="256">
        <v>8</v>
      </c>
    </row>
    <row r="307" spans="1:15" s="69" customFormat="1" ht="120">
      <c r="A307" s="256" t="s">
        <v>589</v>
      </c>
      <c r="B307" s="256" t="s">
        <v>45</v>
      </c>
      <c r="C307" s="256" t="s">
        <v>80</v>
      </c>
      <c r="D307" s="258" t="s">
        <v>159</v>
      </c>
      <c r="E307" s="187">
        <v>51</v>
      </c>
      <c r="F307" s="256">
        <v>0.40259300577737001</v>
      </c>
      <c r="G307" s="181">
        <v>1</v>
      </c>
      <c r="H307" s="279">
        <v>43184</v>
      </c>
      <c r="I307" s="186" t="s">
        <v>1050</v>
      </c>
      <c r="J307" s="186">
        <v>0</v>
      </c>
      <c r="K307" s="186" t="s">
        <v>1051</v>
      </c>
      <c r="L307" s="256">
        <v>168</v>
      </c>
      <c r="M307" s="256">
        <v>0</v>
      </c>
      <c r="N307" s="256">
        <v>2</v>
      </c>
      <c r="O307" s="256">
        <v>4</v>
      </c>
    </row>
    <row r="308" spans="1:15" s="69" customFormat="1" ht="90">
      <c r="A308" s="256" t="s">
        <v>589</v>
      </c>
      <c r="B308" s="256" t="s">
        <v>119</v>
      </c>
      <c r="C308" s="256" t="s">
        <v>46</v>
      </c>
      <c r="D308" s="186" t="s">
        <v>1052</v>
      </c>
      <c r="E308" s="187">
        <v>160</v>
      </c>
      <c r="F308" s="256">
        <v>0.991663104700513</v>
      </c>
      <c r="G308" s="181">
        <v>0</v>
      </c>
      <c r="H308" s="279">
        <v>43178</v>
      </c>
      <c r="I308" s="186" t="s">
        <v>1053</v>
      </c>
      <c r="J308" s="186">
        <v>1</v>
      </c>
      <c r="K308" s="186" t="s">
        <v>1054</v>
      </c>
      <c r="L308" s="256">
        <v>41</v>
      </c>
      <c r="M308" s="256">
        <v>1</v>
      </c>
      <c r="N308" s="256">
        <v>2</v>
      </c>
      <c r="O308" s="256">
        <v>10</v>
      </c>
    </row>
    <row r="309" spans="1:15" s="69" customFormat="1" ht="90">
      <c r="A309" s="256" t="s">
        <v>589</v>
      </c>
      <c r="B309" s="256" t="s">
        <v>45</v>
      </c>
      <c r="C309" s="256" t="s">
        <v>80</v>
      </c>
      <c r="D309" s="258" t="s">
        <v>159</v>
      </c>
      <c r="E309" s="187">
        <v>42</v>
      </c>
      <c r="F309" s="256">
        <v>2.87498975282959E-2</v>
      </c>
      <c r="G309" s="181">
        <v>1</v>
      </c>
      <c r="H309" s="279">
        <v>43079</v>
      </c>
      <c r="I309" s="186" t="s">
        <v>1055</v>
      </c>
      <c r="J309" s="186">
        <v>0</v>
      </c>
      <c r="K309" s="186" t="s">
        <v>1056</v>
      </c>
      <c r="L309" s="256">
        <v>124</v>
      </c>
      <c r="M309" s="256">
        <v>0</v>
      </c>
      <c r="N309" s="256">
        <v>1</v>
      </c>
      <c r="O309" s="256">
        <v>10</v>
      </c>
    </row>
    <row r="310" spans="1:15" s="69" customFormat="1" ht="90">
      <c r="A310" s="256" t="s">
        <v>589</v>
      </c>
      <c r="B310" s="256" t="s">
        <v>45</v>
      </c>
      <c r="C310" s="256" t="s">
        <v>80</v>
      </c>
      <c r="D310" s="186" t="s">
        <v>359</v>
      </c>
      <c r="E310" s="187">
        <v>95</v>
      </c>
      <c r="F310" s="256">
        <v>1.9805470220584799E-2</v>
      </c>
      <c r="G310" s="181">
        <v>1</v>
      </c>
      <c r="H310" s="279">
        <v>43076</v>
      </c>
      <c r="I310" s="186" t="s">
        <v>1057</v>
      </c>
      <c r="J310" s="186">
        <v>0</v>
      </c>
      <c r="K310" s="186" t="s">
        <v>1058</v>
      </c>
      <c r="L310" s="256">
        <v>125</v>
      </c>
      <c r="M310" s="256">
        <v>0</v>
      </c>
      <c r="N310" s="256">
        <v>1</v>
      </c>
      <c r="O310" s="256">
        <v>5</v>
      </c>
    </row>
    <row r="311" spans="1:15" s="69" customFormat="1" ht="45">
      <c r="A311" s="256" t="s">
        <v>589</v>
      </c>
      <c r="B311" s="256" t="s">
        <v>45</v>
      </c>
      <c r="C311" s="256" t="s">
        <v>80</v>
      </c>
      <c r="D311" s="186" t="s">
        <v>1059</v>
      </c>
      <c r="E311" s="187">
        <v>54</v>
      </c>
      <c r="F311" s="256">
        <v>4.0693880246235201E-2</v>
      </c>
      <c r="G311" s="181">
        <v>1</v>
      </c>
      <c r="H311" s="279">
        <v>43070</v>
      </c>
      <c r="I311" s="186" t="s">
        <v>1060</v>
      </c>
      <c r="J311" s="186">
        <v>0</v>
      </c>
      <c r="K311" s="186" t="s">
        <v>1061</v>
      </c>
      <c r="L311" s="256">
        <v>55</v>
      </c>
      <c r="M311" s="256">
        <v>0</v>
      </c>
      <c r="N311" s="256">
        <v>1</v>
      </c>
      <c r="O311" s="256">
        <v>4</v>
      </c>
    </row>
    <row r="312" spans="1:15" s="69" customFormat="1" ht="75">
      <c r="A312" s="256" t="s">
        <v>589</v>
      </c>
      <c r="B312" s="256" t="s">
        <v>45</v>
      </c>
      <c r="C312" s="256" t="s">
        <v>46</v>
      </c>
      <c r="D312" s="186" t="s">
        <v>1062</v>
      </c>
      <c r="E312" s="187">
        <v>140</v>
      </c>
      <c r="F312" s="256">
        <v>4.0732446872015999E-4</v>
      </c>
      <c r="G312" s="181">
        <v>1</v>
      </c>
      <c r="H312" s="279">
        <v>43062</v>
      </c>
      <c r="I312" s="186" t="s">
        <v>1063</v>
      </c>
      <c r="J312" s="186">
        <v>1</v>
      </c>
      <c r="K312" s="145" t="s">
        <v>889</v>
      </c>
      <c r="L312" s="256">
        <v>107</v>
      </c>
      <c r="M312" s="256">
        <v>0</v>
      </c>
      <c r="N312" s="256">
        <v>1</v>
      </c>
      <c r="O312" s="256">
        <v>12</v>
      </c>
    </row>
    <row r="313" spans="1:15" s="69" customFormat="1" ht="105">
      <c r="A313" s="256" t="s">
        <v>589</v>
      </c>
      <c r="B313" s="256" t="s">
        <v>45</v>
      </c>
      <c r="C313" s="256" t="s">
        <v>80</v>
      </c>
      <c r="D313" s="186" t="s">
        <v>1064</v>
      </c>
      <c r="E313" s="187">
        <v>155</v>
      </c>
      <c r="F313" s="256">
        <v>4.5784236171790803E-3</v>
      </c>
      <c r="G313" s="181">
        <v>1</v>
      </c>
      <c r="H313" s="279">
        <v>43061</v>
      </c>
      <c r="I313" s="186" t="s">
        <v>1065</v>
      </c>
      <c r="J313" s="186">
        <v>1</v>
      </c>
      <c r="K313" s="300" t="s">
        <v>1066</v>
      </c>
      <c r="L313" s="256">
        <v>140</v>
      </c>
      <c r="M313" s="256">
        <v>1</v>
      </c>
      <c r="N313" s="256">
        <v>2</v>
      </c>
      <c r="O313" s="256">
        <v>5</v>
      </c>
    </row>
    <row r="314" spans="1:15" s="69" customFormat="1" ht="45">
      <c r="A314" s="256" t="s">
        <v>589</v>
      </c>
      <c r="B314" s="256" t="s">
        <v>45</v>
      </c>
      <c r="C314" s="256" t="s">
        <v>80</v>
      </c>
      <c r="D314" s="258" t="s">
        <v>1067</v>
      </c>
      <c r="E314" s="187">
        <v>50</v>
      </c>
      <c r="F314" s="256">
        <v>0.137363253035369</v>
      </c>
      <c r="G314" s="181">
        <v>1</v>
      </c>
      <c r="H314" s="279">
        <v>43055</v>
      </c>
      <c r="I314" s="186" t="s">
        <v>1068</v>
      </c>
      <c r="J314" s="186">
        <v>0</v>
      </c>
      <c r="K314" s="186" t="s">
        <v>1069</v>
      </c>
      <c r="L314" s="256">
        <v>53</v>
      </c>
      <c r="M314" s="256">
        <v>0</v>
      </c>
      <c r="N314" s="256">
        <v>1</v>
      </c>
      <c r="O314" s="256">
        <v>1</v>
      </c>
    </row>
    <row r="315" spans="1:15" s="69" customFormat="1" ht="60">
      <c r="A315" s="256" t="s">
        <v>589</v>
      </c>
      <c r="B315" s="256" t="s">
        <v>59</v>
      </c>
      <c r="C315" s="256" t="s">
        <v>46</v>
      </c>
      <c r="D315" s="186" t="s">
        <v>1070</v>
      </c>
      <c r="E315" s="187">
        <v>91</v>
      </c>
      <c r="F315" s="256">
        <v>0.94018257676009098</v>
      </c>
      <c r="G315" s="181">
        <v>1</v>
      </c>
      <c r="H315" s="279">
        <v>43031</v>
      </c>
      <c r="I315" s="186" t="s">
        <v>1071</v>
      </c>
      <c r="J315" s="186">
        <v>1</v>
      </c>
      <c r="K315" s="186" t="s">
        <v>1072</v>
      </c>
      <c r="L315" s="256">
        <v>28</v>
      </c>
      <c r="M315" s="256">
        <v>1</v>
      </c>
      <c r="N315" s="256">
        <v>2</v>
      </c>
      <c r="O315" s="256">
        <v>3</v>
      </c>
    </row>
    <row r="316" spans="1:15" s="69" customFormat="1" ht="90">
      <c r="A316" s="256" t="s">
        <v>589</v>
      </c>
      <c r="B316" s="256" t="s">
        <v>59</v>
      </c>
      <c r="C316" s="256" t="s">
        <v>46</v>
      </c>
      <c r="D316" s="258" t="s">
        <v>1073</v>
      </c>
      <c r="E316" s="187">
        <v>87</v>
      </c>
      <c r="F316" s="256">
        <v>0.99914697104706096</v>
      </c>
      <c r="G316" s="181">
        <v>0</v>
      </c>
      <c r="H316" s="279">
        <v>43028</v>
      </c>
      <c r="I316" s="186" t="s">
        <v>1074</v>
      </c>
      <c r="J316" s="186">
        <v>1</v>
      </c>
      <c r="K316" s="186" t="s">
        <v>1075</v>
      </c>
      <c r="L316" s="256">
        <v>114</v>
      </c>
      <c r="M316" s="256">
        <v>2</v>
      </c>
      <c r="N316" s="256">
        <v>1</v>
      </c>
      <c r="O316" s="256">
        <v>4</v>
      </c>
    </row>
    <row r="317" spans="1:15" s="69" customFormat="1" ht="120">
      <c r="A317" s="256" t="s">
        <v>589</v>
      </c>
      <c r="B317" s="256" t="s">
        <v>45</v>
      </c>
      <c r="C317" s="256" t="s">
        <v>46</v>
      </c>
      <c r="D317" s="186" t="s">
        <v>1076</v>
      </c>
      <c r="E317" s="187">
        <v>205</v>
      </c>
      <c r="F317" s="256">
        <v>7.6033397364522201E-3</v>
      </c>
      <c r="G317" s="181">
        <v>1</v>
      </c>
      <c r="H317" s="279">
        <v>43018</v>
      </c>
      <c r="I317" s="186" t="s">
        <v>1077</v>
      </c>
      <c r="J317" s="186">
        <v>1</v>
      </c>
      <c r="K317" s="186" t="s">
        <v>1078</v>
      </c>
      <c r="L317" s="256">
        <v>150</v>
      </c>
      <c r="M317" s="256">
        <v>1</v>
      </c>
      <c r="N317" s="256">
        <v>2</v>
      </c>
      <c r="O317" s="256">
        <v>3</v>
      </c>
    </row>
    <row r="318" spans="1:15" s="69" customFormat="1" ht="45">
      <c r="A318" s="256" t="s">
        <v>589</v>
      </c>
      <c r="B318" s="256" t="s">
        <v>45</v>
      </c>
      <c r="C318" s="256" t="s">
        <v>80</v>
      </c>
      <c r="D318" s="220" t="s">
        <v>1079</v>
      </c>
      <c r="E318" s="187">
        <v>56</v>
      </c>
      <c r="F318" s="256">
        <v>0.91739879979800798</v>
      </c>
      <c r="G318" s="181">
        <v>1</v>
      </c>
      <c r="H318" s="279">
        <v>43000</v>
      </c>
      <c r="I318" s="186" t="s">
        <v>1080</v>
      </c>
      <c r="J318" s="186">
        <v>0</v>
      </c>
      <c r="K318" s="186" t="s">
        <v>1081</v>
      </c>
      <c r="L318" s="256">
        <v>39</v>
      </c>
      <c r="M318" s="220">
        <v>0</v>
      </c>
      <c r="N318" s="186">
        <v>1</v>
      </c>
      <c r="O318" s="220">
        <v>17</v>
      </c>
    </row>
    <row r="319" spans="1:15" s="69" customFormat="1" ht="45">
      <c r="A319" s="256" t="s">
        <v>589</v>
      </c>
      <c r="B319" s="256" t="s">
        <v>45</v>
      </c>
      <c r="C319" s="256" t="s">
        <v>519</v>
      </c>
      <c r="D319" s="186" t="s">
        <v>520</v>
      </c>
      <c r="E319" s="187">
        <v>50</v>
      </c>
      <c r="F319" s="256">
        <v>0.99001739261066701</v>
      </c>
      <c r="G319" s="181">
        <v>1</v>
      </c>
      <c r="H319" s="279">
        <v>42998</v>
      </c>
      <c r="I319" s="186" t="s">
        <v>1082</v>
      </c>
      <c r="J319" s="186">
        <v>1</v>
      </c>
      <c r="K319" s="186" t="s">
        <v>1083</v>
      </c>
      <c r="L319" s="256">
        <v>55</v>
      </c>
      <c r="M319" s="256">
        <v>0</v>
      </c>
      <c r="N319" s="256">
        <v>2</v>
      </c>
      <c r="O319" s="256">
        <v>2</v>
      </c>
    </row>
    <row r="320" spans="1:15" s="69" customFormat="1" ht="90">
      <c r="A320" s="256" t="s">
        <v>589</v>
      </c>
      <c r="B320" s="256" t="s">
        <v>45</v>
      </c>
      <c r="C320" s="256" t="s">
        <v>80</v>
      </c>
      <c r="D320" s="186" t="s">
        <v>1084</v>
      </c>
      <c r="E320" s="187">
        <v>161</v>
      </c>
      <c r="F320" s="256">
        <v>6.5352923054580198E-3</v>
      </c>
      <c r="G320" s="181">
        <v>1</v>
      </c>
      <c r="H320" s="279">
        <v>42997</v>
      </c>
      <c r="I320" s="220" t="s">
        <v>1085</v>
      </c>
      <c r="J320" s="186">
        <v>0</v>
      </c>
      <c r="K320" s="186" t="s">
        <v>1086</v>
      </c>
      <c r="L320" s="256">
        <v>120</v>
      </c>
      <c r="M320" s="220">
        <v>1</v>
      </c>
      <c r="N320" s="186">
        <v>2</v>
      </c>
      <c r="O320" s="220">
        <v>21</v>
      </c>
    </row>
    <row r="321" spans="1:15" s="69" customFormat="1" ht="60">
      <c r="A321" s="256" t="s">
        <v>589</v>
      </c>
      <c r="B321" s="256" t="s">
        <v>45</v>
      </c>
      <c r="C321" s="256" t="s">
        <v>80</v>
      </c>
      <c r="D321" s="186" t="s">
        <v>1087</v>
      </c>
      <c r="E321" s="187">
        <v>116</v>
      </c>
      <c r="F321" s="256">
        <v>2.2754249789591602E-5</v>
      </c>
      <c r="G321" s="181">
        <v>1</v>
      </c>
      <c r="H321" s="279">
        <v>42984</v>
      </c>
      <c r="I321" s="186" t="s">
        <v>1088</v>
      </c>
      <c r="J321" s="186">
        <v>0</v>
      </c>
      <c r="K321" s="186" t="s">
        <v>1089</v>
      </c>
      <c r="L321" s="256">
        <v>39</v>
      </c>
      <c r="M321" s="256">
        <v>0</v>
      </c>
      <c r="N321" s="256">
        <v>1</v>
      </c>
      <c r="O321" s="256">
        <v>12</v>
      </c>
    </row>
    <row r="322" spans="1:15" s="69" customFormat="1" ht="45">
      <c r="A322" s="256" t="s">
        <v>589</v>
      </c>
      <c r="B322" s="256" t="s">
        <v>45</v>
      </c>
      <c r="C322" s="256" t="s">
        <v>80</v>
      </c>
      <c r="D322" s="186" t="s">
        <v>1087</v>
      </c>
      <c r="E322" s="187">
        <v>38</v>
      </c>
      <c r="F322" s="256">
        <v>0.16569012307394401</v>
      </c>
      <c r="G322" s="181">
        <v>1</v>
      </c>
      <c r="H322" s="279">
        <v>42981</v>
      </c>
      <c r="I322" s="186" t="s">
        <v>1090</v>
      </c>
      <c r="J322" s="186">
        <v>0</v>
      </c>
      <c r="K322" s="186" t="s">
        <v>1091</v>
      </c>
      <c r="L322" s="256">
        <v>60</v>
      </c>
      <c r="M322" s="256">
        <v>0</v>
      </c>
      <c r="N322" s="256">
        <v>1</v>
      </c>
      <c r="O322" s="256">
        <v>1</v>
      </c>
    </row>
    <row r="323" spans="1:15" s="69" customFormat="1" ht="105">
      <c r="A323" s="256" t="s">
        <v>589</v>
      </c>
      <c r="B323" s="256" t="s">
        <v>45</v>
      </c>
      <c r="C323" s="256" t="s">
        <v>46</v>
      </c>
      <c r="D323" s="186" t="s">
        <v>1092</v>
      </c>
      <c r="E323" s="187">
        <v>203</v>
      </c>
      <c r="F323" s="256">
        <v>4.0389691591258302E-11</v>
      </c>
      <c r="G323" s="181">
        <v>1</v>
      </c>
      <c r="H323" s="279">
        <v>42969</v>
      </c>
      <c r="I323" s="186" t="s">
        <v>1093</v>
      </c>
      <c r="J323" s="186">
        <v>0</v>
      </c>
      <c r="K323" s="186" t="s">
        <v>1094</v>
      </c>
      <c r="L323" s="256">
        <v>57</v>
      </c>
      <c r="M323" s="256">
        <v>0</v>
      </c>
      <c r="N323" s="256">
        <v>1</v>
      </c>
      <c r="O323" s="256">
        <v>0</v>
      </c>
    </row>
    <row r="324" spans="1:15" s="69" customFormat="1" ht="90">
      <c r="A324" s="256" t="s">
        <v>589</v>
      </c>
      <c r="B324" s="256" t="s">
        <v>59</v>
      </c>
      <c r="C324" s="256" t="s">
        <v>46</v>
      </c>
      <c r="D324" s="186" t="s">
        <v>1095</v>
      </c>
      <c r="E324" s="187">
        <v>174</v>
      </c>
      <c r="F324" s="256">
        <v>0.81378422084345003</v>
      </c>
      <c r="G324" s="181">
        <v>1</v>
      </c>
      <c r="H324" s="279">
        <v>42968</v>
      </c>
      <c r="I324" s="186" t="s">
        <v>1096</v>
      </c>
      <c r="J324" s="186">
        <v>0</v>
      </c>
      <c r="K324" s="186" t="s">
        <v>1097</v>
      </c>
      <c r="L324" s="256">
        <v>65</v>
      </c>
      <c r="M324" s="256">
        <v>0</v>
      </c>
      <c r="N324" s="256">
        <v>1</v>
      </c>
      <c r="O324" s="256">
        <v>1</v>
      </c>
    </row>
    <row r="325" spans="1:15" s="69" customFormat="1" ht="75">
      <c r="A325" s="256" t="s">
        <v>589</v>
      </c>
      <c r="B325" s="256" t="s">
        <v>59</v>
      </c>
      <c r="C325" s="256" t="s">
        <v>46</v>
      </c>
      <c r="D325" s="186" t="s">
        <v>1098</v>
      </c>
      <c r="E325" s="187">
        <v>92</v>
      </c>
      <c r="F325" s="256">
        <v>0.99238078864055002</v>
      </c>
      <c r="G325" s="181">
        <v>1</v>
      </c>
      <c r="H325" s="279">
        <v>42949</v>
      </c>
      <c r="I325" s="186" t="s">
        <v>1099</v>
      </c>
      <c r="J325" s="186">
        <v>0</v>
      </c>
      <c r="K325" s="186" t="s">
        <v>1100</v>
      </c>
      <c r="L325" s="256">
        <v>95</v>
      </c>
      <c r="M325" s="256">
        <v>0</v>
      </c>
      <c r="N325" s="256">
        <v>1</v>
      </c>
      <c r="O325" s="256">
        <v>1</v>
      </c>
    </row>
    <row r="326" spans="1:15" s="69" customFormat="1" ht="90">
      <c r="A326" s="256" t="s">
        <v>589</v>
      </c>
      <c r="B326" s="256" t="s">
        <v>45</v>
      </c>
      <c r="C326" s="256" t="s">
        <v>46</v>
      </c>
      <c r="D326" s="258" t="s">
        <v>589</v>
      </c>
      <c r="E326" s="187">
        <v>59</v>
      </c>
      <c r="F326" s="256">
        <v>0.99101086905304203</v>
      </c>
      <c r="G326" s="181">
        <v>1</v>
      </c>
      <c r="H326" s="279">
        <v>42921</v>
      </c>
      <c r="I326" s="186" t="s">
        <v>1101</v>
      </c>
      <c r="J326" s="186">
        <v>0</v>
      </c>
      <c r="K326" s="186" t="s">
        <v>1102</v>
      </c>
      <c r="L326" s="256">
        <v>126</v>
      </c>
      <c r="M326" s="256">
        <v>0</v>
      </c>
      <c r="N326" s="256">
        <v>1</v>
      </c>
      <c r="O326" s="256">
        <v>1</v>
      </c>
    </row>
    <row r="327" spans="1:15" s="69" customFormat="1" ht="105">
      <c r="A327" s="256" t="s">
        <v>589</v>
      </c>
      <c r="B327" s="256" t="s">
        <v>45</v>
      </c>
      <c r="C327" s="256" t="s">
        <v>46</v>
      </c>
      <c r="D327" s="186" t="s">
        <v>1103</v>
      </c>
      <c r="E327" s="187">
        <v>205</v>
      </c>
      <c r="F327" s="256">
        <v>1.19023763445192E-6</v>
      </c>
      <c r="G327" s="181">
        <v>1</v>
      </c>
      <c r="H327" s="279">
        <v>42913</v>
      </c>
      <c r="I327" s="186" t="s">
        <v>1104</v>
      </c>
      <c r="J327" s="186">
        <v>0</v>
      </c>
      <c r="K327" s="186" t="s">
        <v>1105</v>
      </c>
      <c r="L327" s="256">
        <v>47</v>
      </c>
      <c r="M327" s="256">
        <v>0</v>
      </c>
      <c r="N327" s="256">
        <v>1</v>
      </c>
      <c r="O327" s="256">
        <v>7</v>
      </c>
    </row>
    <row r="328" spans="1:15" s="69" customFormat="1" ht="75">
      <c r="A328" s="256" t="s">
        <v>589</v>
      </c>
      <c r="B328" s="256" t="s">
        <v>45</v>
      </c>
      <c r="C328" s="256" t="s">
        <v>46</v>
      </c>
      <c r="D328" s="186" t="s">
        <v>1106</v>
      </c>
      <c r="E328" s="187">
        <v>136</v>
      </c>
      <c r="F328" s="256">
        <v>0.99756985525245401</v>
      </c>
      <c r="G328" s="181">
        <v>1</v>
      </c>
      <c r="H328" s="279">
        <v>42880</v>
      </c>
      <c r="I328" s="186" t="s">
        <v>1107</v>
      </c>
      <c r="J328" s="186">
        <v>0</v>
      </c>
      <c r="K328" s="186" t="s">
        <v>1108</v>
      </c>
      <c r="L328" s="256">
        <v>107</v>
      </c>
      <c r="M328" s="256">
        <v>0</v>
      </c>
      <c r="N328" s="256">
        <v>1</v>
      </c>
      <c r="O328" s="256">
        <v>8</v>
      </c>
    </row>
    <row r="329" spans="1:15" s="69" customFormat="1" ht="75">
      <c r="A329" s="256" t="s">
        <v>589</v>
      </c>
      <c r="B329" s="256" t="s">
        <v>45</v>
      </c>
      <c r="C329" s="256" t="s">
        <v>46</v>
      </c>
      <c r="D329" s="186" t="s">
        <v>1109</v>
      </c>
      <c r="E329" s="187">
        <v>97</v>
      </c>
      <c r="F329" s="256">
        <v>4.12002090755468E-2</v>
      </c>
      <c r="G329" s="181">
        <v>1</v>
      </c>
      <c r="H329" s="279">
        <v>42879</v>
      </c>
      <c r="I329" s="186" t="s">
        <v>1110</v>
      </c>
      <c r="J329" s="186">
        <v>0</v>
      </c>
      <c r="K329" s="186" t="s">
        <v>1111</v>
      </c>
      <c r="L329" s="256">
        <v>115</v>
      </c>
      <c r="M329" s="256">
        <v>0</v>
      </c>
      <c r="N329" s="256">
        <v>1</v>
      </c>
      <c r="O329" s="256">
        <v>7</v>
      </c>
    </row>
    <row r="330" spans="1:15" s="69" customFormat="1" ht="60">
      <c r="A330" s="256" t="s">
        <v>589</v>
      </c>
      <c r="B330" s="256" t="s">
        <v>45</v>
      </c>
      <c r="C330" s="256" t="s">
        <v>46</v>
      </c>
      <c r="D330" s="220" t="s">
        <v>3234</v>
      </c>
      <c r="E330" s="187">
        <v>30</v>
      </c>
      <c r="F330" s="256">
        <v>1.64894244008229E-4</v>
      </c>
      <c r="G330" s="181">
        <v>1</v>
      </c>
      <c r="H330" s="279">
        <v>42875</v>
      </c>
      <c r="I330" s="258" t="s">
        <v>3235</v>
      </c>
      <c r="J330" s="258">
        <v>0</v>
      </c>
      <c r="K330" s="186" t="s">
        <v>3236</v>
      </c>
      <c r="L330" s="256">
        <v>56</v>
      </c>
      <c r="M330" s="220">
        <v>0</v>
      </c>
      <c r="N330" s="186">
        <v>1</v>
      </c>
      <c r="O330" s="220">
        <v>11</v>
      </c>
    </row>
    <row r="331" spans="1:15" s="69" customFormat="1" ht="60">
      <c r="A331" s="256" t="s">
        <v>589</v>
      </c>
      <c r="B331" s="256" t="s">
        <v>45</v>
      </c>
      <c r="C331" s="256" t="s">
        <v>46</v>
      </c>
      <c r="D331" s="220" t="s">
        <v>1112</v>
      </c>
      <c r="E331" s="187">
        <v>115</v>
      </c>
      <c r="F331" s="256">
        <v>0.99260457583112305</v>
      </c>
      <c r="G331" s="181">
        <v>1</v>
      </c>
      <c r="H331" s="279">
        <v>42875</v>
      </c>
      <c r="I331" s="220" t="s">
        <v>1113</v>
      </c>
      <c r="J331" s="186">
        <v>0</v>
      </c>
      <c r="K331" s="186" t="s">
        <v>1114</v>
      </c>
      <c r="L331" s="256">
        <v>59</v>
      </c>
      <c r="M331" s="220">
        <v>0</v>
      </c>
      <c r="N331" s="186">
        <v>1</v>
      </c>
      <c r="O331" s="220">
        <v>11</v>
      </c>
    </row>
    <row r="332" spans="1:15" s="69" customFormat="1" ht="60">
      <c r="A332" s="256" t="s">
        <v>589</v>
      </c>
      <c r="B332" s="256" t="s">
        <v>45</v>
      </c>
      <c r="C332" s="256" t="s">
        <v>46</v>
      </c>
      <c r="D332" s="220" t="s">
        <v>1115</v>
      </c>
      <c r="E332" s="187">
        <v>78</v>
      </c>
      <c r="F332" s="256">
        <v>3.6754339899580698E-5</v>
      </c>
      <c r="G332" s="181">
        <v>0</v>
      </c>
      <c r="H332" s="279">
        <v>42870</v>
      </c>
      <c r="I332" s="186" t="s">
        <v>1116</v>
      </c>
      <c r="J332" s="186">
        <v>1</v>
      </c>
      <c r="K332" s="186" t="s">
        <v>1117</v>
      </c>
      <c r="L332" s="256">
        <v>72</v>
      </c>
      <c r="M332" s="220">
        <v>1</v>
      </c>
      <c r="N332" s="186">
        <v>2</v>
      </c>
      <c r="O332" s="220">
        <v>16</v>
      </c>
    </row>
    <row r="333" spans="1:15" s="69" customFormat="1" ht="75">
      <c r="A333" s="256" t="s">
        <v>589</v>
      </c>
      <c r="B333" s="256" t="s">
        <v>45</v>
      </c>
      <c r="C333" s="256" t="s">
        <v>80</v>
      </c>
      <c r="D333" s="220" t="s">
        <v>1118</v>
      </c>
      <c r="E333" s="187">
        <v>122</v>
      </c>
      <c r="F333" s="256">
        <v>0.995928798402547</v>
      </c>
      <c r="G333" s="181">
        <v>1</v>
      </c>
      <c r="H333" s="279">
        <v>42867</v>
      </c>
      <c r="I333" s="186" t="s">
        <v>1119</v>
      </c>
      <c r="J333" s="186">
        <v>1</v>
      </c>
      <c r="K333" s="186" t="s">
        <v>1120</v>
      </c>
      <c r="L333" s="256">
        <v>25</v>
      </c>
      <c r="M333" s="220">
        <v>0</v>
      </c>
      <c r="N333" s="186">
        <v>2</v>
      </c>
      <c r="O333" s="220">
        <v>13</v>
      </c>
    </row>
    <row r="334" spans="1:15" s="69" customFormat="1" ht="150">
      <c r="A334" s="256" t="s">
        <v>589</v>
      </c>
      <c r="B334" s="256" t="s">
        <v>45</v>
      </c>
      <c r="C334" s="256" t="s">
        <v>46</v>
      </c>
      <c r="D334" s="186" t="s">
        <v>1121</v>
      </c>
      <c r="E334" s="187">
        <v>268</v>
      </c>
      <c r="F334" s="256">
        <v>5.8392779500593395E-10</v>
      </c>
      <c r="G334" s="181">
        <v>1</v>
      </c>
      <c r="H334" s="279">
        <v>42865</v>
      </c>
      <c r="I334" s="186" t="s">
        <v>1122</v>
      </c>
      <c r="J334" s="186">
        <v>1</v>
      </c>
      <c r="K334" s="186" t="s">
        <v>1123</v>
      </c>
      <c r="L334" s="256">
        <v>87</v>
      </c>
      <c r="M334" s="256">
        <v>0</v>
      </c>
      <c r="N334" s="256">
        <v>1</v>
      </c>
      <c r="O334" s="256">
        <v>2</v>
      </c>
    </row>
    <row r="335" spans="1:15" s="69" customFormat="1" ht="45">
      <c r="A335" s="256" t="s">
        <v>589</v>
      </c>
      <c r="B335" s="256" t="s">
        <v>45</v>
      </c>
      <c r="C335" s="256" t="s">
        <v>80</v>
      </c>
      <c r="D335" s="186" t="s">
        <v>1124</v>
      </c>
      <c r="E335" s="187">
        <v>42</v>
      </c>
      <c r="F335" s="256">
        <v>0.41255814337010699</v>
      </c>
      <c r="G335" s="181">
        <v>1</v>
      </c>
      <c r="H335" s="279">
        <v>42858</v>
      </c>
      <c r="I335" s="186" t="s">
        <v>1125</v>
      </c>
      <c r="J335" s="186">
        <v>1</v>
      </c>
      <c r="K335" s="186" t="s">
        <v>1126</v>
      </c>
      <c r="L335" s="256">
        <v>58</v>
      </c>
      <c r="M335" s="256">
        <v>0</v>
      </c>
      <c r="N335" s="256">
        <v>1</v>
      </c>
      <c r="O335" s="256">
        <v>8</v>
      </c>
    </row>
    <row r="336" spans="1:15" s="69" customFormat="1" ht="255">
      <c r="A336" s="256" t="s">
        <v>589</v>
      </c>
      <c r="B336" s="256" t="s">
        <v>45</v>
      </c>
      <c r="C336" s="256" t="s">
        <v>833</v>
      </c>
      <c r="D336" s="186" t="s">
        <v>1127</v>
      </c>
      <c r="E336" s="187">
        <v>470</v>
      </c>
      <c r="F336" s="256">
        <v>1.2659234179805801E-2</v>
      </c>
      <c r="G336" s="181">
        <v>1</v>
      </c>
      <c r="H336" s="289">
        <v>42858</v>
      </c>
      <c r="I336" s="181" t="s">
        <v>1128</v>
      </c>
      <c r="J336" s="181">
        <v>0</v>
      </c>
      <c r="K336" s="186" t="s">
        <v>1129</v>
      </c>
      <c r="L336" s="256">
        <v>113</v>
      </c>
      <c r="M336" s="256">
        <v>0</v>
      </c>
      <c r="N336" s="256">
        <v>2</v>
      </c>
      <c r="O336" s="256">
        <v>7</v>
      </c>
    </row>
    <row r="337" spans="1:15" s="69" customFormat="1" ht="195">
      <c r="A337" s="256" t="s">
        <v>589</v>
      </c>
      <c r="B337" s="256" t="s">
        <v>59</v>
      </c>
      <c r="C337" s="256" t="s">
        <v>46</v>
      </c>
      <c r="D337" s="186" t="s">
        <v>1130</v>
      </c>
      <c r="E337" s="187">
        <v>162</v>
      </c>
      <c r="F337" s="256">
        <v>8.2807974499665704E-7</v>
      </c>
      <c r="G337" s="181">
        <v>1</v>
      </c>
      <c r="H337" s="279">
        <v>42856</v>
      </c>
      <c r="I337" s="186" t="s">
        <v>1131</v>
      </c>
      <c r="J337" s="186">
        <v>1</v>
      </c>
      <c r="K337" s="186" t="s">
        <v>1132</v>
      </c>
      <c r="L337" s="256">
        <v>272</v>
      </c>
      <c r="M337" s="256">
        <v>0</v>
      </c>
      <c r="N337" s="256">
        <v>1</v>
      </c>
      <c r="O337" s="256">
        <v>3</v>
      </c>
    </row>
    <row r="338" spans="1:15" s="69" customFormat="1" ht="90">
      <c r="A338" s="256" t="s">
        <v>589</v>
      </c>
      <c r="B338" s="256" t="s">
        <v>45</v>
      </c>
      <c r="C338" s="256" t="s">
        <v>80</v>
      </c>
      <c r="D338" s="220" t="s">
        <v>1133</v>
      </c>
      <c r="E338" s="187">
        <v>157</v>
      </c>
      <c r="F338" s="256">
        <v>5.4987148168095204E-10</v>
      </c>
      <c r="G338" s="181">
        <v>1</v>
      </c>
      <c r="H338" s="279">
        <v>42853</v>
      </c>
      <c r="I338" s="186" t="s">
        <v>1134</v>
      </c>
      <c r="J338" s="186">
        <v>0</v>
      </c>
      <c r="K338" s="186" t="s">
        <v>1135</v>
      </c>
      <c r="L338" s="256">
        <v>58</v>
      </c>
      <c r="M338" s="220">
        <v>0</v>
      </c>
      <c r="N338" s="186">
        <v>1</v>
      </c>
      <c r="O338" s="220">
        <v>12</v>
      </c>
    </row>
    <row r="339" spans="1:15" s="69" customFormat="1" ht="75">
      <c r="A339" s="256" t="s">
        <v>589</v>
      </c>
      <c r="B339" s="256" t="s">
        <v>45</v>
      </c>
      <c r="C339" s="256" t="s">
        <v>80</v>
      </c>
      <c r="D339" s="186" t="s">
        <v>1136</v>
      </c>
      <c r="E339" s="187">
        <v>83</v>
      </c>
      <c r="F339" s="256">
        <v>0.17415736536497001</v>
      </c>
      <c r="G339" s="181">
        <v>1</v>
      </c>
      <c r="H339" s="279">
        <v>42851</v>
      </c>
      <c r="I339" s="186" t="s">
        <v>1137</v>
      </c>
      <c r="J339" s="186">
        <v>0</v>
      </c>
      <c r="K339" s="186" t="s">
        <v>1138</v>
      </c>
      <c r="L339" s="256">
        <v>110</v>
      </c>
      <c r="M339" s="256">
        <v>0</v>
      </c>
      <c r="N339" s="256">
        <v>2</v>
      </c>
      <c r="O339" s="256">
        <v>12</v>
      </c>
    </row>
    <row r="340" spans="1:15" s="69" customFormat="1" ht="75">
      <c r="A340" s="256" t="s">
        <v>589</v>
      </c>
      <c r="B340" s="256" t="s">
        <v>45</v>
      </c>
      <c r="C340" s="256" t="s">
        <v>80</v>
      </c>
      <c r="D340" s="186" t="s">
        <v>1136</v>
      </c>
      <c r="E340" s="187">
        <v>88</v>
      </c>
      <c r="F340" s="256">
        <v>0.54109588165304401</v>
      </c>
      <c r="G340" s="181">
        <v>1</v>
      </c>
      <c r="H340" s="279">
        <v>42848</v>
      </c>
      <c r="I340" s="186" t="s">
        <v>1139</v>
      </c>
      <c r="J340" s="186">
        <v>0</v>
      </c>
      <c r="K340" s="186" t="s">
        <v>1140</v>
      </c>
      <c r="L340" s="256">
        <v>102</v>
      </c>
      <c r="M340" s="256">
        <v>0</v>
      </c>
      <c r="N340" s="256">
        <v>1</v>
      </c>
      <c r="O340" s="256">
        <v>2</v>
      </c>
    </row>
    <row r="341" spans="1:15" s="69" customFormat="1" ht="75">
      <c r="A341" s="256" t="s">
        <v>589</v>
      </c>
      <c r="B341" s="256" t="s">
        <v>45</v>
      </c>
      <c r="C341" s="256" t="s">
        <v>80</v>
      </c>
      <c r="D341" s="220" t="s">
        <v>1136</v>
      </c>
      <c r="E341" s="187">
        <v>130</v>
      </c>
      <c r="F341" s="256">
        <v>4.3162679370334399E-3</v>
      </c>
      <c r="G341" s="181">
        <v>1</v>
      </c>
      <c r="H341" s="279">
        <v>42839</v>
      </c>
      <c r="I341" s="186" t="s">
        <v>1141</v>
      </c>
      <c r="J341" s="186">
        <v>0</v>
      </c>
      <c r="K341" s="186" t="s">
        <v>1142</v>
      </c>
      <c r="L341" s="256">
        <v>111</v>
      </c>
      <c r="M341" s="220">
        <v>0</v>
      </c>
      <c r="N341" s="186">
        <v>1</v>
      </c>
      <c r="O341" s="220">
        <v>7</v>
      </c>
    </row>
    <row r="342" spans="1:15" s="69" customFormat="1" ht="60">
      <c r="A342" s="256" t="s">
        <v>589</v>
      </c>
      <c r="B342" s="256" t="s">
        <v>59</v>
      </c>
      <c r="C342" s="256" t="s">
        <v>46</v>
      </c>
      <c r="D342" s="186" t="s">
        <v>1143</v>
      </c>
      <c r="E342" s="187">
        <v>26</v>
      </c>
      <c r="F342" s="256">
        <v>4.6991560662338304E-3</v>
      </c>
      <c r="G342" s="181">
        <v>1</v>
      </c>
      <c r="H342" s="279">
        <v>42835</v>
      </c>
      <c r="I342" s="258" t="s">
        <v>1144</v>
      </c>
      <c r="J342" s="258">
        <v>0</v>
      </c>
      <c r="K342" s="186" t="s">
        <v>1145</v>
      </c>
      <c r="L342" s="256">
        <v>70</v>
      </c>
      <c r="M342" s="256">
        <v>0</v>
      </c>
      <c r="N342" s="256">
        <v>1</v>
      </c>
      <c r="O342" s="256">
        <v>2</v>
      </c>
    </row>
    <row r="343" spans="1:15" s="69" customFormat="1" ht="45">
      <c r="A343" s="256" t="s">
        <v>589</v>
      </c>
      <c r="B343" s="256" t="s">
        <v>45</v>
      </c>
      <c r="C343" s="256" t="s">
        <v>80</v>
      </c>
      <c r="D343" s="220" t="s">
        <v>1146</v>
      </c>
      <c r="E343" s="187">
        <v>34</v>
      </c>
      <c r="F343" s="256">
        <v>3.6680572586766901E-5</v>
      </c>
      <c r="G343" s="181">
        <v>1</v>
      </c>
      <c r="H343" s="279">
        <v>42818</v>
      </c>
      <c r="I343" s="258" t="s">
        <v>1147</v>
      </c>
      <c r="J343" s="258">
        <v>0</v>
      </c>
      <c r="K343" s="186" t="s">
        <v>1148</v>
      </c>
      <c r="L343" s="256">
        <v>58</v>
      </c>
      <c r="M343" s="220">
        <v>0</v>
      </c>
      <c r="N343" s="186">
        <v>1</v>
      </c>
      <c r="O343" s="220">
        <v>13</v>
      </c>
    </row>
    <row r="344" spans="1:15" s="69" customFormat="1" ht="60">
      <c r="A344" s="256" t="s">
        <v>589</v>
      </c>
      <c r="B344" s="256" t="s">
        <v>59</v>
      </c>
      <c r="C344" s="256" t="s">
        <v>46</v>
      </c>
      <c r="D344" s="186" t="s">
        <v>3232</v>
      </c>
      <c r="E344" s="187">
        <v>12</v>
      </c>
      <c r="F344" s="256">
        <v>0.98036522742364196</v>
      </c>
      <c r="G344" s="181">
        <v>1</v>
      </c>
      <c r="H344" s="279">
        <v>42797</v>
      </c>
      <c r="I344" s="258" t="s">
        <v>3232</v>
      </c>
      <c r="J344" s="258">
        <v>0</v>
      </c>
      <c r="K344" s="186" t="s">
        <v>3233</v>
      </c>
      <c r="L344" s="256">
        <v>89</v>
      </c>
      <c r="M344" s="256">
        <v>0</v>
      </c>
      <c r="N344" s="256">
        <v>1</v>
      </c>
      <c r="O344" s="256">
        <v>6</v>
      </c>
    </row>
    <row r="345" spans="1:15" s="69" customFormat="1" ht="120">
      <c r="A345" s="256" t="s">
        <v>589</v>
      </c>
      <c r="B345" s="256" t="s">
        <v>45</v>
      </c>
      <c r="C345" s="256" t="s">
        <v>80</v>
      </c>
      <c r="D345" s="186" t="s">
        <v>1146</v>
      </c>
      <c r="E345" s="187">
        <v>222</v>
      </c>
      <c r="F345" s="256">
        <v>9.1253597872653595E-5</v>
      </c>
      <c r="G345" s="181">
        <v>1</v>
      </c>
      <c r="H345" s="279">
        <v>42797</v>
      </c>
      <c r="I345" s="186" t="s">
        <v>1149</v>
      </c>
      <c r="J345" s="186">
        <v>0</v>
      </c>
      <c r="K345" s="186" t="s">
        <v>1150</v>
      </c>
      <c r="L345" s="256">
        <v>124</v>
      </c>
      <c r="M345" s="256">
        <v>0</v>
      </c>
      <c r="N345" s="256">
        <v>2</v>
      </c>
      <c r="O345" s="256">
        <v>20</v>
      </c>
    </row>
    <row r="346" spans="1:15" s="69" customFormat="1" ht="60">
      <c r="A346" s="256" t="s">
        <v>589</v>
      </c>
      <c r="B346" s="256" t="s">
        <v>45</v>
      </c>
      <c r="C346" s="256" t="s">
        <v>80</v>
      </c>
      <c r="D346" s="186" t="s">
        <v>1151</v>
      </c>
      <c r="E346" s="187">
        <v>33</v>
      </c>
      <c r="F346" s="256">
        <v>2.3811053938497698E-2</v>
      </c>
      <c r="G346" s="181">
        <v>1</v>
      </c>
      <c r="H346" s="279">
        <v>42757</v>
      </c>
      <c r="I346" s="258" t="s">
        <v>1152</v>
      </c>
      <c r="J346" s="258">
        <v>0</v>
      </c>
      <c r="K346" s="186" t="s">
        <v>1153</v>
      </c>
      <c r="L346" s="256">
        <v>82</v>
      </c>
      <c r="M346" s="256">
        <v>0</v>
      </c>
      <c r="N346" s="256">
        <v>1</v>
      </c>
      <c r="O346" s="256">
        <v>16</v>
      </c>
    </row>
    <row r="347" spans="1:15" s="69" customFormat="1" ht="105">
      <c r="A347" s="256" t="s">
        <v>589</v>
      </c>
      <c r="B347" s="256" t="s">
        <v>59</v>
      </c>
      <c r="C347" s="256" t="s">
        <v>80</v>
      </c>
      <c r="D347" s="186" t="s">
        <v>1154</v>
      </c>
      <c r="E347" s="187">
        <v>108</v>
      </c>
      <c r="F347" s="256">
        <v>0.99589937780182702</v>
      </c>
      <c r="G347" s="181">
        <v>1</v>
      </c>
      <c r="H347" s="279">
        <v>42723</v>
      </c>
      <c r="I347" s="186" t="s">
        <v>1155</v>
      </c>
      <c r="J347" s="186">
        <v>1</v>
      </c>
      <c r="K347" s="181" t="s">
        <v>1156</v>
      </c>
      <c r="L347" s="256">
        <v>138</v>
      </c>
      <c r="M347" s="256">
        <v>0</v>
      </c>
      <c r="N347" s="256">
        <v>1</v>
      </c>
      <c r="O347" s="256">
        <v>1</v>
      </c>
    </row>
    <row r="348" spans="1:15" s="69" customFormat="1" ht="105">
      <c r="A348" s="256" t="s">
        <v>589</v>
      </c>
      <c r="B348" s="256" t="s">
        <v>45</v>
      </c>
      <c r="C348" s="256" t="s">
        <v>80</v>
      </c>
      <c r="D348" s="220" t="s">
        <v>1151</v>
      </c>
      <c r="E348" s="187">
        <v>192</v>
      </c>
      <c r="F348" s="256">
        <v>1.6233762166750801E-6</v>
      </c>
      <c r="G348" s="181">
        <v>1</v>
      </c>
      <c r="H348" s="279">
        <v>42723</v>
      </c>
      <c r="I348" s="186" t="s">
        <v>1157</v>
      </c>
      <c r="J348" s="186">
        <v>0</v>
      </c>
      <c r="K348" s="186" t="s">
        <v>1158</v>
      </c>
      <c r="L348" s="256">
        <v>69</v>
      </c>
      <c r="M348" s="220">
        <v>0</v>
      </c>
      <c r="N348" s="186">
        <v>1</v>
      </c>
      <c r="O348" s="220">
        <v>9</v>
      </c>
    </row>
    <row r="349" spans="1:15" s="69" customFormat="1" ht="60">
      <c r="A349" s="256" t="s">
        <v>589</v>
      </c>
      <c r="B349" s="256" t="s">
        <v>45</v>
      </c>
      <c r="C349" s="256" t="s">
        <v>80</v>
      </c>
      <c r="D349" s="186" t="s">
        <v>1159</v>
      </c>
      <c r="E349" s="187">
        <v>70</v>
      </c>
      <c r="F349" s="256">
        <v>0.37894091429908799</v>
      </c>
      <c r="G349" s="181">
        <v>1</v>
      </c>
      <c r="H349" s="279">
        <v>42716</v>
      </c>
      <c r="I349" s="186" t="s">
        <v>1160</v>
      </c>
      <c r="J349" s="186">
        <v>0</v>
      </c>
      <c r="K349" s="186" t="s">
        <v>1158</v>
      </c>
      <c r="L349" s="256">
        <v>69</v>
      </c>
      <c r="M349" s="256">
        <v>0</v>
      </c>
      <c r="N349" s="256">
        <v>1</v>
      </c>
      <c r="O349" s="256">
        <v>11</v>
      </c>
    </row>
    <row r="350" spans="1:15" s="69" customFormat="1" ht="45">
      <c r="A350" s="256" t="s">
        <v>589</v>
      </c>
      <c r="B350" s="256" t="s">
        <v>45</v>
      </c>
      <c r="C350" s="256" t="s">
        <v>80</v>
      </c>
      <c r="D350" s="186" t="s">
        <v>1159</v>
      </c>
      <c r="E350" s="187">
        <v>71</v>
      </c>
      <c r="F350" s="256">
        <v>0.37894091429908799</v>
      </c>
      <c r="G350" s="181">
        <v>1</v>
      </c>
      <c r="H350" s="279">
        <v>42703</v>
      </c>
      <c r="I350" s="186" t="s">
        <v>1161</v>
      </c>
      <c r="J350" s="186">
        <v>0</v>
      </c>
      <c r="K350" s="186" t="s">
        <v>1162</v>
      </c>
      <c r="L350" s="256">
        <v>57</v>
      </c>
      <c r="M350" s="256">
        <v>0</v>
      </c>
      <c r="N350" s="256">
        <v>1</v>
      </c>
      <c r="O350" s="256">
        <v>9</v>
      </c>
    </row>
    <row r="351" spans="1:15" s="69" customFormat="1" ht="120">
      <c r="A351" s="256" t="s">
        <v>589</v>
      </c>
      <c r="B351" s="256" t="s">
        <v>45</v>
      </c>
      <c r="C351" s="256" t="s">
        <v>80</v>
      </c>
      <c r="D351" s="186" t="s">
        <v>1163</v>
      </c>
      <c r="E351" s="187">
        <v>214</v>
      </c>
      <c r="F351" s="256">
        <v>9.7011245592248901E-8</v>
      </c>
      <c r="G351" s="181">
        <v>1</v>
      </c>
      <c r="H351" s="279">
        <v>42691</v>
      </c>
      <c r="I351" s="186" t="s">
        <v>1164</v>
      </c>
      <c r="J351" s="186">
        <v>0</v>
      </c>
      <c r="K351" s="186" t="s">
        <v>1165</v>
      </c>
      <c r="L351" s="256">
        <v>109</v>
      </c>
      <c r="M351" s="256">
        <v>0</v>
      </c>
      <c r="N351" s="256">
        <v>1</v>
      </c>
      <c r="O351" s="256">
        <v>12</v>
      </c>
    </row>
    <row r="352" spans="1:15" s="69" customFormat="1" ht="90">
      <c r="A352" s="256" t="s">
        <v>589</v>
      </c>
      <c r="B352" s="256" t="s">
        <v>45</v>
      </c>
      <c r="C352" s="256" t="s">
        <v>46</v>
      </c>
      <c r="D352" s="186" t="s">
        <v>1166</v>
      </c>
      <c r="E352" s="187">
        <v>172</v>
      </c>
      <c r="F352" s="256">
        <v>6.3574216785378104E-6</v>
      </c>
      <c r="G352" s="181">
        <v>1</v>
      </c>
      <c r="H352" s="279">
        <v>42690</v>
      </c>
      <c r="I352" s="186" t="s">
        <v>1167</v>
      </c>
      <c r="J352" s="186">
        <v>0</v>
      </c>
      <c r="K352" s="186" t="s">
        <v>1168</v>
      </c>
      <c r="L352" s="256">
        <v>83</v>
      </c>
      <c r="M352" s="256">
        <v>0</v>
      </c>
      <c r="N352" s="256">
        <v>1</v>
      </c>
      <c r="O352" s="256">
        <v>13</v>
      </c>
    </row>
    <row r="353" spans="1:15" s="69" customFormat="1" ht="60">
      <c r="A353" s="256" t="s">
        <v>589</v>
      </c>
      <c r="B353" s="256" t="s">
        <v>45</v>
      </c>
      <c r="C353" s="256" t="s">
        <v>80</v>
      </c>
      <c r="D353" s="186" t="s">
        <v>1169</v>
      </c>
      <c r="E353" s="187">
        <v>33</v>
      </c>
      <c r="F353" s="256">
        <v>0.78315343538844095</v>
      </c>
      <c r="G353" s="181">
        <v>1</v>
      </c>
      <c r="H353" s="279">
        <v>42690</v>
      </c>
      <c r="I353" s="220" t="s">
        <v>1170</v>
      </c>
      <c r="J353" s="186">
        <v>0</v>
      </c>
      <c r="K353" s="186" t="s">
        <v>1168</v>
      </c>
      <c r="L353" s="256">
        <v>83</v>
      </c>
      <c r="M353" s="220">
        <v>0</v>
      </c>
      <c r="N353" s="186">
        <v>1</v>
      </c>
      <c r="O353" s="220">
        <v>9</v>
      </c>
    </row>
    <row r="354" spans="1:15" s="69" customFormat="1" ht="60">
      <c r="A354" s="256" t="s">
        <v>589</v>
      </c>
      <c r="B354" s="256" t="s">
        <v>45</v>
      </c>
      <c r="C354" s="256" t="s">
        <v>80</v>
      </c>
      <c r="D354" s="186" t="s">
        <v>1171</v>
      </c>
      <c r="E354" s="187">
        <v>75</v>
      </c>
      <c r="F354" s="256">
        <v>2.5294123340735498E-5</v>
      </c>
      <c r="G354" s="181">
        <v>1</v>
      </c>
      <c r="H354" s="279">
        <v>42641</v>
      </c>
      <c r="I354" s="186" t="s">
        <v>1172</v>
      </c>
      <c r="J354" s="186">
        <v>0</v>
      </c>
      <c r="K354" s="186" t="s">
        <v>1168</v>
      </c>
      <c r="L354" s="256">
        <v>83</v>
      </c>
      <c r="M354" s="256">
        <v>0</v>
      </c>
      <c r="N354" s="256">
        <v>1</v>
      </c>
      <c r="O354" s="256">
        <v>14</v>
      </c>
    </row>
    <row r="355" spans="1:15" s="69" customFormat="1" ht="75">
      <c r="A355" s="256" t="s">
        <v>589</v>
      </c>
      <c r="B355" s="256" t="s">
        <v>45</v>
      </c>
      <c r="C355" s="256" t="s">
        <v>46</v>
      </c>
      <c r="D355" s="186" t="s">
        <v>1173</v>
      </c>
      <c r="E355" s="187">
        <v>129</v>
      </c>
      <c r="F355" s="256">
        <v>0.94522433377091597</v>
      </c>
      <c r="G355" s="181">
        <v>1</v>
      </c>
      <c r="H355" s="279">
        <v>42629</v>
      </c>
      <c r="I355" s="186" t="s">
        <v>1174</v>
      </c>
      <c r="J355" s="186">
        <v>0</v>
      </c>
      <c r="K355" s="186" t="s">
        <v>1168</v>
      </c>
      <c r="L355" s="256">
        <v>83</v>
      </c>
      <c r="M355" s="256">
        <v>0</v>
      </c>
      <c r="N355" s="256">
        <v>1</v>
      </c>
      <c r="O355" s="256">
        <v>11</v>
      </c>
    </row>
    <row r="356" spans="1:15" s="69" customFormat="1" ht="75">
      <c r="A356" s="256" t="s">
        <v>589</v>
      </c>
      <c r="B356" s="256" t="s">
        <v>45</v>
      </c>
      <c r="C356" s="256" t="s">
        <v>80</v>
      </c>
      <c r="D356" s="186" t="s">
        <v>1171</v>
      </c>
      <c r="E356" s="187">
        <v>73</v>
      </c>
      <c r="F356" s="256">
        <v>2.90055304860259E-4</v>
      </c>
      <c r="G356" s="181">
        <v>1</v>
      </c>
      <c r="H356" s="279">
        <v>42629</v>
      </c>
      <c r="I356" s="186" t="s">
        <v>1175</v>
      </c>
      <c r="J356" s="186">
        <v>0</v>
      </c>
      <c r="K356" s="186" t="s">
        <v>1176</v>
      </c>
      <c r="L356" s="256">
        <v>97</v>
      </c>
      <c r="M356" s="256">
        <v>0</v>
      </c>
      <c r="N356" s="256">
        <v>1</v>
      </c>
      <c r="O356" s="256">
        <v>11</v>
      </c>
    </row>
    <row r="357" spans="1:15" s="69" customFormat="1" ht="60">
      <c r="A357" s="256" t="s">
        <v>589</v>
      </c>
      <c r="B357" s="256" t="s">
        <v>45</v>
      </c>
      <c r="C357" s="256" t="s">
        <v>80</v>
      </c>
      <c r="D357" s="186" t="s">
        <v>1171</v>
      </c>
      <c r="E357" s="187">
        <v>75</v>
      </c>
      <c r="F357" s="256">
        <v>1.6619211928750901E-2</v>
      </c>
      <c r="G357" s="181">
        <v>1</v>
      </c>
      <c r="H357" s="279">
        <v>42619</v>
      </c>
      <c r="I357" s="186" t="s">
        <v>1177</v>
      </c>
      <c r="J357" s="186">
        <v>0</v>
      </c>
      <c r="K357" s="186" t="s">
        <v>1168</v>
      </c>
      <c r="L357" s="256">
        <v>83</v>
      </c>
      <c r="M357" s="256">
        <v>0</v>
      </c>
      <c r="N357" s="256">
        <v>1</v>
      </c>
      <c r="O357" s="256">
        <v>7</v>
      </c>
    </row>
    <row r="358" spans="1:15" s="69" customFormat="1" ht="60">
      <c r="A358" s="256" t="s">
        <v>589</v>
      </c>
      <c r="B358" s="256" t="s">
        <v>59</v>
      </c>
      <c r="C358" s="256" t="s">
        <v>46</v>
      </c>
      <c r="D358" s="220" t="s">
        <v>1178</v>
      </c>
      <c r="E358" s="187">
        <v>33</v>
      </c>
      <c r="F358" s="256">
        <v>0.119298063018574</v>
      </c>
      <c r="G358" s="181">
        <v>1</v>
      </c>
      <c r="H358" s="297">
        <v>42619</v>
      </c>
      <c r="I358" s="258" t="s">
        <v>1179</v>
      </c>
      <c r="J358" s="258">
        <v>0</v>
      </c>
      <c r="K358" s="186" t="s">
        <v>1168</v>
      </c>
      <c r="L358" s="256">
        <v>83</v>
      </c>
      <c r="M358" s="220">
        <v>0</v>
      </c>
      <c r="N358" s="186">
        <v>1</v>
      </c>
      <c r="O358" s="220">
        <v>1</v>
      </c>
    </row>
    <row r="359" spans="1:15" s="69" customFormat="1" ht="90">
      <c r="A359" s="256" t="s">
        <v>589</v>
      </c>
      <c r="B359" s="256" t="s">
        <v>59</v>
      </c>
      <c r="C359" s="256" t="s">
        <v>46</v>
      </c>
      <c r="D359" s="186" t="s">
        <v>1180</v>
      </c>
      <c r="E359" s="187">
        <v>97</v>
      </c>
      <c r="F359" s="256">
        <v>1.79998185634522E-4</v>
      </c>
      <c r="G359" s="181">
        <v>1</v>
      </c>
      <c r="H359" s="279">
        <v>42608</v>
      </c>
      <c r="I359" s="186" t="s">
        <v>1181</v>
      </c>
      <c r="J359" s="186">
        <v>0</v>
      </c>
      <c r="K359" s="186" t="s">
        <v>1182</v>
      </c>
      <c r="L359" s="256">
        <v>125</v>
      </c>
      <c r="M359" s="256">
        <v>0</v>
      </c>
      <c r="N359" s="256">
        <v>1</v>
      </c>
      <c r="O359" s="256">
        <v>4</v>
      </c>
    </row>
    <row r="360" spans="1:15" s="69" customFormat="1" ht="90">
      <c r="A360" s="256" t="s">
        <v>589</v>
      </c>
      <c r="B360" s="256" t="s">
        <v>45</v>
      </c>
      <c r="C360" s="256" t="s">
        <v>46</v>
      </c>
      <c r="D360" s="220" t="s">
        <v>1183</v>
      </c>
      <c r="E360" s="187">
        <v>164</v>
      </c>
      <c r="F360" s="256">
        <v>2.9620743449032501E-5</v>
      </c>
      <c r="G360" s="181">
        <v>1</v>
      </c>
      <c r="H360" s="279">
        <v>42605</v>
      </c>
      <c r="I360" s="186" t="s">
        <v>1184</v>
      </c>
      <c r="J360" s="186">
        <v>0</v>
      </c>
      <c r="K360" s="186" t="s">
        <v>1185</v>
      </c>
      <c r="L360" s="256">
        <v>130</v>
      </c>
      <c r="M360" s="220">
        <v>0</v>
      </c>
      <c r="N360" s="186">
        <v>1</v>
      </c>
      <c r="O360" s="220">
        <v>6</v>
      </c>
    </row>
    <row r="361" spans="1:15" s="69" customFormat="1" ht="60">
      <c r="A361" s="256" t="s">
        <v>589</v>
      </c>
      <c r="B361" s="256" t="s">
        <v>45</v>
      </c>
      <c r="C361" s="256" t="s">
        <v>46</v>
      </c>
      <c r="D361" s="220" t="s">
        <v>1186</v>
      </c>
      <c r="E361" s="187">
        <v>95</v>
      </c>
      <c r="F361" s="256">
        <v>0.866218734471909</v>
      </c>
      <c r="G361" s="181">
        <v>0</v>
      </c>
      <c r="H361" s="279">
        <v>42592</v>
      </c>
      <c r="I361" s="186" t="s">
        <v>1187</v>
      </c>
      <c r="J361" s="186">
        <v>1</v>
      </c>
      <c r="K361" s="186" t="s">
        <v>1188</v>
      </c>
      <c r="L361" s="256">
        <v>80</v>
      </c>
      <c r="M361" s="220">
        <v>2</v>
      </c>
      <c r="N361" s="186">
        <v>1</v>
      </c>
      <c r="O361" s="220">
        <v>15</v>
      </c>
    </row>
    <row r="362" spans="1:15" s="69" customFormat="1" ht="60">
      <c r="A362" s="256" t="s">
        <v>589</v>
      </c>
      <c r="B362" s="256" t="s">
        <v>45</v>
      </c>
      <c r="C362" s="256" t="s">
        <v>46</v>
      </c>
      <c r="D362" s="186" t="s">
        <v>1189</v>
      </c>
      <c r="E362" s="187">
        <v>52</v>
      </c>
      <c r="F362" s="256">
        <v>1.7015466421677099E-4</v>
      </c>
      <c r="G362" s="181">
        <v>1</v>
      </c>
      <c r="H362" s="279">
        <v>42562</v>
      </c>
      <c r="I362" s="186" t="s">
        <v>1190</v>
      </c>
      <c r="J362" s="186">
        <v>0</v>
      </c>
      <c r="K362" s="186" t="s">
        <v>1168</v>
      </c>
      <c r="L362" s="256">
        <v>83</v>
      </c>
      <c r="M362" s="256">
        <v>0</v>
      </c>
      <c r="N362" s="256">
        <v>1</v>
      </c>
      <c r="O362" s="256">
        <v>8</v>
      </c>
    </row>
    <row r="363" spans="1:15" s="69" customFormat="1" ht="60">
      <c r="A363" s="256" t="s">
        <v>589</v>
      </c>
      <c r="B363" s="256" t="s">
        <v>1191</v>
      </c>
      <c r="C363" s="256" t="s">
        <v>80</v>
      </c>
      <c r="D363" s="258" t="s">
        <v>1192</v>
      </c>
      <c r="E363" s="187">
        <v>49</v>
      </c>
      <c r="F363" s="256">
        <v>5.5564318769975004E-3</v>
      </c>
      <c r="G363" s="181">
        <v>1</v>
      </c>
      <c r="H363" s="279">
        <v>42553</v>
      </c>
      <c r="I363" s="220" t="s">
        <v>1193</v>
      </c>
      <c r="J363" s="186">
        <v>0</v>
      </c>
      <c r="K363" s="186" t="s">
        <v>1168</v>
      </c>
      <c r="L363" s="256">
        <v>83</v>
      </c>
      <c r="M363" s="220">
        <v>0</v>
      </c>
      <c r="N363" s="186">
        <v>1</v>
      </c>
      <c r="O363" s="220">
        <v>4</v>
      </c>
    </row>
    <row r="364" spans="1:15" s="69" customFormat="1" ht="75">
      <c r="A364" s="256" t="s">
        <v>589</v>
      </c>
      <c r="B364" s="256" t="s">
        <v>45</v>
      </c>
      <c r="C364" s="256" t="s">
        <v>46</v>
      </c>
      <c r="D364" s="186" t="s">
        <v>1194</v>
      </c>
      <c r="E364" s="187">
        <v>49</v>
      </c>
      <c r="F364" s="256">
        <v>2.6286152089882699E-5</v>
      </c>
      <c r="G364" s="181">
        <v>1</v>
      </c>
      <c r="H364" s="279">
        <v>42537</v>
      </c>
      <c r="I364" s="186" t="s">
        <v>1195</v>
      </c>
      <c r="J364" s="186">
        <v>1</v>
      </c>
      <c r="K364" s="186" t="s">
        <v>1196</v>
      </c>
      <c r="L364" s="256">
        <v>101</v>
      </c>
      <c r="M364" s="256">
        <v>0</v>
      </c>
      <c r="N364" s="256">
        <v>1</v>
      </c>
      <c r="O364" s="256">
        <v>8</v>
      </c>
    </row>
    <row r="365" spans="1:15" s="69" customFormat="1" ht="75">
      <c r="A365" s="256" t="s">
        <v>589</v>
      </c>
      <c r="B365" s="256" t="s">
        <v>45</v>
      </c>
      <c r="C365" s="256" t="s">
        <v>80</v>
      </c>
      <c r="D365" s="186" t="s">
        <v>1171</v>
      </c>
      <c r="E365" s="187">
        <v>66</v>
      </c>
      <c r="F365" s="256">
        <v>0.68905804200899001</v>
      </c>
      <c r="G365" s="181">
        <v>1</v>
      </c>
      <c r="H365" s="279">
        <v>42529</v>
      </c>
      <c r="I365" s="186" t="s">
        <v>1197</v>
      </c>
      <c r="J365" s="186">
        <v>0</v>
      </c>
      <c r="K365" s="186" t="s">
        <v>1198</v>
      </c>
      <c r="L365" s="256">
        <v>93</v>
      </c>
      <c r="M365" s="256">
        <v>0</v>
      </c>
      <c r="N365" s="256">
        <v>1</v>
      </c>
      <c r="O365" s="256">
        <v>6</v>
      </c>
    </row>
    <row r="366" spans="1:15" s="69" customFormat="1" ht="105">
      <c r="A366" s="256" t="s">
        <v>589</v>
      </c>
      <c r="B366" s="256" t="s">
        <v>45</v>
      </c>
      <c r="C366" s="256" t="s">
        <v>46</v>
      </c>
      <c r="D366" s="220" t="s">
        <v>1199</v>
      </c>
      <c r="E366" s="187">
        <v>187</v>
      </c>
      <c r="F366" s="256">
        <v>0.97693969127344005</v>
      </c>
      <c r="G366" s="181">
        <v>1</v>
      </c>
      <c r="H366" s="279">
        <v>42523</v>
      </c>
      <c r="I366" s="186" t="s">
        <v>1200</v>
      </c>
      <c r="J366" s="186">
        <v>0</v>
      </c>
      <c r="K366" s="186" t="s">
        <v>1168</v>
      </c>
      <c r="L366" s="256">
        <v>83</v>
      </c>
      <c r="M366" s="220">
        <v>0</v>
      </c>
      <c r="N366" s="186">
        <v>1</v>
      </c>
      <c r="O366" s="220">
        <v>13</v>
      </c>
    </row>
    <row r="367" spans="1:15" s="69" customFormat="1" ht="150">
      <c r="A367" s="256" t="s">
        <v>589</v>
      </c>
      <c r="B367" s="256" t="s">
        <v>45</v>
      </c>
      <c r="C367" s="256" t="s">
        <v>46</v>
      </c>
      <c r="D367" s="186" t="s">
        <v>1201</v>
      </c>
      <c r="E367" s="187">
        <v>294</v>
      </c>
      <c r="F367" s="256">
        <v>1.0856397394976E-4</v>
      </c>
      <c r="G367" s="181">
        <v>0</v>
      </c>
      <c r="H367" s="279">
        <v>42506</v>
      </c>
      <c r="I367" s="186" t="s">
        <v>1202</v>
      </c>
      <c r="J367" s="186">
        <v>0</v>
      </c>
      <c r="K367" s="186" t="s">
        <v>1168</v>
      </c>
      <c r="L367" s="256">
        <v>83</v>
      </c>
      <c r="M367" s="256">
        <v>1</v>
      </c>
      <c r="N367" s="256">
        <v>1</v>
      </c>
      <c r="O367" s="256">
        <v>15</v>
      </c>
    </row>
    <row r="368" spans="1:15" s="69" customFormat="1" ht="60">
      <c r="A368" s="256" t="s">
        <v>589</v>
      </c>
      <c r="B368" s="256" t="s">
        <v>45</v>
      </c>
      <c r="C368" s="256" t="s">
        <v>46</v>
      </c>
      <c r="D368" s="186" t="s">
        <v>1203</v>
      </c>
      <c r="E368" s="187">
        <v>106</v>
      </c>
      <c r="F368" s="256">
        <v>7.7576533454837407E-2</v>
      </c>
      <c r="G368" s="181">
        <v>1</v>
      </c>
      <c r="H368" s="279">
        <v>42477</v>
      </c>
      <c r="I368" s="186" t="s">
        <v>1204</v>
      </c>
      <c r="J368" s="186">
        <v>0</v>
      </c>
      <c r="K368" s="186" t="s">
        <v>1205</v>
      </c>
      <c r="L368" s="256">
        <v>42</v>
      </c>
      <c r="M368" s="256">
        <v>0</v>
      </c>
      <c r="N368" s="256">
        <v>1</v>
      </c>
      <c r="O368" s="256">
        <v>9</v>
      </c>
    </row>
    <row r="369" spans="1:18" s="69" customFormat="1" ht="60">
      <c r="A369" s="256" t="s">
        <v>589</v>
      </c>
      <c r="B369" s="256" t="s">
        <v>45</v>
      </c>
      <c r="C369" s="256" t="s">
        <v>80</v>
      </c>
      <c r="D369" s="186" t="s">
        <v>1206</v>
      </c>
      <c r="E369" s="187">
        <v>59</v>
      </c>
      <c r="F369" s="256">
        <v>8.2694390193823006E-2</v>
      </c>
      <c r="G369" s="181">
        <v>1</v>
      </c>
      <c r="H369" s="279">
        <v>42459</v>
      </c>
      <c r="I369" s="186" t="s">
        <v>1207</v>
      </c>
      <c r="J369" s="186">
        <v>0</v>
      </c>
      <c r="K369" s="186" t="s">
        <v>1208</v>
      </c>
      <c r="L369" s="256">
        <v>71</v>
      </c>
      <c r="M369" s="256">
        <v>1</v>
      </c>
      <c r="N369" s="256">
        <v>1</v>
      </c>
      <c r="O369" s="256">
        <v>14</v>
      </c>
    </row>
    <row r="370" spans="1:18" s="69" customFormat="1" ht="45">
      <c r="A370" s="256" t="s">
        <v>589</v>
      </c>
      <c r="B370" s="256" t="s">
        <v>1191</v>
      </c>
      <c r="C370" s="256" t="s">
        <v>46</v>
      </c>
      <c r="D370" s="186" t="s">
        <v>1209</v>
      </c>
      <c r="E370" s="187">
        <v>77</v>
      </c>
      <c r="F370" s="256">
        <v>1.7494117001790599E-3</v>
      </c>
      <c r="G370" s="181">
        <v>0</v>
      </c>
      <c r="H370" s="279">
        <v>42457</v>
      </c>
      <c r="I370" s="186" t="s">
        <v>1210</v>
      </c>
      <c r="J370" s="186">
        <v>1</v>
      </c>
      <c r="K370" s="186" t="s">
        <v>1211</v>
      </c>
      <c r="L370" s="256">
        <v>55</v>
      </c>
      <c r="M370" s="256">
        <v>0</v>
      </c>
      <c r="N370" s="256">
        <v>3</v>
      </c>
      <c r="O370" s="256">
        <v>14</v>
      </c>
    </row>
    <row r="371" spans="1:18" s="69" customFormat="1" ht="45">
      <c r="A371" s="256" t="s">
        <v>589</v>
      </c>
      <c r="B371" s="256" t="s">
        <v>1191</v>
      </c>
      <c r="C371" s="256" t="s">
        <v>46</v>
      </c>
      <c r="D371" s="186" t="s">
        <v>1212</v>
      </c>
      <c r="E371" s="187">
        <v>71</v>
      </c>
      <c r="F371" s="256">
        <v>3.6366189958349102E-2</v>
      </c>
      <c r="G371" s="181">
        <v>1</v>
      </c>
      <c r="H371" s="279">
        <v>42455</v>
      </c>
      <c r="I371" s="186" t="s">
        <v>1213</v>
      </c>
      <c r="J371" s="186">
        <v>1</v>
      </c>
      <c r="K371" s="186" t="s">
        <v>1211</v>
      </c>
      <c r="L371" s="256">
        <v>55</v>
      </c>
      <c r="M371" s="256">
        <v>2</v>
      </c>
      <c r="N371" s="256">
        <v>4</v>
      </c>
      <c r="O371" s="256">
        <v>16</v>
      </c>
    </row>
    <row r="372" spans="1:18" s="69" customFormat="1" ht="45">
      <c r="A372" s="256" t="s">
        <v>589</v>
      </c>
      <c r="B372" s="256" t="s">
        <v>1191</v>
      </c>
      <c r="C372" s="256" t="s">
        <v>46</v>
      </c>
      <c r="D372" s="186" t="s">
        <v>1209</v>
      </c>
      <c r="E372" s="187">
        <v>71</v>
      </c>
      <c r="F372" s="256">
        <v>3.6366189958349102E-2</v>
      </c>
      <c r="G372" s="181">
        <v>1</v>
      </c>
      <c r="H372" s="279">
        <v>42455</v>
      </c>
      <c r="I372" s="186" t="s">
        <v>1213</v>
      </c>
      <c r="J372" s="186">
        <v>1</v>
      </c>
      <c r="K372" s="186" t="s">
        <v>1211</v>
      </c>
      <c r="L372" s="256">
        <v>55</v>
      </c>
      <c r="M372" s="256">
        <v>0</v>
      </c>
      <c r="N372" s="256">
        <v>4</v>
      </c>
      <c r="O372" s="256">
        <v>16</v>
      </c>
    </row>
    <row r="373" spans="1:18" s="69" customFormat="1" ht="60">
      <c r="A373" s="256" t="s">
        <v>589</v>
      </c>
      <c r="B373" s="256" t="s">
        <v>45</v>
      </c>
      <c r="C373" s="256" t="s">
        <v>80</v>
      </c>
      <c r="D373" s="220" t="s">
        <v>1171</v>
      </c>
      <c r="E373" s="187">
        <v>82</v>
      </c>
      <c r="F373" s="256">
        <v>0.184315110110605</v>
      </c>
      <c r="G373" s="181">
        <v>1</v>
      </c>
      <c r="H373" s="279">
        <v>42452</v>
      </c>
      <c r="I373" s="186" t="s">
        <v>1214</v>
      </c>
      <c r="J373" s="186">
        <v>0</v>
      </c>
      <c r="K373" s="186" t="s">
        <v>1215</v>
      </c>
      <c r="L373" s="256">
        <v>73</v>
      </c>
      <c r="M373" s="220">
        <v>0</v>
      </c>
      <c r="N373" s="186">
        <v>1</v>
      </c>
      <c r="O373" s="220">
        <v>8</v>
      </c>
    </row>
    <row r="374" spans="1:18" s="69" customFormat="1" ht="90">
      <c r="A374" s="256" t="s">
        <v>589</v>
      </c>
      <c r="B374" s="256" t="s">
        <v>45</v>
      </c>
      <c r="C374" s="256" t="s">
        <v>80</v>
      </c>
      <c r="D374" s="220" t="s">
        <v>1171</v>
      </c>
      <c r="E374" s="187">
        <v>73</v>
      </c>
      <c r="F374" s="256">
        <v>3.48423888229421E-4</v>
      </c>
      <c r="G374" s="181">
        <v>1</v>
      </c>
      <c r="H374" s="279">
        <v>42432</v>
      </c>
      <c r="I374" s="186" t="s">
        <v>1216</v>
      </c>
      <c r="J374" s="186">
        <v>0</v>
      </c>
      <c r="K374" s="186" t="s">
        <v>1217</v>
      </c>
      <c r="L374" s="256">
        <v>126</v>
      </c>
      <c r="M374" s="220">
        <v>0</v>
      </c>
      <c r="N374" s="186">
        <v>1</v>
      </c>
      <c r="O374" s="220">
        <v>6</v>
      </c>
    </row>
    <row r="375" spans="1:18" s="69" customFormat="1" ht="45">
      <c r="A375" s="256" t="s">
        <v>589</v>
      </c>
      <c r="B375" s="256" t="s">
        <v>45</v>
      </c>
      <c r="C375" s="256" t="s">
        <v>80</v>
      </c>
      <c r="D375" s="258" t="s">
        <v>1218</v>
      </c>
      <c r="E375" s="187">
        <v>31</v>
      </c>
      <c r="F375" s="256">
        <v>0.57030334028714103</v>
      </c>
      <c r="G375" s="181">
        <v>1</v>
      </c>
      <c r="H375" s="279">
        <v>42404</v>
      </c>
      <c r="I375" s="258" t="s">
        <v>1219</v>
      </c>
      <c r="J375" s="258">
        <v>1</v>
      </c>
      <c r="K375" s="186" t="s">
        <v>1220</v>
      </c>
      <c r="L375" s="256">
        <v>61</v>
      </c>
      <c r="M375" s="256">
        <v>0</v>
      </c>
      <c r="N375" s="256">
        <v>2</v>
      </c>
      <c r="O375" s="256">
        <v>13</v>
      </c>
    </row>
    <row r="376" spans="1:18" s="69" customFormat="1" ht="45">
      <c r="A376" s="256" t="s">
        <v>589</v>
      </c>
      <c r="B376" s="256" t="s">
        <v>45</v>
      </c>
      <c r="C376" s="256" t="s">
        <v>80</v>
      </c>
      <c r="D376" s="186" t="s">
        <v>1171</v>
      </c>
      <c r="E376" s="187">
        <v>71</v>
      </c>
      <c r="F376" s="256">
        <v>1.27635698634476E-3</v>
      </c>
      <c r="G376" s="181">
        <v>1</v>
      </c>
      <c r="H376" s="279">
        <v>42389</v>
      </c>
      <c r="I376" s="186" t="s">
        <v>1221</v>
      </c>
      <c r="J376" s="186">
        <v>0</v>
      </c>
      <c r="K376" s="186" t="s">
        <v>1220</v>
      </c>
      <c r="L376" s="256">
        <v>61</v>
      </c>
      <c r="M376" s="256">
        <v>0</v>
      </c>
      <c r="N376" s="256">
        <v>1</v>
      </c>
      <c r="O376" s="256">
        <v>9</v>
      </c>
    </row>
    <row r="377" spans="1:18" s="69" customFormat="1" ht="105">
      <c r="A377" s="256" t="s">
        <v>1222</v>
      </c>
      <c r="B377" s="256" t="s">
        <v>45</v>
      </c>
      <c r="C377" s="256" t="s">
        <v>1223</v>
      </c>
      <c r="D377" s="261" t="s">
        <v>1224</v>
      </c>
      <c r="E377" s="187"/>
      <c r="F377" s="256"/>
      <c r="G377" s="181">
        <v>1</v>
      </c>
      <c r="H377" s="263">
        <v>44170</v>
      </c>
      <c r="I377" s="186" t="s">
        <v>1225</v>
      </c>
      <c r="J377" s="186">
        <v>1</v>
      </c>
      <c r="K377" s="137" t="s">
        <v>1226</v>
      </c>
      <c r="L377" s="256"/>
      <c r="M377" s="256">
        <v>0</v>
      </c>
      <c r="N377" s="256">
        <v>2</v>
      </c>
      <c r="O377" s="256">
        <v>3</v>
      </c>
      <c r="P377" s="69">
        <f>AVERAGE(M377:M530)</f>
        <v>0.59740259740259738</v>
      </c>
      <c r="Q377" s="69">
        <f>AVERAGE(N377:N530)</f>
        <v>1.3311688311688312</v>
      </c>
      <c r="R377" s="69">
        <f>AVERAGE(O377:O530)</f>
        <v>8.279220779220779</v>
      </c>
    </row>
    <row r="378" spans="1:18" s="69" customFormat="1" ht="90">
      <c r="A378" s="256" t="s">
        <v>1222</v>
      </c>
      <c r="B378" s="256" t="s">
        <v>45</v>
      </c>
      <c r="C378" s="256" t="s">
        <v>1223</v>
      </c>
      <c r="D378" s="261" t="s">
        <v>1227</v>
      </c>
      <c r="E378" s="187"/>
      <c r="F378" s="256"/>
      <c r="G378" s="181">
        <v>1</v>
      </c>
      <c r="H378" s="263">
        <v>44145</v>
      </c>
      <c r="I378" s="261" t="s">
        <v>1228</v>
      </c>
      <c r="J378" s="186">
        <v>1</v>
      </c>
      <c r="K378" s="261" t="s">
        <v>1229</v>
      </c>
      <c r="L378" s="256"/>
      <c r="M378" s="256">
        <v>0</v>
      </c>
      <c r="N378" s="256">
        <v>1</v>
      </c>
      <c r="O378" s="256">
        <v>1</v>
      </c>
    </row>
    <row r="379" spans="1:18" s="69" customFormat="1" ht="90">
      <c r="A379" s="256" t="s">
        <v>1222</v>
      </c>
      <c r="B379" s="256" t="s">
        <v>45</v>
      </c>
      <c r="C379" s="256" t="s">
        <v>1223</v>
      </c>
      <c r="D379" s="261" t="s">
        <v>1230</v>
      </c>
      <c r="E379" s="187"/>
      <c r="F379" s="256"/>
      <c r="G379" s="181">
        <v>1</v>
      </c>
      <c r="H379" s="264">
        <v>44145</v>
      </c>
      <c r="I379" s="137" t="s">
        <v>1231</v>
      </c>
      <c r="J379" s="186">
        <v>1</v>
      </c>
      <c r="K379" s="261" t="s">
        <v>1232</v>
      </c>
      <c r="L379" s="256"/>
      <c r="M379" s="256">
        <v>0</v>
      </c>
      <c r="N379" s="256">
        <v>1</v>
      </c>
      <c r="O379" s="256">
        <v>1</v>
      </c>
    </row>
    <row r="380" spans="1:18" s="69" customFormat="1" ht="60">
      <c r="A380" s="256" t="s">
        <v>1222</v>
      </c>
      <c r="B380" s="256" t="s">
        <v>59</v>
      </c>
      <c r="C380" s="256" t="s">
        <v>1223</v>
      </c>
      <c r="D380" s="261" t="s">
        <v>1233</v>
      </c>
      <c r="E380" s="187"/>
      <c r="F380" s="256"/>
      <c r="G380" s="181">
        <v>1</v>
      </c>
      <c r="H380" s="263">
        <v>44144</v>
      </c>
      <c r="I380" s="261" t="s">
        <v>1234</v>
      </c>
      <c r="J380" s="186">
        <v>1</v>
      </c>
      <c r="K380" s="261" t="s">
        <v>1235</v>
      </c>
      <c r="L380" s="256"/>
      <c r="M380" s="256">
        <v>0</v>
      </c>
      <c r="N380" s="256">
        <v>1</v>
      </c>
      <c r="O380" s="256">
        <v>1</v>
      </c>
    </row>
    <row r="381" spans="1:18" s="69" customFormat="1" ht="135">
      <c r="A381" s="256" t="s">
        <v>1222</v>
      </c>
      <c r="B381" s="256" t="s">
        <v>59</v>
      </c>
      <c r="C381" s="256" t="s">
        <v>1223</v>
      </c>
      <c r="D381" s="261" t="s">
        <v>1236</v>
      </c>
      <c r="E381" s="187"/>
      <c r="F381" s="256"/>
      <c r="G381" s="181">
        <v>1</v>
      </c>
      <c r="H381" s="263">
        <v>44140</v>
      </c>
      <c r="I381" s="261" t="s">
        <v>1237</v>
      </c>
      <c r="J381" s="186">
        <v>1</v>
      </c>
      <c r="K381" s="261" t="s">
        <v>1238</v>
      </c>
      <c r="L381" s="256"/>
      <c r="M381" s="256">
        <v>0</v>
      </c>
      <c r="N381" s="256">
        <v>1</v>
      </c>
      <c r="O381" s="256">
        <v>1</v>
      </c>
    </row>
    <row r="382" spans="1:18" s="69" customFormat="1" ht="120">
      <c r="A382" s="256" t="s">
        <v>1222</v>
      </c>
      <c r="B382" s="256" t="s">
        <v>59</v>
      </c>
      <c r="C382" s="256" t="s">
        <v>1223</v>
      </c>
      <c r="D382" s="186" t="s">
        <v>1239</v>
      </c>
      <c r="E382" s="187"/>
      <c r="F382" s="256"/>
      <c r="G382" s="181">
        <v>1</v>
      </c>
      <c r="H382" s="263">
        <v>44139</v>
      </c>
      <c r="I382" s="186" t="s">
        <v>1240</v>
      </c>
      <c r="J382" s="186">
        <v>1</v>
      </c>
      <c r="K382" s="261" t="s">
        <v>1241</v>
      </c>
      <c r="L382" s="256"/>
      <c r="M382" s="256">
        <v>0</v>
      </c>
      <c r="N382" s="256">
        <v>1</v>
      </c>
      <c r="O382" s="256">
        <v>0</v>
      </c>
    </row>
    <row r="383" spans="1:18" s="69" customFormat="1" ht="120">
      <c r="A383" s="256" t="s">
        <v>1222</v>
      </c>
      <c r="B383" s="256" t="s">
        <v>45</v>
      </c>
      <c r="C383" s="256" t="s">
        <v>221</v>
      </c>
      <c r="D383" s="261" t="s">
        <v>1242</v>
      </c>
      <c r="E383" s="187"/>
      <c r="F383" s="256"/>
      <c r="G383" s="181">
        <v>1</v>
      </c>
      <c r="H383" s="264">
        <v>43998</v>
      </c>
      <c r="I383" s="186" t="s">
        <v>1243</v>
      </c>
      <c r="J383" s="186">
        <v>1</v>
      </c>
      <c r="K383" s="186" t="s">
        <v>1244</v>
      </c>
      <c r="L383" s="256"/>
      <c r="M383" s="256">
        <v>0</v>
      </c>
      <c r="N383" s="256">
        <v>2</v>
      </c>
      <c r="O383" s="256">
        <v>15</v>
      </c>
    </row>
    <row r="384" spans="1:18" s="69" customFormat="1" ht="75">
      <c r="A384" s="256" t="s">
        <v>1222</v>
      </c>
      <c r="B384" s="256" t="s">
        <v>45</v>
      </c>
      <c r="C384" s="256" t="s">
        <v>221</v>
      </c>
      <c r="D384" s="186" t="s">
        <v>1245</v>
      </c>
      <c r="E384" s="187">
        <v>28</v>
      </c>
      <c r="F384" s="256">
        <v>0.98877007578333298</v>
      </c>
      <c r="G384" s="181">
        <v>1</v>
      </c>
      <c r="H384" s="257">
        <v>43998</v>
      </c>
      <c r="I384" s="258" t="s">
        <v>1246</v>
      </c>
      <c r="J384" s="258">
        <v>1</v>
      </c>
      <c r="K384" s="186" t="s">
        <v>1247</v>
      </c>
      <c r="L384" s="256">
        <v>110</v>
      </c>
      <c r="M384" s="256">
        <v>0</v>
      </c>
      <c r="N384" s="256">
        <v>1</v>
      </c>
      <c r="O384" s="256">
        <v>1</v>
      </c>
      <c r="P384" s="69">
        <f>AVERAGE(M384:M530)</f>
        <v>0.62585034013605445</v>
      </c>
    </row>
    <row r="385" spans="1:16" s="69" customFormat="1" ht="105">
      <c r="A385" s="256" t="s">
        <v>1222</v>
      </c>
      <c r="B385" s="256" t="s">
        <v>45</v>
      </c>
      <c r="C385" s="256" t="s">
        <v>46</v>
      </c>
      <c r="D385" s="186" t="s">
        <v>1248</v>
      </c>
      <c r="E385" s="187">
        <v>65</v>
      </c>
      <c r="F385" s="256">
        <v>8.3332876704267399E-4</v>
      </c>
      <c r="G385" s="181">
        <v>1</v>
      </c>
      <c r="H385" s="257">
        <v>43972</v>
      </c>
      <c r="I385" s="186" t="s">
        <v>1249</v>
      </c>
      <c r="J385" s="186">
        <v>0</v>
      </c>
      <c r="K385" s="186" t="s">
        <v>1250</v>
      </c>
      <c r="L385" s="256">
        <v>70</v>
      </c>
      <c r="M385" s="220">
        <v>0</v>
      </c>
      <c r="N385" s="186">
        <v>1</v>
      </c>
      <c r="O385" s="220">
        <v>4</v>
      </c>
      <c r="P385" s="69">
        <f>AVERAGE(O384:O530)</f>
        <v>8.5238095238095237</v>
      </c>
    </row>
    <row r="386" spans="1:16" s="69" customFormat="1" ht="45">
      <c r="A386" s="256" t="s">
        <v>1222</v>
      </c>
      <c r="B386" s="256" t="s">
        <v>59</v>
      </c>
      <c r="C386" s="256" t="s">
        <v>46</v>
      </c>
      <c r="D386" s="186" t="s">
        <v>1251</v>
      </c>
      <c r="E386" s="187">
        <v>80</v>
      </c>
      <c r="F386" s="256">
        <v>3.7483915371616698E-7</v>
      </c>
      <c r="G386" s="181">
        <v>1</v>
      </c>
      <c r="H386" s="257">
        <v>43969</v>
      </c>
      <c r="I386" s="186" t="s">
        <v>1252</v>
      </c>
      <c r="J386" s="186">
        <v>1</v>
      </c>
      <c r="K386" s="181" t="s">
        <v>1253</v>
      </c>
      <c r="L386" s="256">
        <v>65</v>
      </c>
      <c r="M386" s="256">
        <v>0</v>
      </c>
      <c r="N386" s="256">
        <v>1</v>
      </c>
      <c r="O386" s="256">
        <v>1</v>
      </c>
    </row>
    <row r="387" spans="1:16" s="69" customFormat="1" ht="150">
      <c r="A387" s="256" t="s">
        <v>1222</v>
      </c>
      <c r="B387" s="256" t="s">
        <v>45</v>
      </c>
      <c r="C387" s="256" t="s">
        <v>46</v>
      </c>
      <c r="D387" s="186" t="s">
        <v>4386</v>
      </c>
      <c r="E387" s="187">
        <v>97</v>
      </c>
      <c r="F387" s="256">
        <v>1.1392473583500299E-3</v>
      </c>
      <c r="G387" s="181">
        <v>1</v>
      </c>
      <c r="H387" s="257">
        <v>43921</v>
      </c>
      <c r="I387" s="186" t="s">
        <v>4387</v>
      </c>
      <c r="J387" s="186">
        <v>0</v>
      </c>
      <c r="K387" s="186" t="s">
        <v>1256</v>
      </c>
      <c r="L387" s="256">
        <v>22</v>
      </c>
      <c r="M387" s="220">
        <v>1</v>
      </c>
      <c r="N387" s="186">
        <v>2</v>
      </c>
      <c r="O387" s="220">
        <v>16</v>
      </c>
    </row>
    <row r="388" spans="1:16" s="69" customFormat="1" ht="90">
      <c r="A388" s="256" t="s">
        <v>1222</v>
      </c>
      <c r="B388" s="256" t="s">
        <v>45</v>
      </c>
      <c r="C388" s="256" t="s">
        <v>46</v>
      </c>
      <c r="D388" s="186" t="s">
        <v>1257</v>
      </c>
      <c r="E388" s="187">
        <v>170</v>
      </c>
      <c r="F388" s="256">
        <v>2.8413612809252702E-6</v>
      </c>
      <c r="G388" s="181">
        <v>0</v>
      </c>
      <c r="H388" s="257">
        <v>43840</v>
      </c>
      <c r="I388" s="186" t="s">
        <v>1258</v>
      </c>
      <c r="J388" s="186">
        <v>0</v>
      </c>
      <c r="K388" s="186" t="s">
        <v>1259</v>
      </c>
      <c r="L388" s="256">
        <v>33</v>
      </c>
      <c r="M388" s="256">
        <v>0</v>
      </c>
      <c r="N388" s="256">
        <v>1</v>
      </c>
      <c r="O388" s="256">
        <v>5</v>
      </c>
    </row>
    <row r="389" spans="1:16" s="69" customFormat="1" ht="105">
      <c r="A389" s="256" t="s">
        <v>1222</v>
      </c>
      <c r="B389" s="256" t="s">
        <v>45</v>
      </c>
      <c r="C389" s="256" t="s">
        <v>46</v>
      </c>
      <c r="D389" s="186" t="s">
        <v>4388</v>
      </c>
      <c r="E389" s="187">
        <v>159</v>
      </c>
      <c r="F389" s="256">
        <v>7.6225955686681801E-4</v>
      </c>
      <c r="G389" s="181">
        <v>1</v>
      </c>
      <c r="H389" s="257">
        <v>43826</v>
      </c>
      <c r="I389" s="186" t="s">
        <v>4389</v>
      </c>
      <c r="J389" s="186">
        <v>0</v>
      </c>
      <c r="K389" s="186" t="s">
        <v>1262</v>
      </c>
      <c r="L389" s="256">
        <v>34</v>
      </c>
      <c r="M389" s="256">
        <v>1</v>
      </c>
      <c r="N389" s="256">
        <v>1</v>
      </c>
      <c r="O389" s="256">
        <v>10</v>
      </c>
    </row>
    <row r="390" spans="1:16" s="69" customFormat="1" ht="165">
      <c r="A390" s="256" t="s">
        <v>1222</v>
      </c>
      <c r="B390" s="256" t="s">
        <v>45</v>
      </c>
      <c r="C390" s="256" t="s">
        <v>46</v>
      </c>
      <c r="D390" s="186" t="s">
        <v>1263</v>
      </c>
      <c r="E390" s="187">
        <v>171</v>
      </c>
      <c r="F390" s="256">
        <v>1.10579755874607E-3</v>
      </c>
      <c r="G390" s="181">
        <v>1</v>
      </c>
      <c r="H390" s="257">
        <v>43792</v>
      </c>
      <c r="I390" s="186" t="s">
        <v>1264</v>
      </c>
      <c r="J390" s="186">
        <v>0</v>
      </c>
      <c r="K390" s="186" t="s">
        <v>1265</v>
      </c>
      <c r="L390" s="256">
        <v>213</v>
      </c>
      <c r="M390" s="256">
        <v>0</v>
      </c>
      <c r="N390" s="256">
        <v>1</v>
      </c>
      <c r="O390" s="256">
        <v>3</v>
      </c>
    </row>
    <row r="391" spans="1:16" s="69" customFormat="1" ht="165">
      <c r="A391" s="256" t="s">
        <v>1222</v>
      </c>
      <c r="B391" s="256" t="s">
        <v>45</v>
      </c>
      <c r="C391" s="256" t="s">
        <v>1223</v>
      </c>
      <c r="D391" s="186" t="s">
        <v>1266</v>
      </c>
      <c r="E391" s="187">
        <v>307</v>
      </c>
      <c r="F391" s="256">
        <v>1.6831640924322999E-3</v>
      </c>
      <c r="G391" s="181">
        <v>1</v>
      </c>
      <c r="H391" s="257">
        <v>43761</v>
      </c>
      <c r="I391" s="186" t="s">
        <v>1267</v>
      </c>
      <c r="J391" s="186">
        <v>0</v>
      </c>
      <c r="K391" s="186" t="s">
        <v>1268</v>
      </c>
      <c r="L391" s="256">
        <v>88</v>
      </c>
      <c r="M391" s="256">
        <v>0</v>
      </c>
      <c r="N391" s="256">
        <v>1</v>
      </c>
      <c r="O391" s="256">
        <v>2</v>
      </c>
    </row>
    <row r="392" spans="1:16" s="69" customFormat="1" ht="75">
      <c r="A392" s="256" t="s">
        <v>1222</v>
      </c>
      <c r="B392" s="256" t="s">
        <v>45</v>
      </c>
      <c r="C392" s="256" t="s">
        <v>80</v>
      </c>
      <c r="D392" s="186" t="s">
        <v>1269</v>
      </c>
      <c r="E392" s="187">
        <v>74</v>
      </c>
      <c r="F392" s="256">
        <v>0.92328741813091197</v>
      </c>
      <c r="G392" s="181">
        <v>1</v>
      </c>
      <c r="H392" s="257">
        <v>43747</v>
      </c>
      <c r="I392" s="186" t="s">
        <v>1270</v>
      </c>
      <c r="J392" s="186">
        <v>1</v>
      </c>
      <c r="K392" s="186" t="s">
        <v>1271</v>
      </c>
      <c r="L392" s="256">
        <v>99</v>
      </c>
      <c r="M392" s="256">
        <v>0</v>
      </c>
      <c r="N392" s="256">
        <v>2</v>
      </c>
      <c r="O392" s="256">
        <v>3</v>
      </c>
    </row>
    <row r="393" spans="1:16" s="69" customFormat="1" ht="60">
      <c r="A393" s="256" t="s">
        <v>1222</v>
      </c>
      <c r="B393" s="256" t="s">
        <v>45</v>
      </c>
      <c r="C393" s="256" t="s">
        <v>46</v>
      </c>
      <c r="D393" s="186" t="s">
        <v>1272</v>
      </c>
      <c r="E393" s="187">
        <v>97</v>
      </c>
      <c r="F393" s="256">
        <v>0.25138633236457802</v>
      </c>
      <c r="G393" s="181">
        <v>0</v>
      </c>
      <c r="H393" s="257">
        <v>43715</v>
      </c>
      <c r="I393" s="186" t="s">
        <v>1273</v>
      </c>
      <c r="J393" s="186">
        <v>0</v>
      </c>
      <c r="K393" s="186" t="s">
        <v>1274</v>
      </c>
      <c r="L393" s="256">
        <v>66</v>
      </c>
      <c r="M393" s="220">
        <v>0</v>
      </c>
      <c r="N393" s="186">
        <v>1</v>
      </c>
      <c r="O393" s="220">
        <v>9</v>
      </c>
    </row>
    <row r="394" spans="1:16" s="69" customFormat="1" ht="60">
      <c r="A394" s="256" t="s">
        <v>1222</v>
      </c>
      <c r="B394" s="256" t="s">
        <v>45</v>
      </c>
      <c r="C394" s="256" t="s">
        <v>46</v>
      </c>
      <c r="D394" s="186" t="s">
        <v>1275</v>
      </c>
      <c r="E394" s="187">
        <v>52</v>
      </c>
      <c r="F394" s="256">
        <v>3.34930261306488E-4</v>
      </c>
      <c r="G394" s="181">
        <v>1</v>
      </c>
      <c r="H394" s="257">
        <v>43695</v>
      </c>
      <c r="I394" s="186" t="s">
        <v>1276</v>
      </c>
      <c r="J394" s="186">
        <v>0</v>
      </c>
      <c r="K394" s="186" t="s">
        <v>1277</v>
      </c>
      <c r="L394" s="256">
        <v>82</v>
      </c>
      <c r="M394" s="256">
        <v>0</v>
      </c>
      <c r="N394" s="256">
        <v>1</v>
      </c>
      <c r="O394" s="256">
        <v>2</v>
      </c>
    </row>
    <row r="395" spans="1:16" s="69" customFormat="1" ht="75">
      <c r="A395" s="256" t="s">
        <v>1222</v>
      </c>
      <c r="B395" s="256" t="s">
        <v>45</v>
      </c>
      <c r="C395" s="256" t="s">
        <v>80</v>
      </c>
      <c r="D395" s="186" t="s">
        <v>1278</v>
      </c>
      <c r="E395" s="187">
        <v>118</v>
      </c>
      <c r="F395" s="256">
        <v>0.19689844227916001</v>
      </c>
      <c r="G395" s="181">
        <v>1</v>
      </c>
      <c r="H395" s="257">
        <v>43679</v>
      </c>
      <c r="I395" s="186" t="s">
        <v>1279</v>
      </c>
      <c r="J395" s="186">
        <v>0</v>
      </c>
      <c r="K395" s="186" t="s">
        <v>1280</v>
      </c>
      <c r="L395" s="256">
        <v>56</v>
      </c>
      <c r="M395" s="256">
        <v>1</v>
      </c>
      <c r="N395" s="256">
        <v>1</v>
      </c>
      <c r="O395" s="256">
        <v>4</v>
      </c>
    </row>
    <row r="396" spans="1:16" s="69" customFormat="1" ht="105">
      <c r="A396" s="256" t="s">
        <v>1222</v>
      </c>
      <c r="B396" s="256" t="s">
        <v>45</v>
      </c>
      <c r="C396" s="256" t="s">
        <v>1223</v>
      </c>
      <c r="D396" s="258" t="s">
        <v>1281</v>
      </c>
      <c r="E396" s="187">
        <v>64</v>
      </c>
      <c r="F396" s="256">
        <v>4.4361234700573997E-4</v>
      </c>
      <c r="G396" s="181">
        <v>1</v>
      </c>
      <c r="H396" s="257">
        <v>43651</v>
      </c>
      <c r="I396" s="186" t="s">
        <v>1282</v>
      </c>
      <c r="J396" s="186">
        <v>0</v>
      </c>
      <c r="K396" s="186" t="s">
        <v>1283</v>
      </c>
      <c r="L396" s="256">
        <v>143</v>
      </c>
      <c r="M396" s="220">
        <v>0</v>
      </c>
      <c r="N396" s="186">
        <v>1</v>
      </c>
      <c r="O396" s="220">
        <v>3</v>
      </c>
    </row>
    <row r="397" spans="1:16" s="69" customFormat="1" ht="90">
      <c r="A397" s="256" t="s">
        <v>1222</v>
      </c>
      <c r="B397" s="256" t="s">
        <v>45</v>
      </c>
      <c r="C397" s="256" t="s">
        <v>46</v>
      </c>
      <c r="D397" s="258" t="s">
        <v>1284</v>
      </c>
      <c r="E397" s="187">
        <v>145</v>
      </c>
      <c r="F397" s="256">
        <v>0.139412410112979</v>
      </c>
      <c r="G397" s="181">
        <v>1</v>
      </c>
      <c r="H397" s="257">
        <v>43619</v>
      </c>
      <c r="I397" s="186" t="s">
        <v>1285</v>
      </c>
      <c r="J397" s="186">
        <v>0</v>
      </c>
      <c r="K397" s="186" t="s">
        <v>1286</v>
      </c>
      <c r="L397" s="256">
        <v>116</v>
      </c>
      <c r="M397" s="256">
        <v>3</v>
      </c>
      <c r="N397" s="256">
        <v>4</v>
      </c>
      <c r="O397" s="256">
        <v>24</v>
      </c>
    </row>
    <row r="398" spans="1:16" s="69" customFormat="1" ht="195">
      <c r="A398" s="256" t="s">
        <v>1222</v>
      </c>
      <c r="B398" s="256" t="s">
        <v>59</v>
      </c>
      <c r="C398" s="256" t="s">
        <v>46</v>
      </c>
      <c r="D398" s="186" t="s">
        <v>1287</v>
      </c>
      <c r="E398" s="187">
        <v>76</v>
      </c>
      <c r="F398" s="256">
        <v>0.98358304407850505</v>
      </c>
      <c r="G398" s="181">
        <v>0</v>
      </c>
      <c r="H398" s="257">
        <v>43609</v>
      </c>
      <c r="I398" s="186" t="s">
        <v>1288</v>
      </c>
      <c r="J398" s="186">
        <v>1</v>
      </c>
      <c r="K398" s="186" t="s">
        <v>1289</v>
      </c>
      <c r="L398" s="256">
        <v>279</v>
      </c>
      <c r="M398" s="256">
        <v>3</v>
      </c>
      <c r="N398" s="256">
        <v>1</v>
      </c>
      <c r="O398" s="256">
        <v>10</v>
      </c>
    </row>
    <row r="399" spans="1:16" s="69" customFormat="1" ht="105">
      <c r="A399" s="256" t="s">
        <v>1222</v>
      </c>
      <c r="B399" s="256" t="s">
        <v>45</v>
      </c>
      <c r="C399" s="256" t="s">
        <v>1223</v>
      </c>
      <c r="D399" s="186" t="s">
        <v>1290</v>
      </c>
      <c r="E399" s="187">
        <v>42</v>
      </c>
      <c r="F399" s="256">
        <v>1.4486946999591199E-3</v>
      </c>
      <c r="G399" s="181">
        <v>1</v>
      </c>
      <c r="H399" s="257">
        <v>43607</v>
      </c>
      <c r="I399" s="220" t="s">
        <v>1291</v>
      </c>
      <c r="J399" s="186">
        <v>1</v>
      </c>
      <c r="K399" s="186" t="s">
        <v>1292</v>
      </c>
      <c r="L399" s="256">
        <v>152</v>
      </c>
      <c r="M399" s="220">
        <v>7</v>
      </c>
      <c r="N399" s="186">
        <v>2</v>
      </c>
      <c r="O399" s="220">
        <v>26</v>
      </c>
    </row>
    <row r="400" spans="1:16" s="69" customFormat="1" ht="60">
      <c r="A400" s="256" t="s">
        <v>1222</v>
      </c>
      <c r="B400" s="256" t="s">
        <v>45</v>
      </c>
      <c r="C400" s="256" t="s">
        <v>80</v>
      </c>
      <c r="D400" s="258" t="s">
        <v>1293</v>
      </c>
      <c r="E400" s="187">
        <v>68</v>
      </c>
      <c r="F400" s="256">
        <v>0.876646886269145</v>
      </c>
      <c r="G400" s="181">
        <v>0</v>
      </c>
      <c r="H400" s="257">
        <v>43606</v>
      </c>
      <c r="I400" s="186" t="s">
        <v>1294</v>
      </c>
      <c r="J400" s="186">
        <v>0</v>
      </c>
      <c r="K400" s="181" t="s">
        <v>1295</v>
      </c>
      <c r="L400" s="256">
        <v>78</v>
      </c>
      <c r="M400" s="256">
        <v>1</v>
      </c>
      <c r="N400" s="256">
        <v>1</v>
      </c>
      <c r="O400" s="256">
        <v>3</v>
      </c>
    </row>
    <row r="401" spans="1:15" s="69" customFormat="1" ht="120">
      <c r="A401" s="256" t="s">
        <v>1222</v>
      </c>
      <c r="B401" s="256" t="s">
        <v>45</v>
      </c>
      <c r="C401" s="256" t="s">
        <v>221</v>
      </c>
      <c r="D401" s="186" t="s">
        <v>1296</v>
      </c>
      <c r="E401" s="187">
        <v>215</v>
      </c>
      <c r="F401" s="256">
        <v>4.6743525614515403E-3</v>
      </c>
      <c r="G401" s="181">
        <v>1</v>
      </c>
      <c r="H401" s="257">
        <v>43597</v>
      </c>
      <c r="I401" s="181" t="s">
        <v>1297</v>
      </c>
      <c r="J401" s="181">
        <v>0</v>
      </c>
      <c r="K401" s="186" t="s">
        <v>1298</v>
      </c>
      <c r="L401" s="256">
        <v>124</v>
      </c>
      <c r="M401" s="256">
        <v>2</v>
      </c>
      <c r="N401" s="256">
        <v>1</v>
      </c>
      <c r="O401" s="256">
        <v>4</v>
      </c>
    </row>
    <row r="402" spans="1:15" s="69" customFormat="1" ht="150">
      <c r="A402" s="256" t="s">
        <v>1222</v>
      </c>
      <c r="B402" s="256" t="s">
        <v>45</v>
      </c>
      <c r="C402" s="256" t="s">
        <v>1223</v>
      </c>
      <c r="D402" s="186" t="s">
        <v>1299</v>
      </c>
      <c r="E402" s="187">
        <v>113</v>
      </c>
      <c r="F402" s="256">
        <v>1.5466492697679999E-7</v>
      </c>
      <c r="G402" s="181">
        <v>1</v>
      </c>
      <c r="H402" s="257">
        <v>43593</v>
      </c>
      <c r="I402" s="186" t="s">
        <v>1300</v>
      </c>
      <c r="J402" s="186">
        <v>1</v>
      </c>
      <c r="K402" s="186" t="s">
        <v>1301</v>
      </c>
      <c r="L402" s="256">
        <v>211</v>
      </c>
      <c r="M402" s="256">
        <v>1</v>
      </c>
      <c r="N402" s="256">
        <v>1</v>
      </c>
      <c r="O402" s="256">
        <v>7</v>
      </c>
    </row>
    <row r="403" spans="1:15" s="69" customFormat="1" ht="150">
      <c r="A403" s="256" t="s">
        <v>1222</v>
      </c>
      <c r="B403" s="256" t="s">
        <v>45</v>
      </c>
      <c r="C403" s="256" t="s">
        <v>1223</v>
      </c>
      <c r="D403" s="186" t="s">
        <v>1302</v>
      </c>
      <c r="E403" s="187">
        <v>78</v>
      </c>
      <c r="F403" s="256">
        <v>0.98668990385836097</v>
      </c>
      <c r="G403" s="181">
        <v>1</v>
      </c>
      <c r="H403" s="257">
        <v>43592</v>
      </c>
      <c r="I403" s="186" t="s">
        <v>1303</v>
      </c>
      <c r="J403" s="186">
        <v>1</v>
      </c>
      <c r="K403" s="186" t="s">
        <v>1301</v>
      </c>
      <c r="L403" s="256">
        <v>211</v>
      </c>
      <c r="M403" s="256">
        <v>1</v>
      </c>
      <c r="N403" s="256">
        <v>2</v>
      </c>
      <c r="O403" s="256">
        <v>10</v>
      </c>
    </row>
    <row r="404" spans="1:15" s="69" customFormat="1" ht="210">
      <c r="A404" s="256" t="s">
        <v>1222</v>
      </c>
      <c r="B404" s="256" t="s">
        <v>45</v>
      </c>
      <c r="C404" s="256" t="s">
        <v>1223</v>
      </c>
      <c r="D404" s="220" t="s">
        <v>1304</v>
      </c>
      <c r="E404" s="187">
        <v>105</v>
      </c>
      <c r="F404" s="256">
        <v>1.6557167880182399E-5</v>
      </c>
      <c r="G404" s="181">
        <v>1</v>
      </c>
      <c r="H404" s="257">
        <v>43592</v>
      </c>
      <c r="I404" s="186" t="s">
        <v>1305</v>
      </c>
      <c r="J404" s="186">
        <v>1</v>
      </c>
      <c r="K404" s="220" t="s">
        <v>1306</v>
      </c>
      <c r="L404" s="256">
        <v>272</v>
      </c>
      <c r="M404" s="220">
        <v>3</v>
      </c>
      <c r="N404" s="186">
        <v>3</v>
      </c>
      <c r="O404" s="220">
        <v>13</v>
      </c>
    </row>
    <row r="405" spans="1:15" s="69" customFormat="1" ht="150">
      <c r="A405" s="256" t="s">
        <v>1222</v>
      </c>
      <c r="B405" s="256" t="s">
        <v>45</v>
      </c>
      <c r="C405" s="256" t="s">
        <v>80</v>
      </c>
      <c r="D405" s="186" t="s">
        <v>1307</v>
      </c>
      <c r="E405" s="187">
        <v>108</v>
      </c>
      <c r="F405" s="256">
        <v>2.4037188662192599E-3</v>
      </c>
      <c r="G405" s="181">
        <v>1</v>
      </c>
      <c r="H405" s="257">
        <v>43589</v>
      </c>
      <c r="I405" s="186" t="s">
        <v>1308</v>
      </c>
      <c r="J405" s="186">
        <v>1</v>
      </c>
      <c r="K405" s="186" t="s">
        <v>1301</v>
      </c>
      <c r="L405" s="256">
        <v>211</v>
      </c>
      <c r="M405" s="256">
        <v>1</v>
      </c>
      <c r="N405" s="256">
        <v>3</v>
      </c>
      <c r="O405" s="256">
        <v>13</v>
      </c>
    </row>
    <row r="406" spans="1:15" s="69" customFormat="1" ht="150">
      <c r="A406" s="256" t="s">
        <v>1222</v>
      </c>
      <c r="B406" s="256" t="s">
        <v>45</v>
      </c>
      <c r="C406" s="256" t="s">
        <v>1223</v>
      </c>
      <c r="D406" s="186" t="s">
        <v>1309</v>
      </c>
      <c r="E406" s="187">
        <v>123</v>
      </c>
      <c r="F406" s="256">
        <v>2.0394124167211199E-9</v>
      </c>
      <c r="G406" s="181">
        <v>1</v>
      </c>
      <c r="H406" s="257">
        <v>43587</v>
      </c>
      <c r="I406" s="186" t="s">
        <v>1310</v>
      </c>
      <c r="J406" s="186">
        <v>1</v>
      </c>
      <c r="K406" s="186" t="s">
        <v>1301</v>
      </c>
      <c r="L406" s="256">
        <v>211</v>
      </c>
      <c r="M406" s="256">
        <v>1</v>
      </c>
      <c r="N406" s="256">
        <v>3</v>
      </c>
      <c r="O406" s="256">
        <v>15</v>
      </c>
    </row>
    <row r="407" spans="1:15" s="69" customFormat="1" ht="60">
      <c r="A407" s="256" t="s">
        <v>1222</v>
      </c>
      <c r="B407" s="256" t="s">
        <v>45</v>
      </c>
      <c r="C407" s="256" t="s">
        <v>80</v>
      </c>
      <c r="D407" s="186" t="s">
        <v>1311</v>
      </c>
      <c r="E407" s="187">
        <v>53</v>
      </c>
      <c r="F407" s="256">
        <v>0.26127568539917201</v>
      </c>
      <c r="G407" s="181">
        <v>1</v>
      </c>
      <c r="H407" s="257">
        <v>43582</v>
      </c>
      <c r="I407" s="186" t="s">
        <v>1312</v>
      </c>
      <c r="J407" s="186">
        <v>0</v>
      </c>
      <c r="K407" s="186" t="s">
        <v>1313</v>
      </c>
      <c r="L407" s="256">
        <v>93</v>
      </c>
      <c r="M407" s="256">
        <v>0</v>
      </c>
      <c r="N407" s="256">
        <v>1</v>
      </c>
      <c r="O407" s="256">
        <v>9</v>
      </c>
    </row>
    <row r="408" spans="1:15" s="69" customFormat="1" ht="120">
      <c r="A408" s="256" t="s">
        <v>1222</v>
      </c>
      <c r="B408" s="256" t="s">
        <v>45</v>
      </c>
      <c r="C408" s="256" t="s">
        <v>1223</v>
      </c>
      <c r="D408" s="186" t="s">
        <v>1314</v>
      </c>
      <c r="E408" s="187">
        <v>211</v>
      </c>
      <c r="F408" s="256">
        <v>2.2204460492503099E-15</v>
      </c>
      <c r="G408" s="181">
        <v>1</v>
      </c>
      <c r="H408" s="257">
        <v>43577</v>
      </c>
      <c r="I408" s="186" t="s">
        <v>1315</v>
      </c>
      <c r="J408" s="186">
        <v>1</v>
      </c>
      <c r="K408" s="186" t="s">
        <v>1316</v>
      </c>
      <c r="L408" s="256">
        <v>52</v>
      </c>
      <c r="M408" s="256">
        <v>0</v>
      </c>
      <c r="N408" s="256">
        <v>1</v>
      </c>
      <c r="O408" s="256">
        <v>2</v>
      </c>
    </row>
    <row r="409" spans="1:15" s="69" customFormat="1" ht="150">
      <c r="A409" s="256" t="s">
        <v>1222</v>
      </c>
      <c r="B409" s="256" t="s">
        <v>45</v>
      </c>
      <c r="C409" s="256" t="s">
        <v>1223</v>
      </c>
      <c r="D409" s="186" t="s">
        <v>1317</v>
      </c>
      <c r="E409" s="187">
        <v>258</v>
      </c>
      <c r="F409" s="256">
        <v>2.2455954140632199E-7</v>
      </c>
      <c r="G409" s="181">
        <v>1</v>
      </c>
      <c r="H409" s="257">
        <v>43574</v>
      </c>
      <c r="I409" s="186" t="s">
        <v>1318</v>
      </c>
      <c r="J409" s="186">
        <v>1</v>
      </c>
      <c r="K409" s="186" t="s">
        <v>1319</v>
      </c>
      <c r="L409" s="256">
        <v>211</v>
      </c>
      <c r="M409" s="256">
        <v>0</v>
      </c>
      <c r="N409" s="256">
        <v>1</v>
      </c>
      <c r="O409" s="256">
        <v>4</v>
      </c>
    </row>
    <row r="410" spans="1:15" s="69" customFormat="1" ht="120">
      <c r="A410" s="256" t="s">
        <v>1222</v>
      </c>
      <c r="B410" s="256" t="s">
        <v>45</v>
      </c>
      <c r="C410" s="256" t="s">
        <v>80</v>
      </c>
      <c r="D410" s="220" t="s">
        <v>1320</v>
      </c>
      <c r="E410" s="187">
        <v>48</v>
      </c>
      <c r="F410" s="256">
        <v>0.49340567593625401</v>
      </c>
      <c r="G410" s="181">
        <v>1</v>
      </c>
      <c r="H410" s="257">
        <v>43569</v>
      </c>
      <c r="I410" s="220" t="s">
        <v>1321</v>
      </c>
      <c r="J410" s="186">
        <v>0</v>
      </c>
      <c r="K410" s="186" t="s">
        <v>1322</v>
      </c>
      <c r="L410" s="256">
        <v>172</v>
      </c>
      <c r="M410" s="220">
        <v>6</v>
      </c>
      <c r="N410" s="186">
        <v>2</v>
      </c>
      <c r="O410" s="220">
        <v>29</v>
      </c>
    </row>
    <row r="411" spans="1:15" s="69" customFormat="1" ht="150">
      <c r="A411" s="256" t="s">
        <v>1222</v>
      </c>
      <c r="B411" s="256" t="s">
        <v>45</v>
      </c>
      <c r="C411" s="256" t="s">
        <v>664</v>
      </c>
      <c r="D411" s="186" t="s">
        <v>1323</v>
      </c>
      <c r="E411" s="187">
        <v>266</v>
      </c>
      <c r="F411" s="256">
        <v>2.3758772726978299E-14</v>
      </c>
      <c r="G411" s="181">
        <v>1</v>
      </c>
      <c r="H411" s="301">
        <v>43557</v>
      </c>
      <c r="I411" s="186" t="s">
        <v>1324</v>
      </c>
      <c r="J411" s="186">
        <v>0</v>
      </c>
      <c r="K411" s="186" t="s">
        <v>1325</v>
      </c>
      <c r="L411" s="256">
        <v>41</v>
      </c>
      <c r="M411" s="256">
        <v>0</v>
      </c>
      <c r="N411" s="256">
        <v>1</v>
      </c>
      <c r="O411" s="256">
        <v>15</v>
      </c>
    </row>
    <row r="412" spans="1:15" s="69" customFormat="1" ht="90">
      <c r="A412" s="256" t="s">
        <v>1222</v>
      </c>
      <c r="B412" s="256" t="s">
        <v>45</v>
      </c>
      <c r="C412" s="256" t="s">
        <v>664</v>
      </c>
      <c r="D412" s="186" t="s">
        <v>1326</v>
      </c>
      <c r="E412" s="187">
        <v>152</v>
      </c>
      <c r="F412" s="256">
        <v>4.9355184383870202E-9</v>
      </c>
      <c r="G412" s="181">
        <v>1</v>
      </c>
      <c r="H412" s="257">
        <v>43557</v>
      </c>
      <c r="I412" s="186" t="s">
        <v>1327</v>
      </c>
      <c r="J412" s="186">
        <v>0</v>
      </c>
      <c r="K412" s="186" t="s">
        <v>1325</v>
      </c>
      <c r="L412" s="256">
        <v>41</v>
      </c>
      <c r="M412" s="256">
        <v>0</v>
      </c>
      <c r="N412" s="256">
        <v>1</v>
      </c>
      <c r="O412" s="256">
        <v>15</v>
      </c>
    </row>
    <row r="413" spans="1:15" s="69" customFormat="1" ht="150">
      <c r="A413" s="256" t="s">
        <v>1222</v>
      </c>
      <c r="B413" s="256" t="s">
        <v>45</v>
      </c>
      <c r="C413" s="256" t="s">
        <v>664</v>
      </c>
      <c r="D413" s="186" t="s">
        <v>1328</v>
      </c>
      <c r="E413" s="187">
        <v>138</v>
      </c>
      <c r="F413" s="256">
        <v>4.9587492205349604E-4</v>
      </c>
      <c r="G413" s="181">
        <v>1</v>
      </c>
      <c r="H413" s="257">
        <v>43550</v>
      </c>
      <c r="I413" s="186" t="s">
        <v>4390</v>
      </c>
      <c r="J413" s="186">
        <v>0</v>
      </c>
      <c r="K413" s="186" t="s">
        <v>1325</v>
      </c>
      <c r="L413" s="256">
        <v>41</v>
      </c>
      <c r="M413" s="256">
        <v>0</v>
      </c>
      <c r="N413" s="256">
        <v>1</v>
      </c>
      <c r="O413" s="256">
        <v>14</v>
      </c>
    </row>
    <row r="414" spans="1:15" s="69" customFormat="1" ht="90">
      <c r="A414" s="256" t="s">
        <v>1222</v>
      </c>
      <c r="B414" s="256" t="s">
        <v>45</v>
      </c>
      <c r="C414" s="256" t="s">
        <v>664</v>
      </c>
      <c r="D414" s="186" t="s">
        <v>1330</v>
      </c>
      <c r="E414" s="187">
        <v>129</v>
      </c>
      <c r="F414" s="256">
        <v>0.99999997031113197</v>
      </c>
      <c r="G414" s="181">
        <v>1</v>
      </c>
      <c r="H414" s="257">
        <v>43550</v>
      </c>
      <c r="I414" s="186" t="s">
        <v>1331</v>
      </c>
      <c r="J414" s="186">
        <v>0</v>
      </c>
      <c r="K414" s="186" t="s">
        <v>1325</v>
      </c>
      <c r="L414" s="256">
        <v>41</v>
      </c>
      <c r="M414" s="256">
        <v>0</v>
      </c>
      <c r="N414" s="256">
        <v>1</v>
      </c>
      <c r="O414" s="256">
        <v>14</v>
      </c>
    </row>
    <row r="415" spans="1:15" s="69" customFormat="1" ht="45">
      <c r="A415" s="256" t="s">
        <v>1222</v>
      </c>
      <c r="B415" s="256" t="s">
        <v>45</v>
      </c>
      <c r="C415" s="256" t="s">
        <v>80</v>
      </c>
      <c r="D415" s="186" t="s">
        <v>1332</v>
      </c>
      <c r="E415" s="187">
        <v>80</v>
      </c>
      <c r="F415" s="256">
        <v>0.99885830728547298</v>
      </c>
      <c r="G415" s="181">
        <v>1</v>
      </c>
      <c r="H415" s="257">
        <v>43543</v>
      </c>
      <c r="I415" s="186" t="s">
        <v>1333</v>
      </c>
      <c r="J415" s="186">
        <v>1</v>
      </c>
      <c r="K415" s="186" t="s">
        <v>1334</v>
      </c>
      <c r="L415" s="256">
        <v>48</v>
      </c>
      <c r="M415" s="256">
        <v>0</v>
      </c>
      <c r="N415" s="256">
        <v>1</v>
      </c>
      <c r="O415" s="256">
        <v>1</v>
      </c>
    </row>
    <row r="416" spans="1:15" s="69" customFormat="1" ht="120">
      <c r="A416" s="256" t="s">
        <v>1222</v>
      </c>
      <c r="B416" s="256" t="s">
        <v>52</v>
      </c>
      <c r="C416" s="256" t="s">
        <v>46</v>
      </c>
      <c r="D416" s="220" t="s">
        <v>1335</v>
      </c>
      <c r="E416" s="187">
        <v>196</v>
      </c>
      <c r="F416" s="256">
        <v>0.12080195864492201</v>
      </c>
      <c r="G416" s="181">
        <v>1</v>
      </c>
      <c r="H416" s="257">
        <v>43528</v>
      </c>
      <c r="I416" s="186" t="s">
        <v>1336</v>
      </c>
      <c r="J416" s="186">
        <v>0</v>
      </c>
      <c r="K416" s="186" t="s">
        <v>1337</v>
      </c>
      <c r="L416" s="256">
        <v>159</v>
      </c>
      <c r="M416" s="220">
        <v>1</v>
      </c>
      <c r="N416" s="186">
        <v>2</v>
      </c>
      <c r="O416" s="220">
        <v>3</v>
      </c>
    </row>
    <row r="417" spans="1:15" s="69" customFormat="1" ht="120">
      <c r="A417" s="256" t="s">
        <v>1222</v>
      </c>
      <c r="B417" s="256" t="s">
        <v>45</v>
      </c>
      <c r="C417" s="256" t="s">
        <v>46</v>
      </c>
      <c r="D417" s="186" t="s">
        <v>1338</v>
      </c>
      <c r="E417" s="187">
        <v>147</v>
      </c>
      <c r="F417" s="256">
        <v>2.22862548417113E-3</v>
      </c>
      <c r="G417" s="181">
        <v>1</v>
      </c>
      <c r="H417" s="257">
        <v>43516</v>
      </c>
      <c r="I417" s="186" t="s">
        <v>1339</v>
      </c>
      <c r="J417" s="186">
        <v>0</v>
      </c>
      <c r="K417" s="186" t="s">
        <v>1337</v>
      </c>
      <c r="L417" s="256">
        <v>159</v>
      </c>
      <c r="M417" s="256">
        <v>2</v>
      </c>
      <c r="N417" s="256">
        <v>2</v>
      </c>
      <c r="O417" s="256">
        <v>15</v>
      </c>
    </row>
    <row r="418" spans="1:15" s="69" customFormat="1" ht="135">
      <c r="A418" s="256" t="s">
        <v>1222</v>
      </c>
      <c r="B418" s="256" t="s">
        <v>59</v>
      </c>
      <c r="C418" s="256" t="s">
        <v>1223</v>
      </c>
      <c r="D418" s="186" t="s">
        <v>1340</v>
      </c>
      <c r="E418" s="187">
        <v>88</v>
      </c>
      <c r="F418" s="256">
        <v>8.4450521034229494E-5</v>
      </c>
      <c r="G418" s="181">
        <v>1</v>
      </c>
      <c r="H418" s="257">
        <v>43494</v>
      </c>
      <c r="I418" s="220" t="s">
        <v>1341</v>
      </c>
      <c r="J418" s="220">
        <v>0</v>
      </c>
      <c r="K418" s="220" t="s">
        <v>1342</v>
      </c>
      <c r="L418" s="256">
        <v>163</v>
      </c>
      <c r="M418" s="220">
        <v>0</v>
      </c>
      <c r="N418" s="186">
        <v>1</v>
      </c>
      <c r="O418" s="220">
        <v>1</v>
      </c>
    </row>
    <row r="419" spans="1:15" s="69" customFormat="1" ht="398">
      <c r="A419" s="256" t="s">
        <v>1222</v>
      </c>
      <c r="B419" s="256" t="s">
        <v>45</v>
      </c>
      <c r="C419" s="256" t="s">
        <v>1223</v>
      </c>
      <c r="D419" s="186" t="s">
        <v>1343</v>
      </c>
      <c r="E419" s="187">
        <v>778</v>
      </c>
      <c r="F419" s="256">
        <v>1.49277716854357E-8</v>
      </c>
      <c r="G419" s="181">
        <v>1</v>
      </c>
      <c r="H419" s="257">
        <v>43487</v>
      </c>
      <c r="I419" s="186" t="s">
        <v>4391</v>
      </c>
      <c r="J419" s="186">
        <v>0</v>
      </c>
      <c r="K419" s="181" t="s">
        <v>1345</v>
      </c>
      <c r="L419" s="256">
        <v>259</v>
      </c>
      <c r="M419" s="256">
        <v>0</v>
      </c>
      <c r="N419" s="256">
        <v>1</v>
      </c>
      <c r="O419" s="256">
        <v>8</v>
      </c>
    </row>
    <row r="420" spans="1:15" s="69" customFormat="1" ht="180">
      <c r="A420" s="256" t="s">
        <v>1222</v>
      </c>
      <c r="B420" s="256" t="s">
        <v>45</v>
      </c>
      <c r="C420" s="256" t="s">
        <v>1223</v>
      </c>
      <c r="D420" s="186" t="s">
        <v>1346</v>
      </c>
      <c r="E420" s="187">
        <v>141</v>
      </c>
      <c r="F420" s="256">
        <v>1.13242748511766E-14</v>
      </c>
      <c r="G420" s="181">
        <v>1</v>
      </c>
      <c r="H420" s="257">
        <v>43480</v>
      </c>
      <c r="I420" s="220" t="s">
        <v>1347</v>
      </c>
      <c r="J420" s="220">
        <v>0</v>
      </c>
      <c r="K420" s="220" t="s">
        <v>1348</v>
      </c>
      <c r="L420" s="256">
        <v>229</v>
      </c>
      <c r="M420" s="220">
        <v>0</v>
      </c>
      <c r="N420" s="186">
        <v>1</v>
      </c>
      <c r="O420" s="220">
        <v>3</v>
      </c>
    </row>
    <row r="421" spans="1:15" s="69" customFormat="1" ht="105">
      <c r="A421" s="256" t="s">
        <v>1222</v>
      </c>
      <c r="B421" s="256" t="s">
        <v>119</v>
      </c>
      <c r="C421" s="256" t="s">
        <v>46</v>
      </c>
      <c r="D421" s="220" t="s">
        <v>1349</v>
      </c>
      <c r="E421" s="187">
        <v>193</v>
      </c>
      <c r="F421" s="256">
        <v>0.99999999056678401</v>
      </c>
      <c r="G421" s="181">
        <v>1</v>
      </c>
      <c r="H421" s="257">
        <v>43463</v>
      </c>
      <c r="I421" s="186" t="s">
        <v>1350</v>
      </c>
      <c r="J421" s="186">
        <v>1</v>
      </c>
      <c r="K421" s="186" t="s">
        <v>1351</v>
      </c>
      <c r="L421" s="256">
        <v>69</v>
      </c>
      <c r="M421" s="220">
        <v>1</v>
      </c>
      <c r="N421" s="186">
        <v>1</v>
      </c>
      <c r="O421" s="220">
        <v>4</v>
      </c>
    </row>
    <row r="422" spans="1:15" s="69" customFormat="1" ht="105">
      <c r="A422" s="256" t="s">
        <v>1222</v>
      </c>
      <c r="B422" s="256" t="s">
        <v>119</v>
      </c>
      <c r="C422" s="256" t="s">
        <v>46</v>
      </c>
      <c r="D422" s="258" t="s">
        <v>1352</v>
      </c>
      <c r="E422" s="187">
        <v>193</v>
      </c>
      <c r="F422" s="256">
        <v>0.99999999056678401</v>
      </c>
      <c r="G422" s="181">
        <v>1</v>
      </c>
      <c r="H422" s="257">
        <v>43461</v>
      </c>
      <c r="I422" s="186" t="s">
        <v>1350</v>
      </c>
      <c r="J422" s="186">
        <v>1</v>
      </c>
      <c r="K422" s="186" t="s">
        <v>1351</v>
      </c>
      <c r="L422" s="256">
        <v>69</v>
      </c>
      <c r="M422" s="256">
        <v>1</v>
      </c>
      <c r="N422" s="256">
        <v>1</v>
      </c>
      <c r="O422" s="256">
        <v>6</v>
      </c>
    </row>
    <row r="423" spans="1:15" s="69" customFormat="1" ht="195">
      <c r="A423" s="256" t="s">
        <v>1222</v>
      </c>
      <c r="B423" s="256" t="s">
        <v>45</v>
      </c>
      <c r="C423" s="256" t="s">
        <v>1223</v>
      </c>
      <c r="D423" s="186" t="s">
        <v>1353</v>
      </c>
      <c r="E423" s="187">
        <v>359</v>
      </c>
      <c r="F423" s="256">
        <v>0</v>
      </c>
      <c r="G423" s="181">
        <v>1</v>
      </c>
      <c r="H423" s="257">
        <v>43456</v>
      </c>
      <c r="I423" s="186" t="s">
        <v>1354</v>
      </c>
      <c r="J423" s="186">
        <v>0</v>
      </c>
      <c r="K423" s="186" t="s">
        <v>1355</v>
      </c>
      <c r="L423" s="256">
        <v>78</v>
      </c>
      <c r="M423" s="256">
        <v>0</v>
      </c>
      <c r="N423" s="256">
        <v>1</v>
      </c>
      <c r="O423" s="256">
        <v>4</v>
      </c>
    </row>
    <row r="424" spans="1:15" s="69" customFormat="1" ht="90">
      <c r="A424" s="256" t="s">
        <v>1222</v>
      </c>
      <c r="B424" s="256" t="s">
        <v>45</v>
      </c>
      <c r="C424" s="256" t="s">
        <v>80</v>
      </c>
      <c r="D424" s="258" t="s">
        <v>1356</v>
      </c>
      <c r="E424" s="187">
        <v>102</v>
      </c>
      <c r="F424" s="256">
        <v>0.99982572766003297</v>
      </c>
      <c r="G424" s="181">
        <v>1</v>
      </c>
      <c r="H424" s="257">
        <v>43456</v>
      </c>
      <c r="I424" s="186" t="s">
        <v>1357</v>
      </c>
      <c r="J424" s="186">
        <v>1</v>
      </c>
      <c r="K424" s="186" t="s">
        <v>1358</v>
      </c>
      <c r="L424" s="256">
        <v>122</v>
      </c>
      <c r="M424" s="256">
        <v>1</v>
      </c>
      <c r="N424" s="256">
        <v>2</v>
      </c>
      <c r="O424" s="256">
        <v>3</v>
      </c>
    </row>
    <row r="425" spans="1:15" s="69" customFormat="1" ht="120">
      <c r="A425" s="256" t="s">
        <v>1222</v>
      </c>
      <c r="B425" s="256" t="s">
        <v>45</v>
      </c>
      <c r="C425" s="256" t="s">
        <v>1223</v>
      </c>
      <c r="D425" s="186" t="s">
        <v>1359</v>
      </c>
      <c r="E425" s="187">
        <v>136</v>
      </c>
      <c r="F425" s="256">
        <v>1.08424972777854E-7</v>
      </c>
      <c r="G425" s="181">
        <v>1</v>
      </c>
      <c r="H425" s="257">
        <v>43453</v>
      </c>
      <c r="I425" s="220" t="s">
        <v>1360</v>
      </c>
      <c r="J425" s="186">
        <v>0</v>
      </c>
      <c r="K425" s="186" t="s">
        <v>1361</v>
      </c>
      <c r="L425" s="256">
        <v>111</v>
      </c>
      <c r="M425" s="220">
        <v>0</v>
      </c>
      <c r="N425" s="186">
        <v>1</v>
      </c>
      <c r="O425" s="220">
        <v>2</v>
      </c>
    </row>
    <row r="426" spans="1:15" s="69" customFormat="1" ht="60">
      <c r="A426" s="256" t="s">
        <v>1222</v>
      </c>
      <c r="B426" s="256" t="s">
        <v>45</v>
      </c>
      <c r="C426" s="256" t="s">
        <v>80</v>
      </c>
      <c r="D426" s="258" t="s">
        <v>938</v>
      </c>
      <c r="E426" s="187">
        <v>47</v>
      </c>
      <c r="F426" s="256">
        <v>4.5620385283440297E-5</v>
      </c>
      <c r="G426" s="181">
        <v>1</v>
      </c>
      <c r="H426" s="257">
        <v>43447</v>
      </c>
      <c r="I426" s="220" t="s">
        <v>1362</v>
      </c>
      <c r="J426" s="186">
        <v>0</v>
      </c>
      <c r="K426" s="186" t="s">
        <v>1363</v>
      </c>
      <c r="L426" s="256">
        <v>77</v>
      </c>
      <c r="M426" s="220">
        <v>1</v>
      </c>
      <c r="N426" s="186">
        <v>1</v>
      </c>
      <c r="O426" s="220">
        <v>6</v>
      </c>
    </row>
    <row r="427" spans="1:15" s="69" customFormat="1" ht="409.6">
      <c r="A427" s="256" t="s">
        <v>1222</v>
      </c>
      <c r="B427" s="256" t="s">
        <v>45</v>
      </c>
      <c r="C427" s="256" t="s">
        <v>46</v>
      </c>
      <c r="D427" s="186" t="s">
        <v>1364</v>
      </c>
      <c r="E427" s="187">
        <v>950</v>
      </c>
      <c r="F427" s="256">
        <v>0</v>
      </c>
      <c r="G427" s="181">
        <v>0</v>
      </c>
      <c r="H427" s="257">
        <v>43442</v>
      </c>
      <c r="I427" s="181" t="s">
        <v>4392</v>
      </c>
      <c r="J427" s="181">
        <v>0</v>
      </c>
      <c r="K427" s="186" t="s">
        <v>1366</v>
      </c>
      <c r="L427" s="256">
        <v>116</v>
      </c>
      <c r="M427" s="256">
        <v>0</v>
      </c>
      <c r="N427" s="256">
        <v>1</v>
      </c>
      <c r="O427" s="256">
        <v>4</v>
      </c>
    </row>
    <row r="428" spans="1:15" s="69" customFormat="1" ht="75">
      <c r="A428" s="256" t="s">
        <v>1222</v>
      </c>
      <c r="B428" s="256" t="s">
        <v>59</v>
      </c>
      <c r="C428" s="256" t="s">
        <v>80</v>
      </c>
      <c r="D428" s="186" t="s">
        <v>1367</v>
      </c>
      <c r="E428" s="187">
        <v>143</v>
      </c>
      <c r="F428" s="256">
        <v>0.36824625729246202</v>
      </c>
      <c r="G428" s="181">
        <v>1</v>
      </c>
      <c r="H428" s="257">
        <v>43433</v>
      </c>
      <c r="I428" s="186" t="s">
        <v>1368</v>
      </c>
      <c r="J428" s="186">
        <v>0</v>
      </c>
      <c r="K428" s="186" t="s">
        <v>1369</v>
      </c>
      <c r="L428" s="256">
        <v>81</v>
      </c>
      <c r="M428" s="256">
        <v>0</v>
      </c>
      <c r="N428" s="256">
        <v>1</v>
      </c>
      <c r="O428" s="256">
        <v>4</v>
      </c>
    </row>
    <row r="429" spans="1:15" s="69" customFormat="1" ht="105">
      <c r="A429" s="256" t="s">
        <v>1222</v>
      </c>
      <c r="B429" s="256" t="s">
        <v>45</v>
      </c>
      <c r="C429" s="256" t="s">
        <v>1223</v>
      </c>
      <c r="D429" s="220" t="s">
        <v>1370</v>
      </c>
      <c r="E429" s="187">
        <v>43</v>
      </c>
      <c r="F429" s="256">
        <v>0.56387260426512398</v>
      </c>
      <c r="G429" s="181">
        <v>1</v>
      </c>
      <c r="H429" s="257">
        <v>43433</v>
      </c>
      <c r="I429" s="186" t="s">
        <v>1371</v>
      </c>
      <c r="J429" s="186">
        <v>0</v>
      </c>
      <c r="K429" s="186" t="s">
        <v>1372</v>
      </c>
      <c r="L429" s="256">
        <v>84</v>
      </c>
      <c r="M429" s="220">
        <v>0</v>
      </c>
      <c r="N429" s="186">
        <v>1</v>
      </c>
      <c r="O429" s="220">
        <v>8</v>
      </c>
    </row>
    <row r="430" spans="1:15" s="69" customFormat="1" ht="120">
      <c r="A430" s="256" t="s">
        <v>1222</v>
      </c>
      <c r="B430" s="256" t="s">
        <v>45</v>
      </c>
      <c r="C430" s="256" t="s">
        <v>46</v>
      </c>
      <c r="D430" s="186" t="s">
        <v>1373</v>
      </c>
      <c r="E430" s="187">
        <v>222</v>
      </c>
      <c r="F430" s="256">
        <v>1.4041599061265199E-7</v>
      </c>
      <c r="G430" s="181">
        <v>1</v>
      </c>
      <c r="H430" s="257">
        <v>43423</v>
      </c>
      <c r="I430" s="186" t="s">
        <v>1374</v>
      </c>
      <c r="J430" s="186">
        <v>0</v>
      </c>
      <c r="K430" s="186" t="s">
        <v>1375</v>
      </c>
      <c r="L430" s="256">
        <v>60</v>
      </c>
      <c r="M430" s="256">
        <v>0</v>
      </c>
      <c r="N430" s="256">
        <v>2</v>
      </c>
      <c r="O430" s="256">
        <v>24</v>
      </c>
    </row>
    <row r="431" spans="1:15" s="69" customFormat="1" ht="105">
      <c r="A431" s="256" t="s">
        <v>1222</v>
      </c>
      <c r="B431" s="256" t="s">
        <v>45</v>
      </c>
      <c r="C431" s="256" t="s">
        <v>1223</v>
      </c>
      <c r="D431" s="186" t="s">
        <v>1376</v>
      </c>
      <c r="E431" s="187">
        <v>89</v>
      </c>
      <c r="F431" s="256">
        <v>0.35267717507624802</v>
      </c>
      <c r="G431" s="181">
        <v>1</v>
      </c>
      <c r="H431" s="257">
        <v>43419</v>
      </c>
      <c r="I431" s="186" t="s">
        <v>1377</v>
      </c>
      <c r="J431" s="186">
        <v>1</v>
      </c>
      <c r="K431" s="186" t="s">
        <v>1378</v>
      </c>
      <c r="L431" s="256">
        <v>50</v>
      </c>
      <c r="M431" s="256">
        <v>2</v>
      </c>
      <c r="N431" s="256">
        <v>1</v>
      </c>
      <c r="O431" s="256">
        <v>32</v>
      </c>
    </row>
    <row r="432" spans="1:15" s="69" customFormat="1" ht="45">
      <c r="A432" s="256" t="s">
        <v>1222</v>
      </c>
      <c r="B432" s="256" t="s">
        <v>45</v>
      </c>
      <c r="C432" s="256" t="s">
        <v>80</v>
      </c>
      <c r="D432" s="258" t="s">
        <v>159</v>
      </c>
      <c r="E432" s="187">
        <v>61</v>
      </c>
      <c r="F432" s="256">
        <v>1.01337039599758E-3</v>
      </c>
      <c r="G432" s="181">
        <v>1</v>
      </c>
      <c r="H432" s="257">
        <v>43418</v>
      </c>
      <c r="I432" s="186" t="s">
        <v>1379</v>
      </c>
      <c r="J432" s="186">
        <v>0</v>
      </c>
      <c r="K432" s="186" t="s">
        <v>1380</v>
      </c>
      <c r="L432" s="256">
        <v>64</v>
      </c>
      <c r="M432" s="256">
        <v>0</v>
      </c>
      <c r="N432" s="256">
        <v>1</v>
      </c>
      <c r="O432" s="256">
        <v>5</v>
      </c>
    </row>
    <row r="433" spans="1:15" s="69" customFormat="1" ht="60">
      <c r="A433" s="256" t="s">
        <v>1222</v>
      </c>
      <c r="B433" s="256" t="s">
        <v>45</v>
      </c>
      <c r="C433" s="256" t="s">
        <v>80</v>
      </c>
      <c r="D433" s="258" t="s">
        <v>439</v>
      </c>
      <c r="E433" s="187">
        <v>57</v>
      </c>
      <c r="F433" s="256">
        <v>3.86074728870534E-4</v>
      </c>
      <c r="G433" s="181">
        <v>1</v>
      </c>
      <c r="H433" s="257">
        <v>43418</v>
      </c>
      <c r="I433" s="186" t="s">
        <v>1381</v>
      </c>
      <c r="J433" s="186">
        <v>0</v>
      </c>
      <c r="K433" s="186" t="s">
        <v>1382</v>
      </c>
      <c r="L433" s="256">
        <v>80</v>
      </c>
      <c r="M433" s="256">
        <v>2</v>
      </c>
      <c r="N433" s="256">
        <v>1</v>
      </c>
      <c r="O433" s="256">
        <v>9</v>
      </c>
    </row>
    <row r="434" spans="1:15" s="69" customFormat="1" ht="75">
      <c r="A434" s="256" t="s">
        <v>1222</v>
      </c>
      <c r="B434" s="256" t="s">
        <v>45</v>
      </c>
      <c r="C434" s="256" t="s">
        <v>80</v>
      </c>
      <c r="D434" s="258" t="s">
        <v>159</v>
      </c>
      <c r="E434" s="187">
        <v>49</v>
      </c>
      <c r="F434" s="256">
        <v>1.17521486334227E-3</v>
      </c>
      <c r="G434" s="181">
        <v>1</v>
      </c>
      <c r="H434" s="257">
        <v>43409</v>
      </c>
      <c r="I434" s="220" t="s">
        <v>1383</v>
      </c>
      <c r="J434" s="186">
        <v>0</v>
      </c>
      <c r="K434" s="186" t="s">
        <v>1384</v>
      </c>
      <c r="L434" s="256">
        <v>95</v>
      </c>
      <c r="M434" s="220">
        <v>0</v>
      </c>
      <c r="N434" s="186">
        <v>1</v>
      </c>
      <c r="O434" s="220">
        <v>3</v>
      </c>
    </row>
    <row r="435" spans="1:15" s="69" customFormat="1" ht="270">
      <c r="A435" s="256" t="s">
        <v>1222</v>
      </c>
      <c r="B435" s="256" t="s">
        <v>45</v>
      </c>
      <c r="C435" s="256" t="s">
        <v>46</v>
      </c>
      <c r="D435" s="186" t="s">
        <v>1385</v>
      </c>
      <c r="E435" s="187">
        <v>422</v>
      </c>
      <c r="F435" s="256">
        <v>0</v>
      </c>
      <c r="G435" s="181">
        <v>0</v>
      </c>
      <c r="H435" s="257">
        <v>43394</v>
      </c>
      <c r="I435" s="181" t="s">
        <v>1386</v>
      </c>
      <c r="J435" s="181">
        <v>0</v>
      </c>
      <c r="K435" s="186" t="s">
        <v>1387</v>
      </c>
      <c r="L435" s="256">
        <v>88</v>
      </c>
      <c r="M435" s="256">
        <v>2</v>
      </c>
      <c r="N435" s="256">
        <v>1</v>
      </c>
      <c r="O435" s="256">
        <v>8</v>
      </c>
    </row>
    <row r="436" spans="1:15" s="69" customFormat="1" ht="120">
      <c r="A436" s="256" t="s">
        <v>1222</v>
      </c>
      <c r="B436" s="256" t="s">
        <v>45</v>
      </c>
      <c r="C436" s="256" t="s">
        <v>80</v>
      </c>
      <c r="D436" s="186" t="s">
        <v>1388</v>
      </c>
      <c r="E436" s="187">
        <v>124</v>
      </c>
      <c r="F436" s="256">
        <v>9.7759204856884301E-5</v>
      </c>
      <c r="G436" s="181">
        <v>1</v>
      </c>
      <c r="H436" s="257">
        <v>43392</v>
      </c>
      <c r="I436" s="186" t="s">
        <v>1389</v>
      </c>
      <c r="J436" s="186">
        <v>0</v>
      </c>
      <c r="K436" s="186" t="s">
        <v>1390</v>
      </c>
      <c r="L436" s="256">
        <v>170</v>
      </c>
      <c r="M436" s="256">
        <v>2</v>
      </c>
      <c r="N436" s="256">
        <v>1</v>
      </c>
      <c r="O436" s="256">
        <v>9</v>
      </c>
    </row>
    <row r="437" spans="1:15" s="69" customFormat="1" ht="45">
      <c r="A437" s="256" t="s">
        <v>1222</v>
      </c>
      <c r="B437" s="256" t="s">
        <v>45</v>
      </c>
      <c r="C437" s="256" t="s">
        <v>80</v>
      </c>
      <c r="D437" s="186" t="s">
        <v>1391</v>
      </c>
      <c r="E437" s="187">
        <v>76</v>
      </c>
      <c r="F437" s="256">
        <v>3.8816538823205298E-6</v>
      </c>
      <c r="G437" s="181">
        <v>1</v>
      </c>
      <c r="H437" s="257">
        <v>43391</v>
      </c>
      <c r="I437" s="186" t="s">
        <v>1392</v>
      </c>
      <c r="J437" s="186">
        <v>0</v>
      </c>
      <c r="K437" s="186" t="s">
        <v>1393</v>
      </c>
      <c r="L437" s="256">
        <v>64</v>
      </c>
      <c r="M437" s="256">
        <v>0</v>
      </c>
      <c r="N437" s="256">
        <v>1</v>
      </c>
      <c r="O437" s="256">
        <v>5</v>
      </c>
    </row>
    <row r="438" spans="1:15" s="69" customFormat="1" ht="45">
      <c r="A438" s="256" t="s">
        <v>1222</v>
      </c>
      <c r="B438" s="256" t="s">
        <v>45</v>
      </c>
      <c r="C438" s="256" t="s">
        <v>80</v>
      </c>
      <c r="D438" s="258" t="s">
        <v>159</v>
      </c>
      <c r="E438" s="187">
        <v>65</v>
      </c>
      <c r="F438" s="256">
        <v>2.43679329138002E-3</v>
      </c>
      <c r="G438" s="181">
        <v>1</v>
      </c>
      <c r="H438" s="302">
        <v>43391</v>
      </c>
      <c r="I438" s="186" t="s">
        <v>1394</v>
      </c>
      <c r="J438" s="186">
        <v>0</v>
      </c>
      <c r="K438" s="186" t="s">
        <v>1395</v>
      </c>
      <c r="L438" s="256">
        <v>57</v>
      </c>
      <c r="M438" s="256">
        <v>1</v>
      </c>
      <c r="N438" s="256">
        <v>2</v>
      </c>
      <c r="O438" s="256">
        <v>22</v>
      </c>
    </row>
    <row r="439" spans="1:15" s="69" customFormat="1" ht="45">
      <c r="A439" s="256" t="s">
        <v>1222</v>
      </c>
      <c r="B439" s="256" t="s">
        <v>45</v>
      </c>
      <c r="C439" s="256" t="s">
        <v>80</v>
      </c>
      <c r="D439" s="258" t="s">
        <v>938</v>
      </c>
      <c r="E439" s="187">
        <v>52</v>
      </c>
      <c r="F439" s="256">
        <v>2.7497621124528101E-7</v>
      </c>
      <c r="G439" s="181">
        <v>1</v>
      </c>
      <c r="H439" s="257">
        <v>43391</v>
      </c>
      <c r="I439" s="186" t="s">
        <v>1396</v>
      </c>
      <c r="J439" s="186">
        <v>0</v>
      </c>
      <c r="K439" s="186" t="s">
        <v>1397</v>
      </c>
      <c r="L439" s="256">
        <v>57</v>
      </c>
      <c r="M439" s="256">
        <v>1</v>
      </c>
      <c r="N439" s="256">
        <v>2</v>
      </c>
      <c r="O439" s="256">
        <v>6</v>
      </c>
    </row>
    <row r="440" spans="1:15" s="69" customFormat="1" ht="60">
      <c r="A440" s="256" t="s">
        <v>1222</v>
      </c>
      <c r="B440" s="256" t="s">
        <v>45</v>
      </c>
      <c r="C440" s="256" t="s">
        <v>80</v>
      </c>
      <c r="D440" s="258" t="s">
        <v>938</v>
      </c>
      <c r="E440" s="187">
        <v>67</v>
      </c>
      <c r="F440" s="256">
        <v>8.4932084245203904E-5</v>
      </c>
      <c r="G440" s="181">
        <v>1</v>
      </c>
      <c r="H440" s="257">
        <v>43390</v>
      </c>
      <c r="I440" s="186" t="s">
        <v>1398</v>
      </c>
      <c r="J440" s="186">
        <v>0</v>
      </c>
      <c r="K440" s="186" t="s">
        <v>1399</v>
      </c>
      <c r="L440" s="256">
        <v>83</v>
      </c>
      <c r="M440" s="256">
        <v>1</v>
      </c>
      <c r="N440" s="256">
        <v>2</v>
      </c>
      <c r="O440" s="256">
        <v>7</v>
      </c>
    </row>
    <row r="441" spans="1:15" s="69" customFormat="1" ht="45">
      <c r="A441" s="256" t="s">
        <v>1222</v>
      </c>
      <c r="B441" s="256" t="s">
        <v>45</v>
      </c>
      <c r="C441" s="256" t="s">
        <v>80</v>
      </c>
      <c r="D441" s="258" t="s">
        <v>159</v>
      </c>
      <c r="E441" s="187">
        <v>43</v>
      </c>
      <c r="F441" s="256">
        <v>5.7134124450233401E-2</v>
      </c>
      <c r="G441" s="181">
        <v>1</v>
      </c>
      <c r="H441" s="257">
        <v>43388</v>
      </c>
      <c r="I441" s="186" t="s">
        <v>1400</v>
      </c>
      <c r="J441" s="186">
        <v>0</v>
      </c>
      <c r="K441" s="186" t="s">
        <v>1401</v>
      </c>
      <c r="L441" s="256">
        <v>56</v>
      </c>
      <c r="M441" s="256">
        <v>1</v>
      </c>
      <c r="N441" s="256">
        <v>2</v>
      </c>
      <c r="O441" s="256">
        <v>7</v>
      </c>
    </row>
    <row r="442" spans="1:15" s="69" customFormat="1" ht="60">
      <c r="A442" s="256" t="s">
        <v>1222</v>
      </c>
      <c r="B442" s="256" t="s">
        <v>45</v>
      </c>
      <c r="C442" s="256" t="s">
        <v>80</v>
      </c>
      <c r="D442" s="186" t="s">
        <v>1402</v>
      </c>
      <c r="E442" s="187">
        <v>76</v>
      </c>
      <c r="F442" s="256">
        <v>7.3412038443354505E-5</v>
      </c>
      <c r="G442" s="181">
        <v>1</v>
      </c>
      <c r="H442" s="257">
        <v>43388</v>
      </c>
      <c r="I442" s="186" t="s">
        <v>1403</v>
      </c>
      <c r="J442" s="186">
        <v>0</v>
      </c>
      <c r="K442" s="186" t="s">
        <v>1404</v>
      </c>
      <c r="L442" s="256">
        <v>82</v>
      </c>
      <c r="M442" s="256">
        <v>1</v>
      </c>
      <c r="N442" s="256">
        <v>2</v>
      </c>
      <c r="O442" s="256">
        <v>7</v>
      </c>
    </row>
    <row r="443" spans="1:15" s="69" customFormat="1" ht="90">
      <c r="A443" s="256" t="s">
        <v>1222</v>
      </c>
      <c r="B443" s="256" t="s">
        <v>45</v>
      </c>
      <c r="C443" s="256" t="s">
        <v>80</v>
      </c>
      <c r="D443" s="186" t="s">
        <v>1405</v>
      </c>
      <c r="E443" s="187">
        <v>54</v>
      </c>
      <c r="F443" s="256">
        <v>0.125476576381611</v>
      </c>
      <c r="G443" s="181">
        <v>1</v>
      </c>
      <c r="H443" s="257">
        <v>43388</v>
      </c>
      <c r="I443" s="186" t="s">
        <v>1406</v>
      </c>
      <c r="J443" s="186">
        <v>0</v>
      </c>
      <c r="K443" s="186" t="s">
        <v>1407</v>
      </c>
      <c r="L443" s="256">
        <v>124</v>
      </c>
      <c r="M443" s="256">
        <v>2</v>
      </c>
      <c r="N443" s="256">
        <v>2</v>
      </c>
      <c r="O443" s="256">
        <v>11</v>
      </c>
    </row>
    <row r="444" spans="1:15" s="69" customFormat="1" ht="60">
      <c r="A444" s="256" t="s">
        <v>1222</v>
      </c>
      <c r="B444" s="256" t="s">
        <v>45</v>
      </c>
      <c r="C444" s="256" t="s">
        <v>80</v>
      </c>
      <c r="D444" s="186" t="s">
        <v>1408</v>
      </c>
      <c r="E444" s="187">
        <v>70</v>
      </c>
      <c r="F444" s="256">
        <v>2.68236106659714E-8</v>
      </c>
      <c r="G444" s="181">
        <v>1</v>
      </c>
      <c r="H444" s="257">
        <v>43388</v>
      </c>
      <c r="I444" s="186" t="s">
        <v>1409</v>
      </c>
      <c r="J444" s="186">
        <v>0</v>
      </c>
      <c r="K444" s="181" t="s">
        <v>1410</v>
      </c>
      <c r="L444" s="256">
        <v>89</v>
      </c>
      <c r="M444" s="256">
        <v>1</v>
      </c>
      <c r="N444" s="256">
        <v>1</v>
      </c>
      <c r="O444" s="256">
        <v>17</v>
      </c>
    </row>
    <row r="445" spans="1:15" s="69" customFormat="1" ht="90">
      <c r="A445" s="256" t="s">
        <v>1222</v>
      </c>
      <c r="B445" s="256" t="s">
        <v>45</v>
      </c>
      <c r="C445" s="256" t="s">
        <v>80</v>
      </c>
      <c r="D445" s="186" t="s">
        <v>1411</v>
      </c>
      <c r="E445" s="187">
        <v>64</v>
      </c>
      <c r="F445" s="256">
        <v>1.00898616876122E-4</v>
      </c>
      <c r="G445" s="181">
        <v>1</v>
      </c>
      <c r="H445" s="257">
        <v>43388</v>
      </c>
      <c r="I445" s="186" t="s">
        <v>1412</v>
      </c>
      <c r="J445" s="186">
        <v>0</v>
      </c>
      <c r="K445" s="186" t="s">
        <v>1407</v>
      </c>
      <c r="L445" s="256">
        <v>124</v>
      </c>
      <c r="M445" s="256">
        <v>1</v>
      </c>
      <c r="N445" s="256">
        <v>2</v>
      </c>
      <c r="O445" s="256">
        <v>8</v>
      </c>
    </row>
    <row r="446" spans="1:15" s="69" customFormat="1" ht="150">
      <c r="A446" s="256" t="s">
        <v>1222</v>
      </c>
      <c r="B446" s="256" t="s">
        <v>45</v>
      </c>
      <c r="C446" s="256" t="s">
        <v>80</v>
      </c>
      <c r="D446" s="220" t="s">
        <v>1413</v>
      </c>
      <c r="E446" s="187">
        <v>49</v>
      </c>
      <c r="F446" s="256">
        <v>0.80355177438991199</v>
      </c>
      <c r="G446" s="181">
        <v>1</v>
      </c>
      <c r="H446" s="257">
        <v>43388</v>
      </c>
      <c r="I446" s="186" t="s">
        <v>1414</v>
      </c>
      <c r="J446" s="186">
        <v>0</v>
      </c>
      <c r="K446" s="186" t="s">
        <v>1415</v>
      </c>
      <c r="L446" s="256">
        <v>205</v>
      </c>
      <c r="M446" s="220">
        <v>2</v>
      </c>
      <c r="N446" s="186">
        <v>2</v>
      </c>
      <c r="O446" s="220">
        <v>7</v>
      </c>
    </row>
    <row r="447" spans="1:15" s="69" customFormat="1" ht="270">
      <c r="A447" s="256" t="s">
        <v>1222</v>
      </c>
      <c r="B447" s="256" t="s">
        <v>45</v>
      </c>
      <c r="C447" s="256" t="s">
        <v>46</v>
      </c>
      <c r="D447" s="186" t="s">
        <v>1416</v>
      </c>
      <c r="E447" s="187">
        <v>449</v>
      </c>
      <c r="F447" s="256">
        <v>0</v>
      </c>
      <c r="G447" s="181">
        <v>1</v>
      </c>
      <c r="H447" s="257">
        <v>43388</v>
      </c>
      <c r="I447" s="181" t="s">
        <v>4393</v>
      </c>
      <c r="J447" s="181">
        <v>0</v>
      </c>
      <c r="K447" s="186" t="s">
        <v>1418</v>
      </c>
      <c r="L447" s="256">
        <v>94</v>
      </c>
      <c r="M447" s="256">
        <v>1</v>
      </c>
      <c r="N447" s="256">
        <v>1</v>
      </c>
      <c r="O447" s="256">
        <v>17</v>
      </c>
    </row>
    <row r="448" spans="1:15" s="69" customFormat="1" ht="90">
      <c r="A448" s="256" t="s">
        <v>1222</v>
      </c>
      <c r="B448" s="256" t="s">
        <v>45</v>
      </c>
      <c r="C448" s="256" t="s">
        <v>80</v>
      </c>
      <c r="D448" s="258" t="s">
        <v>180</v>
      </c>
      <c r="E448" s="187">
        <v>62</v>
      </c>
      <c r="F448" s="256">
        <v>1.2169081126899299E-3</v>
      </c>
      <c r="G448" s="181">
        <v>1</v>
      </c>
      <c r="H448" s="257">
        <v>43386</v>
      </c>
      <c r="I448" s="186" t="s">
        <v>1419</v>
      </c>
      <c r="J448" s="186">
        <v>0</v>
      </c>
      <c r="K448" s="186" t="s">
        <v>1420</v>
      </c>
      <c r="L448" s="256">
        <v>122</v>
      </c>
      <c r="M448" s="256">
        <v>1</v>
      </c>
      <c r="N448" s="256">
        <v>2</v>
      </c>
      <c r="O448" s="256">
        <v>5</v>
      </c>
    </row>
    <row r="449" spans="1:15" s="69" customFormat="1" ht="90">
      <c r="A449" s="256" t="s">
        <v>1222</v>
      </c>
      <c r="B449" s="256" t="s">
        <v>45</v>
      </c>
      <c r="C449" s="256" t="s">
        <v>80</v>
      </c>
      <c r="D449" s="258" t="s">
        <v>159</v>
      </c>
      <c r="E449" s="187">
        <v>75</v>
      </c>
      <c r="F449" s="256">
        <v>0.19906706868288401</v>
      </c>
      <c r="G449" s="181">
        <v>1</v>
      </c>
      <c r="H449" s="257">
        <v>43385</v>
      </c>
      <c r="I449" s="186" t="s">
        <v>1421</v>
      </c>
      <c r="J449" s="186">
        <v>0</v>
      </c>
      <c r="K449" s="186" t="s">
        <v>1420</v>
      </c>
      <c r="L449" s="256">
        <v>122</v>
      </c>
      <c r="M449" s="256">
        <v>1</v>
      </c>
      <c r="N449" s="256">
        <v>2</v>
      </c>
      <c r="O449" s="256">
        <v>5</v>
      </c>
    </row>
    <row r="450" spans="1:15" s="69" customFormat="1" ht="135">
      <c r="A450" s="256" t="s">
        <v>1222</v>
      </c>
      <c r="B450" s="256" t="s">
        <v>45</v>
      </c>
      <c r="C450" s="256" t="s">
        <v>46</v>
      </c>
      <c r="D450" s="186" t="s">
        <v>1422</v>
      </c>
      <c r="E450" s="187">
        <v>204</v>
      </c>
      <c r="F450" s="256">
        <v>5.07099723323634E-8</v>
      </c>
      <c r="G450" s="181">
        <v>1</v>
      </c>
      <c r="H450" s="257">
        <v>43385</v>
      </c>
      <c r="I450" s="181" t="s">
        <v>1423</v>
      </c>
      <c r="J450" s="181">
        <v>0</v>
      </c>
      <c r="K450" s="186" t="s">
        <v>1424</v>
      </c>
      <c r="L450" s="256">
        <v>77</v>
      </c>
      <c r="M450" s="256">
        <v>0</v>
      </c>
      <c r="N450" s="256">
        <v>2</v>
      </c>
      <c r="O450" s="256">
        <v>10</v>
      </c>
    </row>
    <row r="451" spans="1:15" s="69" customFormat="1" ht="75">
      <c r="A451" s="256" t="s">
        <v>1222</v>
      </c>
      <c r="B451" s="256" t="s">
        <v>45</v>
      </c>
      <c r="C451" s="256" t="s">
        <v>80</v>
      </c>
      <c r="D451" s="258" t="s">
        <v>159</v>
      </c>
      <c r="E451" s="187">
        <v>54</v>
      </c>
      <c r="F451" s="256">
        <v>5.6385468402697604E-4</v>
      </c>
      <c r="G451" s="181">
        <v>1</v>
      </c>
      <c r="H451" s="257">
        <v>43382</v>
      </c>
      <c r="I451" s="186" t="s">
        <v>1425</v>
      </c>
      <c r="J451" s="186">
        <v>0</v>
      </c>
      <c r="K451" s="186" t="s">
        <v>1426</v>
      </c>
      <c r="L451" s="256">
        <v>95</v>
      </c>
      <c r="M451" s="256">
        <v>0</v>
      </c>
      <c r="N451" s="256">
        <v>1</v>
      </c>
      <c r="O451" s="256">
        <v>2</v>
      </c>
    </row>
    <row r="452" spans="1:15" s="69" customFormat="1" ht="60">
      <c r="A452" s="256" t="s">
        <v>1222</v>
      </c>
      <c r="B452" s="256" t="s">
        <v>45</v>
      </c>
      <c r="C452" s="256" t="s">
        <v>80</v>
      </c>
      <c r="D452" s="258" t="s">
        <v>1427</v>
      </c>
      <c r="E452" s="187">
        <v>93</v>
      </c>
      <c r="F452" s="256">
        <v>0.91708304808945096</v>
      </c>
      <c r="G452" s="181">
        <v>1</v>
      </c>
      <c r="H452" s="257">
        <v>43357</v>
      </c>
      <c r="I452" s="186" t="s">
        <v>1428</v>
      </c>
      <c r="J452" s="186">
        <v>0</v>
      </c>
      <c r="K452" s="258" t="s">
        <v>1429</v>
      </c>
      <c r="L452" s="256">
        <v>15</v>
      </c>
      <c r="M452" s="256">
        <v>0</v>
      </c>
      <c r="N452" s="256">
        <v>1</v>
      </c>
      <c r="O452" s="256">
        <v>3</v>
      </c>
    </row>
    <row r="453" spans="1:15" s="69" customFormat="1" ht="30">
      <c r="A453" s="256" t="s">
        <v>1222</v>
      </c>
      <c r="B453" s="256" t="s">
        <v>45</v>
      </c>
      <c r="C453" s="256" t="s">
        <v>80</v>
      </c>
      <c r="D453" s="258" t="s">
        <v>305</v>
      </c>
      <c r="E453" s="187">
        <v>50</v>
      </c>
      <c r="F453" s="256">
        <v>2.1942192160116499E-2</v>
      </c>
      <c r="G453" s="181">
        <v>1</v>
      </c>
      <c r="H453" s="257">
        <v>43351</v>
      </c>
      <c r="I453" s="220" t="s">
        <v>1430</v>
      </c>
      <c r="J453" s="186">
        <v>0</v>
      </c>
      <c r="K453" s="186" t="s">
        <v>1431</v>
      </c>
      <c r="L453" s="256">
        <v>42</v>
      </c>
      <c r="M453" s="220">
        <v>0</v>
      </c>
      <c r="N453" s="186">
        <v>1</v>
      </c>
      <c r="O453" s="220">
        <v>6</v>
      </c>
    </row>
    <row r="454" spans="1:15" s="69" customFormat="1" ht="105">
      <c r="A454" s="256" t="s">
        <v>1222</v>
      </c>
      <c r="B454" s="256" t="s">
        <v>45</v>
      </c>
      <c r="C454" s="256" t="s">
        <v>1223</v>
      </c>
      <c r="D454" s="220" t="s">
        <v>1432</v>
      </c>
      <c r="E454" s="187">
        <v>198</v>
      </c>
      <c r="F454" s="256">
        <v>4.3660064641404299E-7</v>
      </c>
      <c r="G454" s="181">
        <v>1</v>
      </c>
      <c r="H454" s="257">
        <v>43337</v>
      </c>
      <c r="I454" s="186" t="s">
        <v>4394</v>
      </c>
      <c r="J454" s="186">
        <v>0</v>
      </c>
      <c r="K454" s="186" t="s">
        <v>1434</v>
      </c>
      <c r="L454" s="256">
        <v>119</v>
      </c>
      <c r="M454" s="220">
        <v>0</v>
      </c>
      <c r="N454" s="186">
        <v>1</v>
      </c>
      <c r="O454" s="220">
        <v>2</v>
      </c>
    </row>
    <row r="455" spans="1:15" s="69" customFormat="1" ht="75">
      <c r="A455" s="256" t="s">
        <v>1222</v>
      </c>
      <c r="B455" s="256" t="s">
        <v>45</v>
      </c>
      <c r="C455" s="256" t="s">
        <v>80</v>
      </c>
      <c r="D455" s="186" t="s">
        <v>1435</v>
      </c>
      <c r="E455" s="187">
        <v>46</v>
      </c>
      <c r="F455" s="256">
        <v>2.5724164864618499E-2</v>
      </c>
      <c r="G455" s="181">
        <v>1</v>
      </c>
      <c r="H455" s="257">
        <v>43327</v>
      </c>
      <c r="I455" s="186" t="s">
        <v>1436</v>
      </c>
      <c r="J455" s="186">
        <v>0</v>
      </c>
      <c r="K455" s="186" t="s">
        <v>1437</v>
      </c>
      <c r="L455" s="256">
        <v>102</v>
      </c>
      <c r="M455" s="256">
        <v>0</v>
      </c>
      <c r="N455" s="256">
        <v>2</v>
      </c>
      <c r="O455" s="256">
        <v>6</v>
      </c>
    </row>
    <row r="456" spans="1:15" s="69" customFormat="1" ht="60">
      <c r="A456" s="256" t="s">
        <v>1222</v>
      </c>
      <c r="B456" s="256" t="s">
        <v>45</v>
      </c>
      <c r="C456" s="256" t="s">
        <v>80</v>
      </c>
      <c r="D456" s="220" t="s">
        <v>159</v>
      </c>
      <c r="E456" s="187">
        <v>98</v>
      </c>
      <c r="F456" s="256">
        <v>5.3031065236206496E-3</v>
      </c>
      <c r="G456" s="181">
        <v>1</v>
      </c>
      <c r="H456" s="257">
        <v>43325</v>
      </c>
      <c r="I456" s="186" t="s">
        <v>1438</v>
      </c>
      <c r="J456" s="186">
        <v>0</v>
      </c>
      <c r="K456" s="186" t="s">
        <v>1439</v>
      </c>
      <c r="L456" s="256">
        <v>31</v>
      </c>
      <c r="M456" s="220">
        <v>0</v>
      </c>
      <c r="N456" s="186">
        <v>1</v>
      </c>
      <c r="O456" s="220">
        <v>2</v>
      </c>
    </row>
    <row r="457" spans="1:15" s="69" customFormat="1" ht="75">
      <c r="A457" s="256" t="s">
        <v>1222</v>
      </c>
      <c r="B457" s="256" t="s">
        <v>45</v>
      </c>
      <c r="C457" s="256" t="s">
        <v>80</v>
      </c>
      <c r="D457" s="220" t="s">
        <v>439</v>
      </c>
      <c r="E457" s="187">
        <v>59</v>
      </c>
      <c r="F457" s="256">
        <v>0.22298096755837499</v>
      </c>
      <c r="G457" s="181">
        <v>1</v>
      </c>
      <c r="H457" s="257">
        <v>43321</v>
      </c>
      <c r="I457" s="186" t="s">
        <v>1440</v>
      </c>
      <c r="J457" s="186">
        <v>0</v>
      </c>
      <c r="K457" s="186" t="s">
        <v>1441</v>
      </c>
      <c r="L457" s="256">
        <v>95</v>
      </c>
      <c r="M457" s="220">
        <v>2</v>
      </c>
      <c r="N457" s="186">
        <v>2</v>
      </c>
      <c r="O457" s="220">
        <v>15</v>
      </c>
    </row>
    <row r="458" spans="1:15" s="69" customFormat="1" ht="135">
      <c r="A458" s="256" t="s">
        <v>1222</v>
      </c>
      <c r="B458" s="256" t="s">
        <v>45</v>
      </c>
      <c r="C458" s="256" t="s">
        <v>80</v>
      </c>
      <c r="D458" s="220" t="s">
        <v>1442</v>
      </c>
      <c r="E458" s="187">
        <v>55</v>
      </c>
      <c r="F458" s="256">
        <v>2.6052386411777002E-2</v>
      </c>
      <c r="G458" s="181">
        <v>1</v>
      </c>
      <c r="H458" s="257">
        <v>43272</v>
      </c>
      <c r="I458" s="186" t="s">
        <v>1443</v>
      </c>
      <c r="J458" s="186">
        <v>0</v>
      </c>
      <c r="K458" s="186" t="s">
        <v>1444</v>
      </c>
      <c r="L458" s="256">
        <v>197</v>
      </c>
      <c r="M458" s="220">
        <v>2</v>
      </c>
      <c r="N458" s="186">
        <v>2</v>
      </c>
      <c r="O458" s="220">
        <v>1</v>
      </c>
    </row>
    <row r="459" spans="1:15" s="69" customFormat="1" ht="150">
      <c r="A459" s="256" t="s">
        <v>1222</v>
      </c>
      <c r="B459" s="256" t="s">
        <v>45</v>
      </c>
      <c r="C459" s="256" t="s">
        <v>664</v>
      </c>
      <c r="D459" s="258" t="s">
        <v>1445</v>
      </c>
      <c r="E459" s="187">
        <v>275</v>
      </c>
      <c r="F459" s="256">
        <v>7.1907872878362906E-8</v>
      </c>
      <c r="G459" s="181">
        <v>0</v>
      </c>
      <c r="H459" s="257">
        <v>43264</v>
      </c>
      <c r="I459" s="186" t="s">
        <v>1446</v>
      </c>
      <c r="J459" s="186">
        <v>0</v>
      </c>
      <c r="K459" s="186" t="s">
        <v>1447</v>
      </c>
      <c r="L459" s="256">
        <v>64</v>
      </c>
      <c r="M459" s="256">
        <v>0</v>
      </c>
      <c r="N459" s="256">
        <v>1</v>
      </c>
      <c r="O459" s="256">
        <v>16</v>
      </c>
    </row>
    <row r="460" spans="1:15" s="69" customFormat="1" ht="150">
      <c r="A460" s="256" t="s">
        <v>1222</v>
      </c>
      <c r="B460" s="256" t="s">
        <v>45</v>
      </c>
      <c r="C460" s="256" t="s">
        <v>1223</v>
      </c>
      <c r="D460" s="186" t="s">
        <v>1448</v>
      </c>
      <c r="E460" s="187">
        <v>268</v>
      </c>
      <c r="F460" s="256">
        <v>1.5099033134902101E-14</v>
      </c>
      <c r="G460" s="181">
        <v>1</v>
      </c>
      <c r="H460" s="257">
        <v>43263</v>
      </c>
      <c r="I460" s="186" t="s">
        <v>1449</v>
      </c>
      <c r="J460" s="186">
        <v>0</v>
      </c>
      <c r="K460" s="186" t="s">
        <v>1450</v>
      </c>
      <c r="L460" s="256">
        <v>126</v>
      </c>
      <c r="M460" s="256">
        <v>0</v>
      </c>
      <c r="N460" s="256">
        <v>1</v>
      </c>
      <c r="O460" s="256">
        <v>3</v>
      </c>
    </row>
    <row r="461" spans="1:15" s="69" customFormat="1" ht="120">
      <c r="A461" s="256" t="s">
        <v>1222</v>
      </c>
      <c r="B461" s="256" t="s">
        <v>45</v>
      </c>
      <c r="C461" s="256" t="s">
        <v>46</v>
      </c>
      <c r="D461" s="186" t="s">
        <v>1451</v>
      </c>
      <c r="E461" s="187">
        <v>227</v>
      </c>
      <c r="F461" s="256">
        <v>6.5266861246637797E-6</v>
      </c>
      <c r="G461" s="181">
        <v>0</v>
      </c>
      <c r="H461" s="257">
        <v>43259</v>
      </c>
      <c r="I461" s="186" t="s">
        <v>1452</v>
      </c>
      <c r="J461" s="186">
        <v>0</v>
      </c>
      <c r="K461" s="186" t="s">
        <v>1453</v>
      </c>
      <c r="L461" s="256">
        <v>31</v>
      </c>
      <c r="M461" s="256">
        <v>0</v>
      </c>
      <c r="N461" s="256">
        <v>2</v>
      </c>
      <c r="O461" s="256">
        <v>19</v>
      </c>
    </row>
    <row r="462" spans="1:15" s="69" customFormat="1" ht="90">
      <c r="A462" s="256" t="s">
        <v>1222</v>
      </c>
      <c r="B462" s="256" t="s">
        <v>45</v>
      </c>
      <c r="C462" s="256" t="s">
        <v>80</v>
      </c>
      <c r="D462" s="258" t="s">
        <v>159</v>
      </c>
      <c r="E462" s="187">
        <v>44</v>
      </c>
      <c r="F462" s="256">
        <v>6.1940110449053599E-3</v>
      </c>
      <c r="G462" s="181">
        <v>1</v>
      </c>
      <c r="H462" s="257">
        <v>43240</v>
      </c>
      <c r="I462" s="186" t="s">
        <v>1454</v>
      </c>
      <c r="J462" s="186">
        <v>0</v>
      </c>
      <c r="K462" s="186" t="s">
        <v>1455</v>
      </c>
      <c r="L462" s="256">
        <v>121</v>
      </c>
      <c r="M462" s="256">
        <v>0</v>
      </c>
      <c r="N462" s="256">
        <v>1</v>
      </c>
      <c r="O462" s="256">
        <v>3</v>
      </c>
    </row>
    <row r="463" spans="1:15" s="69" customFormat="1" ht="75">
      <c r="A463" s="256" t="s">
        <v>1222</v>
      </c>
      <c r="B463" s="256" t="s">
        <v>45</v>
      </c>
      <c r="C463" s="256" t="s">
        <v>1223</v>
      </c>
      <c r="D463" s="220" t="s">
        <v>1456</v>
      </c>
      <c r="E463" s="187">
        <v>123</v>
      </c>
      <c r="F463" s="256">
        <v>2.3662183323836E-11</v>
      </c>
      <c r="G463" s="181">
        <v>1</v>
      </c>
      <c r="H463" s="257">
        <v>43239</v>
      </c>
      <c r="I463" s="186" t="s">
        <v>1457</v>
      </c>
      <c r="J463" s="186">
        <v>0</v>
      </c>
      <c r="K463" s="186" t="s">
        <v>1458</v>
      </c>
      <c r="L463" s="256">
        <v>84</v>
      </c>
      <c r="M463" s="220">
        <v>0</v>
      </c>
      <c r="N463" s="186">
        <v>1</v>
      </c>
      <c r="O463" s="220">
        <v>3</v>
      </c>
    </row>
    <row r="464" spans="1:15" s="69" customFormat="1" ht="90">
      <c r="A464" s="256" t="s">
        <v>1222</v>
      </c>
      <c r="B464" s="256" t="s">
        <v>45</v>
      </c>
      <c r="C464" s="256" t="s">
        <v>80</v>
      </c>
      <c r="D464" s="186" t="s">
        <v>1459</v>
      </c>
      <c r="E464" s="187">
        <v>45</v>
      </c>
      <c r="F464" s="256">
        <v>0.179707553812263</v>
      </c>
      <c r="G464" s="181">
        <v>1</v>
      </c>
      <c r="H464" s="302">
        <v>43237</v>
      </c>
      <c r="I464" s="186" t="s">
        <v>1460</v>
      </c>
      <c r="J464" s="186">
        <v>0</v>
      </c>
      <c r="K464" s="186" t="s">
        <v>1461</v>
      </c>
      <c r="L464" s="256">
        <v>141</v>
      </c>
      <c r="M464" s="256">
        <v>1</v>
      </c>
      <c r="N464" s="256">
        <v>2</v>
      </c>
      <c r="O464" s="256">
        <v>6</v>
      </c>
    </row>
    <row r="465" spans="1:15" s="69" customFormat="1" ht="105">
      <c r="A465" s="256" t="s">
        <v>1222</v>
      </c>
      <c r="B465" s="256" t="s">
        <v>45</v>
      </c>
      <c r="C465" s="256" t="s">
        <v>80</v>
      </c>
      <c r="D465" s="258" t="s">
        <v>1462</v>
      </c>
      <c r="E465" s="187">
        <v>42</v>
      </c>
      <c r="F465" s="256">
        <v>0.22980199379014399</v>
      </c>
      <c r="G465" s="181">
        <v>1</v>
      </c>
      <c r="H465" s="257">
        <v>43232</v>
      </c>
      <c r="I465" s="220" t="s">
        <v>1463</v>
      </c>
      <c r="J465" s="186">
        <v>0</v>
      </c>
      <c r="K465" s="186" t="s">
        <v>1464</v>
      </c>
      <c r="L465" s="256">
        <v>151</v>
      </c>
      <c r="M465" s="220">
        <v>0</v>
      </c>
      <c r="N465" s="186">
        <v>1</v>
      </c>
      <c r="O465" s="220">
        <v>3</v>
      </c>
    </row>
    <row r="466" spans="1:15" s="69" customFormat="1" ht="90">
      <c r="A466" s="256" t="s">
        <v>1222</v>
      </c>
      <c r="B466" s="256" t="s">
        <v>45</v>
      </c>
      <c r="C466" s="256" t="s">
        <v>80</v>
      </c>
      <c r="D466" s="258" t="s">
        <v>1465</v>
      </c>
      <c r="E466" s="187">
        <v>65</v>
      </c>
      <c r="F466" s="256">
        <v>3.5383546582227199E-3</v>
      </c>
      <c r="G466" s="181">
        <v>1</v>
      </c>
      <c r="H466" s="257">
        <v>43230</v>
      </c>
      <c r="I466" s="220" t="s">
        <v>1466</v>
      </c>
      <c r="J466" s="186">
        <v>0</v>
      </c>
      <c r="K466" s="186" t="s">
        <v>1467</v>
      </c>
      <c r="L466" s="256">
        <v>141</v>
      </c>
      <c r="M466" s="220">
        <v>0</v>
      </c>
      <c r="N466" s="186">
        <v>1</v>
      </c>
      <c r="O466" s="220">
        <v>5</v>
      </c>
    </row>
    <row r="467" spans="1:15" s="69" customFormat="1" ht="285">
      <c r="A467" s="256" t="s">
        <v>1222</v>
      </c>
      <c r="B467" s="256" t="s">
        <v>45</v>
      </c>
      <c r="C467" s="256" t="s">
        <v>46</v>
      </c>
      <c r="D467" s="186" t="s">
        <v>1468</v>
      </c>
      <c r="E467" s="187">
        <v>512</v>
      </c>
      <c r="F467" s="256">
        <v>0</v>
      </c>
      <c r="G467" s="181">
        <v>1</v>
      </c>
      <c r="H467" s="257">
        <v>43229</v>
      </c>
      <c r="I467" s="181" t="s">
        <v>4395</v>
      </c>
      <c r="J467" s="181">
        <v>0</v>
      </c>
      <c r="K467" s="186" t="s">
        <v>1470</v>
      </c>
      <c r="L467" s="256">
        <v>120</v>
      </c>
      <c r="M467" s="256">
        <v>0</v>
      </c>
      <c r="N467" s="256">
        <v>1</v>
      </c>
      <c r="O467" s="256">
        <v>2</v>
      </c>
    </row>
    <row r="468" spans="1:15" s="69" customFormat="1" ht="90">
      <c r="A468" s="256" t="s">
        <v>1222</v>
      </c>
      <c r="B468" s="256" t="s">
        <v>45</v>
      </c>
      <c r="C468" s="256" t="s">
        <v>80</v>
      </c>
      <c r="D468" s="258" t="s">
        <v>200</v>
      </c>
      <c r="E468" s="187">
        <v>59</v>
      </c>
      <c r="F468" s="256">
        <v>1.6619282237373401E-4</v>
      </c>
      <c r="G468" s="181">
        <v>1</v>
      </c>
      <c r="H468" s="257">
        <v>43229</v>
      </c>
      <c r="I468" s="186" t="s">
        <v>1471</v>
      </c>
      <c r="J468" s="186">
        <v>0</v>
      </c>
      <c r="K468" s="186" t="s">
        <v>1470</v>
      </c>
      <c r="L468" s="256">
        <v>120</v>
      </c>
      <c r="M468" s="256">
        <v>0</v>
      </c>
      <c r="N468" s="256">
        <v>1</v>
      </c>
      <c r="O468" s="256">
        <v>2</v>
      </c>
    </row>
    <row r="469" spans="1:15" s="69" customFormat="1" ht="75">
      <c r="A469" s="256" t="s">
        <v>1222</v>
      </c>
      <c r="B469" s="256" t="s">
        <v>45</v>
      </c>
      <c r="C469" s="256" t="s">
        <v>46</v>
      </c>
      <c r="D469" s="186" t="s">
        <v>1472</v>
      </c>
      <c r="E469" s="187">
        <v>130</v>
      </c>
      <c r="F469" s="256">
        <v>4.1610492829136099E-11</v>
      </c>
      <c r="G469" s="181">
        <v>0</v>
      </c>
      <c r="H469" s="257">
        <v>43224</v>
      </c>
      <c r="I469" s="186" t="s">
        <v>1473</v>
      </c>
      <c r="J469" s="186">
        <v>1</v>
      </c>
      <c r="K469" s="186" t="s">
        <v>1474</v>
      </c>
      <c r="L469" s="256">
        <v>90</v>
      </c>
      <c r="M469" s="256">
        <v>0</v>
      </c>
      <c r="N469" s="256">
        <v>1</v>
      </c>
      <c r="O469" s="256">
        <v>13</v>
      </c>
    </row>
    <row r="470" spans="1:15" s="69" customFormat="1" ht="90">
      <c r="A470" s="256" t="s">
        <v>1222</v>
      </c>
      <c r="B470" s="256" t="s">
        <v>45</v>
      </c>
      <c r="C470" s="256" t="s">
        <v>80</v>
      </c>
      <c r="D470" s="258" t="s">
        <v>159</v>
      </c>
      <c r="E470" s="187">
        <v>46</v>
      </c>
      <c r="F470" s="256">
        <v>3.1121077048930201E-2</v>
      </c>
      <c r="G470" s="181">
        <v>1</v>
      </c>
      <c r="H470" s="257">
        <v>43223</v>
      </c>
      <c r="I470" s="220" t="s">
        <v>1475</v>
      </c>
      <c r="J470" s="186">
        <v>0</v>
      </c>
      <c r="K470" s="186" t="s">
        <v>1476</v>
      </c>
      <c r="L470" s="256">
        <v>120</v>
      </c>
      <c r="M470" s="220">
        <v>0</v>
      </c>
      <c r="N470" s="186">
        <v>1</v>
      </c>
      <c r="O470" s="220">
        <v>4</v>
      </c>
    </row>
    <row r="471" spans="1:15" s="69" customFormat="1" ht="90">
      <c r="A471" s="256" t="s">
        <v>1222</v>
      </c>
      <c r="B471" s="256" t="s">
        <v>45</v>
      </c>
      <c r="C471" s="256" t="s">
        <v>80</v>
      </c>
      <c r="D471" s="220" t="s">
        <v>364</v>
      </c>
      <c r="E471" s="187">
        <v>43</v>
      </c>
      <c r="F471" s="256">
        <v>2.0735883994751601E-2</v>
      </c>
      <c r="G471" s="181">
        <v>1</v>
      </c>
      <c r="H471" s="257">
        <v>43221</v>
      </c>
      <c r="I471" s="220" t="s">
        <v>1477</v>
      </c>
      <c r="J471" s="186">
        <v>0</v>
      </c>
      <c r="K471" s="186" t="s">
        <v>1478</v>
      </c>
      <c r="L471" s="256">
        <v>120</v>
      </c>
      <c r="M471" s="220">
        <v>0</v>
      </c>
      <c r="N471" s="186">
        <v>1</v>
      </c>
      <c r="O471" s="220">
        <v>3</v>
      </c>
    </row>
    <row r="472" spans="1:15" s="69" customFormat="1" ht="255">
      <c r="A472" s="256" t="s">
        <v>1222</v>
      </c>
      <c r="B472" s="256" t="s">
        <v>45</v>
      </c>
      <c r="C472" s="256" t="s">
        <v>46</v>
      </c>
      <c r="D472" s="186" t="s">
        <v>1479</v>
      </c>
      <c r="E472" s="187">
        <v>449</v>
      </c>
      <c r="F472" s="256">
        <v>0</v>
      </c>
      <c r="G472" s="181">
        <v>1</v>
      </c>
      <c r="H472" s="257">
        <v>43220</v>
      </c>
      <c r="I472" s="181" t="s">
        <v>4396</v>
      </c>
      <c r="J472" s="181">
        <v>0</v>
      </c>
      <c r="K472" s="186" t="s">
        <v>1478</v>
      </c>
      <c r="L472" s="256">
        <v>120</v>
      </c>
      <c r="M472" s="256">
        <v>0</v>
      </c>
      <c r="N472" s="256">
        <v>1</v>
      </c>
      <c r="O472" s="256">
        <v>3</v>
      </c>
    </row>
    <row r="473" spans="1:15" s="69" customFormat="1" ht="105">
      <c r="A473" s="256" t="s">
        <v>1222</v>
      </c>
      <c r="B473" s="256" t="s">
        <v>45</v>
      </c>
      <c r="C473" s="256" t="s">
        <v>46</v>
      </c>
      <c r="D473" s="220" t="s">
        <v>1041</v>
      </c>
      <c r="E473" s="187">
        <v>78</v>
      </c>
      <c r="F473" s="256">
        <v>1.8922323202600198E-2</v>
      </c>
      <c r="G473" s="181">
        <v>1</v>
      </c>
      <c r="H473" s="257">
        <v>43193</v>
      </c>
      <c r="I473" s="186" t="s">
        <v>1042</v>
      </c>
      <c r="J473" s="186">
        <v>0</v>
      </c>
      <c r="K473" s="186" t="s">
        <v>1043</v>
      </c>
      <c r="L473" s="256">
        <v>151</v>
      </c>
      <c r="M473" s="220">
        <v>0</v>
      </c>
      <c r="N473" s="186">
        <v>1</v>
      </c>
      <c r="O473" s="220">
        <v>1</v>
      </c>
    </row>
    <row r="474" spans="1:15" s="69" customFormat="1" ht="105">
      <c r="A474" s="256" t="s">
        <v>1222</v>
      </c>
      <c r="B474" s="256" t="s">
        <v>45</v>
      </c>
      <c r="C474" s="256" t="s">
        <v>46</v>
      </c>
      <c r="D474" s="220" t="s">
        <v>1044</v>
      </c>
      <c r="E474" s="187">
        <v>55</v>
      </c>
      <c r="F474" s="256">
        <v>1.20241028663983E-2</v>
      </c>
      <c r="G474" s="181">
        <v>1</v>
      </c>
      <c r="H474" s="257">
        <v>43193</v>
      </c>
      <c r="I474" s="186" t="s">
        <v>1045</v>
      </c>
      <c r="J474" s="186">
        <v>0</v>
      </c>
      <c r="K474" s="186" t="s">
        <v>1046</v>
      </c>
      <c r="L474" s="256">
        <v>154</v>
      </c>
      <c r="M474" s="220">
        <v>0</v>
      </c>
      <c r="N474" s="186">
        <v>1</v>
      </c>
      <c r="O474" s="220">
        <v>1</v>
      </c>
    </row>
    <row r="475" spans="1:15" s="69" customFormat="1" ht="105">
      <c r="A475" s="256" t="s">
        <v>1222</v>
      </c>
      <c r="B475" s="256" t="s">
        <v>45</v>
      </c>
      <c r="C475" s="256" t="s">
        <v>80</v>
      </c>
      <c r="D475" s="258" t="s">
        <v>159</v>
      </c>
      <c r="E475" s="187">
        <v>74</v>
      </c>
      <c r="F475" s="256">
        <v>1.0189386840600001E-3</v>
      </c>
      <c r="G475" s="181">
        <v>1</v>
      </c>
      <c r="H475" s="257">
        <v>43185</v>
      </c>
      <c r="I475" s="220" t="s">
        <v>1481</v>
      </c>
      <c r="J475" s="186">
        <v>0</v>
      </c>
      <c r="K475" s="186" t="s">
        <v>1482</v>
      </c>
      <c r="L475" s="256">
        <v>146</v>
      </c>
      <c r="M475" s="220">
        <v>0</v>
      </c>
      <c r="N475" s="186">
        <v>2</v>
      </c>
      <c r="O475" s="220">
        <v>3</v>
      </c>
    </row>
    <row r="476" spans="1:15" s="69" customFormat="1" ht="105">
      <c r="A476" s="256" t="s">
        <v>1222</v>
      </c>
      <c r="B476" s="256" t="s">
        <v>45</v>
      </c>
      <c r="C476" s="256" t="s">
        <v>80</v>
      </c>
      <c r="D476" s="258" t="s">
        <v>1483</v>
      </c>
      <c r="E476" s="187">
        <v>48</v>
      </c>
      <c r="F476" s="256">
        <v>1.0428802435659801E-2</v>
      </c>
      <c r="G476" s="181">
        <v>1</v>
      </c>
      <c r="H476" s="257">
        <v>43184</v>
      </c>
      <c r="I476" s="220" t="s">
        <v>1484</v>
      </c>
      <c r="J476" s="186">
        <v>0</v>
      </c>
      <c r="K476" s="186" t="s">
        <v>1485</v>
      </c>
      <c r="L476" s="256">
        <v>155</v>
      </c>
      <c r="M476" s="220">
        <v>0</v>
      </c>
      <c r="N476" s="186">
        <v>2</v>
      </c>
      <c r="O476" s="220">
        <v>4</v>
      </c>
    </row>
    <row r="477" spans="1:15" s="69" customFormat="1" ht="105">
      <c r="A477" s="256" t="s">
        <v>1222</v>
      </c>
      <c r="B477" s="256" t="s">
        <v>45</v>
      </c>
      <c r="C477" s="256" t="s">
        <v>46</v>
      </c>
      <c r="D477" s="186" t="s">
        <v>1486</v>
      </c>
      <c r="E477" s="187">
        <v>174</v>
      </c>
      <c r="F477" s="256">
        <v>3.63467012043373E-9</v>
      </c>
      <c r="G477" s="181">
        <v>1</v>
      </c>
      <c r="H477" s="302">
        <v>43168</v>
      </c>
      <c r="I477" s="186" t="s">
        <v>1487</v>
      </c>
      <c r="J477" s="186">
        <v>0</v>
      </c>
      <c r="K477" s="186" t="s">
        <v>1488</v>
      </c>
      <c r="L477" s="256">
        <v>39</v>
      </c>
      <c r="M477" s="256">
        <v>0</v>
      </c>
      <c r="N477" s="256">
        <v>2</v>
      </c>
      <c r="O477" s="256">
        <v>5</v>
      </c>
    </row>
    <row r="478" spans="1:15" s="69" customFormat="1" ht="120">
      <c r="A478" s="256" t="s">
        <v>1222</v>
      </c>
      <c r="B478" s="256" t="s">
        <v>45</v>
      </c>
      <c r="C478" s="256" t="s">
        <v>46</v>
      </c>
      <c r="D478" s="186" t="s">
        <v>1489</v>
      </c>
      <c r="E478" s="187">
        <v>175</v>
      </c>
      <c r="F478" s="256">
        <v>4.6407322429331499E-14</v>
      </c>
      <c r="G478" s="181">
        <v>1</v>
      </c>
      <c r="H478" s="257">
        <v>43167</v>
      </c>
      <c r="I478" s="181" t="s">
        <v>1490</v>
      </c>
      <c r="J478" s="181">
        <v>1</v>
      </c>
      <c r="K478" s="186" t="s">
        <v>1491</v>
      </c>
      <c r="L478" s="256">
        <v>94</v>
      </c>
      <c r="M478" s="256">
        <v>2</v>
      </c>
      <c r="N478" s="256">
        <v>1</v>
      </c>
      <c r="O478" s="256">
        <v>20</v>
      </c>
    </row>
    <row r="479" spans="1:15" s="69" customFormat="1" ht="120">
      <c r="A479" s="256" t="s">
        <v>1222</v>
      </c>
      <c r="B479" s="256" t="s">
        <v>59</v>
      </c>
      <c r="C479" s="256" t="s">
        <v>46</v>
      </c>
      <c r="D479" s="186" t="s">
        <v>1492</v>
      </c>
      <c r="E479" s="187">
        <v>221</v>
      </c>
      <c r="F479" s="256">
        <v>7.1739141652393801E-4</v>
      </c>
      <c r="G479" s="181">
        <v>1</v>
      </c>
      <c r="H479" s="257">
        <v>43158</v>
      </c>
      <c r="I479" s="186" t="s">
        <v>1493</v>
      </c>
      <c r="J479" s="186">
        <v>0</v>
      </c>
      <c r="K479" s="186" t="s">
        <v>1494</v>
      </c>
      <c r="L479" s="256">
        <v>125</v>
      </c>
      <c r="M479" s="256">
        <v>1</v>
      </c>
      <c r="N479" s="256">
        <v>1</v>
      </c>
      <c r="O479" s="256">
        <v>3</v>
      </c>
    </row>
    <row r="480" spans="1:15" s="69" customFormat="1" ht="120">
      <c r="A480" s="256" t="s">
        <v>1222</v>
      </c>
      <c r="B480" s="256" t="s">
        <v>45</v>
      </c>
      <c r="C480" s="256" t="s">
        <v>46</v>
      </c>
      <c r="D480" s="186" t="s">
        <v>1495</v>
      </c>
      <c r="E480" s="187">
        <v>215</v>
      </c>
      <c r="F480" s="256">
        <v>0.99807713231393602</v>
      </c>
      <c r="G480" s="181">
        <v>1</v>
      </c>
      <c r="H480" s="257">
        <v>43157</v>
      </c>
      <c r="I480" s="186" t="s">
        <v>1496</v>
      </c>
      <c r="J480" s="186">
        <v>0</v>
      </c>
      <c r="K480" s="186" t="s">
        <v>1494</v>
      </c>
      <c r="L480" s="256">
        <v>125</v>
      </c>
      <c r="M480" s="256">
        <v>1</v>
      </c>
      <c r="N480" s="256">
        <v>1</v>
      </c>
      <c r="O480" s="256">
        <v>8</v>
      </c>
    </row>
    <row r="481" spans="1:15" s="69" customFormat="1" ht="120">
      <c r="A481" s="256" t="s">
        <v>1222</v>
      </c>
      <c r="B481" s="256" t="s">
        <v>45</v>
      </c>
      <c r="C481" s="256" t="s">
        <v>46</v>
      </c>
      <c r="D481" s="186" t="s">
        <v>3237</v>
      </c>
      <c r="E481" s="187">
        <v>215</v>
      </c>
      <c r="F481" s="256">
        <v>0.99807713231393602</v>
      </c>
      <c r="G481" s="181">
        <v>0</v>
      </c>
      <c r="H481" s="257">
        <v>43156</v>
      </c>
      <c r="I481" s="186" t="s">
        <v>1496</v>
      </c>
      <c r="J481" s="186">
        <v>0</v>
      </c>
      <c r="K481" s="186" t="s">
        <v>1494</v>
      </c>
      <c r="L481" s="256">
        <v>125</v>
      </c>
      <c r="M481" s="256">
        <v>1</v>
      </c>
      <c r="N481" s="256">
        <v>1</v>
      </c>
      <c r="O481" s="256">
        <v>9</v>
      </c>
    </row>
    <row r="482" spans="1:15" s="69" customFormat="1" ht="75">
      <c r="A482" s="256" t="s">
        <v>1222</v>
      </c>
      <c r="B482" s="256" t="s">
        <v>45</v>
      </c>
      <c r="C482" s="256" t="s">
        <v>80</v>
      </c>
      <c r="D482" s="258" t="s">
        <v>159</v>
      </c>
      <c r="E482" s="187">
        <v>62</v>
      </c>
      <c r="F482" s="256">
        <v>7.9486975079756695E-6</v>
      </c>
      <c r="G482" s="181">
        <v>1</v>
      </c>
      <c r="H482" s="257">
        <v>43118</v>
      </c>
      <c r="I482" s="186" t="s">
        <v>1497</v>
      </c>
      <c r="J482" s="186">
        <v>0</v>
      </c>
      <c r="K482" s="181" t="s">
        <v>1498</v>
      </c>
      <c r="L482" s="256">
        <v>101</v>
      </c>
      <c r="M482" s="256">
        <v>1</v>
      </c>
      <c r="N482" s="256">
        <v>1</v>
      </c>
      <c r="O482" s="256">
        <v>5</v>
      </c>
    </row>
    <row r="483" spans="1:15" s="69" customFormat="1" ht="90">
      <c r="A483" s="256" t="s">
        <v>1222</v>
      </c>
      <c r="B483" s="256" t="s">
        <v>45</v>
      </c>
      <c r="C483" s="256" t="s">
        <v>46</v>
      </c>
      <c r="D483" s="186" t="s">
        <v>1499</v>
      </c>
      <c r="E483" s="187">
        <v>150</v>
      </c>
      <c r="F483" s="256">
        <v>1.12735354366178E-5</v>
      </c>
      <c r="G483" s="181">
        <v>1</v>
      </c>
      <c r="H483" s="257">
        <v>43104</v>
      </c>
      <c r="I483" s="186" t="s">
        <v>1500</v>
      </c>
      <c r="J483" s="186">
        <v>1</v>
      </c>
      <c r="K483" s="186" t="s">
        <v>1501</v>
      </c>
      <c r="L483" s="256">
        <v>58</v>
      </c>
      <c r="M483" s="256">
        <v>0</v>
      </c>
      <c r="N483" s="256">
        <v>1</v>
      </c>
      <c r="O483" s="256">
        <v>4</v>
      </c>
    </row>
    <row r="484" spans="1:15" s="69" customFormat="1" ht="165">
      <c r="A484" s="256" t="s">
        <v>1222</v>
      </c>
      <c r="B484" s="256" t="s">
        <v>45</v>
      </c>
      <c r="C484" s="256" t="s">
        <v>46</v>
      </c>
      <c r="D484" s="186" t="s">
        <v>1502</v>
      </c>
      <c r="E484" s="187">
        <v>311</v>
      </c>
      <c r="F484" s="256">
        <v>8.7481527577537593E-9</v>
      </c>
      <c r="G484" s="181">
        <v>1</v>
      </c>
      <c r="H484" s="257">
        <v>43104</v>
      </c>
      <c r="I484" s="186" t="s">
        <v>4397</v>
      </c>
      <c r="J484" s="186">
        <v>1</v>
      </c>
      <c r="K484" s="186" t="s">
        <v>1504</v>
      </c>
      <c r="L484" s="256">
        <v>72</v>
      </c>
      <c r="M484" s="256">
        <v>0</v>
      </c>
      <c r="N484" s="256">
        <v>1</v>
      </c>
      <c r="O484" s="256">
        <v>4</v>
      </c>
    </row>
    <row r="485" spans="1:15" s="69" customFormat="1" ht="90">
      <c r="A485" s="256" t="s">
        <v>1222</v>
      </c>
      <c r="B485" s="256" t="s">
        <v>45</v>
      </c>
      <c r="C485" s="256" t="s">
        <v>46</v>
      </c>
      <c r="D485" s="258" t="s">
        <v>4398</v>
      </c>
      <c r="E485" s="187">
        <v>166</v>
      </c>
      <c r="F485" s="256">
        <v>1.54195878288022E-9</v>
      </c>
      <c r="G485" s="181">
        <v>1</v>
      </c>
      <c r="H485" s="257">
        <v>43085</v>
      </c>
      <c r="I485" s="186" t="s">
        <v>4399</v>
      </c>
      <c r="J485" s="186">
        <v>0</v>
      </c>
      <c r="K485" s="258" t="s">
        <v>1507</v>
      </c>
      <c r="L485" s="256">
        <v>17</v>
      </c>
      <c r="M485" s="256">
        <v>0</v>
      </c>
      <c r="N485" s="256">
        <v>1</v>
      </c>
      <c r="O485" s="256">
        <v>4</v>
      </c>
    </row>
    <row r="486" spans="1:15" s="69" customFormat="1" ht="120">
      <c r="A486" s="256" t="s">
        <v>1222</v>
      </c>
      <c r="B486" s="256" t="s">
        <v>45</v>
      </c>
      <c r="C486" s="256" t="s">
        <v>80</v>
      </c>
      <c r="D486" s="220" t="s">
        <v>1508</v>
      </c>
      <c r="E486" s="187">
        <v>148</v>
      </c>
      <c r="F486" s="256">
        <v>3.5333317425218502E-2</v>
      </c>
      <c r="G486" s="181">
        <v>1</v>
      </c>
      <c r="H486" s="257">
        <v>43069</v>
      </c>
      <c r="I486" s="186" t="s">
        <v>1509</v>
      </c>
      <c r="J486" s="186">
        <v>0</v>
      </c>
      <c r="K486" s="220" t="s">
        <v>1510</v>
      </c>
      <c r="L486" s="256">
        <v>160</v>
      </c>
      <c r="M486" s="220">
        <v>0</v>
      </c>
      <c r="N486" s="186">
        <v>1</v>
      </c>
      <c r="O486" s="220">
        <v>5</v>
      </c>
    </row>
    <row r="487" spans="1:15" s="69" customFormat="1" ht="75">
      <c r="A487" s="256" t="s">
        <v>1222</v>
      </c>
      <c r="B487" s="256" t="s">
        <v>45</v>
      </c>
      <c r="C487" s="256" t="s">
        <v>46</v>
      </c>
      <c r="D487" s="220" t="s">
        <v>1511</v>
      </c>
      <c r="E487" s="187">
        <v>117</v>
      </c>
      <c r="F487" s="256">
        <v>2.6805647381888899E-5</v>
      </c>
      <c r="G487" s="181">
        <v>0</v>
      </c>
      <c r="H487" s="257">
        <v>43056</v>
      </c>
      <c r="I487" s="186" t="s">
        <v>1512</v>
      </c>
      <c r="J487" s="186">
        <v>1</v>
      </c>
      <c r="K487" s="186" t="s">
        <v>1513</v>
      </c>
      <c r="L487" s="256">
        <v>42</v>
      </c>
      <c r="M487" s="220">
        <v>0</v>
      </c>
      <c r="N487" s="186">
        <v>3</v>
      </c>
      <c r="O487" s="220">
        <v>5</v>
      </c>
    </row>
    <row r="488" spans="1:15" s="69" customFormat="1" ht="135">
      <c r="A488" s="256" t="s">
        <v>1222</v>
      </c>
      <c r="B488" s="256" t="s">
        <v>45</v>
      </c>
      <c r="C488" s="256" t="s">
        <v>46</v>
      </c>
      <c r="D488" s="186" t="s">
        <v>1514</v>
      </c>
      <c r="E488" s="187">
        <v>247</v>
      </c>
      <c r="F488" s="256">
        <v>6.0206677088281397E-8</v>
      </c>
      <c r="G488" s="181">
        <v>1</v>
      </c>
      <c r="H488" s="257">
        <v>43047</v>
      </c>
      <c r="I488" s="186" t="s">
        <v>1515</v>
      </c>
      <c r="J488" s="186">
        <v>0</v>
      </c>
      <c r="K488" s="186" t="s">
        <v>1516</v>
      </c>
      <c r="L488" s="256">
        <v>77</v>
      </c>
      <c r="M488" s="256">
        <v>2</v>
      </c>
      <c r="N488" s="256">
        <v>1</v>
      </c>
      <c r="O488" s="256">
        <v>9</v>
      </c>
    </row>
    <row r="489" spans="1:15" s="69" customFormat="1" ht="45">
      <c r="A489" s="256" t="s">
        <v>1222</v>
      </c>
      <c r="B489" s="256" t="s">
        <v>45</v>
      </c>
      <c r="C489" s="256" t="s">
        <v>80</v>
      </c>
      <c r="D489" s="258" t="s">
        <v>1517</v>
      </c>
      <c r="E489" s="187">
        <v>50</v>
      </c>
      <c r="F489" s="256">
        <v>7.4131911628537699E-3</v>
      </c>
      <c r="G489" s="181">
        <v>1</v>
      </c>
      <c r="H489" s="257">
        <v>43031</v>
      </c>
      <c r="I489" s="220" t="s">
        <v>1518</v>
      </c>
      <c r="J489" s="220">
        <v>0</v>
      </c>
      <c r="K489" s="220" t="s">
        <v>1519</v>
      </c>
      <c r="L489" s="256">
        <v>50</v>
      </c>
      <c r="M489" s="304">
        <v>0</v>
      </c>
      <c r="N489" s="258">
        <v>1</v>
      </c>
      <c r="O489" s="304">
        <v>10</v>
      </c>
    </row>
    <row r="490" spans="1:15" s="69" customFormat="1" ht="60">
      <c r="A490" s="256" t="s">
        <v>1222</v>
      </c>
      <c r="B490" s="256" t="s">
        <v>45</v>
      </c>
      <c r="C490" s="256" t="s">
        <v>80</v>
      </c>
      <c r="D490" s="220" t="s">
        <v>1508</v>
      </c>
      <c r="E490" s="187">
        <v>106</v>
      </c>
      <c r="F490" s="256">
        <v>9.6211248776034805E-2</v>
      </c>
      <c r="G490" s="181">
        <v>1</v>
      </c>
      <c r="H490" s="257">
        <v>43030</v>
      </c>
      <c r="I490" s="186" t="s">
        <v>1520</v>
      </c>
      <c r="J490" s="186">
        <v>1</v>
      </c>
      <c r="K490" s="186" t="s">
        <v>1521</v>
      </c>
      <c r="L490" s="256">
        <v>42</v>
      </c>
      <c r="M490" s="220">
        <v>0</v>
      </c>
      <c r="N490" s="186">
        <v>1</v>
      </c>
      <c r="O490" s="220">
        <v>10</v>
      </c>
    </row>
    <row r="491" spans="1:15" s="69" customFormat="1" ht="75">
      <c r="A491" s="256" t="s">
        <v>1222</v>
      </c>
      <c r="B491" s="256" t="s">
        <v>45</v>
      </c>
      <c r="C491" s="256" t="s">
        <v>80</v>
      </c>
      <c r="D491" s="258" t="s">
        <v>1356</v>
      </c>
      <c r="E491" s="187">
        <v>69</v>
      </c>
      <c r="F491" s="256">
        <v>7.6299167737214901E-6</v>
      </c>
      <c r="G491" s="181">
        <v>1</v>
      </c>
      <c r="H491" s="257">
        <v>43027</v>
      </c>
      <c r="I491" s="186" t="s">
        <v>1522</v>
      </c>
      <c r="J491" s="186">
        <v>0</v>
      </c>
      <c r="K491" s="186" t="s">
        <v>1523</v>
      </c>
      <c r="L491" s="256">
        <v>110</v>
      </c>
      <c r="M491" s="256">
        <v>1</v>
      </c>
      <c r="N491" s="256">
        <v>3</v>
      </c>
      <c r="O491" s="256">
        <v>4</v>
      </c>
    </row>
    <row r="492" spans="1:15" s="69" customFormat="1" ht="45">
      <c r="A492" s="256" t="s">
        <v>1222</v>
      </c>
      <c r="B492" s="256" t="s">
        <v>45</v>
      </c>
      <c r="C492" s="256" t="s">
        <v>80</v>
      </c>
      <c r="D492" s="220" t="s">
        <v>1524</v>
      </c>
      <c r="E492" s="187">
        <v>32</v>
      </c>
      <c r="F492" s="256">
        <v>0.22917359443461</v>
      </c>
      <c r="G492" s="181">
        <v>1</v>
      </c>
      <c r="H492" s="257">
        <v>42988</v>
      </c>
      <c r="I492" s="258" t="s">
        <v>1525</v>
      </c>
      <c r="J492" s="258">
        <v>1</v>
      </c>
      <c r="K492" s="186" t="s">
        <v>1526</v>
      </c>
      <c r="L492" s="256">
        <v>60</v>
      </c>
      <c r="M492" s="220">
        <v>0</v>
      </c>
      <c r="N492" s="186">
        <v>1</v>
      </c>
      <c r="O492" s="220">
        <v>1</v>
      </c>
    </row>
    <row r="493" spans="1:15" s="69" customFormat="1" ht="120">
      <c r="A493" s="256" t="s">
        <v>1222</v>
      </c>
      <c r="B493" s="256" t="s">
        <v>45</v>
      </c>
      <c r="C493" s="256" t="s">
        <v>46</v>
      </c>
      <c r="D493" s="186" t="s">
        <v>1527</v>
      </c>
      <c r="E493" s="187">
        <v>207</v>
      </c>
      <c r="F493" s="256">
        <v>2.4258206701155399E-6</v>
      </c>
      <c r="G493" s="181">
        <v>1</v>
      </c>
      <c r="H493" s="257">
        <v>42977</v>
      </c>
      <c r="I493" s="186" t="s">
        <v>1528</v>
      </c>
      <c r="J493" s="186">
        <v>1</v>
      </c>
      <c r="K493" s="186" t="s">
        <v>1526</v>
      </c>
      <c r="L493" s="256">
        <v>60</v>
      </c>
      <c r="M493" s="256">
        <v>0</v>
      </c>
      <c r="N493" s="256">
        <v>1</v>
      </c>
      <c r="O493" s="256">
        <v>12</v>
      </c>
    </row>
    <row r="494" spans="1:15" s="69" customFormat="1" ht="75">
      <c r="A494" s="256" t="s">
        <v>1222</v>
      </c>
      <c r="B494" s="256" t="s">
        <v>45</v>
      </c>
      <c r="C494" s="256" t="s">
        <v>80</v>
      </c>
      <c r="D494" s="186" t="s">
        <v>1529</v>
      </c>
      <c r="E494" s="187">
        <v>100</v>
      </c>
      <c r="F494" s="256">
        <v>1.64952751180447E-5</v>
      </c>
      <c r="G494" s="181">
        <v>1</v>
      </c>
      <c r="H494" s="257">
        <v>42935</v>
      </c>
      <c r="I494" s="186" t="s">
        <v>1530</v>
      </c>
      <c r="J494" s="186">
        <v>0</v>
      </c>
      <c r="K494" s="186" t="s">
        <v>1531</v>
      </c>
      <c r="L494" s="256">
        <v>94</v>
      </c>
      <c r="M494" s="256">
        <v>0</v>
      </c>
      <c r="N494" s="256">
        <v>1</v>
      </c>
      <c r="O494" s="256">
        <v>13</v>
      </c>
    </row>
    <row r="495" spans="1:15" s="69" customFormat="1" ht="105">
      <c r="A495" s="256" t="s">
        <v>1222</v>
      </c>
      <c r="B495" s="256" t="s">
        <v>59</v>
      </c>
      <c r="C495" s="256" t="s">
        <v>46</v>
      </c>
      <c r="D495" s="258" t="s">
        <v>1532</v>
      </c>
      <c r="E495" s="187">
        <v>121</v>
      </c>
      <c r="F495" s="256">
        <v>3.5091815342447299E-5</v>
      </c>
      <c r="G495" s="181">
        <v>1</v>
      </c>
      <c r="H495" s="257">
        <v>42914</v>
      </c>
      <c r="I495" s="186" t="s">
        <v>1533</v>
      </c>
      <c r="J495" s="186">
        <v>1</v>
      </c>
      <c r="K495" s="186" t="s">
        <v>1534</v>
      </c>
      <c r="L495" s="256">
        <v>135</v>
      </c>
      <c r="M495" s="256">
        <v>1</v>
      </c>
      <c r="N495" s="256">
        <v>2</v>
      </c>
      <c r="O495" s="256">
        <v>7</v>
      </c>
    </row>
    <row r="496" spans="1:15" s="69" customFormat="1" ht="30">
      <c r="A496" s="256" t="s">
        <v>1222</v>
      </c>
      <c r="B496" s="256" t="s">
        <v>59</v>
      </c>
      <c r="C496" s="256" t="s">
        <v>46</v>
      </c>
      <c r="D496" s="258" t="s">
        <v>1535</v>
      </c>
      <c r="E496" s="187">
        <v>57</v>
      </c>
      <c r="F496" s="256">
        <v>0.33096596572563203</v>
      </c>
      <c r="G496" s="181">
        <v>1</v>
      </c>
      <c r="H496" s="257">
        <v>42914</v>
      </c>
      <c r="I496" s="186" t="s">
        <v>1536</v>
      </c>
      <c r="J496" s="186">
        <v>1</v>
      </c>
      <c r="K496" s="186" t="s">
        <v>1537</v>
      </c>
      <c r="L496" s="256">
        <v>41</v>
      </c>
      <c r="M496" s="256">
        <v>1</v>
      </c>
      <c r="N496" s="256">
        <v>1</v>
      </c>
      <c r="O496" s="256">
        <v>8</v>
      </c>
    </row>
    <row r="497" spans="1:15" s="69" customFormat="1" ht="60">
      <c r="A497" s="256" t="s">
        <v>1222</v>
      </c>
      <c r="B497" s="256" t="s">
        <v>45</v>
      </c>
      <c r="C497" s="256" t="s">
        <v>80</v>
      </c>
      <c r="D497" s="186" t="s">
        <v>1538</v>
      </c>
      <c r="E497" s="187">
        <v>38</v>
      </c>
      <c r="F497" s="256">
        <v>2.8089224466821699E-2</v>
      </c>
      <c r="G497" s="181">
        <v>1</v>
      </c>
      <c r="H497" s="257">
        <v>42895</v>
      </c>
      <c r="I497" s="186" t="s">
        <v>1539</v>
      </c>
      <c r="J497" s="186">
        <v>0</v>
      </c>
      <c r="K497" s="186" t="s">
        <v>1540</v>
      </c>
      <c r="L497" s="256">
        <v>70</v>
      </c>
      <c r="M497" s="256">
        <v>0</v>
      </c>
      <c r="N497" s="256">
        <v>1</v>
      </c>
      <c r="O497" s="256">
        <v>10</v>
      </c>
    </row>
    <row r="498" spans="1:15" s="69" customFormat="1" ht="75">
      <c r="A498" s="256" t="s">
        <v>1222</v>
      </c>
      <c r="B498" s="256" t="s">
        <v>45</v>
      </c>
      <c r="C498" s="256" t="s">
        <v>80</v>
      </c>
      <c r="D498" s="186" t="s">
        <v>1538</v>
      </c>
      <c r="E498" s="187">
        <v>80</v>
      </c>
      <c r="F498" s="256">
        <v>2.3009231335358001E-5</v>
      </c>
      <c r="G498" s="181">
        <v>1</v>
      </c>
      <c r="H498" s="257">
        <v>42883</v>
      </c>
      <c r="I498" s="181" t="s">
        <v>1541</v>
      </c>
      <c r="J498" s="181">
        <v>0</v>
      </c>
      <c r="K498" s="186" t="s">
        <v>1542</v>
      </c>
      <c r="L498" s="256">
        <v>111</v>
      </c>
      <c r="M498" s="256">
        <v>0</v>
      </c>
      <c r="N498" s="256">
        <v>1</v>
      </c>
      <c r="O498" s="256">
        <v>10</v>
      </c>
    </row>
    <row r="499" spans="1:15" s="69" customFormat="1" ht="75">
      <c r="A499" s="256" t="s">
        <v>1222</v>
      </c>
      <c r="B499" s="256" t="s">
        <v>45</v>
      </c>
      <c r="C499" s="256" t="s">
        <v>46</v>
      </c>
      <c r="D499" s="186" t="s">
        <v>1543</v>
      </c>
      <c r="E499" s="187">
        <v>92</v>
      </c>
      <c r="F499" s="256">
        <v>2.8409550044017398E-5</v>
      </c>
      <c r="G499" s="181">
        <v>0</v>
      </c>
      <c r="H499" s="257">
        <v>42881</v>
      </c>
      <c r="I499" s="181" t="s">
        <v>1544</v>
      </c>
      <c r="J499" s="181">
        <v>0</v>
      </c>
      <c r="K499" s="186" t="s">
        <v>1545</v>
      </c>
      <c r="L499" s="256">
        <v>111</v>
      </c>
      <c r="M499" s="256">
        <v>0</v>
      </c>
      <c r="N499" s="256">
        <v>1</v>
      </c>
      <c r="O499" s="256">
        <v>11</v>
      </c>
    </row>
    <row r="500" spans="1:15" s="69" customFormat="1" ht="90">
      <c r="A500" s="256" t="s">
        <v>1222</v>
      </c>
      <c r="B500" s="256" t="s">
        <v>45</v>
      </c>
      <c r="C500" s="256" t="s">
        <v>80</v>
      </c>
      <c r="D500" s="258" t="s">
        <v>1546</v>
      </c>
      <c r="E500" s="187">
        <v>84</v>
      </c>
      <c r="F500" s="256">
        <v>7.6329232687139995E-2</v>
      </c>
      <c r="G500" s="181">
        <v>1</v>
      </c>
      <c r="H500" s="257">
        <v>42877</v>
      </c>
      <c r="I500" s="220" t="s">
        <v>1547</v>
      </c>
      <c r="J500" s="186">
        <v>0</v>
      </c>
      <c r="K500" s="186" t="s">
        <v>1548</v>
      </c>
      <c r="L500" s="256">
        <v>121</v>
      </c>
      <c r="M500" s="220">
        <v>0</v>
      </c>
      <c r="N500" s="186">
        <v>1</v>
      </c>
      <c r="O500" s="220">
        <v>10</v>
      </c>
    </row>
    <row r="501" spans="1:15" s="69" customFormat="1" ht="60">
      <c r="A501" s="256" t="s">
        <v>1222</v>
      </c>
      <c r="B501" s="256" t="s">
        <v>45</v>
      </c>
      <c r="C501" s="256" t="s">
        <v>80</v>
      </c>
      <c r="D501" s="186" t="s">
        <v>1549</v>
      </c>
      <c r="E501" s="187">
        <v>56</v>
      </c>
      <c r="F501" s="256">
        <v>2.1856606458846599E-3</v>
      </c>
      <c r="G501" s="181">
        <v>1</v>
      </c>
      <c r="H501" s="257">
        <v>42877</v>
      </c>
      <c r="I501" s="186" t="s">
        <v>1550</v>
      </c>
      <c r="J501" s="186">
        <v>0</v>
      </c>
      <c r="K501" s="186" t="s">
        <v>1551</v>
      </c>
      <c r="L501" s="256">
        <v>91</v>
      </c>
      <c r="M501" s="256">
        <v>0</v>
      </c>
      <c r="N501" s="256">
        <v>1</v>
      </c>
      <c r="O501" s="256">
        <v>9</v>
      </c>
    </row>
    <row r="502" spans="1:15" s="69" customFormat="1" ht="135">
      <c r="A502" s="256" t="s">
        <v>1222</v>
      </c>
      <c r="B502" s="256" t="s">
        <v>1191</v>
      </c>
      <c r="C502" s="256" t="s">
        <v>848</v>
      </c>
      <c r="D502" s="186" t="s">
        <v>4400</v>
      </c>
      <c r="E502" s="187">
        <v>50</v>
      </c>
      <c r="F502" s="256">
        <v>2.5661239727581299E-5</v>
      </c>
      <c r="G502" s="181">
        <v>1</v>
      </c>
      <c r="H502" s="257">
        <v>42870</v>
      </c>
      <c r="I502" s="181" t="s">
        <v>4401</v>
      </c>
      <c r="J502" s="181">
        <v>0</v>
      </c>
      <c r="K502" s="186" t="s">
        <v>1554</v>
      </c>
      <c r="L502" s="256">
        <v>197</v>
      </c>
      <c r="M502" s="256">
        <v>1</v>
      </c>
      <c r="N502" s="256">
        <v>1</v>
      </c>
      <c r="O502" s="256">
        <v>7</v>
      </c>
    </row>
    <row r="503" spans="1:15" s="69" customFormat="1" ht="90">
      <c r="A503" s="256" t="s">
        <v>1222</v>
      </c>
      <c r="B503" s="256" t="s">
        <v>45</v>
      </c>
      <c r="C503" s="256" t="s">
        <v>80</v>
      </c>
      <c r="D503" s="220" t="s">
        <v>1555</v>
      </c>
      <c r="E503" s="187">
        <v>89</v>
      </c>
      <c r="F503" s="256">
        <v>0.43038739764002298</v>
      </c>
      <c r="G503" s="181">
        <v>1</v>
      </c>
      <c r="H503" s="257">
        <v>42866</v>
      </c>
      <c r="I503" s="220" t="s">
        <v>1556</v>
      </c>
      <c r="J503" s="186">
        <v>0</v>
      </c>
      <c r="K503" s="186" t="s">
        <v>1548</v>
      </c>
      <c r="L503" s="256">
        <v>121</v>
      </c>
      <c r="M503" s="220">
        <v>1</v>
      </c>
      <c r="N503" s="186">
        <v>1</v>
      </c>
      <c r="O503" s="220">
        <v>14</v>
      </c>
    </row>
    <row r="504" spans="1:15" s="69" customFormat="1" ht="180">
      <c r="A504" s="256" t="s">
        <v>1222</v>
      </c>
      <c r="B504" s="256" t="s">
        <v>45</v>
      </c>
      <c r="C504" s="256" t="s">
        <v>46</v>
      </c>
      <c r="D504" s="186" t="s">
        <v>1557</v>
      </c>
      <c r="E504" s="187">
        <v>326</v>
      </c>
      <c r="F504" s="256">
        <v>0.99999986976565702</v>
      </c>
      <c r="G504" s="181">
        <v>1</v>
      </c>
      <c r="H504" s="257">
        <v>42866</v>
      </c>
      <c r="I504" s="186" t="s">
        <v>1558</v>
      </c>
      <c r="J504" s="186">
        <v>0</v>
      </c>
      <c r="K504" s="186" t="s">
        <v>1559</v>
      </c>
      <c r="L504" s="256">
        <v>100</v>
      </c>
      <c r="M504" s="256">
        <v>0</v>
      </c>
      <c r="N504" s="256">
        <v>1</v>
      </c>
      <c r="O504" s="256">
        <v>8</v>
      </c>
    </row>
    <row r="505" spans="1:15" s="69" customFormat="1" ht="75">
      <c r="A505" s="256" t="s">
        <v>1222</v>
      </c>
      <c r="B505" s="256" t="s">
        <v>45</v>
      </c>
      <c r="C505" s="256" t="s">
        <v>80</v>
      </c>
      <c r="D505" s="258" t="s">
        <v>1560</v>
      </c>
      <c r="E505" s="187">
        <v>55</v>
      </c>
      <c r="F505" s="256">
        <v>7.8073275618960603E-3</v>
      </c>
      <c r="G505" s="181">
        <v>1</v>
      </c>
      <c r="H505" s="257">
        <v>42866</v>
      </c>
      <c r="I505" s="186" t="s">
        <v>1561</v>
      </c>
      <c r="J505" s="186">
        <v>1</v>
      </c>
      <c r="K505" s="186" t="s">
        <v>1562</v>
      </c>
      <c r="L505" s="256">
        <v>111</v>
      </c>
      <c r="M505" s="256">
        <v>0</v>
      </c>
      <c r="N505" s="256">
        <v>1</v>
      </c>
      <c r="O505" s="256">
        <v>7</v>
      </c>
    </row>
    <row r="506" spans="1:15" s="69" customFormat="1" ht="75">
      <c r="A506" s="256" t="s">
        <v>1222</v>
      </c>
      <c r="B506" s="256" t="s">
        <v>45</v>
      </c>
      <c r="C506" s="256" t="s">
        <v>46</v>
      </c>
      <c r="D506" s="186" t="s">
        <v>1563</v>
      </c>
      <c r="E506" s="187">
        <v>108</v>
      </c>
      <c r="F506" s="256">
        <v>3.9984579324625603E-4</v>
      </c>
      <c r="G506" s="181">
        <v>1</v>
      </c>
      <c r="H506" s="257">
        <v>42866</v>
      </c>
      <c r="I506" s="186" t="s">
        <v>1564</v>
      </c>
      <c r="J506" s="186">
        <v>1</v>
      </c>
      <c r="K506" s="186" t="s">
        <v>1565</v>
      </c>
      <c r="L506" s="256">
        <v>43</v>
      </c>
      <c r="M506" s="256">
        <v>1</v>
      </c>
      <c r="N506" s="256">
        <v>2</v>
      </c>
      <c r="O506" s="256">
        <v>22</v>
      </c>
    </row>
    <row r="507" spans="1:15" s="69" customFormat="1" ht="90">
      <c r="A507" s="256" t="s">
        <v>1222</v>
      </c>
      <c r="B507" s="256" t="s">
        <v>59</v>
      </c>
      <c r="C507" s="256" t="s">
        <v>46</v>
      </c>
      <c r="D507" s="186" t="s">
        <v>1566</v>
      </c>
      <c r="E507" s="187">
        <v>155</v>
      </c>
      <c r="F507" s="256">
        <v>0.96998995849926795</v>
      </c>
      <c r="G507" s="181">
        <v>1</v>
      </c>
      <c r="H507" s="257">
        <v>42866</v>
      </c>
      <c r="I507" s="186" t="s">
        <v>1567</v>
      </c>
      <c r="J507" s="186">
        <v>1</v>
      </c>
      <c r="K507" s="186" t="s">
        <v>1568</v>
      </c>
      <c r="L507" s="256">
        <v>121</v>
      </c>
      <c r="M507" s="256">
        <v>0</v>
      </c>
      <c r="N507" s="256">
        <v>1</v>
      </c>
      <c r="O507" s="256">
        <v>6</v>
      </c>
    </row>
    <row r="508" spans="1:15" s="69" customFormat="1" ht="195">
      <c r="A508" s="256" t="s">
        <v>1222</v>
      </c>
      <c r="B508" s="256" t="s">
        <v>59</v>
      </c>
      <c r="C508" s="256" t="s">
        <v>46</v>
      </c>
      <c r="D508" s="186" t="s">
        <v>1130</v>
      </c>
      <c r="E508" s="187">
        <v>162</v>
      </c>
      <c r="F508" s="256">
        <v>8.2807974499665704E-7</v>
      </c>
      <c r="G508" s="181">
        <v>1</v>
      </c>
      <c r="H508" s="257">
        <v>42856</v>
      </c>
      <c r="I508" s="186" t="s">
        <v>1131</v>
      </c>
      <c r="J508" s="186">
        <v>0</v>
      </c>
      <c r="K508" s="186" t="s">
        <v>1569</v>
      </c>
      <c r="L508" s="256">
        <v>271</v>
      </c>
      <c r="M508" s="256">
        <v>0</v>
      </c>
      <c r="N508" s="256">
        <v>1</v>
      </c>
      <c r="O508" s="256">
        <v>3</v>
      </c>
    </row>
    <row r="509" spans="1:15" s="69" customFormat="1" ht="120">
      <c r="A509" s="256" t="s">
        <v>1222</v>
      </c>
      <c r="B509" s="256" t="s">
        <v>59</v>
      </c>
      <c r="C509" s="256" t="s">
        <v>46</v>
      </c>
      <c r="D509" s="258" t="s">
        <v>1570</v>
      </c>
      <c r="E509" s="187">
        <v>51</v>
      </c>
      <c r="F509" s="256">
        <v>0.950949505434453</v>
      </c>
      <c r="G509" s="181">
        <v>1</v>
      </c>
      <c r="H509" s="257">
        <v>42856</v>
      </c>
      <c r="I509" s="186" t="s">
        <v>1571</v>
      </c>
      <c r="J509" s="186">
        <v>1</v>
      </c>
      <c r="K509" s="186" t="s">
        <v>1572</v>
      </c>
      <c r="L509" s="256">
        <v>162</v>
      </c>
      <c r="M509" s="256">
        <v>0</v>
      </c>
      <c r="N509" s="256">
        <v>1</v>
      </c>
      <c r="O509" s="256">
        <v>3</v>
      </c>
    </row>
    <row r="510" spans="1:15" s="69" customFormat="1" ht="75">
      <c r="A510" s="256" t="s">
        <v>1222</v>
      </c>
      <c r="B510" s="256" t="s">
        <v>45</v>
      </c>
      <c r="C510" s="256" t="s">
        <v>46</v>
      </c>
      <c r="D510" s="258" t="s">
        <v>1573</v>
      </c>
      <c r="E510" s="187">
        <v>134</v>
      </c>
      <c r="F510" s="256">
        <v>3.8792658233477397E-6</v>
      </c>
      <c r="G510" s="181">
        <v>1</v>
      </c>
      <c r="H510" s="257">
        <v>42818</v>
      </c>
      <c r="I510" s="186" t="s">
        <v>1574</v>
      </c>
      <c r="J510" s="186">
        <v>1</v>
      </c>
      <c r="K510" s="186" t="s">
        <v>1575</v>
      </c>
      <c r="L510" s="256">
        <v>82</v>
      </c>
      <c r="M510" s="256">
        <v>0</v>
      </c>
      <c r="N510" s="256">
        <v>1</v>
      </c>
      <c r="O510" s="256">
        <v>14</v>
      </c>
    </row>
    <row r="511" spans="1:15" s="69" customFormat="1" ht="60">
      <c r="A511" s="256" t="s">
        <v>1222</v>
      </c>
      <c r="B511" s="256" t="s">
        <v>59</v>
      </c>
      <c r="C511" s="256" t="s">
        <v>46</v>
      </c>
      <c r="D511" s="186" t="s">
        <v>1576</v>
      </c>
      <c r="E511" s="187">
        <v>117</v>
      </c>
      <c r="F511" s="256">
        <v>4.03484435418377E-7</v>
      </c>
      <c r="G511" s="181">
        <v>1</v>
      </c>
      <c r="H511" s="303">
        <v>42814</v>
      </c>
      <c r="I511" s="186" t="s">
        <v>1577</v>
      </c>
      <c r="J511" s="186">
        <v>1</v>
      </c>
      <c r="K511" s="186" t="s">
        <v>1578</v>
      </c>
      <c r="L511" s="256">
        <v>83</v>
      </c>
      <c r="M511" s="256">
        <v>0</v>
      </c>
      <c r="N511" s="256">
        <v>1</v>
      </c>
      <c r="O511" s="256">
        <v>3</v>
      </c>
    </row>
    <row r="512" spans="1:15" s="69" customFormat="1" ht="105">
      <c r="A512" s="256" t="s">
        <v>1222</v>
      </c>
      <c r="B512" s="256" t="s">
        <v>45</v>
      </c>
      <c r="C512" s="256" t="s">
        <v>46</v>
      </c>
      <c r="D512" s="258" t="s">
        <v>1579</v>
      </c>
      <c r="E512" s="187">
        <v>25</v>
      </c>
      <c r="F512" s="256">
        <v>0.87214182259746897</v>
      </c>
      <c r="G512" s="181">
        <v>1</v>
      </c>
      <c r="H512" s="257">
        <v>42793</v>
      </c>
      <c r="I512" s="220" t="s">
        <v>1580</v>
      </c>
      <c r="J512" s="186">
        <v>1</v>
      </c>
      <c r="K512" s="186" t="s">
        <v>1581</v>
      </c>
      <c r="L512" s="256">
        <v>142</v>
      </c>
      <c r="M512" s="220">
        <v>0</v>
      </c>
      <c r="N512" s="186">
        <v>1</v>
      </c>
      <c r="O512" s="220">
        <v>11</v>
      </c>
    </row>
    <row r="513" spans="1:15" s="69" customFormat="1" ht="120">
      <c r="A513" s="256" t="s">
        <v>1222</v>
      </c>
      <c r="B513" s="256" t="s">
        <v>1191</v>
      </c>
      <c r="C513" s="256" t="s">
        <v>46</v>
      </c>
      <c r="D513" s="220" t="s">
        <v>1582</v>
      </c>
      <c r="E513" s="187">
        <v>210</v>
      </c>
      <c r="F513" s="256">
        <v>2.9124702649596702E-11</v>
      </c>
      <c r="G513" s="181">
        <v>0</v>
      </c>
      <c r="H513" s="257">
        <v>42778</v>
      </c>
      <c r="I513" s="186" t="s">
        <v>1583</v>
      </c>
      <c r="J513" s="186">
        <v>1</v>
      </c>
      <c r="K513" s="186" t="s">
        <v>1584</v>
      </c>
      <c r="L513" s="256">
        <v>67</v>
      </c>
      <c r="M513" s="220">
        <v>0</v>
      </c>
      <c r="N513" s="186">
        <v>4</v>
      </c>
      <c r="O513" s="220">
        <v>26</v>
      </c>
    </row>
    <row r="514" spans="1:15" s="69" customFormat="1" ht="165">
      <c r="A514" s="256" t="s">
        <v>1222</v>
      </c>
      <c r="B514" s="256" t="s">
        <v>45</v>
      </c>
      <c r="C514" s="256" t="s">
        <v>46</v>
      </c>
      <c r="D514" s="186" t="s">
        <v>1585</v>
      </c>
      <c r="E514" s="187">
        <v>145</v>
      </c>
      <c r="F514" s="256">
        <v>0.99811728556326396</v>
      </c>
      <c r="G514" s="181">
        <v>1</v>
      </c>
      <c r="H514" s="257">
        <v>42743</v>
      </c>
      <c r="I514" s="186" t="s">
        <v>1586</v>
      </c>
      <c r="J514" s="186">
        <v>0</v>
      </c>
      <c r="K514" s="186" t="s">
        <v>1587</v>
      </c>
      <c r="L514" s="256">
        <v>227</v>
      </c>
      <c r="M514" s="256">
        <v>0</v>
      </c>
      <c r="N514" s="256">
        <v>1</v>
      </c>
      <c r="O514" s="256">
        <v>15</v>
      </c>
    </row>
    <row r="515" spans="1:15" s="69" customFormat="1" ht="225">
      <c r="A515" s="256" t="s">
        <v>1222</v>
      </c>
      <c r="B515" s="256" t="s">
        <v>45</v>
      </c>
      <c r="C515" s="256" t="s">
        <v>46</v>
      </c>
      <c r="D515" s="186" t="s">
        <v>1588</v>
      </c>
      <c r="E515" s="187">
        <v>396</v>
      </c>
      <c r="F515" s="256">
        <v>4.12385328566023E-4</v>
      </c>
      <c r="G515" s="181">
        <v>0</v>
      </c>
      <c r="H515" s="257">
        <v>42663</v>
      </c>
      <c r="I515" s="181" t="s">
        <v>4402</v>
      </c>
      <c r="J515" s="181">
        <v>1</v>
      </c>
      <c r="K515" s="186" t="s">
        <v>1590</v>
      </c>
      <c r="L515" s="256">
        <v>129</v>
      </c>
      <c r="M515" s="256">
        <v>0</v>
      </c>
      <c r="N515" s="256">
        <v>1</v>
      </c>
      <c r="O515" s="256">
        <v>8</v>
      </c>
    </row>
    <row r="516" spans="1:15" s="69" customFormat="1" ht="75">
      <c r="A516" s="256" t="s">
        <v>1222</v>
      </c>
      <c r="B516" s="256" t="s">
        <v>45</v>
      </c>
      <c r="C516" s="256" t="s">
        <v>833</v>
      </c>
      <c r="D516" s="186" t="s">
        <v>1591</v>
      </c>
      <c r="E516" s="187">
        <v>130</v>
      </c>
      <c r="F516" s="256">
        <v>6.8961976166459493E-5</v>
      </c>
      <c r="G516" s="181">
        <v>1</v>
      </c>
      <c r="H516" s="257">
        <v>42655</v>
      </c>
      <c r="I516" s="186" t="s">
        <v>1592</v>
      </c>
      <c r="J516" s="186">
        <v>1</v>
      </c>
      <c r="K516" s="186" t="s">
        <v>1593</v>
      </c>
      <c r="L516" s="256">
        <v>81</v>
      </c>
      <c r="M516" s="256">
        <v>2</v>
      </c>
      <c r="N516" s="256">
        <v>1</v>
      </c>
      <c r="O516" s="256">
        <v>26</v>
      </c>
    </row>
    <row r="517" spans="1:15" s="69" customFormat="1" ht="165">
      <c r="A517" s="256" t="s">
        <v>1222</v>
      </c>
      <c r="B517" s="256" t="s">
        <v>45</v>
      </c>
      <c r="C517" s="256" t="s">
        <v>833</v>
      </c>
      <c r="D517" s="186" t="s">
        <v>1594</v>
      </c>
      <c r="E517" s="187">
        <v>64</v>
      </c>
      <c r="F517" s="256">
        <v>0.92134263141922901</v>
      </c>
      <c r="G517" s="181">
        <v>1</v>
      </c>
      <c r="H517" s="257">
        <v>42655</v>
      </c>
      <c r="I517" s="186" t="s">
        <v>1595</v>
      </c>
      <c r="J517" s="186">
        <v>1</v>
      </c>
      <c r="K517" s="186" t="s">
        <v>1587</v>
      </c>
      <c r="L517" s="256">
        <v>227</v>
      </c>
      <c r="M517" s="256">
        <v>0</v>
      </c>
      <c r="N517" s="256">
        <v>1</v>
      </c>
      <c r="O517" s="256">
        <v>12</v>
      </c>
    </row>
    <row r="518" spans="1:15" s="69" customFormat="1" ht="75">
      <c r="A518" s="256" t="s">
        <v>1222</v>
      </c>
      <c r="B518" s="256" t="s">
        <v>119</v>
      </c>
      <c r="C518" s="256" t="s">
        <v>46</v>
      </c>
      <c r="D518" s="186" t="s">
        <v>1596</v>
      </c>
      <c r="E518" s="187">
        <v>64</v>
      </c>
      <c r="F518" s="256">
        <v>0.99999838284078002</v>
      </c>
      <c r="G518" s="181">
        <v>1</v>
      </c>
      <c r="H518" s="257">
        <v>42654</v>
      </c>
      <c r="I518" s="186" t="s">
        <v>1597</v>
      </c>
      <c r="J518" s="186">
        <v>1</v>
      </c>
      <c r="K518" s="186" t="s">
        <v>1598</v>
      </c>
      <c r="L518" s="256">
        <v>109</v>
      </c>
      <c r="M518" s="256">
        <v>0</v>
      </c>
      <c r="N518" s="256">
        <v>1</v>
      </c>
      <c r="O518" s="256">
        <v>10</v>
      </c>
    </row>
    <row r="519" spans="1:15" s="69" customFormat="1" ht="210">
      <c r="A519" s="256" t="s">
        <v>1222</v>
      </c>
      <c r="B519" s="256" t="s">
        <v>45</v>
      </c>
      <c r="C519" s="256" t="s">
        <v>46</v>
      </c>
      <c r="D519" s="186" t="s">
        <v>1599</v>
      </c>
      <c r="E519" s="187">
        <v>382</v>
      </c>
      <c r="F519" s="256">
        <v>7.2058270461638999E-10</v>
      </c>
      <c r="G519" s="181">
        <v>1</v>
      </c>
      <c r="H519" s="257">
        <v>42622</v>
      </c>
      <c r="I519" s="186" t="s">
        <v>1600</v>
      </c>
      <c r="J519" s="186">
        <v>1</v>
      </c>
      <c r="K519" s="186" t="s">
        <v>1601</v>
      </c>
      <c r="L519" s="256">
        <v>85</v>
      </c>
      <c r="M519" s="256">
        <v>2</v>
      </c>
      <c r="N519" s="256">
        <v>2</v>
      </c>
      <c r="O519" s="256">
        <v>32</v>
      </c>
    </row>
    <row r="520" spans="1:15" s="69" customFormat="1" ht="45">
      <c r="A520" s="256" t="s">
        <v>1222</v>
      </c>
      <c r="B520" s="256" t="s">
        <v>59</v>
      </c>
      <c r="C520" s="256" t="s">
        <v>46</v>
      </c>
      <c r="D520" s="186" t="s">
        <v>1602</v>
      </c>
      <c r="E520" s="187">
        <v>33</v>
      </c>
      <c r="F520" s="256">
        <v>6.5533144241181097E-6</v>
      </c>
      <c r="G520" s="181">
        <v>1</v>
      </c>
      <c r="H520" s="257">
        <v>42612</v>
      </c>
      <c r="I520" s="258" t="s">
        <v>1603</v>
      </c>
      <c r="J520" s="258">
        <v>1</v>
      </c>
      <c r="K520" s="186" t="s">
        <v>1604</v>
      </c>
      <c r="L520" s="256">
        <v>53</v>
      </c>
      <c r="M520" s="256">
        <v>1</v>
      </c>
      <c r="N520" s="256">
        <v>1</v>
      </c>
      <c r="O520" s="256">
        <v>3</v>
      </c>
    </row>
    <row r="521" spans="1:15" s="69" customFormat="1" ht="120">
      <c r="A521" s="256" t="s">
        <v>1222</v>
      </c>
      <c r="B521" s="256" t="s">
        <v>59</v>
      </c>
      <c r="C521" s="256" t="s">
        <v>46</v>
      </c>
      <c r="D521" s="186" t="s">
        <v>1605</v>
      </c>
      <c r="E521" s="187">
        <v>150</v>
      </c>
      <c r="F521" s="256">
        <v>1.9600296163879701E-8</v>
      </c>
      <c r="G521" s="181">
        <v>1</v>
      </c>
      <c r="H521" s="257">
        <v>42609</v>
      </c>
      <c r="I521" s="181" t="s">
        <v>1606</v>
      </c>
      <c r="J521" s="181">
        <v>0</v>
      </c>
      <c r="K521" s="186" t="s">
        <v>1607</v>
      </c>
      <c r="L521" s="256">
        <v>85</v>
      </c>
      <c r="M521" s="256">
        <v>0</v>
      </c>
      <c r="N521" s="256">
        <v>1</v>
      </c>
      <c r="O521" s="256">
        <v>4</v>
      </c>
    </row>
    <row r="522" spans="1:15" s="69" customFormat="1" ht="75">
      <c r="A522" s="256" t="s">
        <v>1222</v>
      </c>
      <c r="B522" s="256" t="s">
        <v>59</v>
      </c>
      <c r="C522" s="256" t="s">
        <v>46</v>
      </c>
      <c r="D522" s="186" t="s">
        <v>1608</v>
      </c>
      <c r="E522" s="187">
        <v>92</v>
      </c>
      <c r="F522" s="256">
        <v>6.1592171235469501E-6</v>
      </c>
      <c r="G522" s="181">
        <v>1</v>
      </c>
      <c r="H522" s="257">
        <v>42609</v>
      </c>
      <c r="I522" s="181" t="s">
        <v>1609</v>
      </c>
      <c r="J522" s="181">
        <v>0</v>
      </c>
      <c r="K522" s="181" t="s">
        <v>1610</v>
      </c>
      <c r="L522" s="256">
        <v>44</v>
      </c>
      <c r="M522" s="256">
        <v>0</v>
      </c>
      <c r="N522" s="256">
        <v>2</v>
      </c>
      <c r="O522" s="256">
        <v>10</v>
      </c>
    </row>
    <row r="523" spans="1:15" s="69" customFormat="1" ht="60">
      <c r="A523" s="256" t="s">
        <v>1222</v>
      </c>
      <c r="B523" s="256" t="s">
        <v>45</v>
      </c>
      <c r="C523" s="256" t="s">
        <v>46</v>
      </c>
      <c r="D523" s="186" t="s">
        <v>1611</v>
      </c>
      <c r="E523" s="187">
        <v>79</v>
      </c>
      <c r="F523" s="256">
        <v>2.0877563455812301E-8</v>
      </c>
      <c r="G523" s="181">
        <v>1</v>
      </c>
      <c r="H523" s="257">
        <v>42609</v>
      </c>
      <c r="I523" s="186" t="s">
        <v>1612</v>
      </c>
      <c r="J523" s="186">
        <v>0</v>
      </c>
      <c r="K523" s="186" t="s">
        <v>1604</v>
      </c>
      <c r="L523" s="256">
        <v>53</v>
      </c>
      <c r="M523" s="256">
        <v>1</v>
      </c>
      <c r="N523" s="256">
        <v>2</v>
      </c>
      <c r="O523" s="256">
        <v>24</v>
      </c>
    </row>
    <row r="524" spans="1:15" s="69" customFormat="1" ht="60">
      <c r="A524" s="256" t="s">
        <v>1222</v>
      </c>
      <c r="B524" s="256" t="s">
        <v>45</v>
      </c>
      <c r="C524" s="256" t="s">
        <v>46</v>
      </c>
      <c r="D524" s="186" t="s">
        <v>1186</v>
      </c>
      <c r="E524" s="187">
        <v>95</v>
      </c>
      <c r="F524" s="256">
        <v>0.866218734471909</v>
      </c>
      <c r="G524" s="181">
        <v>0</v>
      </c>
      <c r="H524" s="257">
        <v>42592</v>
      </c>
      <c r="I524" s="186" t="s">
        <v>1187</v>
      </c>
      <c r="J524" s="186">
        <v>1</v>
      </c>
      <c r="K524" s="186" t="s">
        <v>1188</v>
      </c>
      <c r="L524" s="256">
        <v>80</v>
      </c>
      <c r="M524" s="256">
        <v>2</v>
      </c>
      <c r="N524" s="256">
        <v>1</v>
      </c>
      <c r="O524" s="256">
        <v>15</v>
      </c>
    </row>
    <row r="525" spans="1:15" s="69" customFormat="1" ht="30">
      <c r="A525" s="256" t="s">
        <v>1222</v>
      </c>
      <c r="B525" s="256" t="s">
        <v>45</v>
      </c>
      <c r="C525" s="256" t="s">
        <v>46</v>
      </c>
      <c r="D525" s="220" t="s">
        <v>1613</v>
      </c>
      <c r="E525" s="187">
        <v>5</v>
      </c>
      <c r="F525" s="256">
        <v>0.60873411330420002</v>
      </c>
      <c r="G525" s="181">
        <v>1</v>
      </c>
      <c r="H525" s="257">
        <v>42591</v>
      </c>
      <c r="I525" s="258" t="s">
        <v>1614</v>
      </c>
      <c r="J525" s="258">
        <v>0</v>
      </c>
      <c r="K525" s="186" t="s">
        <v>1615</v>
      </c>
      <c r="L525" s="256">
        <v>43</v>
      </c>
      <c r="M525" s="220">
        <v>0</v>
      </c>
      <c r="N525" s="186">
        <v>1</v>
      </c>
      <c r="O525" s="220">
        <v>9</v>
      </c>
    </row>
    <row r="526" spans="1:15" s="69" customFormat="1" ht="75">
      <c r="A526" s="256" t="s">
        <v>1222</v>
      </c>
      <c r="B526" s="256" t="s">
        <v>59</v>
      </c>
      <c r="C526" s="256" t="s">
        <v>46</v>
      </c>
      <c r="D526" s="186" t="s">
        <v>4403</v>
      </c>
      <c r="E526" s="187">
        <v>35</v>
      </c>
      <c r="F526" s="256">
        <v>0.315740942025099</v>
      </c>
      <c r="G526" s="181">
        <v>1</v>
      </c>
      <c r="H526" s="257">
        <v>42578</v>
      </c>
      <c r="I526" s="220" t="s">
        <v>4404</v>
      </c>
      <c r="J526" s="186">
        <v>0</v>
      </c>
      <c r="K526" s="186" t="s">
        <v>1618</v>
      </c>
      <c r="L526" s="256">
        <v>104</v>
      </c>
      <c r="M526" s="220">
        <v>1</v>
      </c>
      <c r="N526" s="186">
        <v>1</v>
      </c>
      <c r="O526" s="220">
        <v>6</v>
      </c>
    </row>
    <row r="527" spans="1:15" s="69" customFormat="1" ht="75">
      <c r="A527" s="256" t="s">
        <v>1222</v>
      </c>
      <c r="B527" s="256" t="s">
        <v>45</v>
      </c>
      <c r="C527" s="256" t="s">
        <v>46</v>
      </c>
      <c r="D527" s="258" t="s">
        <v>1222</v>
      </c>
      <c r="E527" s="187">
        <v>40</v>
      </c>
      <c r="F527" s="256">
        <v>0.99930343220856899</v>
      </c>
      <c r="G527" s="181">
        <v>0</v>
      </c>
      <c r="H527" s="257">
        <v>42537</v>
      </c>
      <c r="I527" s="186" t="s">
        <v>1619</v>
      </c>
      <c r="J527" s="186">
        <v>0</v>
      </c>
      <c r="K527" s="186" t="s">
        <v>1618</v>
      </c>
      <c r="L527" s="256">
        <v>104</v>
      </c>
      <c r="M527" s="256">
        <v>0</v>
      </c>
      <c r="N527" s="256">
        <v>1</v>
      </c>
      <c r="O527" s="256">
        <v>11</v>
      </c>
    </row>
    <row r="528" spans="1:15" s="69" customFormat="1" ht="90">
      <c r="A528" s="256" t="s">
        <v>1222</v>
      </c>
      <c r="B528" s="256" t="s">
        <v>45</v>
      </c>
      <c r="C528" s="256" t="s">
        <v>46</v>
      </c>
      <c r="D528" s="186" t="s">
        <v>1620</v>
      </c>
      <c r="E528" s="187">
        <v>100</v>
      </c>
      <c r="F528" s="256">
        <v>0.78560852512370005</v>
      </c>
      <c r="G528" s="181">
        <v>0</v>
      </c>
      <c r="H528" s="257">
        <v>42533</v>
      </c>
      <c r="I528" s="186" t="s">
        <v>1621</v>
      </c>
      <c r="J528" s="186">
        <v>0</v>
      </c>
      <c r="K528" s="186" t="s">
        <v>1622</v>
      </c>
      <c r="L528" s="256">
        <v>115</v>
      </c>
      <c r="M528" s="256">
        <v>0</v>
      </c>
      <c r="N528" s="256">
        <v>1</v>
      </c>
      <c r="O528" s="256">
        <v>9</v>
      </c>
    </row>
    <row r="529" spans="1:18" s="69" customFormat="1" ht="60">
      <c r="A529" s="256" t="s">
        <v>1222</v>
      </c>
      <c r="B529" s="256" t="s">
        <v>45</v>
      </c>
      <c r="C529" s="256" t="s">
        <v>833</v>
      </c>
      <c r="D529" s="186" t="s">
        <v>1623</v>
      </c>
      <c r="E529" s="187">
        <v>53</v>
      </c>
      <c r="F529" s="256">
        <v>4.0755880865028798E-4</v>
      </c>
      <c r="G529" s="181">
        <v>1</v>
      </c>
      <c r="H529" s="303">
        <v>42533</v>
      </c>
      <c r="I529" s="186" t="s">
        <v>1624</v>
      </c>
      <c r="J529" s="186">
        <v>1</v>
      </c>
      <c r="K529" s="186" t="s">
        <v>1625</v>
      </c>
      <c r="L529" s="256">
        <v>83</v>
      </c>
      <c r="M529" s="256">
        <v>0</v>
      </c>
      <c r="N529" s="256">
        <v>1</v>
      </c>
      <c r="O529" s="256">
        <v>9</v>
      </c>
    </row>
    <row r="530" spans="1:18" s="69" customFormat="1" ht="75">
      <c r="A530" s="256" t="s">
        <v>1222</v>
      </c>
      <c r="B530" s="256" t="s">
        <v>59</v>
      </c>
      <c r="C530" s="256" t="s">
        <v>833</v>
      </c>
      <c r="D530" s="258" t="s">
        <v>1626</v>
      </c>
      <c r="E530" s="187">
        <v>50</v>
      </c>
      <c r="F530" s="256">
        <v>1.31147958727373E-5</v>
      </c>
      <c r="G530" s="181">
        <v>1</v>
      </c>
      <c r="H530" s="257">
        <v>42522</v>
      </c>
      <c r="I530" s="220" t="s">
        <v>1627</v>
      </c>
      <c r="J530" s="186">
        <v>1</v>
      </c>
      <c r="K530" s="186" t="s">
        <v>1618</v>
      </c>
      <c r="L530" s="256">
        <v>104</v>
      </c>
      <c r="M530" s="220">
        <v>3</v>
      </c>
      <c r="N530" s="186">
        <v>1</v>
      </c>
      <c r="O530" s="220">
        <v>13</v>
      </c>
    </row>
    <row r="531" spans="1:18" s="69" customFormat="1" ht="60">
      <c r="A531" s="256" t="s">
        <v>1628</v>
      </c>
      <c r="B531" s="256" t="s">
        <v>45</v>
      </c>
      <c r="C531" s="256" t="s">
        <v>80</v>
      </c>
      <c r="D531" s="186" t="s">
        <v>1629</v>
      </c>
      <c r="E531" s="187"/>
      <c r="F531" s="256"/>
      <c r="G531" s="181">
        <v>1</v>
      </c>
      <c r="H531" s="263">
        <v>44129</v>
      </c>
      <c r="I531" s="261" t="s">
        <v>1630</v>
      </c>
      <c r="J531" s="186">
        <v>1</v>
      </c>
      <c r="K531" s="261" t="s">
        <v>1631</v>
      </c>
      <c r="L531" s="256"/>
      <c r="M531" s="186">
        <v>0</v>
      </c>
      <c r="N531" s="186">
        <v>1</v>
      </c>
      <c r="O531" s="186">
        <v>3</v>
      </c>
      <c r="P531" s="69">
        <f>AVERAGE(M531:M560)</f>
        <v>0.36666666666666664</v>
      </c>
      <c r="Q531" s="69">
        <f>AVERAGE(N531:N560)</f>
        <v>1.2666666666666666</v>
      </c>
      <c r="R531" s="69">
        <f>AVERAGE(O531:O560)</f>
        <v>6.1</v>
      </c>
    </row>
    <row r="532" spans="1:18" s="69" customFormat="1" ht="60">
      <c r="A532" s="256" t="s">
        <v>1628</v>
      </c>
      <c r="B532" s="256" t="s">
        <v>45</v>
      </c>
      <c r="C532" s="256" t="s">
        <v>80</v>
      </c>
      <c r="D532" s="186" t="s">
        <v>1632</v>
      </c>
      <c r="E532" s="187"/>
      <c r="F532" s="256"/>
      <c r="G532" s="181">
        <v>1</v>
      </c>
      <c r="H532" s="263">
        <v>44127</v>
      </c>
      <c r="I532" s="261" t="s">
        <v>1633</v>
      </c>
      <c r="J532" s="186">
        <v>1</v>
      </c>
      <c r="K532" s="261" t="s">
        <v>1634</v>
      </c>
      <c r="L532" s="256"/>
      <c r="M532" s="186">
        <v>0</v>
      </c>
      <c r="N532" s="186">
        <v>1</v>
      </c>
      <c r="O532" s="186">
        <v>5</v>
      </c>
    </row>
    <row r="533" spans="1:18" s="69" customFormat="1" ht="60">
      <c r="A533" s="256" t="s">
        <v>1628</v>
      </c>
      <c r="B533" s="256" t="s">
        <v>45</v>
      </c>
      <c r="C533" s="256" t="s">
        <v>46</v>
      </c>
      <c r="D533" s="186" t="s">
        <v>1635</v>
      </c>
      <c r="E533" s="187"/>
      <c r="F533" s="256"/>
      <c r="G533" s="181">
        <v>0</v>
      </c>
      <c r="H533" s="263">
        <v>44061</v>
      </c>
      <c r="I533" s="261" t="s">
        <v>1636</v>
      </c>
      <c r="J533" s="186">
        <v>1</v>
      </c>
      <c r="K533" s="261" t="s">
        <v>1637</v>
      </c>
      <c r="L533" s="256"/>
      <c r="M533" s="186">
        <v>0</v>
      </c>
      <c r="N533" s="186">
        <v>1</v>
      </c>
      <c r="O533" s="186">
        <v>2</v>
      </c>
    </row>
    <row r="534" spans="1:18" s="69" customFormat="1" ht="45">
      <c r="A534" s="256" t="s">
        <v>1628</v>
      </c>
      <c r="B534" s="256" t="s">
        <v>45</v>
      </c>
      <c r="C534" s="256" t="s">
        <v>80</v>
      </c>
      <c r="D534" s="261" t="s">
        <v>1638</v>
      </c>
      <c r="E534" s="187"/>
      <c r="F534" s="256"/>
      <c r="G534" s="181">
        <v>1</v>
      </c>
      <c r="H534" s="263">
        <v>44033</v>
      </c>
      <c r="I534" s="186" t="s">
        <v>1639</v>
      </c>
      <c r="J534" s="186">
        <v>0</v>
      </c>
      <c r="K534" s="261" t="s">
        <v>1640</v>
      </c>
      <c r="L534" s="256"/>
      <c r="M534" s="186">
        <v>0</v>
      </c>
      <c r="N534" s="186">
        <v>1</v>
      </c>
      <c r="O534" s="186">
        <v>1</v>
      </c>
    </row>
    <row r="535" spans="1:18" s="69" customFormat="1" ht="45">
      <c r="A535" s="256" t="s">
        <v>1628</v>
      </c>
      <c r="B535" s="256" t="s">
        <v>45</v>
      </c>
      <c r="C535" s="256" t="s">
        <v>221</v>
      </c>
      <c r="D535" s="261" t="s">
        <v>1641</v>
      </c>
      <c r="E535" s="187"/>
      <c r="F535" s="256"/>
      <c r="G535" s="181">
        <v>1</v>
      </c>
      <c r="H535" s="264">
        <v>44011</v>
      </c>
      <c r="I535" s="261" t="s">
        <v>1642</v>
      </c>
      <c r="J535" s="186">
        <v>1</v>
      </c>
      <c r="K535" s="261" t="s">
        <v>1643</v>
      </c>
      <c r="L535" s="256"/>
      <c r="M535" s="186">
        <v>0</v>
      </c>
      <c r="N535" s="186">
        <v>1</v>
      </c>
      <c r="O535" s="186">
        <v>2</v>
      </c>
    </row>
    <row r="536" spans="1:18" s="69" customFormat="1" ht="240">
      <c r="A536" s="256" t="s">
        <v>1628</v>
      </c>
      <c r="B536" s="256" t="s">
        <v>45</v>
      </c>
      <c r="C536" s="256" t="s">
        <v>46</v>
      </c>
      <c r="D536" s="186" t="s">
        <v>1644</v>
      </c>
      <c r="E536" s="187">
        <v>446</v>
      </c>
      <c r="F536" s="256">
        <v>9.8733915542048605E-5</v>
      </c>
      <c r="G536" s="181">
        <v>1</v>
      </c>
      <c r="H536" s="257">
        <v>43968</v>
      </c>
      <c r="I536" s="186" t="s">
        <v>1645</v>
      </c>
      <c r="J536" s="186">
        <v>1</v>
      </c>
      <c r="K536" s="181" t="s">
        <v>1646</v>
      </c>
      <c r="L536" s="256">
        <v>239</v>
      </c>
      <c r="M536" s="256">
        <v>0</v>
      </c>
      <c r="N536" s="256">
        <v>1</v>
      </c>
      <c r="O536" s="256">
        <v>2</v>
      </c>
      <c r="P536" s="69">
        <f>AVERAGE(M536:M560)</f>
        <v>0.44</v>
      </c>
    </row>
    <row r="537" spans="1:18" s="69" customFormat="1" ht="60">
      <c r="A537" s="256" t="s">
        <v>1628</v>
      </c>
      <c r="B537" s="256" t="s">
        <v>45</v>
      </c>
      <c r="C537" s="256" t="s">
        <v>80</v>
      </c>
      <c r="D537" s="220" t="s">
        <v>1647</v>
      </c>
      <c r="E537" s="187">
        <v>50</v>
      </c>
      <c r="F537" s="256">
        <v>1.2334387952942501E-3</v>
      </c>
      <c r="G537" s="181">
        <v>1</v>
      </c>
      <c r="H537" s="257">
        <v>43913</v>
      </c>
      <c r="I537" s="220" t="s">
        <v>1648</v>
      </c>
      <c r="J537" s="186">
        <v>0</v>
      </c>
      <c r="K537" s="186" t="s">
        <v>1649</v>
      </c>
      <c r="L537" s="256">
        <v>77</v>
      </c>
      <c r="M537" s="256">
        <v>1</v>
      </c>
      <c r="N537" s="186">
        <v>1</v>
      </c>
      <c r="O537" s="220">
        <v>1</v>
      </c>
      <c r="P537" s="69">
        <f>AVERAGE(O536:O560)</f>
        <v>6.8</v>
      </c>
    </row>
    <row r="538" spans="1:18" s="69" customFormat="1" ht="60">
      <c r="A538" s="256" t="s">
        <v>1628</v>
      </c>
      <c r="B538" s="256" t="s">
        <v>45</v>
      </c>
      <c r="C538" s="256" t="s">
        <v>221</v>
      </c>
      <c r="D538" s="186" t="s">
        <v>1650</v>
      </c>
      <c r="E538" s="187">
        <v>83</v>
      </c>
      <c r="F538" s="256">
        <v>3.1366377322150598E-6</v>
      </c>
      <c r="G538" s="181">
        <v>1</v>
      </c>
      <c r="H538" s="302">
        <v>43611</v>
      </c>
      <c r="I538" s="186" t="s">
        <v>1651</v>
      </c>
      <c r="J538" s="186">
        <v>1</v>
      </c>
      <c r="K538" s="186" t="s">
        <v>1651</v>
      </c>
      <c r="L538" s="256">
        <v>83</v>
      </c>
      <c r="M538" s="256">
        <v>0</v>
      </c>
      <c r="N538" s="256">
        <v>1</v>
      </c>
      <c r="O538" s="256">
        <v>3</v>
      </c>
    </row>
    <row r="539" spans="1:18" s="69" customFormat="1" ht="75">
      <c r="A539" s="256" t="s">
        <v>1628</v>
      </c>
      <c r="B539" s="256" t="s">
        <v>45</v>
      </c>
      <c r="C539" s="256" t="s">
        <v>46</v>
      </c>
      <c r="D539" s="186" t="s">
        <v>1652</v>
      </c>
      <c r="E539" s="187">
        <v>123</v>
      </c>
      <c r="F539" s="256">
        <v>1.2019816084007899E-5</v>
      </c>
      <c r="G539" s="181">
        <v>0</v>
      </c>
      <c r="H539" s="257">
        <v>43413</v>
      </c>
      <c r="I539" s="186" t="s">
        <v>1653</v>
      </c>
      <c r="J539" s="186">
        <v>0</v>
      </c>
      <c r="K539" s="186" t="s">
        <v>1654</v>
      </c>
      <c r="L539" s="256">
        <v>29</v>
      </c>
      <c r="M539" s="256">
        <v>0</v>
      </c>
      <c r="N539" s="256">
        <v>1</v>
      </c>
      <c r="O539" s="256">
        <v>4</v>
      </c>
    </row>
    <row r="540" spans="1:18" s="69" customFormat="1" ht="45">
      <c r="A540" s="256" t="s">
        <v>1628</v>
      </c>
      <c r="B540" s="256" t="s">
        <v>45</v>
      </c>
      <c r="C540" s="256" t="s">
        <v>80</v>
      </c>
      <c r="D540" s="220" t="s">
        <v>1655</v>
      </c>
      <c r="E540" s="187">
        <v>75</v>
      </c>
      <c r="F540" s="256">
        <v>4.6663913291991099E-2</v>
      </c>
      <c r="G540" s="181">
        <v>0</v>
      </c>
      <c r="H540" s="257">
        <v>43399</v>
      </c>
      <c r="I540" s="186" t="s">
        <v>1656</v>
      </c>
      <c r="J540" s="186">
        <v>0</v>
      </c>
      <c r="K540" s="186" t="s">
        <v>1657</v>
      </c>
      <c r="L540" s="256">
        <v>33</v>
      </c>
      <c r="M540" s="220">
        <v>1</v>
      </c>
      <c r="N540" s="186">
        <v>1</v>
      </c>
      <c r="O540" s="220">
        <v>5</v>
      </c>
    </row>
    <row r="541" spans="1:18" s="69" customFormat="1" ht="195">
      <c r="A541" s="256" t="s">
        <v>1628</v>
      </c>
      <c r="B541" s="256" t="s">
        <v>59</v>
      </c>
      <c r="C541" s="256" t="s">
        <v>46</v>
      </c>
      <c r="D541" s="220" t="s">
        <v>1658</v>
      </c>
      <c r="E541" s="187">
        <v>389</v>
      </c>
      <c r="F541" s="256">
        <v>0.99785305772284605</v>
      </c>
      <c r="G541" s="181">
        <v>1</v>
      </c>
      <c r="H541" s="257">
        <v>43395</v>
      </c>
      <c r="I541" s="186" t="s">
        <v>4405</v>
      </c>
      <c r="J541" s="186">
        <v>0</v>
      </c>
      <c r="K541" s="258" t="s">
        <v>1659</v>
      </c>
      <c r="L541" s="256">
        <v>20</v>
      </c>
      <c r="M541" s="256">
        <v>1</v>
      </c>
      <c r="N541" s="256">
        <v>3</v>
      </c>
      <c r="O541" s="256">
        <v>8</v>
      </c>
    </row>
    <row r="542" spans="1:18" s="69" customFormat="1" ht="90">
      <c r="A542" s="256" t="s">
        <v>1628</v>
      </c>
      <c r="B542" s="256" t="s">
        <v>45</v>
      </c>
      <c r="C542" s="256" t="s">
        <v>80</v>
      </c>
      <c r="D542" s="258" t="s">
        <v>200</v>
      </c>
      <c r="E542" s="187">
        <v>47</v>
      </c>
      <c r="F542" s="256">
        <v>3.5891817501753102E-3</v>
      </c>
      <c r="G542" s="181">
        <v>1</v>
      </c>
      <c r="H542" s="257">
        <v>43230</v>
      </c>
      <c r="I542" s="186" t="s">
        <v>1660</v>
      </c>
      <c r="J542" s="186">
        <v>0</v>
      </c>
      <c r="K542" s="186" t="s">
        <v>1661</v>
      </c>
      <c r="L542" s="256">
        <v>121</v>
      </c>
      <c r="M542" s="256">
        <v>0</v>
      </c>
      <c r="N542" s="256">
        <v>1</v>
      </c>
      <c r="O542" s="256">
        <v>1</v>
      </c>
    </row>
    <row r="543" spans="1:18" s="69" customFormat="1" ht="90">
      <c r="A543" s="256" t="s">
        <v>1628</v>
      </c>
      <c r="B543" s="256" t="s">
        <v>45</v>
      </c>
      <c r="C543" s="256" t="s">
        <v>46</v>
      </c>
      <c r="D543" s="186" t="s">
        <v>1662</v>
      </c>
      <c r="E543" s="187">
        <v>69</v>
      </c>
      <c r="F543" s="256">
        <v>1.50500320734146E-2</v>
      </c>
      <c r="G543" s="181">
        <v>1</v>
      </c>
      <c r="H543" s="257">
        <v>43218</v>
      </c>
      <c r="I543" s="186" t="s">
        <v>1663</v>
      </c>
      <c r="J543" s="186">
        <v>0</v>
      </c>
      <c r="K543" s="186" t="s">
        <v>1664</v>
      </c>
      <c r="L543" s="256">
        <v>116</v>
      </c>
      <c r="M543" s="256">
        <v>1</v>
      </c>
      <c r="N543" s="256">
        <v>1</v>
      </c>
      <c r="O543" s="256">
        <v>6</v>
      </c>
    </row>
    <row r="544" spans="1:18" s="69" customFormat="1" ht="120">
      <c r="A544" s="256" t="s">
        <v>1628</v>
      </c>
      <c r="B544" s="256" t="s">
        <v>45</v>
      </c>
      <c r="C544" s="256" t="s">
        <v>80</v>
      </c>
      <c r="D544" s="258" t="s">
        <v>159</v>
      </c>
      <c r="E544" s="187">
        <v>57</v>
      </c>
      <c r="F544" s="256">
        <v>2.94642562744695E-2</v>
      </c>
      <c r="G544" s="181">
        <v>1</v>
      </c>
      <c r="H544" s="257">
        <v>43214</v>
      </c>
      <c r="I544" s="181" t="s">
        <v>1665</v>
      </c>
      <c r="J544" s="181">
        <v>0</v>
      </c>
      <c r="K544" s="186" t="s">
        <v>1666</v>
      </c>
      <c r="L544" s="256">
        <v>172</v>
      </c>
      <c r="M544" s="256">
        <v>0</v>
      </c>
      <c r="N544" s="256">
        <v>1</v>
      </c>
      <c r="O544" s="256">
        <v>6</v>
      </c>
    </row>
    <row r="545" spans="1:15" s="69" customFormat="1" ht="75">
      <c r="A545" s="256" t="s">
        <v>1628</v>
      </c>
      <c r="B545" s="256" t="s">
        <v>45</v>
      </c>
      <c r="C545" s="256" t="s">
        <v>833</v>
      </c>
      <c r="D545" s="186" t="s">
        <v>1667</v>
      </c>
      <c r="E545" s="187">
        <v>32</v>
      </c>
      <c r="F545" s="256">
        <v>1.1258727800008701E-3</v>
      </c>
      <c r="G545" s="181">
        <v>1</v>
      </c>
      <c r="H545" s="257">
        <v>43206</v>
      </c>
      <c r="I545" s="220" t="s">
        <v>1668</v>
      </c>
      <c r="J545" s="186">
        <v>0</v>
      </c>
      <c r="K545" s="186" t="s">
        <v>1669</v>
      </c>
      <c r="L545" s="256">
        <v>45</v>
      </c>
      <c r="M545" s="220">
        <v>1</v>
      </c>
      <c r="N545" s="186">
        <v>1</v>
      </c>
      <c r="O545" s="220">
        <v>18</v>
      </c>
    </row>
    <row r="546" spans="1:15" s="69" customFormat="1" ht="135">
      <c r="A546" s="256" t="s">
        <v>1628</v>
      </c>
      <c r="B546" s="256" t="s">
        <v>45</v>
      </c>
      <c r="C546" s="256" t="s">
        <v>80</v>
      </c>
      <c r="D546" s="186" t="s">
        <v>1670</v>
      </c>
      <c r="E546" s="187">
        <v>71</v>
      </c>
      <c r="F546" s="256">
        <v>5.8527749188108701E-4</v>
      </c>
      <c r="G546" s="181">
        <v>1</v>
      </c>
      <c r="H546" s="257">
        <v>43205</v>
      </c>
      <c r="I546" s="186" t="s">
        <v>1671</v>
      </c>
      <c r="J546" s="186">
        <v>0</v>
      </c>
      <c r="K546" s="186" t="s">
        <v>1672</v>
      </c>
      <c r="L546" s="256">
        <v>189</v>
      </c>
      <c r="M546" s="256">
        <v>0</v>
      </c>
      <c r="N546" s="256">
        <v>2</v>
      </c>
      <c r="O546" s="256">
        <v>4</v>
      </c>
    </row>
    <row r="547" spans="1:15" s="69" customFormat="1" ht="165">
      <c r="A547" s="256" t="s">
        <v>1628</v>
      </c>
      <c r="B547" s="256" t="s">
        <v>45</v>
      </c>
      <c r="C547" s="256" t="s">
        <v>80</v>
      </c>
      <c r="D547" s="258" t="s">
        <v>159</v>
      </c>
      <c r="E547" s="187">
        <v>63</v>
      </c>
      <c r="F547" s="256">
        <v>3.9280725963819501E-4</v>
      </c>
      <c r="G547" s="181">
        <v>1</v>
      </c>
      <c r="H547" s="257">
        <v>43171</v>
      </c>
      <c r="I547" s="186" t="s">
        <v>1673</v>
      </c>
      <c r="J547" s="186">
        <v>0</v>
      </c>
      <c r="K547" s="186" t="s">
        <v>1674</v>
      </c>
      <c r="L547" s="256">
        <v>232</v>
      </c>
      <c r="M547" s="256">
        <v>0</v>
      </c>
      <c r="N547" s="256">
        <v>2</v>
      </c>
      <c r="O547" s="256">
        <v>7</v>
      </c>
    </row>
    <row r="548" spans="1:15" s="69" customFormat="1" ht="45">
      <c r="A548" s="256" t="s">
        <v>1628</v>
      </c>
      <c r="B548" s="256" t="s">
        <v>45</v>
      </c>
      <c r="C548" s="256" t="s">
        <v>80</v>
      </c>
      <c r="D548" s="186" t="s">
        <v>1675</v>
      </c>
      <c r="E548" s="187">
        <v>87</v>
      </c>
      <c r="F548" s="256">
        <v>1.5076917326830599E-2</v>
      </c>
      <c r="G548" s="181">
        <v>1</v>
      </c>
      <c r="H548" s="257">
        <v>43079</v>
      </c>
      <c r="I548" s="186" t="s">
        <v>1676</v>
      </c>
      <c r="J548" s="186">
        <v>0</v>
      </c>
      <c r="K548" s="186" t="s">
        <v>1677</v>
      </c>
      <c r="L548" s="256">
        <v>34</v>
      </c>
      <c r="M548" s="256">
        <v>0</v>
      </c>
      <c r="N548" s="256">
        <v>2</v>
      </c>
      <c r="O548" s="256">
        <v>26</v>
      </c>
    </row>
    <row r="549" spans="1:15" s="69" customFormat="1" ht="105">
      <c r="A549" s="256" t="s">
        <v>1628</v>
      </c>
      <c r="B549" s="256" t="s">
        <v>45</v>
      </c>
      <c r="C549" s="256" t="s">
        <v>80</v>
      </c>
      <c r="D549" s="186" t="s">
        <v>1678</v>
      </c>
      <c r="E549" s="187">
        <v>124</v>
      </c>
      <c r="F549" s="256">
        <v>7.5427477809197896E-6</v>
      </c>
      <c r="G549" s="181">
        <v>1</v>
      </c>
      <c r="H549" s="257">
        <v>43071</v>
      </c>
      <c r="I549" s="186" t="s">
        <v>1679</v>
      </c>
      <c r="J549" s="186">
        <v>0</v>
      </c>
      <c r="K549" s="186" t="s">
        <v>1680</v>
      </c>
      <c r="L549" s="256">
        <v>160</v>
      </c>
      <c r="M549" s="256">
        <v>0</v>
      </c>
      <c r="N549" s="256">
        <v>1</v>
      </c>
      <c r="O549" s="256">
        <v>4</v>
      </c>
    </row>
    <row r="550" spans="1:15" s="69" customFormat="1" ht="105">
      <c r="A550" s="256" t="s">
        <v>1628</v>
      </c>
      <c r="B550" s="256" t="s">
        <v>45</v>
      </c>
      <c r="C550" s="256" t="s">
        <v>80</v>
      </c>
      <c r="D550" s="220" t="s">
        <v>159</v>
      </c>
      <c r="E550" s="187">
        <v>63</v>
      </c>
      <c r="F550" s="256">
        <v>4.7695973900197002E-5</v>
      </c>
      <c r="G550" s="181">
        <v>1</v>
      </c>
      <c r="H550" s="257">
        <v>43070</v>
      </c>
      <c r="I550" s="186" t="s">
        <v>1681</v>
      </c>
      <c r="J550" s="186">
        <v>0</v>
      </c>
      <c r="K550" s="186" t="s">
        <v>1682</v>
      </c>
      <c r="L550" s="256">
        <v>160</v>
      </c>
      <c r="M550" s="220">
        <v>0</v>
      </c>
      <c r="N550" s="186">
        <v>1</v>
      </c>
      <c r="O550" s="220">
        <v>10</v>
      </c>
    </row>
    <row r="551" spans="1:15" s="69" customFormat="1" ht="120">
      <c r="A551" s="256" t="s">
        <v>1628</v>
      </c>
      <c r="B551" s="256" t="s">
        <v>45</v>
      </c>
      <c r="C551" s="256" t="s">
        <v>80</v>
      </c>
      <c r="D551" s="220" t="s">
        <v>159</v>
      </c>
      <c r="E551" s="187">
        <v>59</v>
      </c>
      <c r="F551" s="256">
        <v>0.100348322621092</v>
      </c>
      <c r="G551" s="181">
        <v>1</v>
      </c>
      <c r="H551" s="257">
        <v>43068</v>
      </c>
      <c r="I551" s="186" t="s">
        <v>1683</v>
      </c>
      <c r="J551" s="186">
        <v>0</v>
      </c>
      <c r="K551" s="186" t="s">
        <v>1684</v>
      </c>
      <c r="L551" s="256">
        <v>185</v>
      </c>
      <c r="M551" s="220">
        <v>0</v>
      </c>
      <c r="N551" s="186">
        <v>1</v>
      </c>
      <c r="O551" s="220">
        <v>5</v>
      </c>
    </row>
    <row r="552" spans="1:15" s="69" customFormat="1" ht="75">
      <c r="A552" s="256" t="s">
        <v>1628</v>
      </c>
      <c r="B552" s="256" t="s">
        <v>45</v>
      </c>
      <c r="C552" s="256" t="s">
        <v>46</v>
      </c>
      <c r="D552" s="186" t="s">
        <v>1685</v>
      </c>
      <c r="E552" s="187">
        <v>115</v>
      </c>
      <c r="F552" s="256">
        <v>3.93300863599233E-6</v>
      </c>
      <c r="G552" s="181">
        <v>1</v>
      </c>
      <c r="H552" s="257">
        <v>43059</v>
      </c>
      <c r="I552" s="220" t="s">
        <v>1686</v>
      </c>
      <c r="J552" s="186">
        <v>0</v>
      </c>
      <c r="K552" s="186" t="s">
        <v>1687</v>
      </c>
      <c r="L552" s="256">
        <v>90</v>
      </c>
      <c r="M552" s="220">
        <v>0</v>
      </c>
      <c r="N552" s="186">
        <v>1</v>
      </c>
      <c r="O552" s="220">
        <v>3</v>
      </c>
    </row>
    <row r="553" spans="1:15" s="69" customFormat="1" ht="120">
      <c r="A553" s="256" t="s">
        <v>1628</v>
      </c>
      <c r="B553" s="256" t="s">
        <v>45</v>
      </c>
      <c r="C553" s="256" t="s">
        <v>80</v>
      </c>
      <c r="D553" s="258" t="s">
        <v>1688</v>
      </c>
      <c r="E553" s="187">
        <v>102</v>
      </c>
      <c r="F553" s="256">
        <v>2.0034060391749302E-5</v>
      </c>
      <c r="G553" s="181">
        <v>1</v>
      </c>
      <c r="H553" s="257">
        <v>43049</v>
      </c>
      <c r="I553" s="186" t="s">
        <v>1689</v>
      </c>
      <c r="J553" s="186">
        <v>0</v>
      </c>
      <c r="K553" s="186" t="s">
        <v>1690</v>
      </c>
      <c r="L553" s="256">
        <v>177</v>
      </c>
      <c r="M553" s="256">
        <v>0</v>
      </c>
      <c r="N553" s="256">
        <v>1</v>
      </c>
      <c r="O553" s="256">
        <v>11</v>
      </c>
    </row>
    <row r="554" spans="1:15" s="69" customFormat="1" ht="105">
      <c r="A554" s="256" t="s">
        <v>1628</v>
      </c>
      <c r="B554" s="256" t="s">
        <v>45</v>
      </c>
      <c r="C554" s="256" t="s">
        <v>80</v>
      </c>
      <c r="D554" s="220" t="s">
        <v>180</v>
      </c>
      <c r="E554" s="187">
        <v>57</v>
      </c>
      <c r="F554" s="256">
        <v>0.58024538239865797</v>
      </c>
      <c r="G554" s="181">
        <v>1</v>
      </c>
      <c r="H554" s="257">
        <v>43046</v>
      </c>
      <c r="I554" s="186" t="s">
        <v>1691</v>
      </c>
      <c r="J554" s="186">
        <v>0</v>
      </c>
      <c r="K554" s="186" t="s">
        <v>1692</v>
      </c>
      <c r="L554" s="256">
        <v>159</v>
      </c>
      <c r="M554" s="220">
        <v>0</v>
      </c>
      <c r="N554" s="186">
        <v>2</v>
      </c>
      <c r="O554" s="220">
        <v>3</v>
      </c>
    </row>
    <row r="555" spans="1:15" s="69" customFormat="1" ht="120">
      <c r="A555" s="256" t="s">
        <v>1628</v>
      </c>
      <c r="B555" s="256" t="s">
        <v>45</v>
      </c>
      <c r="C555" s="256" t="s">
        <v>80</v>
      </c>
      <c r="D555" s="258" t="s">
        <v>159</v>
      </c>
      <c r="E555" s="187">
        <v>59</v>
      </c>
      <c r="F555" s="256">
        <v>7.1618017981300896E-4</v>
      </c>
      <c r="G555" s="181">
        <v>1</v>
      </c>
      <c r="H555" s="257">
        <v>43043</v>
      </c>
      <c r="I555" s="186" t="s">
        <v>1693</v>
      </c>
      <c r="J555" s="186">
        <v>0</v>
      </c>
      <c r="K555" s="186" t="s">
        <v>1694</v>
      </c>
      <c r="L555" s="256">
        <v>173</v>
      </c>
      <c r="M555" s="256">
        <v>0</v>
      </c>
      <c r="N555" s="256">
        <v>2</v>
      </c>
      <c r="O555" s="256">
        <v>4</v>
      </c>
    </row>
    <row r="556" spans="1:15" s="69" customFormat="1" ht="150">
      <c r="A556" s="256" t="s">
        <v>1628</v>
      </c>
      <c r="B556" s="256" t="s">
        <v>45</v>
      </c>
      <c r="C556" s="256" t="s">
        <v>46</v>
      </c>
      <c r="D556" s="186" t="s">
        <v>1695</v>
      </c>
      <c r="E556" s="187">
        <v>284</v>
      </c>
      <c r="F556" s="256">
        <v>0.85856085830692896</v>
      </c>
      <c r="G556" s="181">
        <v>1</v>
      </c>
      <c r="H556" s="257">
        <v>42978</v>
      </c>
      <c r="I556" s="186" t="s">
        <v>1696</v>
      </c>
      <c r="J556" s="186">
        <v>0</v>
      </c>
      <c r="K556" s="186" t="s">
        <v>1697</v>
      </c>
      <c r="L556" s="256">
        <v>53</v>
      </c>
      <c r="M556" s="256">
        <v>0</v>
      </c>
      <c r="N556" s="256">
        <v>1</v>
      </c>
      <c r="O556" s="256">
        <v>12</v>
      </c>
    </row>
    <row r="557" spans="1:15" s="69" customFormat="1" ht="75">
      <c r="A557" s="256" t="s">
        <v>1628</v>
      </c>
      <c r="B557" s="256" t="s">
        <v>45</v>
      </c>
      <c r="C557" s="256" t="s">
        <v>80</v>
      </c>
      <c r="D557" s="186" t="s">
        <v>1698</v>
      </c>
      <c r="E557" s="187">
        <v>136</v>
      </c>
      <c r="F557" s="256">
        <v>2.5086569526156002E-6</v>
      </c>
      <c r="G557" s="181">
        <v>1</v>
      </c>
      <c r="H557" s="257">
        <v>42860</v>
      </c>
      <c r="I557" s="186" t="s">
        <v>1699</v>
      </c>
      <c r="J557" s="186">
        <v>0</v>
      </c>
      <c r="K557" s="186" t="s">
        <v>1700</v>
      </c>
      <c r="L557" s="256">
        <v>36</v>
      </c>
      <c r="M557" s="256">
        <v>3</v>
      </c>
      <c r="N557" s="256">
        <v>1</v>
      </c>
      <c r="O557" s="256">
        <v>10</v>
      </c>
    </row>
    <row r="558" spans="1:15" s="69" customFormat="1" ht="210">
      <c r="A558" s="256" t="s">
        <v>1628</v>
      </c>
      <c r="B558" s="256" t="s">
        <v>45</v>
      </c>
      <c r="C558" s="256" t="s">
        <v>46</v>
      </c>
      <c r="D558" s="186" t="s">
        <v>1701</v>
      </c>
      <c r="E558" s="187">
        <v>380</v>
      </c>
      <c r="F558" s="256">
        <v>4.8648138393340298E-2</v>
      </c>
      <c r="G558" s="181">
        <v>1</v>
      </c>
      <c r="H558" s="257">
        <v>42661</v>
      </c>
      <c r="I558" s="186" t="s">
        <v>1702</v>
      </c>
      <c r="J558" s="186">
        <v>0</v>
      </c>
      <c r="K558" s="186" t="s">
        <v>1703</v>
      </c>
      <c r="L558" s="256">
        <v>77</v>
      </c>
      <c r="M558" s="256">
        <v>0</v>
      </c>
      <c r="N558" s="256">
        <v>1</v>
      </c>
      <c r="O558" s="256">
        <v>10</v>
      </c>
    </row>
    <row r="559" spans="1:15" s="69" customFormat="1" ht="210">
      <c r="A559" s="256" t="s">
        <v>1628</v>
      </c>
      <c r="B559" s="256" t="s">
        <v>45</v>
      </c>
      <c r="C559" s="256" t="s">
        <v>46</v>
      </c>
      <c r="D559" s="186" t="s">
        <v>1599</v>
      </c>
      <c r="E559" s="187">
        <v>382</v>
      </c>
      <c r="F559" s="256">
        <v>7.2058270461638999E-10</v>
      </c>
      <c r="G559" s="181">
        <v>1</v>
      </c>
      <c r="H559" s="257">
        <v>42622</v>
      </c>
      <c r="I559" s="186" t="s">
        <v>1600</v>
      </c>
      <c r="J559" s="186">
        <v>1</v>
      </c>
      <c r="K559" s="186" t="s">
        <v>1601</v>
      </c>
      <c r="L559" s="256">
        <v>85</v>
      </c>
      <c r="M559" s="256">
        <v>2</v>
      </c>
      <c r="N559" s="256">
        <v>2</v>
      </c>
      <c r="O559" s="256">
        <v>2</v>
      </c>
    </row>
    <row r="560" spans="1:15" s="69" customFormat="1" ht="60">
      <c r="A560" s="256" t="s">
        <v>1628</v>
      </c>
      <c r="B560" s="256" t="s">
        <v>59</v>
      </c>
      <c r="C560" s="256" t="s">
        <v>46</v>
      </c>
      <c r="D560" s="186" t="s">
        <v>1704</v>
      </c>
      <c r="E560" s="187">
        <v>76</v>
      </c>
      <c r="F560" s="256">
        <v>0.99790380559442105</v>
      </c>
      <c r="G560" s="181">
        <v>0</v>
      </c>
      <c r="H560" s="257">
        <v>42557</v>
      </c>
      <c r="I560" s="186" t="s">
        <v>1705</v>
      </c>
      <c r="J560" s="186">
        <v>1</v>
      </c>
      <c r="K560" s="186" t="s">
        <v>1706</v>
      </c>
      <c r="L560" s="256">
        <v>66</v>
      </c>
      <c r="M560" s="256">
        <v>1</v>
      </c>
      <c r="N560" s="256">
        <v>1</v>
      </c>
      <c r="O560" s="256">
        <v>5</v>
      </c>
    </row>
    <row r="561" spans="1:18" s="69" customFormat="1" ht="60">
      <c r="A561" s="256" t="s">
        <v>1707</v>
      </c>
      <c r="B561" s="256" t="s">
        <v>45</v>
      </c>
      <c r="C561" s="256" t="s">
        <v>221</v>
      </c>
      <c r="D561" s="186" t="s">
        <v>1073</v>
      </c>
      <c r="E561" s="187"/>
      <c r="F561" s="256"/>
      <c r="G561" s="181">
        <v>1</v>
      </c>
      <c r="H561" s="263">
        <v>44171</v>
      </c>
      <c r="I561" s="261" t="s">
        <v>1708</v>
      </c>
      <c r="J561" s="186">
        <v>1</v>
      </c>
      <c r="K561" s="261" t="s">
        <v>1709</v>
      </c>
      <c r="L561" s="256"/>
      <c r="M561" s="256">
        <v>0</v>
      </c>
      <c r="N561" s="256">
        <v>1</v>
      </c>
      <c r="O561" s="256">
        <v>1</v>
      </c>
      <c r="P561" s="69">
        <f>AVERAGE(M561:M590)</f>
        <v>0.5</v>
      </c>
      <c r="Q561" s="69">
        <f>AVERAGE(N561:N590)</f>
        <v>1.2</v>
      </c>
      <c r="R561" s="69">
        <f>AVERAGE(O561:O590)</f>
        <v>6.7333333333333334</v>
      </c>
    </row>
    <row r="562" spans="1:18" s="69" customFormat="1" ht="90">
      <c r="A562" s="256" t="s">
        <v>1707</v>
      </c>
      <c r="B562" s="256" t="s">
        <v>45</v>
      </c>
      <c r="C562" s="256" t="s">
        <v>80</v>
      </c>
      <c r="D562" s="186" t="s">
        <v>1710</v>
      </c>
      <c r="E562" s="187"/>
      <c r="F562" s="256"/>
      <c r="G562" s="181">
        <v>1</v>
      </c>
      <c r="H562" s="263">
        <v>44158</v>
      </c>
      <c r="I562" s="261" t="s">
        <v>1711</v>
      </c>
      <c r="J562" s="186">
        <v>1</v>
      </c>
      <c r="K562" s="261" t="s">
        <v>1712</v>
      </c>
      <c r="L562" s="256"/>
      <c r="M562" s="256">
        <v>0</v>
      </c>
      <c r="N562" s="256">
        <v>1</v>
      </c>
      <c r="O562" s="256">
        <v>2</v>
      </c>
    </row>
    <row r="563" spans="1:18" s="69" customFormat="1" ht="75">
      <c r="A563" s="256" t="s">
        <v>1707</v>
      </c>
      <c r="B563" s="256" t="s">
        <v>45</v>
      </c>
      <c r="C563" s="256" t="s">
        <v>80</v>
      </c>
      <c r="D563" s="261" t="s">
        <v>1713</v>
      </c>
      <c r="E563" s="187"/>
      <c r="F563" s="256"/>
      <c r="G563" s="181">
        <v>1</v>
      </c>
      <c r="H563" s="263">
        <v>44138</v>
      </c>
      <c r="I563" s="261" t="s">
        <v>1714</v>
      </c>
      <c r="J563" s="186">
        <v>0</v>
      </c>
      <c r="K563" s="261" t="s">
        <v>1715</v>
      </c>
      <c r="L563" s="256"/>
      <c r="M563" s="256">
        <v>0</v>
      </c>
      <c r="N563" s="256">
        <v>1</v>
      </c>
      <c r="O563" s="256">
        <v>2</v>
      </c>
    </row>
    <row r="564" spans="1:18" s="69" customFormat="1" ht="90">
      <c r="A564" s="256" t="s">
        <v>1707</v>
      </c>
      <c r="B564" s="256" t="s">
        <v>45</v>
      </c>
      <c r="C564" s="256" t="s">
        <v>221</v>
      </c>
      <c r="D564" s="186" t="s">
        <v>1716</v>
      </c>
      <c r="E564" s="187">
        <v>53</v>
      </c>
      <c r="F564" s="256">
        <v>0.41246279569295802</v>
      </c>
      <c r="G564" s="181">
        <v>1</v>
      </c>
      <c r="H564" s="303">
        <v>43993</v>
      </c>
      <c r="I564" s="186" t="s">
        <v>1717</v>
      </c>
      <c r="J564" s="186">
        <v>1</v>
      </c>
      <c r="K564" s="186" t="s">
        <v>1718</v>
      </c>
      <c r="L564" s="256">
        <v>114</v>
      </c>
      <c r="M564" s="256">
        <v>0</v>
      </c>
      <c r="N564" s="256">
        <v>1</v>
      </c>
      <c r="O564" s="256">
        <v>4</v>
      </c>
      <c r="P564" s="69">
        <f>AVERAGE(M564:M590)</f>
        <v>0.55555555555555558</v>
      </c>
    </row>
    <row r="565" spans="1:18" s="69" customFormat="1" ht="75">
      <c r="A565" s="256" t="s">
        <v>1707</v>
      </c>
      <c r="B565" s="256" t="s">
        <v>45</v>
      </c>
      <c r="C565" s="256" t="s">
        <v>46</v>
      </c>
      <c r="D565" s="220" t="s">
        <v>1719</v>
      </c>
      <c r="E565" s="187">
        <v>57</v>
      </c>
      <c r="F565" s="256">
        <v>0.95405898419810597</v>
      </c>
      <c r="G565" s="181">
        <v>1</v>
      </c>
      <c r="H565" s="257">
        <v>43992</v>
      </c>
      <c r="I565" s="181" t="s">
        <v>1720</v>
      </c>
      <c r="J565" s="181">
        <v>0</v>
      </c>
      <c r="K565" s="186" t="s">
        <v>1721</v>
      </c>
      <c r="L565" s="256">
        <v>100</v>
      </c>
      <c r="M565" s="220">
        <v>0</v>
      </c>
      <c r="N565" s="186">
        <v>1</v>
      </c>
      <c r="O565" s="220">
        <v>1</v>
      </c>
      <c r="P565" s="69">
        <f>AVERAGE(O564:O590)</f>
        <v>7.2962962962962967</v>
      </c>
    </row>
    <row r="566" spans="1:18" s="69" customFormat="1" ht="75">
      <c r="A566" s="256" t="s">
        <v>1707</v>
      </c>
      <c r="B566" s="256" t="s">
        <v>45</v>
      </c>
      <c r="C566" s="256" t="s">
        <v>80</v>
      </c>
      <c r="D566" s="220" t="s">
        <v>1722</v>
      </c>
      <c r="E566" s="187">
        <v>43</v>
      </c>
      <c r="F566" s="256">
        <v>4.3677605699319298E-3</v>
      </c>
      <c r="G566" s="181">
        <v>1</v>
      </c>
      <c r="H566" s="257">
        <v>43805</v>
      </c>
      <c r="I566" s="186" t="s">
        <v>1723</v>
      </c>
      <c r="J566" s="186">
        <v>1</v>
      </c>
      <c r="K566" s="186" t="s">
        <v>1724</v>
      </c>
      <c r="L566" s="256">
        <v>117</v>
      </c>
      <c r="M566" s="220">
        <v>0</v>
      </c>
      <c r="N566" s="186">
        <v>1</v>
      </c>
      <c r="O566" s="220">
        <v>5</v>
      </c>
    </row>
    <row r="567" spans="1:18" s="69" customFormat="1" ht="90">
      <c r="A567" s="256" t="s">
        <v>1707</v>
      </c>
      <c r="B567" s="256" t="s">
        <v>45</v>
      </c>
      <c r="C567" s="256" t="s">
        <v>46</v>
      </c>
      <c r="D567" s="220" t="s">
        <v>1725</v>
      </c>
      <c r="E567" s="187">
        <v>75</v>
      </c>
      <c r="F567" s="256">
        <v>7.8694300703592499E-2</v>
      </c>
      <c r="G567" s="181">
        <v>0</v>
      </c>
      <c r="H567" s="257">
        <v>43701</v>
      </c>
      <c r="I567" s="186" t="s">
        <v>1726</v>
      </c>
      <c r="J567" s="186">
        <v>0</v>
      </c>
      <c r="K567" s="186" t="s">
        <v>1727</v>
      </c>
      <c r="L567" s="256">
        <v>116</v>
      </c>
      <c r="M567" s="220">
        <v>2</v>
      </c>
      <c r="N567" s="186">
        <v>1</v>
      </c>
      <c r="O567" s="220">
        <v>16</v>
      </c>
    </row>
    <row r="568" spans="1:18" s="69" customFormat="1" ht="195">
      <c r="A568" s="256" t="s">
        <v>1707</v>
      </c>
      <c r="B568" s="256" t="s">
        <v>45</v>
      </c>
      <c r="C568" s="256" t="s">
        <v>46</v>
      </c>
      <c r="D568" s="186" t="s">
        <v>1728</v>
      </c>
      <c r="E568" s="187">
        <v>182</v>
      </c>
      <c r="F568" s="256">
        <v>9.8237642163545602E-4</v>
      </c>
      <c r="G568" s="181">
        <v>1</v>
      </c>
      <c r="H568" s="257">
        <v>43684</v>
      </c>
      <c r="I568" s="186" t="s">
        <v>4406</v>
      </c>
      <c r="J568" s="186">
        <v>0</v>
      </c>
      <c r="K568" s="186" t="s">
        <v>1730</v>
      </c>
      <c r="L568" s="256">
        <v>272</v>
      </c>
      <c r="M568" s="256">
        <v>0</v>
      </c>
      <c r="N568" s="256">
        <v>2</v>
      </c>
      <c r="O568" s="256">
        <v>12</v>
      </c>
    </row>
    <row r="569" spans="1:18" s="69" customFormat="1" ht="75">
      <c r="A569" s="256" t="s">
        <v>1707</v>
      </c>
      <c r="B569" s="256" t="s">
        <v>45</v>
      </c>
      <c r="C569" s="256" t="s">
        <v>80</v>
      </c>
      <c r="D569" s="186" t="s">
        <v>1278</v>
      </c>
      <c r="E569" s="187">
        <v>118</v>
      </c>
      <c r="F569" s="256">
        <v>0.19689844227916001</v>
      </c>
      <c r="G569" s="181">
        <v>1</v>
      </c>
      <c r="H569" s="257">
        <v>43679</v>
      </c>
      <c r="I569" s="186" t="s">
        <v>1279</v>
      </c>
      <c r="J569" s="186">
        <v>0</v>
      </c>
      <c r="K569" s="186" t="s">
        <v>1280</v>
      </c>
      <c r="L569" s="256">
        <v>56</v>
      </c>
      <c r="M569" s="256">
        <v>1</v>
      </c>
      <c r="N569" s="256">
        <v>1</v>
      </c>
      <c r="O569" s="256">
        <v>4</v>
      </c>
    </row>
    <row r="570" spans="1:18" s="69" customFormat="1" ht="135">
      <c r="A570" s="256" t="s">
        <v>1707</v>
      </c>
      <c r="B570" s="256" t="s">
        <v>45</v>
      </c>
      <c r="C570" s="256" t="s">
        <v>46</v>
      </c>
      <c r="D570" s="220" t="s">
        <v>818</v>
      </c>
      <c r="E570" s="187">
        <v>198</v>
      </c>
      <c r="F570" s="256">
        <v>0.99999978829243497</v>
      </c>
      <c r="G570" s="181">
        <v>1</v>
      </c>
      <c r="H570" s="257">
        <v>43597</v>
      </c>
      <c r="I570" s="181" t="s">
        <v>1731</v>
      </c>
      <c r="J570" s="181">
        <v>0</v>
      </c>
      <c r="K570" s="305" t="s">
        <v>1732</v>
      </c>
      <c r="L570" s="256">
        <v>89</v>
      </c>
      <c r="M570" s="220">
        <v>1</v>
      </c>
      <c r="N570" s="186">
        <v>2</v>
      </c>
      <c r="O570" s="220">
        <v>5</v>
      </c>
    </row>
    <row r="571" spans="1:18" s="69" customFormat="1" ht="90">
      <c r="A571" s="256" t="s">
        <v>1707</v>
      </c>
      <c r="B571" s="256" t="s">
        <v>45</v>
      </c>
      <c r="C571" s="256" t="s">
        <v>80</v>
      </c>
      <c r="D571" s="186" t="s">
        <v>1733</v>
      </c>
      <c r="E571" s="187">
        <v>62</v>
      </c>
      <c r="F571" s="256">
        <v>0.19242186196483901</v>
      </c>
      <c r="G571" s="181">
        <v>1</v>
      </c>
      <c r="H571" s="257">
        <v>43533</v>
      </c>
      <c r="I571" s="220" t="s">
        <v>1734</v>
      </c>
      <c r="J571" s="186">
        <v>0</v>
      </c>
      <c r="K571" s="186" t="s">
        <v>1735</v>
      </c>
      <c r="L571" s="256">
        <v>130</v>
      </c>
      <c r="M571" s="304">
        <v>1</v>
      </c>
      <c r="N571" s="258">
        <v>2</v>
      </c>
      <c r="O571" s="304">
        <v>4</v>
      </c>
    </row>
    <row r="572" spans="1:18" s="69" customFormat="1" ht="105">
      <c r="A572" s="256" t="s">
        <v>1707</v>
      </c>
      <c r="B572" s="256" t="s">
        <v>119</v>
      </c>
      <c r="C572" s="256" t="s">
        <v>46</v>
      </c>
      <c r="D572" s="258" t="s">
        <v>1349</v>
      </c>
      <c r="E572" s="187">
        <v>193</v>
      </c>
      <c r="F572" s="256">
        <v>0.99999999056678401</v>
      </c>
      <c r="G572" s="181">
        <v>1</v>
      </c>
      <c r="H572" s="257">
        <v>43463</v>
      </c>
      <c r="I572" s="186" t="s">
        <v>1350</v>
      </c>
      <c r="J572" s="186">
        <v>1</v>
      </c>
      <c r="K572" s="186" t="s">
        <v>1351</v>
      </c>
      <c r="L572" s="256">
        <v>69</v>
      </c>
      <c r="M572" s="256">
        <v>1</v>
      </c>
      <c r="N572" s="256">
        <v>1</v>
      </c>
      <c r="O572" s="256">
        <v>4</v>
      </c>
    </row>
    <row r="573" spans="1:18" s="69" customFormat="1" ht="120">
      <c r="A573" s="256" t="s">
        <v>1707</v>
      </c>
      <c r="B573" s="256" t="s">
        <v>45</v>
      </c>
      <c r="C573" s="256" t="s">
        <v>46</v>
      </c>
      <c r="D573" s="258" t="s">
        <v>1736</v>
      </c>
      <c r="E573" s="187">
        <v>68</v>
      </c>
      <c r="F573" s="256">
        <v>1.8964901401530301E-4</v>
      </c>
      <c r="G573" s="181">
        <v>0</v>
      </c>
      <c r="H573" s="257">
        <v>43317</v>
      </c>
      <c r="I573" s="186" t="s">
        <v>1737</v>
      </c>
      <c r="J573" s="186">
        <v>0</v>
      </c>
      <c r="K573" s="181" t="s">
        <v>1738</v>
      </c>
      <c r="L573" s="256">
        <v>169</v>
      </c>
      <c r="M573" s="256">
        <v>1</v>
      </c>
      <c r="N573" s="256">
        <v>1</v>
      </c>
      <c r="O573" s="256">
        <v>4</v>
      </c>
    </row>
    <row r="574" spans="1:18" s="69" customFormat="1" ht="75">
      <c r="A574" s="256" t="s">
        <v>1707</v>
      </c>
      <c r="B574" s="256" t="s">
        <v>45</v>
      </c>
      <c r="C574" s="256" t="s">
        <v>46</v>
      </c>
      <c r="D574" s="186" t="s">
        <v>1739</v>
      </c>
      <c r="E574" s="187">
        <v>122</v>
      </c>
      <c r="F574" s="256">
        <v>2.8492583214467799E-5</v>
      </c>
      <c r="G574" s="181">
        <v>1</v>
      </c>
      <c r="H574" s="257">
        <v>43308</v>
      </c>
      <c r="I574" s="186" t="s">
        <v>1740</v>
      </c>
      <c r="J574" s="186">
        <v>0</v>
      </c>
      <c r="K574" s="186" t="s">
        <v>4407</v>
      </c>
      <c r="L574" s="256">
        <v>118</v>
      </c>
      <c r="M574" s="256">
        <v>0</v>
      </c>
      <c r="N574" s="256">
        <v>1</v>
      </c>
      <c r="O574" s="256">
        <v>3</v>
      </c>
    </row>
    <row r="575" spans="1:18" s="69" customFormat="1" ht="105">
      <c r="A575" s="256" t="s">
        <v>1707</v>
      </c>
      <c r="B575" s="256" t="s">
        <v>45</v>
      </c>
      <c r="C575" s="256" t="s">
        <v>46</v>
      </c>
      <c r="D575" s="220" t="s">
        <v>1742</v>
      </c>
      <c r="E575" s="187">
        <v>177</v>
      </c>
      <c r="F575" s="256">
        <v>0.87428245188690001</v>
      </c>
      <c r="G575" s="181">
        <v>1</v>
      </c>
      <c r="H575" s="257">
        <v>43298</v>
      </c>
      <c r="I575" s="220" t="s">
        <v>1743</v>
      </c>
      <c r="J575" s="186">
        <v>0</v>
      </c>
      <c r="K575" s="186" t="s">
        <v>1744</v>
      </c>
      <c r="L575" s="256">
        <v>112</v>
      </c>
      <c r="M575" s="220">
        <v>1</v>
      </c>
      <c r="N575" s="186">
        <v>1</v>
      </c>
      <c r="O575" s="220">
        <v>6</v>
      </c>
    </row>
    <row r="576" spans="1:18" s="69" customFormat="1" ht="90">
      <c r="A576" s="256" t="s">
        <v>1707</v>
      </c>
      <c r="B576" s="256" t="s">
        <v>45</v>
      </c>
      <c r="C576" s="256" t="s">
        <v>80</v>
      </c>
      <c r="D576" s="258" t="s">
        <v>159</v>
      </c>
      <c r="E576" s="187">
        <v>36</v>
      </c>
      <c r="F576" s="256">
        <v>0.55084609411907903</v>
      </c>
      <c r="G576" s="181">
        <v>1</v>
      </c>
      <c r="H576" s="303">
        <v>43239</v>
      </c>
      <c r="I576" s="186" t="s">
        <v>1745</v>
      </c>
      <c r="J576" s="186">
        <v>0</v>
      </c>
      <c r="K576" s="186" t="s">
        <v>1746</v>
      </c>
      <c r="L576" s="256">
        <v>121</v>
      </c>
      <c r="M576" s="256">
        <v>0</v>
      </c>
      <c r="N576" s="256">
        <v>1</v>
      </c>
      <c r="O576" s="256">
        <v>4</v>
      </c>
    </row>
    <row r="577" spans="1:18" s="69" customFormat="1" ht="90">
      <c r="A577" s="256" t="s">
        <v>1707</v>
      </c>
      <c r="B577" s="256" t="s">
        <v>45</v>
      </c>
      <c r="C577" s="256" t="s">
        <v>46</v>
      </c>
      <c r="D577" s="186" t="s">
        <v>1747</v>
      </c>
      <c r="E577" s="187">
        <v>95</v>
      </c>
      <c r="F577" s="256">
        <v>0.97751445030995199</v>
      </c>
      <c r="G577" s="181">
        <v>1</v>
      </c>
      <c r="H577" s="303">
        <v>43178</v>
      </c>
      <c r="I577" s="186" t="s">
        <v>1748</v>
      </c>
      <c r="J577" s="186">
        <v>1</v>
      </c>
      <c r="K577" s="258" t="s">
        <v>1749</v>
      </c>
      <c r="L577" s="256">
        <v>22</v>
      </c>
      <c r="M577" s="256">
        <v>0</v>
      </c>
      <c r="N577" s="256">
        <v>1</v>
      </c>
      <c r="O577" s="256">
        <v>3</v>
      </c>
    </row>
    <row r="578" spans="1:18" s="69" customFormat="1" ht="45">
      <c r="A578" s="256" t="s">
        <v>1707</v>
      </c>
      <c r="B578" s="256" t="s">
        <v>45</v>
      </c>
      <c r="C578" s="256" t="s">
        <v>80</v>
      </c>
      <c r="D578" s="258" t="s">
        <v>1750</v>
      </c>
      <c r="E578" s="187">
        <v>25</v>
      </c>
      <c r="F578" s="256">
        <v>0.13769282652871601</v>
      </c>
      <c r="G578" s="181">
        <v>1</v>
      </c>
      <c r="H578" s="257">
        <v>43094</v>
      </c>
      <c r="I578" s="220" t="s">
        <v>1751</v>
      </c>
      <c r="J578" s="186">
        <v>1</v>
      </c>
      <c r="K578" s="186" t="s">
        <v>1752</v>
      </c>
      <c r="L578" s="256">
        <v>52</v>
      </c>
      <c r="M578" s="220">
        <v>0</v>
      </c>
      <c r="N578" s="186">
        <v>2</v>
      </c>
      <c r="O578" s="220">
        <v>0</v>
      </c>
    </row>
    <row r="579" spans="1:18" s="69" customFormat="1" ht="120">
      <c r="A579" s="256" t="s">
        <v>1707</v>
      </c>
      <c r="B579" s="256" t="s">
        <v>45</v>
      </c>
      <c r="C579" s="256" t="s">
        <v>80</v>
      </c>
      <c r="D579" s="258" t="s">
        <v>1753</v>
      </c>
      <c r="E579" s="187">
        <v>150</v>
      </c>
      <c r="F579" s="256">
        <v>0.26491168585520403</v>
      </c>
      <c r="G579" s="181">
        <v>0</v>
      </c>
      <c r="H579" s="257">
        <v>42921</v>
      </c>
      <c r="I579" s="186" t="s">
        <v>1754</v>
      </c>
      <c r="J579" s="186">
        <v>1</v>
      </c>
      <c r="K579" s="186" t="s">
        <v>1755</v>
      </c>
      <c r="L579" s="256">
        <v>175</v>
      </c>
      <c r="M579" s="256">
        <v>0</v>
      </c>
      <c r="N579" s="256">
        <v>1</v>
      </c>
      <c r="O579" s="256">
        <v>8</v>
      </c>
    </row>
    <row r="580" spans="1:18" s="69" customFormat="1" ht="120">
      <c r="A580" s="256" t="s">
        <v>1707</v>
      </c>
      <c r="B580" s="256" t="s">
        <v>45</v>
      </c>
      <c r="C580" s="256" t="s">
        <v>80</v>
      </c>
      <c r="D580" s="258" t="s">
        <v>1756</v>
      </c>
      <c r="E580" s="187">
        <v>60</v>
      </c>
      <c r="F580" s="256">
        <v>3.1044016525427798E-5</v>
      </c>
      <c r="G580" s="181">
        <v>1</v>
      </c>
      <c r="H580" s="257">
        <v>42910</v>
      </c>
      <c r="I580" s="186" t="s">
        <v>1757</v>
      </c>
      <c r="J580" s="186">
        <v>0</v>
      </c>
      <c r="K580" s="186" t="s">
        <v>1758</v>
      </c>
      <c r="L580" s="256">
        <v>176</v>
      </c>
      <c r="M580" s="256">
        <v>0</v>
      </c>
      <c r="N580" s="256">
        <v>1</v>
      </c>
      <c r="O580" s="256">
        <v>6</v>
      </c>
    </row>
    <row r="581" spans="1:18" s="69" customFormat="1" ht="120">
      <c r="A581" s="256" t="s">
        <v>1707</v>
      </c>
      <c r="B581" s="256" t="s">
        <v>45</v>
      </c>
      <c r="C581" s="256" t="s">
        <v>46</v>
      </c>
      <c r="D581" s="186" t="s">
        <v>1106</v>
      </c>
      <c r="E581" s="187">
        <v>219</v>
      </c>
      <c r="F581" s="256">
        <v>0.99999999149380203</v>
      </c>
      <c r="G581" s="181">
        <v>1</v>
      </c>
      <c r="H581" s="257">
        <v>42880</v>
      </c>
      <c r="I581" s="181" t="s">
        <v>1759</v>
      </c>
      <c r="J581" s="181">
        <v>0</v>
      </c>
      <c r="K581" s="186" t="s">
        <v>1108</v>
      </c>
      <c r="L581" s="256">
        <v>107</v>
      </c>
      <c r="M581" s="256">
        <v>1</v>
      </c>
      <c r="N581" s="256">
        <v>3</v>
      </c>
      <c r="O581" s="256">
        <v>8</v>
      </c>
    </row>
    <row r="582" spans="1:18" s="69" customFormat="1" ht="165">
      <c r="A582" s="256" t="s">
        <v>1707</v>
      </c>
      <c r="B582" s="256" t="s">
        <v>45</v>
      </c>
      <c r="C582" s="256" t="s">
        <v>80</v>
      </c>
      <c r="D582" s="258" t="s">
        <v>1756</v>
      </c>
      <c r="E582" s="187">
        <v>194</v>
      </c>
      <c r="F582" s="256">
        <v>0.99960650348679903</v>
      </c>
      <c r="G582" s="181">
        <v>1</v>
      </c>
      <c r="H582" s="257">
        <v>42815</v>
      </c>
      <c r="I582" s="186" t="s">
        <v>1760</v>
      </c>
      <c r="J582" s="186">
        <v>0</v>
      </c>
      <c r="K582" s="186" t="s">
        <v>1761</v>
      </c>
      <c r="L582" s="256">
        <v>241</v>
      </c>
      <c r="M582" s="256">
        <v>1</v>
      </c>
      <c r="N582" s="256">
        <v>1</v>
      </c>
      <c r="O582" s="256">
        <v>10</v>
      </c>
    </row>
    <row r="583" spans="1:18" s="69" customFormat="1" ht="60">
      <c r="A583" s="256" t="s">
        <v>1707</v>
      </c>
      <c r="B583" s="256" t="s">
        <v>45</v>
      </c>
      <c r="C583" s="256" t="s">
        <v>80</v>
      </c>
      <c r="D583" s="258" t="s">
        <v>1756</v>
      </c>
      <c r="E583" s="187">
        <v>113</v>
      </c>
      <c r="F583" s="256">
        <v>8.5418969819792495E-2</v>
      </c>
      <c r="G583" s="181">
        <v>0</v>
      </c>
      <c r="H583" s="257">
        <v>42679</v>
      </c>
      <c r="I583" s="186" t="s">
        <v>1762</v>
      </c>
      <c r="J583" s="186">
        <v>0</v>
      </c>
      <c r="K583" s="186" t="s">
        <v>1763</v>
      </c>
      <c r="L583" s="256">
        <v>79</v>
      </c>
      <c r="M583" s="256">
        <v>0</v>
      </c>
      <c r="N583" s="256">
        <v>1</v>
      </c>
      <c r="O583" s="256">
        <v>12</v>
      </c>
    </row>
    <row r="584" spans="1:18" s="69" customFormat="1" ht="150">
      <c r="A584" s="256" t="s">
        <v>1707</v>
      </c>
      <c r="B584" s="256" t="s">
        <v>45</v>
      </c>
      <c r="C584" s="256" t="s">
        <v>46</v>
      </c>
      <c r="D584" s="186" t="s">
        <v>4408</v>
      </c>
      <c r="E584" s="187">
        <v>265</v>
      </c>
      <c r="F584" s="256">
        <v>0.10880255267728201</v>
      </c>
      <c r="G584" s="181">
        <v>1</v>
      </c>
      <c r="H584" s="257">
        <v>42670</v>
      </c>
      <c r="I584" s="181" t="s">
        <v>4409</v>
      </c>
      <c r="J584" s="181">
        <v>1</v>
      </c>
      <c r="K584" s="186" t="s">
        <v>1766</v>
      </c>
      <c r="L584" s="256">
        <v>80</v>
      </c>
      <c r="M584" s="256">
        <v>3</v>
      </c>
      <c r="N584" s="256">
        <v>1</v>
      </c>
      <c r="O584" s="256">
        <v>21</v>
      </c>
    </row>
    <row r="585" spans="1:18" s="69" customFormat="1" ht="60">
      <c r="A585" s="256" t="s">
        <v>1707</v>
      </c>
      <c r="B585" s="256" t="s">
        <v>45</v>
      </c>
      <c r="C585" s="256" t="s">
        <v>80</v>
      </c>
      <c r="D585" s="258" t="s">
        <v>1767</v>
      </c>
      <c r="E585" s="187">
        <v>69</v>
      </c>
      <c r="F585" s="256">
        <v>9.5983989749470798E-4</v>
      </c>
      <c r="G585" s="181">
        <v>1</v>
      </c>
      <c r="H585" s="257">
        <v>42580</v>
      </c>
      <c r="I585" s="186" t="s">
        <v>1768</v>
      </c>
      <c r="J585" s="186">
        <v>0</v>
      </c>
      <c r="K585" s="186" t="s">
        <v>1763</v>
      </c>
      <c r="L585" s="256">
        <v>79</v>
      </c>
      <c r="M585" s="256">
        <v>0</v>
      </c>
      <c r="N585" s="256">
        <v>1</v>
      </c>
      <c r="O585" s="256">
        <v>12</v>
      </c>
    </row>
    <row r="586" spans="1:18" s="69" customFormat="1" ht="60">
      <c r="A586" s="256" t="s">
        <v>1707</v>
      </c>
      <c r="B586" s="256" t="s">
        <v>45</v>
      </c>
      <c r="C586" s="256" t="s">
        <v>80</v>
      </c>
      <c r="D586" s="258" t="s">
        <v>1767</v>
      </c>
      <c r="E586" s="187">
        <v>57</v>
      </c>
      <c r="F586" s="256">
        <v>0.39682016580739499</v>
      </c>
      <c r="G586" s="181">
        <v>1</v>
      </c>
      <c r="H586" s="257">
        <v>42569</v>
      </c>
      <c r="I586" s="186" t="s">
        <v>1769</v>
      </c>
      <c r="J586" s="186">
        <v>1</v>
      </c>
      <c r="K586" s="186" t="s">
        <v>1770</v>
      </c>
      <c r="L586" s="256">
        <v>75</v>
      </c>
      <c r="M586" s="256">
        <v>0</v>
      </c>
      <c r="N586" s="256">
        <v>1</v>
      </c>
      <c r="O586" s="256">
        <v>9</v>
      </c>
    </row>
    <row r="587" spans="1:18" s="69" customFormat="1" ht="60">
      <c r="A587" s="256" t="s">
        <v>1707</v>
      </c>
      <c r="B587" s="256" t="s">
        <v>45</v>
      </c>
      <c r="C587" s="256" t="s">
        <v>46</v>
      </c>
      <c r="D587" s="186" t="s">
        <v>1771</v>
      </c>
      <c r="E587" s="187">
        <v>97</v>
      </c>
      <c r="F587" s="256">
        <v>0.94485732063151895</v>
      </c>
      <c r="G587" s="181">
        <v>1</v>
      </c>
      <c r="H587" s="257">
        <v>42566</v>
      </c>
      <c r="I587" s="186" t="s">
        <v>1772</v>
      </c>
      <c r="J587" s="186">
        <v>0</v>
      </c>
      <c r="K587" s="186" t="s">
        <v>1770</v>
      </c>
      <c r="L587" s="256">
        <v>75</v>
      </c>
      <c r="M587" s="256">
        <v>0</v>
      </c>
      <c r="N587" s="256">
        <v>1</v>
      </c>
      <c r="O587" s="256">
        <v>5</v>
      </c>
    </row>
    <row r="588" spans="1:18" s="69" customFormat="1" ht="60">
      <c r="A588" s="256" t="s">
        <v>1707</v>
      </c>
      <c r="B588" s="256" t="s">
        <v>45</v>
      </c>
      <c r="C588" s="256" t="s">
        <v>80</v>
      </c>
      <c r="D588" s="220" t="s">
        <v>1767</v>
      </c>
      <c r="E588" s="187">
        <v>102</v>
      </c>
      <c r="F588" s="256">
        <v>1.6951187712133101E-4</v>
      </c>
      <c r="G588" s="181">
        <v>0</v>
      </c>
      <c r="H588" s="257">
        <v>42543</v>
      </c>
      <c r="I588" s="186" t="s">
        <v>1773</v>
      </c>
      <c r="J588" s="186">
        <v>0</v>
      </c>
      <c r="K588" s="186" t="s">
        <v>1770</v>
      </c>
      <c r="L588" s="256">
        <v>75</v>
      </c>
      <c r="M588" s="220">
        <v>0</v>
      </c>
      <c r="N588" s="186">
        <v>1</v>
      </c>
      <c r="O588" s="220">
        <v>9</v>
      </c>
    </row>
    <row r="589" spans="1:18" s="69" customFormat="1" ht="45">
      <c r="A589" s="256" t="s">
        <v>1707</v>
      </c>
      <c r="B589" s="256" t="s">
        <v>45</v>
      </c>
      <c r="C589" s="256" t="s">
        <v>80</v>
      </c>
      <c r="D589" s="258" t="s">
        <v>1767</v>
      </c>
      <c r="E589" s="187">
        <v>52</v>
      </c>
      <c r="F589" s="256">
        <v>1.0692733949404501E-3</v>
      </c>
      <c r="G589" s="181">
        <v>0</v>
      </c>
      <c r="H589" s="257">
        <v>42496</v>
      </c>
      <c r="I589" s="186" t="s">
        <v>1774</v>
      </c>
      <c r="J589" s="186">
        <v>0</v>
      </c>
      <c r="K589" s="186" t="s">
        <v>1775</v>
      </c>
      <c r="L589" s="256">
        <v>48</v>
      </c>
      <c r="M589" s="256">
        <v>2</v>
      </c>
      <c r="N589" s="256">
        <v>1</v>
      </c>
      <c r="O589" s="256">
        <v>10</v>
      </c>
    </row>
    <row r="590" spans="1:18" s="69" customFormat="1" ht="135">
      <c r="A590" s="256" t="s">
        <v>1707</v>
      </c>
      <c r="B590" s="256" t="s">
        <v>45</v>
      </c>
      <c r="C590" s="256" t="s">
        <v>80</v>
      </c>
      <c r="D590" s="258" t="s">
        <v>1776</v>
      </c>
      <c r="E590" s="187">
        <v>244</v>
      </c>
      <c r="F590" s="256">
        <v>1.2280355505822599E-6</v>
      </c>
      <c r="G590" s="181">
        <v>1</v>
      </c>
      <c r="H590" s="257">
        <v>42489</v>
      </c>
      <c r="I590" s="186" t="s">
        <v>1777</v>
      </c>
      <c r="J590" s="186">
        <v>0</v>
      </c>
      <c r="K590" s="181" t="s">
        <v>1778</v>
      </c>
      <c r="L590" s="256">
        <v>130</v>
      </c>
      <c r="M590" s="256">
        <v>0</v>
      </c>
      <c r="N590" s="256">
        <v>1</v>
      </c>
      <c r="O590" s="256">
        <v>12</v>
      </c>
    </row>
    <row r="591" spans="1:18" s="69" customFormat="1" ht="75">
      <c r="A591" s="256" t="s">
        <v>1779</v>
      </c>
      <c r="B591" s="256" t="s">
        <v>119</v>
      </c>
      <c r="C591" s="256" t="s">
        <v>519</v>
      </c>
      <c r="D591" s="258" t="s">
        <v>520</v>
      </c>
      <c r="E591" s="187">
        <v>121</v>
      </c>
      <c r="F591" s="256">
        <v>0.99976512231319203</v>
      </c>
      <c r="G591" s="181">
        <v>1</v>
      </c>
      <c r="H591" s="257">
        <v>43524</v>
      </c>
      <c r="I591" s="186" t="s">
        <v>523</v>
      </c>
      <c r="J591" s="186">
        <v>1</v>
      </c>
      <c r="K591" s="186" t="s">
        <v>524</v>
      </c>
      <c r="L591" s="256">
        <v>56</v>
      </c>
      <c r="M591" s="256">
        <v>1</v>
      </c>
      <c r="N591" s="256">
        <v>1</v>
      </c>
      <c r="O591" s="256">
        <v>4</v>
      </c>
      <c r="P591" s="69">
        <f>AVERAGE(M591:M596)</f>
        <v>0.66666666666666663</v>
      </c>
      <c r="Q591" s="69">
        <f>AVERAGE(N591:N596)</f>
        <v>1.1666666666666667</v>
      </c>
      <c r="R591" s="69">
        <f>AVERAGE(O591:O596)</f>
        <v>9.8333333333333339</v>
      </c>
    </row>
    <row r="592" spans="1:18" s="69" customFormat="1" ht="45">
      <c r="A592" s="256" t="s">
        <v>1779</v>
      </c>
      <c r="B592" s="256" t="s">
        <v>45</v>
      </c>
      <c r="C592" s="256" t="s">
        <v>46</v>
      </c>
      <c r="D592" s="220" t="s">
        <v>539</v>
      </c>
      <c r="E592" s="187">
        <v>67</v>
      </c>
      <c r="F592" s="256">
        <v>0.99970395341653395</v>
      </c>
      <c r="G592" s="181">
        <v>1</v>
      </c>
      <c r="H592" s="257">
        <v>43338</v>
      </c>
      <c r="I592" s="186" t="s">
        <v>540</v>
      </c>
      <c r="J592" s="186">
        <v>1</v>
      </c>
      <c r="K592" s="186" t="s">
        <v>541</v>
      </c>
      <c r="L592" s="256">
        <v>33</v>
      </c>
      <c r="M592" s="220">
        <v>0</v>
      </c>
      <c r="N592" s="186">
        <v>1</v>
      </c>
      <c r="O592" s="220">
        <v>3</v>
      </c>
    </row>
    <row r="593" spans="1:18" s="69" customFormat="1" ht="30">
      <c r="A593" s="256" t="s">
        <v>1779</v>
      </c>
      <c r="B593" s="256" t="s">
        <v>45</v>
      </c>
      <c r="C593" s="256" t="s">
        <v>46</v>
      </c>
      <c r="D593" s="220" t="s">
        <v>1780</v>
      </c>
      <c r="E593" s="187">
        <v>37</v>
      </c>
      <c r="F593" s="256">
        <v>0.33827638461922199</v>
      </c>
      <c r="G593" s="181">
        <v>1</v>
      </c>
      <c r="H593" s="257">
        <v>42975</v>
      </c>
      <c r="I593" s="186" t="s">
        <v>1781</v>
      </c>
      <c r="J593" s="186">
        <v>0</v>
      </c>
      <c r="K593" s="186" t="s">
        <v>1782</v>
      </c>
      <c r="L593" s="256">
        <v>46</v>
      </c>
      <c r="M593" s="220">
        <v>0</v>
      </c>
      <c r="N593" s="186">
        <v>1</v>
      </c>
      <c r="O593" s="220">
        <v>0</v>
      </c>
    </row>
    <row r="594" spans="1:18" s="69" customFormat="1" ht="75">
      <c r="A594" s="256" t="s">
        <v>1779</v>
      </c>
      <c r="B594" s="256" t="s">
        <v>45</v>
      </c>
      <c r="C594" s="256" t="s">
        <v>46</v>
      </c>
      <c r="D594" s="186" t="s">
        <v>1783</v>
      </c>
      <c r="E594" s="187">
        <v>128</v>
      </c>
      <c r="F594" s="256">
        <v>4.3893303854902704E-6</v>
      </c>
      <c r="G594" s="181">
        <v>1</v>
      </c>
      <c r="H594" s="257">
        <v>42905</v>
      </c>
      <c r="I594" s="186" t="s">
        <v>1784</v>
      </c>
      <c r="J594" s="186">
        <v>0</v>
      </c>
      <c r="K594" s="186" t="s">
        <v>1785</v>
      </c>
      <c r="L594" s="256">
        <v>63</v>
      </c>
      <c r="M594" s="256">
        <v>0</v>
      </c>
      <c r="N594" s="256">
        <v>1</v>
      </c>
      <c r="O594" s="256">
        <v>7</v>
      </c>
    </row>
    <row r="595" spans="1:18" s="69" customFormat="1" ht="105">
      <c r="A595" s="256" t="s">
        <v>1779</v>
      </c>
      <c r="B595" s="256" t="s">
        <v>45</v>
      </c>
      <c r="C595" s="256" t="s">
        <v>46</v>
      </c>
      <c r="D595" s="186" t="s">
        <v>1786</v>
      </c>
      <c r="E595" s="187">
        <v>95</v>
      </c>
      <c r="F595" s="256">
        <v>3.0541821531954198E-3</v>
      </c>
      <c r="G595" s="181">
        <v>1</v>
      </c>
      <c r="H595" s="257">
        <v>42696</v>
      </c>
      <c r="I595" s="186" t="s">
        <v>1787</v>
      </c>
      <c r="J595" s="186">
        <v>0</v>
      </c>
      <c r="K595" s="186" t="s">
        <v>1788</v>
      </c>
      <c r="L595" s="256">
        <v>138</v>
      </c>
      <c r="M595" s="256">
        <v>1</v>
      </c>
      <c r="N595" s="256">
        <v>1</v>
      </c>
      <c r="O595" s="256">
        <v>13</v>
      </c>
    </row>
    <row r="596" spans="1:18" s="69" customFormat="1" ht="210">
      <c r="A596" s="256" t="s">
        <v>1779</v>
      </c>
      <c r="B596" s="256" t="s">
        <v>45</v>
      </c>
      <c r="C596" s="256" t="s">
        <v>46</v>
      </c>
      <c r="D596" s="186" t="s">
        <v>1599</v>
      </c>
      <c r="E596" s="187">
        <v>381</v>
      </c>
      <c r="F596" s="256">
        <v>1.6007619674240899E-9</v>
      </c>
      <c r="G596" s="181">
        <v>1</v>
      </c>
      <c r="H596" s="257">
        <v>42622</v>
      </c>
      <c r="I596" s="186" t="s">
        <v>1789</v>
      </c>
      <c r="J596" s="186">
        <v>1</v>
      </c>
      <c r="K596" s="186" t="s">
        <v>1601</v>
      </c>
      <c r="L596" s="256">
        <v>85</v>
      </c>
      <c r="M596" s="256">
        <v>2</v>
      </c>
      <c r="N596" s="256">
        <v>2</v>
      </c>
      <c r="O596" s="256">
        <v>32</v>
      </c>
    </row>
    <row r="597" spans="1:18" s="69" customFormat="1" ht="60">
      <c r="A597" s="256" t="s">
        <v>1790</v>
      </c>
      <c r="B597" s="256" t="s">
        <v>45</v>
      </c>
      <c r="C597" s="256" t="s">
        <v>221</v>
      </c>
      <c r="D597" s="186" t="s">
        <v>1791</v>
      </c>
      <c r="E597" s="187">
        <v>26</v>
      </c>
      <c r="F597" s="256">
        <v>1.6406692127059999E-3</v>
      </c>
      <c r="G597" s="181">
        <v>1</v>
      </c>
      <c r="H597" s="257">
        <v>43997</v>
      </c>
      <c r="I597" s="220" t="s">
        <v>1792</v>
      </c>
      <c r="J597" s="186">
        <v>0</v>
      </c>
      <c r="K597" s="186" t="s">
        <v>1793</v>
      </c>
      <c r="L597" s="256">
        <v>84</v>
      </c>
      <c r="M597" s="220">
        <v>0</v>
      </c>
      <c r="N597" s="186">
        <v>1</v>
      </c>
      <c r="O597" s="220">
        <v>3</v>
      </c>
      <c r="P597" s="69">
        <f>AVERAGE(M597:M625)</f>
        <v>0.55172413793103448</v>
      </c>
      <c r="Q597" s="69">
        <f>AVERAGE(N597:N625)</f>
        <v>1.103448275862069</v>
      </c>
      <c r="R597" s="69">
        <f>AVERAGE(O597:O625)</f>
        <v>6.2758620689655169</v>
      </c>
    </row>
    <row r="598" spans="1:18" s="69" customFormat="1" ht="105">
      <c r="A598" s="256" t="s">
        <v>1790</v>
      </c>
      <c r="B598" s="256" t="s">
        <v>45</v>
      </c>
      <c r="C598" s="256" t="s">
        <v>221</v>
      </c>
      <c r="D598" s="186" t="s">
        <v>1794</v>
      </c>
      <c r="E598" s="187">
        <v>56</v>
      </c>
      <c r="F598" s="256">
        <v>2.2762579479085298E-6</v>
      </c>
      <c r="G598" s="181">
        <v>1</v>
      </c>
      <c r="H598" s="257">
        <v>43932</v>
      </c>
      <c r="I598" s="186" t="s">
        <v>1795</v>
      </c>
      <c r="J598" s="186">
        <v>0</v>
      </c>
      <c r="K598" s="186" t="s">
        <v>1796</v>
      </c>
      <c r="L598" s="256">
        <v>150</v>
      </c>
      <c r="M598" s="256">
        <v>1</v>
      </c>
      <c r="N598" s="256">
        <v>1</v>
      </c>
      <c r="O598" s="256">
        <v>5</v>
      </c>
    </row>
    <row r="599" spans="1:18" s="69" customFormat="1" ht="75">
      <c r="A599" s="256" t="s">
        <v>1790</v>
      </c>
      <c r="B599" s="256" t="s">
        <v>45</v>
      </c>
      <c r="C599" s="256" t="s">
        <v>80</v>
      </c>
      <c r="D599" s="258" t="s">
        <v>1797</v>
      </c>
      <c r="E599" s="187">
        <v>48</v>
      </c>
      <c r="F599" s="256">
        <v>5.5193349810318502E-3</v>
      </c>
      <c r="G599" s="181">
        <v>1</v>
      </c>
      <c r="H599" s="257">
        <v>43907</v>
      </c>
      <c r="I599" s="186" t="s">
        <v>1798</v>
      </c>
      <c r="J599" s="186">
        <v>0</v>
      </c>
      <c r="K599" s="186" t="s">
        <v>1799</v>
      </c>
      <c r="L599" s="256">
        <v>106</v>
      </c>
      <c r="M599" s="256">
        <v>0</v>
      </c>
      <c r="N599" s="256">
        <v>1</v>
      </c>
      <c r="O599" s="256">
        <v>3</v>
      </c>
    </row>
    <row r="600" spans="1:18" s="69" customFormat="1" ht="75">
      <c r="A600" s="256" t="s">
        <v>1790</v>
      </c>
      <c r="B600" s="256" t="s">
        <v>45</v>
      </c>
      <c r="C600" s="256" t="s">
        <v>46</v>
      </c>
      <c r="D600" s="258" t="s">
        <v>1800</v>
      </c>
      <c r="E600" s="187">
        <v>31</v>
      </c>
      <c r="F600" s="256">
        <v>3.2997474928102601E-3</v>
      </c>
      <c r="G600" s="181">
        <v>1</v>
      </c>
      <c r="H600" s="257">
        <v>43842</v>
      </c>
      <c r="I600" s="258" t="s">
        <v>1801</v>
      </c>
      <c r="J600" s="258">
        <v>1</v>
      </c>
      <c r="K600" s="186" t="s">
        <v>1802</v>
      </c>
      <c r="L600" s="256">
        <v>92</v>
      </c>
      <c r="M600" s="256">
        <v>0</v>
      </c>
      <c r="N600" s="256">
        <v>1</v>
      </c>
      <c r="O600" s="256">
        <v>3</v>
      </c>
    </row>
    <row r="601" spans="1:18" s="69" customFormat="1" ht="105">
      <c r="A601" s="256" t="s">
        <v>1790</v>
      </c>
      <c r="B601" s="256" t="s">
        <v>45</v>
      </c>
      <c r="C601" s="256" t="s">
        <v>46</v>
      </c>
      <c r="D601" s="258" t="s">
        <v>1800</v>
      </c>
      <c r="E601" s="187">
        <v>50</v>
      </c>
      <c r="F601" s="256">
        <v>3.14272999802912E-5</v>
      </c>
      <c r="G601" s="181">
        <v>1</v>
      </c>
      <c r="H601" s="257">
        <v>43835</v>
      </c>
      <c r="I601" s="186" t="s">
        <v>1803</v>
      </c>
      <c r="J601" s="186">
        <v>1</v>
      </c>
      <c r="K601" s="186" t="s">
        <v>1804</v>
      </c>
      <c r="L601" s="256">
        <v>133</v>
      </c>
      <c r="M601" s="256">
        <v>1</v>
      </c>
      <c r="N601" s="256">
        <v>1</v>
      </c>
      <c r="O601" s="256">
        <v>5</v>
      </c>
    </row>
    <row r="602" spans="1:18" s="69" customFormat="1" ht="90">
      <c r="A602" s="256" t="s">
        <v>1790</v>
      </c>
      <c r="B602" s="256" t="s">
        <v>45</v>
      </c>
      <c r="C602" s="256" t="s">
        <v>46</v>
      </c>
      <c r="D602" s="186" t="s">
        <v>1805</v>
      </c>
      <c r="E602" s="187">
        <v>74</v>
      </c>
      <c r="F602" s="256">
        <v>0.99918188405981001</v>
      </c>
      <c r="G602" s="181">
        <v>1</v>
      </c>
      <c r="H602" s="257">
        <v>43828</v>
      </c>
      <c r="I602" s="186" t="s">
        <v>1806</v>
      </c>
      <c r="J602" s="186">
        <v>1</v>
      </c>
      <c r="K602" s="181" t="s">
        <v>1807</v>
      </c>
      <c r="L602" s="256">
        <v>122</v>
      </c>
      <c r="M602" s="256">
        <v>1</v>
      </c>
      <c r="N602" s="256">
        <v>1</v>
      </c>
      <c r="O602" s="256">
        <v>2</v>
      </c>
    </row>
    <row r="603" spans="1:18" s="69" customFormat="1" ht="90">
      <c r="A603" s="256" t="s">
        <v>1790</v>
      </c>
      <c r="B603" s="256" t="s">
        <v>45</v>
      </c>
      <c r="C603" s="256" t="s">
        <v>46</v>
      </c>
      <c r="D603" s="258" t="s">
        <v>1800</v>
      </c>
      <c r="E603" s="187">
        <v>82</v>
      </c>
      <c r="F603" s="256">
        <v>0.19849843919815099</v>
      </c>
      <c r="G603" s="181">
        <v>1</v>
      </c>
      <c r="H603" s="257">
        <v>43828</v>
      </c>
      <c r="I603" s="186" t="s">
        <v>1808</v>
      </c>
      <c r="J603" s="186">
        <v>1</v>
      </c>
      <c r="K603" s="186" t="s">
        <v>1809</v>
      </c>
      <c r="L603" s="256">
        <v>130</v>
      </c>
      <c r="M603" s="256">
        <v>0</v>
      </c>
      <c r="N603" s="256">
        <v>1</v>
      </c>
      <c r="O603" s="256">
        <v>2</v>
      </c>
    </row>
    <row r="604" spans="1:18" s="69" customFormat="1" ht="90">
      <c r="A604" s="256" t="s">
        <v>1790</v>
      </c>
      <c r="B604" s="256" t="s">
        <v>45</v>
      </c>
      <c r="C604" s="256" t="s">
        <v>80</v>
      </c>
      <c r="D604" s="258" t="s">
        <v>1810</v>
      </c>
      <c r="E604" s="187">
        <v>79</v>
      </c>
      <c r="F604" s="256">
        <v>0.14809685930570801</v>
      </c>
      <c r="G604" s="181">
        <v>1</v>
      </c>
      <c r="H604" s="257">
        <v>43794</v>
      </c>
      <c r="I604" s="186" t="s">
        <v>1811</v>
      </c>
      <c r="J604" s="186">
        <v>0</v>
      </c>
      <c r="K604" s="186" t="s">
        <v>1812</v>
      </c>
      <c r="L604" s="256">
        <v>111</v>
      </c>
      <c r="M604" s="256">
        <v>1</v>
      </c>
      <c r="N604" s="256">
        <v>1</v>
      </c>
      <c r="O604" s="256">
        <v>4</v>
      </c>
    </row>
    <row r="605" spans="1:18" s="69" customFormat="1" ht="90">
      <c r="A605" s="256" t="s">
        <v>1790</v>
      </c>
      <c r="B605" s="256" t="s">
        <v>45</v>
      </c>
      <c r="C605" s="256" t="s">
        <v>46</v>
      </c>
      <c r="D605" s="258" t="s">
        <v>1813</v>
      </c>
      <c r="E605" s="187">
        <v>146</v>
      </c>
      <c r="F605" s="256">
        <v>0.13953674090479301</v>
      </c>
      <c r="G605" s="181">
        <v>0</v>
      </c>
      <c r="H605" s="257">
        <v>43784</v>
      </c>
      <c r="I605" s="186" t="s">
        <v>1814</v>
      </c>
      <c r="J605" s="186">
        <v>0</v>
      </c>
      <c r="K605" s="186" t="s">
        <v>1815</v>
      </c>
      <c r="L605" s="256">
        <v>114</v>
      </c>
      <c r="M605" s="256">
        <v>0</v>
      </c>
      <c r="N605" s="256">
        <v>1</v>
      </c>
      <c r="O605" s="256">
        <v>4</v>
      </c>
    </row>
    <row r="606" spans="1:18" s="69" customFormat="1" ht="75">
      <c r="A606" s="256" t="s">
        <v>1790</v>
      </c>
      <c r="B606" s="256" t="s">
        <v>45</v>
      </c>
      <c r="C606" s="256" t="s">
        <v>46</v>
      </c>
      <c r="D606" s="220" t="s">
        <v>1816</v>
      </c>
      <c r="E606" s="187">
        <v>74</v>
      </c>
      <c r="F606" s="256">
        <v>7.1116257895353896E-4</v>
      </c>
      <c r="G606" s="181">
        <v>0</v>
      </c>
      <c r="H606" s="257">
        <v>43761</v>
      </c>
      <c r="I606" s="186" t="s">
        <v>1817</v>
      </c>
      <c r="J606" s="186">
        <v>1</v>
      </c>
      <c r="K606" s="186" t="s">
        <v>1818</v>
      </c>
      <c r="L606" s="256">
        <v>100</v>
      </c>
      <c r="M606" s="220">
        <v>0</v>
      </c>
      <c r="N606" s="186">
        <v>1</v>
      </c>
      <c r="O606" s="220">
        <v>2</v>
      </c>
    </row>
    <row r="607" spans="1:18" s="69" customFormat="1" ht="45">
      <c r="A607" s="256" t="s">
        <v>1790</v>
      </c>
      <c r="B607" s="256" t="s">
        <v>45</v>
      </c>
      <c r="C607" s="256" t="s">
        <v>46</v>
      </c>
      <c r="D607" s="258" t="s">
        <v>1819</v>
      </c>
      <c r="E607" s="187">
        <v>9</v>
      </c>
      <c r="F607" s="256">
        <v>7.2109304290248297E-2</v>
      </c>
      <c r="G607" s="181">
        <v>0</v>
      </c>
      <c r="H607" s="303">
        <v>43613</v>
      </c>
      <c r="I607" s="220" t="s">
        <v>1820</v>
      </c>
      <c r="J607" s="186">
        <v>0</v>
      </c>
      <c r="K607" s="186" t="s">
        <v>1821</v>
      </c>
      <c r="L607" s="256">
        <v>67</v>
      </c>
      <c r="M607" s="220">
        <v>3</v>
      </c>
      <c r="N607" s="186">
        <v>2</v>
      </c>
      <c r="O607" s="220">
        <v>13</v>
      </c>
    </row>
    <row r="608" spans="1:18" s="69" customFormat="1" ht="60">
      <c r="A608" s="256" t="s">
        <v>1790</v>
      </c>
      <c r="B608" s="256" t="s">
        <v>45</v>
      </c>
      <c r="C608" s="256" t="s">
        <v>46</v>
      </c>
      <c r="D608" s="258" t="s">
        <v>1822</v>
      </c>
      <c r="E608" s="187">
        <v>20</v>
      </c>
      <c r="F608" s="256">
        <v>6.3681386325558104E-3</v>
      </c>
      <c r="G608" s="181">
        <v>0</v>
      </c>
      <c r="H608" s="257">
        <v>43611</v>
      </c>
      <c r="I608" s="220" t="s">
        <v>1823</v>
      </c>
      <c r="J608" s="186">
        <v>0</v>
      </c>
      <c r="K608" s="186" t="s">
        <v>1824</v>
      </c>
      <c r="L608" s="256">
        <v>87</v>
      </c>
      <c r="M608" s="220">
        <v>3</v>
      </c>
      <c r="N608" s="186">
        <v>1</v>
      </c>
      <c r="O608" s="220">
        <v>9</v>
      </c>
    </row>
    <row r="609" spans="1:15" s="69" customFormat="1" ht="60">
      <c r="A609" s="256" t="s">
        <v>1790</v>
      </c>
      <c r="B609" s="256" t="s">
        <v>45</v>
      </c>
      <c r="C609" s="256" t="s">
        <v>46</v>
      </c>
      <c r="D609" s="220" t="s">
        <v>1825</v>
      </c>
      <c r="E609" s="187">
        <v>115</v>
      </c>
      <c r="F609" s="256">
        <v>0.103707669371813</v>
      </c>
      <c r="G609" s="181">
        <v>0</v>
      </c>
      <c r="H609" s="257">
        <v>43606</v>
      </c>
      <c r="I609" s="186" t="s">
        <v>4410</v>
      </c>
      <c r="J609" s="186">
        <v>1</v>
      </c>
      <c r="K609" s="186" t="s">
        <v>1824</v>
      </c>
      <c r="L609" s="256">
        <v>87</v>
      </c>
      <c r="M609" s="220">
        <v>0</v>
      </c>
      <c r="N609" s="186">
        <v>1</v>
      </c>
      <c r="O609" s="220">
        <v>2</v>
      </c>
    </row>
    <row r="610" spans="1:15" s="69" customFormat="1" ht="60">
      <c r="A610" s="256" t="s">
        <v>1790</v>
      </c>
      <c r="B610" s="256" t="s">
        <v>45</v>
      </c>
      <c r="C610" s="256" t="s">
        <v>46</v>
      </c>
      <c r="D610" s="186" t="s">
        <v>1827</v>
      </c>
      <c r="E610" s="187">
        <v>47</v>
      </c>
      <c r="F610" s="256">
        <v>0.96293049846750001</v>
      </c>
      <c r="G610" s="181">
        <v>0</v>
      </c>
      <c r="H610" s="257">
        <v>43603</v>
      </c>
      <c r="I610" s="186" t="s">
        <v>4411</v>
      </c>
      <c r="J610" s="186">
        <v>1</v>
      </c>
      <c r="K610" s="186" t="s">
        <v>1824</v>
      </c>
      <c r="L610" s="256">
        <v>87</v>
      </c>
      <c r="M610" s="256">
        <v>1</v>
      </c>
      <c r="N610" s="256">
        <v>1</v>
      </c>
      <c r="O610" s="256">
        <v>5</v>
      </c>
    </row>
    <row r="611" spans="1:15" s="69" customFormat="1" ht="45">
      <c r="A611" s="256" t="s">
        <v>1790</v>
      </c>
      <c r="B611" s="256" t="s">
        <v>45</v>
      </c>
      <c r="C611" s="256" t="s">
        <v>80</v>
      </c>
      <c r="D611" s="258" t="s">
        <v>1829</v>
      </c>
      <c r="E611" s="187">
        <v>83</v>
      </c>
      <c r="F611" s="256">
        <v>0.99997832671909104</v>
      </c>
      <c r="G611" s="181">
        <v>1</v>
      </c>
      <c r="H611" s="303">
        <v>43370</v>
      </c>
      <c r="I611" s="220" t="s">
        <v>1830</v>
      </c>
      <c r="J611" s="186">
        <v>0</v>
      </c>
      <c r="K611" s="186" t="s">
        <v>1831</v>
      </c>
      <c r="L611" s="256">
        <v>43</v>
      </c>
      <c r="M611" s="220">
        <v>0</v>
      </c>
      <c r="N611" s="186">
        <v>1</v>
      </c>
      <c r="O611" s="220">
        <v>3</v>
      </c>
    </row>
    <row r="612" spans="1:15" s="69" customFormat="1" ht="45">
      <c r="A612" s="256" t="s">
        <v>1790</v>
      </c>
      <c r="B612" s="256" t="s">
        <v>45</v>
      </c>
      <c r="C612" s="256" t="s">
        <v>80</v>
      </c>
      <c r="D612" s="186" t="s">
        <v>1832</v>
      </c>
      <c r="E612" s="187">
        <v>41</v>
      </c>
      <c r="F612" s="256">
        <v>5.2731655320736902E-4</v>
      </c>
      <c r="G612" s="181">
        <v>1</v>
      </c>
      <c r="H612" s="257">
        <v>43346</v>
      </c>
      <c r="I612" s="186" t="s">
        <v>1833</v>
      </c>
      <c r="J612" s="186">
        <v>1</v>
      </c>
      <c r="K612" s="186" t="s">
        <v>1834</v>
      </c>
      <c r="L612" s="256">
        <v>50</v>
      </c>
      <c r="M612" s="256">
        <v>1</v>
      </c>
      <c r="N612" s="256">
        <v>1</v>
      </c>
      <c r="O612" s="256">
        <v>3</v>
      </c>
    </row>
    <row r="613" spans="1:15" s="69" customFormat="1" ht="105">
      <c r="A613" s="256" t="s">
        <v>1790</v>
      </c>
      <c r="B613" s="256" t="s">
        <v>45</v>
      </c>
      <c r="C613" s="256" t="s">
        <v>46</v>
      </c>
      <c r="D613" s="186" t="s">
        <v>1835</v>
      </c>
      <c r="E613" s="187">
        <v>122</v>
      </c>
      <c r="F613" s="256">
        <v>0.28702579521715199</v>
      </c>
      <c r="G613" s="181">
        <v>1</v>
      </c>
      <c r="H613" s="257">
        <v>43290</v>
      </c>
      <c r="I613" s="186" t="s">
        <v>1836</v>
      </c>
      <c r="J613" s="186">
        <v>1</v>
      </c>
      <c r="K613" s="186" t="s">
        <v>1837</v>
      </c>
      <c r="L613" s="256">
        <v>142</v>
      </c>
      <c r="M613" s="256">
        <v>1</v>
      </c>
      <c r="N613" s="256">
        <v>1</v>
      </c>
      <c r="O613" s="256">
        <v>2</v>
      </c>
    </row>
    <row r="614" spans="1:15" s="69" customFormat="1" ht="105">
      <c r="A614" s="256" t="s">
        <v>1790</v>
      </c>
      <c r="B614" s="256" t="s">
        <v>45</v>
      </c>
      <c r="C614" s="256" t="s">
        <v>80</v>
      </c>
      <c r="D614" s="258" t="s">
        <v>1838</v>
      </c>
      <c r="E614" s="187">
        <v>130</v>
      </c>
      <c r="F614" s="256">
        <v>0.17965045907542701</v>
      </c>
      <c r="G614" s="181">
        <v>1</v>
      </c>
      <c r="H614" s="257">
        <v>43287</v>
      </c>
      <c r="I614" s="186" t="s">
        <v>1839</v>
      </c>
      <c r="J614" s="186">
        <v>0</v>
      </c>
      <c r="K614" s="186" t="s">
        <v>1837</v>
      </c>
      <c r="L614" s="256">
        <v>142</v>
      </c>
      <c r="M614" s="256">
        <v>1</v>
      </c>
      <c r="N614" s="256">
        <v>1</v>
      </c>
      <c r="O614" s="256">
        <v>5</v>
      </c>
    </row>
    <row r="615" spans="1:15" s="69" customFormat="1" ht="60">
      <c r="A615" s="256" t="s">
        <v>1790</v>
      </c>
      <c r="B615" s="256" t="s">
        <v>59</v>
      </c>
      <c r="C615" s="256" t="s">
        <v>80</v>
      </c>
      <c r="D615" s="186" t="s">
        <v>1840</v>
      </c>
      <c r="E615" s="187">
        <v>57</v>
      </c>
      <c r="F615" s="256">
        <v>0.34534301039160498</v>
      </c>
      <c r="G615" s="181">
        <v>1</v>
      </c>
      <c r="H615" s="257">
        <v>43229</v>
      </c>
      <c r="I615" s="220" t="s">
        <v>1841</v>
      </c>
      <c r="J615" s="186">
        <v>1</v>
      </c>
      <c r="K615" s="186" t="s">
        <v>1842</v>
      </c>
      <c r="L615" s="256">
        <v>78</v>
      </c>
      <c r="M615" s="220">
        <v>1</v>
      </c>
      <c r="N615" s="186">
        <v>2</v>
      </c>
      <c r="O615" s="220">
        <v>6</v>
      </c>
    </row>
    <row r="616" spans="1:15" s="69" customFormat="1" ht="60">
      <c r="A616" s="256" t="s">
        <v>1790</v>
      </c>
      <c r="B616" s="256" t="s">
        <v>45</v>
      </c>
      <c r="C616" s="256" t="s">
        <v>80</v>
      </c>
      <c r="D616" s="258" t="s">
        <v>1843</v>
      </c>
      <c r="E616" s="187">
        <v>110</v>
      </c>
      <c r="F616" s="256">
        <v>1.14865923849128E-4</v>
      </c>
      <c r="G616" s="181">
        <v>1</v>
      </c>
      <c r="H616" s="257">
        <v>43198</v>
      </c>
      <c r="I616" s="186" t="s">
        <v>1844</v>
      </c>
      <c r="J616" s="186">
        <v>0</v>
      </c>
      <c r="K616" s="186" t="s">
        <v>1845</v>
      </c>
      <c r="L616" s="256">
        <v>73</v>
      </c>
      <c r="M616" s="220">
        <v>0</v>
      </c>
      <c r="N616" s="186">
        <v>1</v>
      </c>
      <c r="O616" s="220">
        <v>2</v>
      </c>
    </row>
    <row r="617" spans="1:15" s="69" customFormat="1" ht="45">
      <c r="A617" s="256" t="s">
        <v>1790</v>
      </c>
      <c r="B617" s="256" t="s">
        <v>45</v>
      </c>
      <c r="C617" s="256" t="s">
        <v>80</v>
      </c>
      <c r="D617" s="258" t="s">
        <v>1843</v>
      </c>
      <c r="E617" s="187">
        <v>61</v>
      </c>
      <c r="F617" s="256">
        <v>0.172558765826482</v>
      </c>
      <c r="G617" s="181">
        <v>1</v>
      </c>
      <c r="H617" s="301">
        <v>43185</v>
      </c>
      <c r="I617" s="186" t="s">
        <v>1846</v>
      </c>
      <c r="J617" s="186">
        <v>1</v>
      </c>
      <c r="K617" s="186" t="s">
        <v>1847</v>
      </c>
      <c r="L617" s="256">
        <v>63</v>
      </c>
      <c r="M617" s="256">
        <v>0</v>
      </c>
      <c r="N617" s="256">
        <v>1</v>
      </c>
      <c r="O617" s="256">
        <v>0</v>
      </c>
    </row>
    <row r="618" spans="1:15" s="69" customFormat="1" ht="210">
      <c r="A618" s="256" t="s">
        <v>1790</v>
      </c>
      <c r="B618" s="256" t="s">
        <v>45</v>
      </c>
      <c r="C618" s="256" t="s">
        <v>46</v>
      </c>
      <c r="D618" s="186" t="s">
        <v>1848</v>
      </c>
      <c r="E618" s="187">
        <v>407</v>
      </c>
      <c r="F618" s="256">
        <v>4.8305597988296298E-6</v>
      </c>
      <c r="G618" s="181">
        <v>1</v>
      </c>
      <c r="H618" s="257">
        <v>43051</v>
      </c>
      <c r="I618" s="186" t="s">
        <v>1849</v>
      </c>
      <c r="J618" s="186">
        <v>1</v>
      </c>
      <c r="K618" s="181" t="s">
        <v>1850</v>
      </c>
      <c r="L618" s="256">
        <v>160</v>
      </c>
      <c r="M618" s="256">
        <v>0</v>
      </c>
      <c r="N618" s="256">
        <v>1</v>
      </c>
      <c r="O618" s="256">
        <v>16</v>
      </c>
    </row>
    <row r="619" spans="1:15" s="69" customFormat="1" ht="90">
      <c r="A619" s="256" t="s">
        <v>1790</v>
      </c>
      <c r="B619" s="256" t="s">
        <v>45</v>
      </c>
      <c r="C619" s="256" t="s">
        <v>80</v>
      </c>
      <c r="D619" s="258" t="s">
        <v>1851</v>
      </c>
      <c r="E619" s="187">
        <v>147</v>
      </c>
      <c r="F619" s="256">
        <v>2.3593116526665601E-5</v>
      </c>
      <c r="G619" s="181">
        <v>1</v>
      </c>
      <c r="H619" s="257">
        <v>43030</v>
      </c>
      <c r="I619" s="186" t="s">
        <v>1852</v>
      </c>
      <c r="J619" s="186">
        <v>0</v>
      </c>
      <c r="K619" s="186" t="s">
        <v>1853</v>
      </c>
      <c r="L619" s="256">
        <v>61</v>
      </c>
      <c r="M619" s="256">
        <v>0</v>
      </c>
      <c r="N619" s="256">
        <v>1</v>
      </c>
      <c r="O619" s="256">
        <v>11</v>
      </c>
    </row>
    <row r="620" spans="1:15" s="69" customFormat="1" ht="60">
      <c r="A620" s="256" t="s">
        <v>1790</v>
      </c>
      <c r="B620" s="256" t="s">
        <v>45</v>
      </c>
      <c r="C620" s="256" t="s">
        <v>80</v>
      </c>
      <c r="D620" s="258" t="s">
        <v>1854</v>
      </c>
      <c r="E620" s="187">
        <v>83</v>
      </c>
      <c r="F620" s="256">
        <v>2.73926867161434E-5</v>
      </c>
      <c r="G620" s="181">
        <v>1</v>
      </c>
      <c r="H620" s="257">
        <v>43028</v>
      </c>
      <c r="I620" s="186" t="s">
        <v>1855</v>
      </c>
      <c r="J620" s="186">
        <v>0</v>
      </c>
      <c r="K620" s="186" t="s">
        <v>1856</v>
      </c>
      <c r="L620" s="256">
        <v>90</v>
      </c>
      <c r="M620" s="256">
        <v>0</v>
      </c>
      <c r="N620" s="256">
        <v>1</v>
      </c>
      <c r="O620" s="256">
        <v>12</v>
      </c>
    </row>
    <row r="621" spans="1:15" s="69" customFormat="1" ht="75">
      <c r="A621" s="256" t="s">
        <v>1790</v>
      </c>
      <c r="B621" s="256" t="s">
        <v>45</v>
      </c>
      <c r="C621" s="256" t="s">
        <v>80</v>
      </c>
      <c r="D621" s="220" t="s">
        <v>1851</v>
      </c>
      <c r="E621" s="187">
        <v>124</v>
      </c>
      <c r="F621" s="256">
        <v>5.0464058820587301E-8</v>
      </c>
      <c r="G621" s="181">
        <v>1</v>
      </c>
      <c r="H621" s="257">
        <v>43009</v>
      </c>
      <c r="I621" s="186" t="s">
        <v>1857</v>
      </c>
      <c r="J621" s="186">
        <v>0</v>
      </c>
      <c r="K621" s="186" t="s">
        <v>1858</v>
      </c>
      <c r="L621" s="256">
        <v>75</v>
      </c>
      <c r="M621" s="220">
        <v>0</v>
      </c>
      <c r="N621" s="186">
        <v>1</v>
      </c>
      <c r="O621" s="220">
        <v>10</v>
      </c>
    </row>
    <row r="622" spans="1:15" s="69" customFormat="1" ht="60">
      <c r="A622" s="256" t="s">
        <v>1790</v>
      </c>
      <c r="B622" s="256" t="s">
        <v>45</v>
      </c>
      <c r="C622" s="256" t="s">
        <v>80</v>
      </c>
      <c r="D622" s="258" t="s">
        <v>1859</v>
      </c>
      <c r="E622" s="187">
        <v>98</v>
      </c>
      <c r="F622" s="256">
        <v>9.3186605165662705E-7</v>
      </c>
      <c r="G622" s="181">
        <v>1</v>
      </c>
      <c r="H622" s="257">
        <v>42997</v>
      </c>
      <c r="I622" s="186" t="s">
        <v>1860</v>
      </c>
      <c r="J622" s="186">
        <v>0</v>
      </c>
      <c r="K622" s="186" t="s">
        <v>1861</v>
      </c>
      <c r="L622" s="256">
        <v>88</v>
      </c>
      <c r="M622" s="256">
        <v>0</v>
      </c>
      <c r="N622" s="256">
        <v>1</v>
      </c>
      <c r="O622" s="256">
        <v>1</v>
      </c>
    </row>
    <row r="623" spans="1:15" s="69" customFormat="1" ht="75">
      <c r="A623" s="256" t="s">
        <v>1790</v>
      </c>
      <c r="B623" s="256" t="s">
        <v>45</v>
      </c>
      <c r="C623" s="256" t="s">
        <v>80</v>
      </c>
      <c r="D623" s="258" t="s">
        <v>1862</v>
      </c>
      <c r="E623" s="187">
        <v>123</v>
      </c>
      <c r="F623" s="256">
        <v>9.8053649580931401E-6</v>
      </c>
      <c r="G623" s="181">
        <v>1</v>
      </c>
      <c r="H623" s="257">
        <v>42925</v>
      </c>
      <c r="I623" s="186" t="s">
        <v>1863</v>
      </c>
      <c r="J623" s="186">
        <v>0</v>
      </c>
      <c r="K623" s="186" t="s">
        <v>1864</v>
      </c>
      <c r="L623" s="256">
        <v>48</v>
      </c>
      <c r="M623" s="256">
        <v>0</v>
      </c>
      <c r="N623" s="256">
        <v>1</v>
      </c>
      <c r="O623" s="256">
        <v>9</v>
      </c>
    </row>
    <row r="624" spans="1:15" s="69" customFormat="1" ht="90">
      <c r="A624" s="256" t="s">
        <v>1790</v>
      </c>
      <c r="B624" s="256" t="s">
        <v>45</v>
      </c>
      <c r="C624" s="256" t="s">
        <v>80</v>
      </c>
      <c r="D624" s="186" t="s">
        <v>1865</v>
      </c>
      <c r="E624" s="187">
        <v>97</v>
      </c>
      <c r="F624" s="256">
        <v>0.41354520080554702</v>
      </c>
      <c r="G624" s="181">
        <v>1</v>
      </c>
      <c r="H624" s="257">
        <v>42912</v>
      </c>
      <c r="I624" s="186" t="s">
        <v>1866</v>
      </c>
      <c r="J624" s="186">
        <v>1</v>
      </c>
      <c r="K624" s="186" t="s">
        <v>1867</v>
      </c>
      <c r="L624" s="256">
        <v>134</v>
      </c>
      <c r="M624" s="256">
        <v>0</v>
      </c>
      <c r="N624" s="256">
        <v>1</v>
      </c>
      <c r="O624" s="256">
        <v>11</v>
      </c>
    </row>
    <row r="625" spans="1:18" s="69" customFormat="1" ht="75">
      <c r="A625" s="256" t="s">
        <v>1790</v>
      </c>
      <c r="B625" s="256" t="s">
        <v>45</v>
      </c>
      <c r="C625" s="256" t="s">
        <v>46</v>
      </c>
      <c r="D625" s="220" t="s">
        <v>1868</v>
      </c>
      <c r="E625" s="187">
        <v>32</v>
      </c>
      <c r="F625" s="256">
        <v>5.4772100896020998E-2</v>
      </c>
      <c r="G625" s="181">
        <v>0</v>
      </c>
      <c r="H625" s="257">
        <v>42864</v>
      </c>
      <c r="I625" s="258" t="s">
        <v>1869</v>
      </c>
      <c r="J625" s="258">
        <v>1</v>
      </c>
      <c r="K625" s="186" t="s">
        <v>1870</v>
      </c>
      <c r="L625" s="256">
        <v>36</v>
      </c>
      <c r="M625" s="220">
        <v>1</v>
      </c>
      <c r="N625" s="186">
        <v>2</v>
      </c>
      <c r="O625" s="220">
        <v>29</v>
      </c>
    </row>
    <row r="626" spans="1:18" s="69" customFormat="1" ht="60">
      <c r="A626" s="256" t="s">
        <v>1871</v>
      </c>
      <c r="B626" s="256" t="s">
        <v>45</v>
      </c>
      <c r="C626" s="256" t="s">
        <v>46</v>
      </c>
      <c r="D626" s="220" t="s">
        <v>1872</v>
      </c>
      <c r="E626" s="187">
        <v>28</v>
      </c>
      <c r="F626" s="256">
        <v>0.89818680049290101</v>
      </c>
      <c r="G626" s="181">
        <v>0</v>
      </c>
      <c r="H626" s="257">
        <v>43968</v>
      </c>
      <c r="I626" s="258" t="s">
        <v>1873</v>
      </c>
      <c r="J626" s="258">
        <v>1</v>
      </c>
      <c r="K626" s="186" t="s">
        <v>1874</v>
      </c>
      <c r="L626" s="256">
        <v>85</v>
      </c>
      <c r="M626" s="220">
        <v>1</v>
      </c>
      <c r="N626" s="186">
        <v>1</v>
      </c>
      <c r="O626" s="220">
        <v>15</v>
      </c>
      <c r="P626" s="69">
        <f>AVERAGE(M626:M640)</f>
        <v>0.53333333333333333</v>
      </c>
      <c r="Q626" s="69">
        <f>AVERAGE(N626:N640)</f>
        <v>1.0666666666666667</v>
      </c>
      <c r="R626" s="69">
        <f>AVERAGE(O626:O640)</f>
        <v>5.2</v>
      </c>
    </row>
    <row r="627" spans="1:18" s="69" customFormat="1" ht="75">
      <c r="A627" s="256" t="s">
        <v>1871</v>
      </c>
      <c r="B627" s="256" t="s">
        <v>45</v>
      </c>
      <c r="C627" s="256" t="s">
        <v>221</v>
      </c>
      <c r="D627" s="186" t="s">
        <v>1875</v>
      </c>
      <c r="E627" s="187">
        <v>57</v>
      </c>
      <c r="F627" s="256">
        <v>0.107914132654235</v>
      </c>
      <c r="G627" s="181">
        <v>1</v>
      </c>
      <c r="H627" s="257">
        <v>43655</v>
      </c>
      <c r="I627" s="220" t="s">
        <v>1876</v>
      </c>
      <c r="J627" s="186">
        <v>0</v>
      </c>
      <c r="K627" s="186" t="s">
        <v>1877</v>
      </c>
      <c r="L627" s="256">
        <v>104</v>
      </c>
      <c r="M627" s="220">
        <v>0</v>
      </c>
      <c r="N627" s="186">
        <v>1</v>
      </c>
      <c r="O627" s="220">
        <v>7</v>
      </c>
    </row>
    <row r="628" spans="1:18" s="69" customFormat="1" ht="225">
      <c r="A628" s="256" t="s">
        <v>1871</v>
      </c>
      <c r="B628" s="256" t="s">
        <v>45</v>
      </c>
      <c r="C628" s="256" t="s">
        <v>46</v>
      </c>
      <c r="D628" s="186" t="s">
        <v>1878</v>
      </c>
      <c r="E628" s="187">
        <v>351</v>
      </c>
      <c r="F628" s="256">
        <v>3.6265236133648001E-5</v>
      </c>
      <c r="G628" s="181">
        <v>1</v>
      </c>
      <c r="H628" s="257">
        <v>43655</v>
      </c>
      <c r="I628" s="181" t="s">
        <v>1879</v>
      </c>
      <c r="J628" s="181">
        <v>0</v>
      </c>
      <c r="K628" s="181" t="s">
        <v>1880</v>
      </c>
      <c r="L628" s="256">
        <v>125</v>
      </c>
      <c r="M628" s="256">
        <v>2</v>
      </c>
      <c r="N628" s="256">
        <v>1</v>
      </c>
      <c r="O628" s="256">
        <v>3</v>
      </c>
    </row>
    <row r="629" spans="1:18" s="69" customFormat="1" ht="225">
      <c r="A629" s="256" t="s">
        <v>1871</v>
      </c>
      <c r="B629" s="256" t="s">
        <v>45</v>
      </c>
      <c r="C629" s="256" t="s">
        <v>46</v>
      </c>
      <c r="D629" s="186" t="s">
        <v>1881</v>
      </c>
      <c r="E629" s="187">
        <v>367</v>
      </c>
      <c r="F629" s="256">
        <v>1.0440929790744899E-6</v>
      </c>
      <c r="G629" s="181">
        <v>1</v>
      </c>
      <c r="H629" s="257">
        <v>43655</v>
      </c>
      <c r="I629" s="181" t="s">
        <v>1882</v>
      </c>
      <c r="J629" s="181">
        <v>0</v>
      </c>
      <c r="K629" s="181" t="s">
        <v>1883</v>
      </c>
      <c r="L629" s="256">
        <v>127</v>
      </c>
      <c r="M629" s="256">
        <v>1</v>
      </c>
      <c r="N629" s="256">
        <v>1</v>
      </c>
      <c r="O629" s="256">
        <v>3</v>
      </c>
    </row>
    <row r="630" spans="1:18" s="69" customFormat="1" ht="105">
      <c r="A630" s="256" t="s">
        <v>1871</v>
      </c>
      <c r="B630" s="256" t="s">
        <v>119</v>
      </c>
      <c r="C630" s="256" t="s">
        <v>664</v>
      </c>
      <c r="D630" s="220" t="s">
        <v>1884</v>
      </c>
      <c r="E630" s="187">
        <v>159</v>
      </c>
      <c r="F630" s="256">
        <v>1.87280862242231E-2</v>
      </c>
      <c r="G630" s="181">
        <v>1</v>
      </c>
      <c r="H630" s="257">
        <v>43556</v>
      </c>
      <c r="I630" s="186" t="s">
        <v>1885</v>
      </c>
      <c r="J630" s="186">
        <v>1</v>
      </c>
      <c r="K630" s="186" t="s">
        <v>1886</v>
      </c>
      <c r="L630" s="256">
        <v>141</v>
      </c>
      <c r="M630" s="220">
        <v>0</v>
      </c>
      <c r="N630" s="186">
        <v>1</v>
      </c>
      <c r="O630" s="220">
        <v>3</v>
      </c>
    </row>
    <row r="631" spans="1:18" s="69" customFormat="1" ht="255">
      <c r="A631" s="256" t="s">
        <v>1871</v>
      </c>
      <c r="B631" s="256" t="s">
        <v>45</v>
      </c>
      <c r="C631" s="256" t="s">
        <v>664</v>
      </c>
      <c r="D631" s="258" t="s">
        <v>539</v>
      </c>
      <c r="E631" s="187">
        <v>488</v>
      </c>
      <c r="F631" s="256">
        <v>6.6025284461979097E-8</v>
      </c>
      <c r="G631" s="181">
        <v>1</v>
      </c>
      <c r="H631" s="257">
        <v>43409</v>
      </c>
      <c r="I631" s="186" t="s">
        <v>4412</v>
      </c>
      <c r="J631" s="186">
        <v>0</v>
      </c>
      <c r="K631" s="186" t="s">
        <v>1888</v>
      </c>
      <c r="L631" s="256">
        <v>195</v>
      </c>
      <c r="M631" s="256">
        <v>1</v>
      </c>
      <c r="N631" s="256">
        <v>1</v>
      </c>
      <c r="O631" s="256">
        <v>1</v>
      </c>
    </row>
    <row r="632" spans="1:18" s="69" customFormat="1" ht="135">
      <c r="A632" s="256" t="s">
        <v>1871</v>
      </c>
      <c r="B632" s="256" t="s">
        <v>45</v>
      </c>
      <c r="C632" s="256" t="s">
        <v>46</v>
      </c>
      <c r="D632" s="186" t="s">
        <v>1889</v>
      </c>
      <c r="E632" s="187">
        <v>210</v>
      </c>
      <c r="F632" s="256">
        <v>0.52882295329234597</v>
      </c>
      <c r="G632" s="181">
        <v>0</v>
      </c>
      <c r="H632" s="257">
        <v>43405</v>
      </c>
      <c r="I632" s="181" t="s">
        <v>1890</v>
      </c>
      <c r="J632" s="181">
        <v>0</v>
      </c>
      <c r="K632" s="186" t="s">
        <v>1888</v>
      </c>
      <c r="L632" s="256">
        <v>195</v>
      </c>
      <c r="M632" s="256">
        <v>0</v>
      </c>
      <c r="N632" s="256">
        <v>1</v>
      </c>
      <c r="O632" s="256">
        <v>1</v>
      </c>
    </row>
    <row r="633" spans="1:18" s="69" customFormat="1" ht="225">
      <c r="A633" s="256" t="s">
        <v>1871</v>
      </c>
      <c r="B633" s="256" t="s">
        <v>45</v>
      </c>
      <c r="C633" s="256" t="s">
        <v>46</v>
      </c>
      <c r="D633" s="186" t="s">
        <v>1891</v>
      </c>
      <c r="E633" s="187">
        <v>421</v>
      </c>
      <c r="F633" s="256">
        <v>1.08291106096481E-3</v>
      </c>
      <c r="G633" s="181">
        <v>0</v>
      </c>
      <c r="H633" s="257">
        <v>43405</v>
      </c>
      <c r="I633" s="181" t="s">
        <v>4413</v>
      </c>
      <c r="J633" s="181">
        <v>0</v>
      </c>
      <c r="K633" s="186" t="s">
        <v>1888</v>
      </c>
      <c r="L633" s="256">
        <v>195</v>
      </c>
      <c r="M633" s="256">
        <v>0</v>
      </c>
      <c r="N633" s="256">
        <v>1</v>
      </c>
      <c r="O633" s="256">
        <v>1</v>
      </c>
    </row>
    <row r="634" spans="1:18" s="69" customFormat="1" ht="225">
      <c r="A634" s="256" t="s">
        <v>1871</v>
      </c>
      <c r="B634" s="256" t="s">
        <v>45</v>
      </c>
      <c r="C634" s="256" t="s">
        <v>46</v>
      </c>
      <c r="D634" s="186" t="s">
        <v>1893</v>
      </c>
      <c r="E634" s="187">
        <v>383</v>
      </c>
      <c r="F634" s="256">
        <v>3.8065062213377101E-10</v>
      </c>
      <c r="G634" s="181">
        <v>1</v>
      </c>
      <c r="H634" s="257">
        <v>43402</v>
      </c>
      <c r="I634" s="181" t="s">
        <v>1894</v>
      </c>
      <c r="J634" s="181">
        <v>0</v>
      </c>
      <c r="K634" s="186" t="s">
        <v>1895</v>
      </c>
      <c r="L634" s="256">
        <v>145</v>
      </c>
      <c r="M634" s="256">
        <v>0</v>
      </c>
      <c r="N634" s="256">
        <v>1</v>
      </c>
      <c r="O634" s="256">
        <v>2</v>
      </c>
    </row>
    <row r="635" spans="1:18" s="69" customFormat="1" ht="105">
      <c r="A635" s="256" t="s">
        <v>1871</v>
      </c>
      <c r="B635" s="256" t="s">
        <v>45</v>
      </c>
      <c r="C635" s="256" t="s">
        <v>80</v>
      </c>
      <c r="D635" s="258" t="s">
        <v>159</v>
      </c>
      <c r="E635" s="187">
        <v>54</v>
      </c>
      <c r="F635" s="256">
        <v>0.30690915001635699</v>
      </c>
      <c r="G635" s="181">
        <v>1</v>
      </c>
      <c r="H635" s="257">
        <v>43377</v>
      </c>
      <c r="I635" s="186" t="s">
        <v>1896</v>
      </c>
      <c r="J635" s="186">
        <v>0</v>
      </c>
      <c r="K635" s="186" t="s">
        <v>1897</v>
      </c>
      <c r="L635" s="256">
        <v>144</v>
      </c>
      <c r="M635" s="256">
        <v>1</v>
      </c>
      <c r="N635" s="256">
        <v>1</v>
      </c>
      <c r="O635" s="256">
        <v>6</v>
      </c>
    </row>
    <row r="636" spans="1:18" s="69" customFormat="1" ht="75">
      <c r="A636" s="256" t="s">
        <v>1871</v>
      </c>
      <c r="B636" s="256" t="s">
        <v>45</v>
      </c>
      <c r="C636" s="256" t="s">
        <v>46</v>
      </c>
      <c r="D636" s="186" t="s">
        <v>1898</v>
      </c>
      <c r="E636" s="187">
        <v>121</v>
      </c>
      <c r="F636" s="256">
        <v>0.73060810089682704</v>
      </c>
      <c r="G636" s="181">
        <v>1</v>
      </c>
      <c r="H636" s="257">
        <v>43375</v>
      </c>
      <c r="I636" s="186" t="s">
        <v>1899</v>
      </c>
      <c r="J636" s="186">
        <v>1</v>
      </c>
      <c r="K636" s="186" t="s">
        <v>1900</v>
      </c>
      <c r="L636" s="256">
        <v>39</v>
      </c>
      <c r="M636" s="256">
        <v>0</v>
      </c>
      <c r="N636" s="256">
        <v>1</v>
      </c>
      <c r="O636" s="256">
        <v>7</v>
      </c>
    </row>
    <row r="637" spans="1:18" s="69" customFormat="1" ht="45">
      <c r="A637" s="256" t="s">
        <v>1871</v>
      </c>
      <c r="B637" s="256" t="s">
        <v>45</v>
      </c>
      <c r="C637" s="256" t="s">
        <v>46</v>
      </c>
      <c r="D637" s="186" t="s">
        <v>1901</v>
      </c>
      <c r="E637" s="187">
        <v>82</v>
      </c>
      <c r="F637" s="256">
        <v>0.92210763237178694</v>
      </c>
      <c r="G637" s="181">
        <v>1</v>
      </c>
      <c r="H637" s="257">
        <v>43137</v>
      </c>
      <c r="I637" s="220" t="s">
        <v>1902</v>
      </c>
      <c r="J637" s="186">
        <v>0</v>
      </c>
      <c r="K637" s="186" t="s">
        <v>1903</v>
      </c>
      <c r="L637" s="256">
        <v>38</v>
      </c>
      <c r="M637" s="304">
        <v>1</v>
      </c>
      <c r="N637" s="258">
        <v>2</v>
      </c>
      <c r="O637" s="304">
        <v>5</v>
      </c>
    </row>
    <row r="638" spans="1:18" s="69" customFormat="1" ht="135">
      <c r="A638" s="256" t="s">
        <v>1871</v>
      </c>
      <c r="B638" s="256" t="s">
        <v>119</v>
      </c>
      <c r="C638" s="256" t="s">
        <v>46</v>
      </c>
      <c r="D638" s="258" t="s">
        <v>1904</v>
      </c>
      <c r="E638" s="187">
        <v>73</v>
      </c>
      <c r="F638" s="256">
        <v>0.99999999974424003</v>
      </c>
      <c r="G638" s="181">
        <v>1</v>
      </c>
      <c r="H638" s="257">
        <v>43039</v>
      </c>
      <c r="I638" s="186" t="s">
        <v>4414</v>
      </c>
      <c r="J638" s="186">
        <v>1</v>
      </c>
      <c r="K638" s="186" t="s">
        <v>1906</v>
      </c>
      <c r="L638" s="256">
        <v>195</v>
      </c>
      <c r="M638" s="256">
        <v>0</v>
      </c>
      <c r="N638" s="256">
        <v>1</v>
      </c>
      <c r="O638" s="256">
        <v>2</v>
      </c>
    </row>
    <row r="639" spans="1:18" s="69" customFormat="1" ht="195">
      <c r="A639" s="256" t="s">
        <v>1871</v>
      </c>
      <c r="B639" s="256" t="s">
        <v>45</v>
      </c>
      <c r="C639" s="256" t="s">
        <v>46</v>
      </c>
      <c r="D639" s="186" t="s">
        <v>1907</v>
      </c>
      <c r="E639" s="187">
        <v>294</v>
      </c>
      <c r="F639" s="256">
        <v>0.99980890583770898</v>
      </c>
      <c r="G639" s="181">
        <v>0</v>
      </c>
      <c r="H639" s="257">
        <v>42843</v>
      </c>
      <c r="I639" s="181" t="s">
        <v>1908</v>
      </c>
      <c r="J639" s="181">
        <v>0</v>
      </c>
      <c r="K639" s="186" t="s">
        <v>1909</v>
      </c>
      <c r="L639" s="256">
        <v>93</v>
      </c>
      <c r="M639" s="256">
        <v>1</v>
      </c>
      <c r="N639" s="256">
        <v>1</v>
      </c>
      <c r="O639" s="256">
        <v>8</v>
      </c>
    </row>
    <row r="640" spans="1:18" s="69" customFormat="1" ht="75">
      <c r="A640" s="256" t="s">
        <v>1871</v>
      </c>
      <c r="B640" s="256" t="s">
        <v>45</v>
      </c>
      <c r="C640" s="256" t="s">
        <v>46</v>
      </c>
      <c r="D640" s="258" t="s">
        <v>1910</v>
      </c>
      <c r="E640" s="187">
        <v>86</v>
      </c>
      <c r="F640" s="256">
        <v>0.25731588991080701</v>
      </c>
      <c r="G640" s="181">
        <v>1</v>
      </c>
      <c r="H640" s="257">
        <v>42622</v>
      </c>
      <c r="I640" s="186" t="s">
        <v>1911</v>
      </c>
      <c r="J640" s="186">
        <v>1</v>
      </c>
      <c r="K640" s="186" t="s">
        <v>1912</v>
      </c>
      <c r="L640" s="256">
        <v>90</v>
      </c>
      <c r="M640" s="256">
        <v>0</v>
      </c>
      <c r="N640" s="256">
        <v>1</v>
      </c>
      <c r="O640" s="256">
        <v>14</v>
      </c>
    </row>
    <row r="641" spans="1:18" s="69" customFormat="1" ht="105">
      <c r="A641" s="256" t="s">
        <v>1913</v>
      </c>
      <c r="B641" s="256" t="s">
        <v>45</v>
      </c>
      <c r="C641" s="256" t="s">
        <v>80</v>
      </c>
      <c r="D641" s="261" t="s">
        <v>1914</v>
      </c>
      <c r="E641" s="187"/>
      <c r="F641" s="256"/>
      <c r="G641" s="181">
        <v>1</v>
      </c>
      <c r="H641" s="257">
        <v>44165</v>
      </c>
      <c r="I641" s="261" t="s">
        <v>1915</v>
      </c>
      <c r="J641" s="186">
        <v>1</v>
      </c>
      <c r="K641" s="261" t="s">
        <v>1916</v>
      </c>
      <c r="L641" s="256"/>
      <c r="M641" s="256">
        <v>2</v>
      </c>
      <c r="N641" s="256">
        <v>1</v>
      </c>
      <c r="O641" s="256">
        <v>2</v>
      </c>
      <c r="P641" s="69">
        <f>AVERAGE(M641:M670)</f>
        <v>0.5</v>
      </c>
      <c r="Q641" s="69">
        <f>AVERAGE(N641:N670)</f>
        <v>1.2</v>
      </c>
      <c r="R641" s="69">
        <f>AVERAGE(O641:O670)</f>
        <v>7.5</v>
      </c>
    </row>
    <row r="642" spans="1:18" s="69" customFormat="1" ht="90">
      <c r="A642" s="256" t="s">
        <v>1913</v>
      </c>
      <c r="B642" s="256" t="s">
        <v>45</v>
      </c>
      <c r="C642" s="256" t="s">
        <v>46</v>
      </c>
      <c r="D642" s="265" t="s">
        <v>1917</v>
      </c>
      <c r="E642" s="187"/>
      <c r="F642" s="256"/>
      <c r="G642" s="181">
        <v>1</v>
      </c>
      <c r="H642" s="257">
        <v>44128</v>
      </c>
      <c r="I642" s="261" t="s">
        <v>1918</v>
      </c>
      <c r="J642" s="186">
        <v>0</v>
      </c>
      <c r="K642" s="261" t="s">
        <v>1919</v>
      </c>
      <c r="L642" s="256"/>
      <c r="M642" s="256">
        <v>0</v>
      </c>
      <c r="N642" s="256">
        <v>1</v>
      </c>
      <c r="O642" s="256">
        <v>3</v>
      </c>
    </row>
    <row r="643" spans="1:18" s="69" customFormat="1" ht="60">
      <c r="A643" s="256" t="s">
        <v>1913</v>
      </c>
      <c r="B643" s="256" t="s">
        <v>45</v>
      </c>
      <c r="C643" s="256" t="s">
        <v>221</v>
      </c>
      <c r="D643" s="220" t="s">
        <v>1920</v>
      </c>
      <c r="E643" s="187">
        <v>99</v>
      </c>
      <c r="F643" s="256">
        <v>2.0965763845748301E-4</v>
      </c>
      <c r="G643" s="181">
        <v>1</v>
      </c>
      <c r="H643" s="257">
        <v>43956</v>
      </c>
      <c r="I643" s="186" t="s">
        <v>1921</v>
      </c>
      <c r="J643" s="186">
        <v>0</v>
      </c>
      <c r="K643" s="186" t="s">
        <v>1922</v>
      </c>
      <c r="L643" s="256">
        <v>76</v>
      </c>
      <c r="M643" s="220">
        <v>0</v>
      </c>
      <c r="N643" s="186">
        <v>1</v>
      </c>
      <c r="O643" s="220">
        <v>2</v>
      </c>
      <c r="P643" s="69">
        <f>AVERAGE(M643:M670)</f>
        <v>0.4642857142857143</v>
      </c>
    </row>
    <row r="644" spans="1:18" s="69" customFormat="1" ht="135">
      <c r="A644" s="256" t="s">
        <v>1913</v>
      </c>
      <c r="B644" s="256" t="s">
        <v>45</v>
      </c>
      <c r="C644" s="256" t="s">
        <v>221</v>
      </c>
      <c r="D644" s="258" t="s">
        <v>1923</v>
      </c>
      <c r="E644" s="187">
        <v>140</v>
      </c>
      <c r="F644" s="256">
        <v>6.6244467689102699E-9</v>
      </c>
      <c r="G644" s="181">
        <v>1</v>
      </c>
      <c r="H644" s="257">
        <v>43849</v>
      </c>
      <c r="I644" s="186" t="s">
        <v>1924</v>
      </c>
      <c r="J644" s="186">
        <v>0</v>
      </c>
      <c r="K644" s="186" t="s">
        <v>1925</v>
      </c>
      <c r="L644" s="256">
        <v>197</v>
      </c>
      <c r="M644" s="256">
        <v>0</v>
      </c>
      <c r="N644" s="256">
        <v>3</v>
      </c>
      <c r="O644" s="256">
        <v>43</v>
      </c>
      <c r="P644" s="69">
        <f>AVERAGE(O643:O670)</f>
        <v>7.8571428571428568</v>
      </c>
    </row>
    <row r="645" spans="1:18" s="69" customFormat="1" ht="90">
      <c r="A645" s="256" t="s">
        <v>1913</v>
      </c>
      <c r="B645" s="256" t="s">
        <v>45</v>
      </c>
      <c r="C645" s="256" t="s">
        <v>46</v>
      </c>
      <c r="D645" s="186" t="s">
        <v>1926</v>
      </c>
      <c r="E645" s="187">
        <v>58</v>
      </c>
      <c r="F645" s="256">
        <v>1.07303343983867E-2</v>
      </c>
      <c r="G645" s="181">
        <v>1</v>
      </c>
      <c r="H645" s="257">
        <v>43747</v>
      </c>
      <c r="I645" s="186" t="s">
        <v>1927</v>
      </c>
      <c r="J645" s="186">
        <v>1</v>
      </c>
      <c r="K645" s="186" t="s">
        <v>1928</v>
      </c>
      <c r="L645" s="256">
        <v>48</v>
      </c>
      <c r="M645" s="256">
        <v>0</v>
      </c>
      <c r="N645" s="256">
        <v>1</v>
      </c>
      <c r="O645" s="256">
        <v>12</v>
      </c>
    </row>
    <row r="646" spans="1:18" s="69" customFormat="1" ht="60">
      <c r="A646" s="256" t="s">
        <v>1913</v>
      </c>
      <c r="B646" s="256" t="s">
        <v>45</v>
      </c>
      <c r="C646" s="256" t="s">
        <v>46</v>
      </c>
      <c r="D646" s="186" t="s">
        <v>1275</v>
      </c>
      <c r="E646" s="187">
        <v>52</v>
      </c>
      <c r="F646" s="256">
        <v>3.34930261306488E-4</v>
      </c>
      <c r="G646" s="181">
        <v>1</v>
      </c>
      <c r="H646" s="257">
        <v>43695</v>
      </c>
      <c r="I646" s="186" t="s">
        <v>1276</v>
      </c>
      <c r="J646" s="186">
        <v>0</v>
      </c>
      <c r="K646" s="186" t="s">
        <v>1277</v>
      </c>
      <c r="L646" s="256">
        <v>82</v>
      </c>
      <c r="M646" s="256">
        <v>0</v>
      </c>
      <c r="N646" s="256">
        <v>1</v>
      </c>
      <c r="O646" s="256">
        <v>2</v>
      </c>
    </row>
    <row r="647" spans="1:18" s="69" customFormat="1" ht="60">
      <c r="A647" s="256" t="s">
        <v>1913</v>
      </c>
      <c r="B647" s="256" t="s">
        <v>45</v>
      </c>
      <c r="C647" s="256" t="s">
        <v>46</v>
      </c>
      <c r="D647" s="186" t="s">
        <v>1929</v>
      </c>
      <c r="E647" s="187">
        <v>29</v>
      </c>
      <c r="F647" s="256">
        <v>6.5025919477893601E-2</v>
      </c>
      <c r="G647" s="181">
        <v>1</v>
      </c>
      <c r="H647" s="257">
        <v>43584</v>
      </c>
      <c r="I647" s="258" t="s">
        <v>1930</v>
      </c>
      <c r="J647" s="258">
        <v>0</v>
      </c>
      <c r="K647" s="186" t="s">
        <v>1931</v>
      </c>
      <c r="L647" s="256">
        <v>86</v>
      </c>
      <c r="M647" s="256">
        <v>0</v>
      </c>
      <c r="N647" s="256">
        <v>1</v>
      </c>
      <c r="O647" s="256">
        <v>1</v>
      </c>
    </row>
    <row r="648" spans="1:18" s="69" customFormat="1" ht="60">
      <c r="A648" s="256" t="s">
        <v>1913</v>
      </c>
      <c r="B648" s="256" t="s">
        <v>59</v>
      </c>
      <c r="C648" s="256" t="s">
        <v>46</v>
      </c>
      <c r="D648" s="186" t="s">
        <v>1932</v>
      </c>
      <c r="E648" s="187">
        <v>101</v>
      </c>
      <c r="F648" s="256">
        <v>0.227309097870039</v>
      </c>
      <c r="G648" s="181">
        <v>1</v>
      </c>
      <c r="H648" s="257">
        <v>43582</v>
      </c>
      <c r="I648" s="186" t="s">
        <v>1933</v>
      </c>
      <c r="J648" s="186">
        <v>1</v>
      </c>
      <c r="K648" s="186" t="s">
        <v>1931</v>
      </c>
      <c r="L648" s="256">
        <v>86</v>
      </c>
      <c r="M648" s="256">
        <v>1</v>
      </c>
      <c r="N648" s="256">
        <v>1</v>
      </c>
      <c r="O648" s="256">
        <v>3</v>
      </c>
    </row>
    <row r="649" spans="1:18" s="69" customFormat="1" ht="60">
      <c r="A649" s="256" t="s">
        <v>1913</v>
      </c>
      <c r="B649" s="256" t="s">
        <v>45</v>
      </c>
      <c r="C649" s="256" t="s">
        <v>46</v>
      </c>
      <c r="D649" s="220" t="s">
        <v>1934</v>
      </c>
      <c r="E649" s="187">
        <v>22</v>
      </c>
      <c r="F649" s="256">
        <v>3.9795081196877802E-2</v>
      </c>
      <c r="G649" s="181">
        <v>1</v>
      </c>
      <c r="H649" s="257">
        <v>43529</v>
      </c>
      <c r="I649" s="258" t="s">
        <v>1935</v>
      </c>
      <c r="J649" s="258">
        <v>1</v>
      </c>
      <c r="K649" s="186" t="s">
        <v>1936</v>
      </c>
      <c r="L649" s="256">
        <v>66</v>
      </c>
      <c r="M649" s="220">
        <v>0</v>
      </c>
      <c r="N649" s="186">
        <v>1</v>
      </c>
      <c r="O649" s="220">
        <v>14</v>
      </c>
    </row>
    <row r="650" spans="1:18" s="69" customFormat="1" ht="45">
      <c r="A650" s="256" t="s">
        <v>1913</v>
      </c>
      <c r="B650" s="256" t="s">
        <v>45</v>
      </c>
      <c r="C650" s="256" t="s">
        <v>46</v>
      </c>
      <c r="D650" s="258" t="s">
        <v>1937</v>
      </c>
      <c r="E650" s="187">
        <v>68</v>
      </c>
      <c r="F650" s="256">
        <v>0.87684327279083996</v>
      </c>
      <c r="G650" s="181">
        <v>1</v>
      </c>
      <c r="H650" s="257">
        <v>43471</v>
      </c>
      <c r="I650" s="181" t="s">
        <v>1938</v>
      </c>
      <c r="J650" s="181">
        <v>0</v>
      </c>
      <c r="K650" s="186" t="s">
        <v>1939</v>
      </c>
      <c r="L650" s="256">
        <v>28</v>
      </c>
      <c r="M650" s="256">
        <v>1</v>
      </c>
      <c r="N650" s="256">
        <v>1</v>
      </c>
      <c r="O650" s="256">
        <v>4</v>
      </c>
    </row>
    <row r="651" spans="1:18" s="69" customFormat="1" ht="45">
      <c r="A651" s="256" t="s">
        <v>1913</v>
      </c>
      <c r="B651" s="256" t="s">
        <v>119</v>
      </c>
      <c r="C651" s="256" t="s">
        <v>46</v>
      </c>
      <c r="D651" s="186" t="s">
        <v>1940</v>
      </c>
      <c r="E651" s="187">
        <v>73</v>
      </c>
      <c r="F651" s="256">
        <v>4.0224674678057598E-2</v>
      </c>
      <c r="G651" s="181">
        <v>1</v>
      </c>
      <c r="H651" s="257">
        <v>43459</v>
      </c>
      <c r="I651" s="186" t="s">
        <v>1941</v>
      </c>
      <c r="J651" s="186">
        <v>1</v>
      </c>
      <c r="K651" s="186" t="s">
        <v>4415</v>
      </c>
      <c r="L651" s="256">
        <v>61</v>
      </c>
      <c r="M651" s="256">
        <v>2</v>
      </c>
      <c r="N651" s="256">
        <v>1</v>
      </c>
      <c r="O651" s="256">
        <v>2</v>
      </c>
    </row>
    <row r="652" spans="1:18" s="69" customFormat="1" ht="45">
      <c r="A652" s="256" t="s">
        <v>1913</v>
      </c>
      <c r="B652" s="256" t="s">
        <v>59</v>
      </c>
      <c r="C652" s="256" t="s">
        <v>46</v>
      </c>
      <c r="D652" s="186" t="s">
        <v>1943</v>
      </c>
      <c r="E652" s="187">
        <v>59</v>
      </c>
      <c r="F652" s="256">
        <v>0.99476002260829399</v>
      </c>
      <c r="G652" s="181">
        <v>1</v>
      </c>
      <c r="H652" s="257">
        <v>43390</v>
      </c>
      <c r="I652" s="186" t="s">
        <v>4416</v>
      </c>
      <c r="J652" s="186">
        <v>1</v>
      </c>
      <c r="K652" s="186" t="s">
        <v>1945</v>
      </c>
      <c r="L652" s="256">
        <v>55</v>
      </c>
      <c r="M652" s="256">
        <v>0</v>
      </c>
      <c r="N652" s="256">
        <v>1</v>
      </c>
      <c r="O652" s="256">
        <v>0</v>
      </c>
    </row>
    <row r="653" spans="1:18" s="69" customFormat="1" ht="75">
      <c r="A653" s="256" t="s">
        <v>1913</v>
      </c>
      <c r="B653" s="256" t="s">
        <v>45</v>
      </c>
      <c r="C653" s="256" t="s">
        <v>46</v>
      </c>
      <c r="D653" s="186" t="s">
        <v>1946</v>
      </c>
      <c r="E653" s="187">
        <v>140</v>
      </c>
      <c r="F653" s="256">
        <v>0.96907993091830402</v>
      </c>
      <c r="G653" s="181">
        <v>0</v>
      </c>
      <c r="H653" s="257">
        <v>43336</v>
      </c>
      <c r="I653" s="181" t="s">
        <v>1947</v>
      </c>
      <c r="J653" s="181">
        <v>1</v>
      </c>
      <c r="K653" s="186" t="s">
        <v>1948</v>
      </c>
      <c r="L653" s="256">
        <v>45</v>
      </c>
      <c r="M653" s="256">
        <v>1</v>
      </c>
      <c r="N653" s="256">
        <v>2</v>
      </c>
      <c r="O653" s="256">
        <v>45</v>
      </c>
    </row>
    <row r="654" spans="1:18" s="69" customFormat="1" ht="45">
      <c r="A654" s="256" t="s">
        <v>1913</v>
      </c>
      <c r="B654" s="256" t="s">
        <v>45</v>
      </c>
      <c r="C654" s="256" t="s">
        <v>46</v>
      </c>
      <c r="D654" s="186" t="s">
        <v>1949</v>
      </c>
      <c r="E654" s="187">
        <v>47</v>
      </c>
      <c r="F654" s="256">
        <v>0.19413459312328701</v>
      </c>
      <c r="G654" s="181">
        <v>0</v>
      </c>
      <c r="H654" s="257">
        <v>43332</v>
      </c>
      <c r="I654" s="186" t="s">
        <v>1950</v>
      </c>
      <c r="J654" s="186">
        <v>1</v>
      </c>
      <c r="K654" s="186" t="s">
        <v>1951</v>
      </c>
      <c r="L654" s="256">
        <v>66</v>
      </c>
      <c r="M654" s="306">
        <v>0</v>
      </c>
      <c r="N654" s="256">
        <v>1</v>
      </c>
      <c r="O654" s="256">
        <v>4</v>
      </c>
    </row>
    <row r="655" spans="1:18" s="69" customFormat="1" ht="60">
      <c r="A655" s="256" t="s">
        <v>1913</v>
      </c>
      <c r="B655" s="256" t="s">
        <v>45</v>
      </c>
      <c r="C655" s="256" t="s">
        <v>46</v>
      </c>
      <c r="D655" s="186" t="s">
        <v>1952</v>
      </c>
      <c r="E655" s="187">
        <v>50</v>
      </c>
      <c r="F655" s="256">
        <v>0.62785278839811298</v>
      </c>
      <c r="G655" s="181">
        <v>0</v>
      </c>
      <c r="H655" s="257">
        <v>43332</v>
      </c>
      <c r="I655" s="186" t="s">
        <v>1953</v>
      </c>
      <c r="J655" s="186">
        <v>1</v>
      </c>
      <c r="K655" s="186" t="s">
        <v>1954</v>
      </c>
      <c r="L655" s="256">
        <v>42</v>
      </c>
      <c r="M655" s="256">
        <v>1</v>
      </c>
      <c r="N655" s="256">
        <v>2</v>
      </c>
      <c r="O655" s="256">
        <v>25</v>
      </c>
    </row>
    <row r="656" spans="1:18" s="69" customFormat="1" ht="105">
      <c r="A656" s="256" t="s">
        <v>1913</v>
      </c>
      <c r="B656" s="256" t="s">
        <v>45</v>
      </c>
      <c r="C656" s="256" t="s">
        <v>80</v>
      </c>
      <c r="D656" s="186" t="s">
        <v>1955</v>
      </c>
      <c r="E656" s="187">
        <v>151</v>
      </c>
      <c r="F656" s="256">
        <v>2.7371547250965002E-9</v>
      </c>
      <c r="G656" s="181">
        <v>1</v>
      </c>
      <c r="H656" s="257">
        <v>43205</v>
      </c>
      <c r="I656" s="186" t="s">
        <v>1956</v>
      </c>
      <c r="J656" s="186">
        <v>0</v>
      </c>
      <c r="K656" s="186" t="s">
        <v>1957</v>
      </c>
      <c r="L656" s="256">
        <v>148</v>
      </c>
      <c r="M656" s="256">
        <v>0</v>
      </c>
      <c r="N656" s="256">
        <v>1</v>
      </c>
      <c r="O656" s="256">
        <v>4</v>
      </c>
    </row>
    <row r="657" spans="1:18" s="69" customFormat="1" ht="105">
      <c r="A657" s="256" t="s">
        <v>1913</v>
      </c>
      <c r="B657" s="256" t="s">
        <v>45</v>
      </c>
      <c r="C657" s="256" t="s">
        <v>80</v>
      </c>
      <c r="D657" s="181" t="s">
        <v>364</v>
      </c>
      <c r="E657" s="187">
        <v>40</v>
      </c>
      <c r="F657" s="256">
        <v>7.1047605458802399E-2</v>
      </c>
      <c r="G657" s="181">
        <v>1</v>
      </c>
      <c r="H657" s="301">
        <v>43204</v>
      </c>
      <c r="I657" s="186" t="s">
        <v>1958</v>
      </c>
      <c r="J657" s="186">
        <v>0</v>
      </c>
      <c r="K657" s="186" t="s">
        <v>1957</v>
      </c>
      <c r="L657" s="256">
        <v>148</v>
      </c>
      <c r="M657" s="256">
        <v>0</v>
      </c>
      <c r="N657" s="256">
        <v>2</v>
      </c>
      <c r="O657" s="256">
        <v>5</v>
      </c>
    </row>
    <row r="658" spans="1:18" s="69" customFormat="1" ht="105">
      <c r="A658" s="256" t="s">
        <v>1913</v>
      </c>
      <c r="B658" s="256" t="s">
        <v>45</v>
      </c>
      <c r="C658" s="256" t="s">
        <v>80</v>
      </c>
      <c r="D658" s="258" t="s">
        <v>159</v>
      </c>
      <c r="E658" s="187">
        <v>39</v>
      </c>
      <c r="F658" s="256">
        <v>3.5462565777630697E-2</v>
      </c>
      <c r="G658" s="181">
        <v>1</v>
      </c>
      <c r="H658" s="257">
        <v>43200</v>
      </c>
      <c r="I658" s="186" t="s">
        <v>1959</v>
      </c>
      <c r="J658" s="186">
        <v>0</v>
      </c>
      <c r="K658" s="186" t="s">
        <v>1960</v>
      </c>
      <c r="L658" s="256">
        <v>157</v>
      </c>
      <c r="M658" s="256">
        <v>0</v>
      </c>
      <c r="N658" s="256">
        <v>2</v>
      </c>
      <c r="O658" s="256">
        <v>2</v>
      </c>
    </row>
    <row r="659" spans="1:18" s="69" customFormat="1" ht="90">
      <c r="A659" s="256" t="s">
        <v>1913</v>
      </c>
      <c r="B659" s="256" t="s">
        <v>45</v>
      </c>
      <c r="C659" s="256" t="s">
        <v>80</v>
      </c>
      <c r="D659" s="186" t="s">
        <v>1961</v>
      </c>
      <c r="E659" s="187">
        <v>159</v>
      </c>
      <c r="F659" s="256">
        <v>0.99999999992477495</v>
      </c>
      <c r="G659" s="181">
        <v>1</v>
      </c>
      <c r="H659" s="257">
        <v>43179</v>
      </c>
      <c r="I659" s="186" t="s">
        <v>1962</v>
      </c>
      <c r="J659" s="186">
        <v>1</v>
      </c>
      <c r="K659" s="186" t="s">
        <v>1963</v>
      </c>
      <c r="L659" s="256">
        <v>77</v>
      </c>
      <c r="M659" s="256">
        <v>1</v>
      </c>
      <c r="N659" s="256">
        <v>1</v>
      </c>
      <c r="O659" s="256">
        <v>3</v>
      </c>
    </row>
    <row r="660" spans="1:18" s="69" customFormat="1" ht="120">
      <c r="A660" s="256" t="s">
        <v>1913</v>
      </c>
      <c r="B660" s="256" t="s">
        <v>45</v>
      </c>
      <c r="C660" s="256" t="s">
        <v>80</v>
      </c>
      <c r="D660" s="258" t="s">
        <v>159</v>
      </c>
      <c r="E660" s="187">
        <v>45</v>
      </c>
      <c r="F660" s="256">
        <v>1.16738542709227E-2</v>
      </c>
      <c r="G660" s="181">
        <v>1</v>
      </c>
      <c r="H660" s="257">
        <v>43080</v>
      </c>
      <c r="I660" s="186" t="s">
        <v>1964</v>
      </c>
      <c r="J660" s="186">
        <v>0</v>
      </c>
      <c r="K660" s="186" t="s">
        <v>1965</v>
      </c>
      <c r="L660" s="256">
        <v>179</v>
      </c>
      <c r="M660" s="256">
        <v>0</v>
      </c>
      <c r="N660" s="256">
        <v>1</v>
      </c>
      <c r="O660" s="256">
        <v>2</v>
      </c>
    </row>
    <row r="661" spans="1:18" s="69" customFormat="1" ht="105">
      <c r="A661" s="256" t="s">
        <v>1913</v>
      </c>
      <c r="B661" s="256" t="s">
        <v>45</v>
      </c>
      <c r="C661" s="256" t="s">
        <v>46</v>
      </c>
      <c r="D661" s="186" t="s">
        <v>1966</v>
      </c>
      <c r="E661" s="187">
        <v>87</v>
      </c>
      <c r="F661" s="256">
        <v>2.1602547637288301E-3</v>
      </c>
      <c r="G661" s="181">
        <v>1</v>
      </c>
      <c r="H661" s="257">
        <v>43072</v>
      </c>
      <c r="I661" s="186" t="s">
        <v>1967</v>
      </c>
      <c r="J661" s="186">
        <v>0</v>
      </c>
      <c r="K661" s="186" t="s">
        <v>1968</v>
      </c>
      <c r="L661" s="256">
        <v>152</v>
      </c>
      <c r="M661" s="256">
        <v>0</v>
      </c>
      <c r="N661" s="256">
        <v>1</v>
      </c>
      <c r="O661" s="256">
        <v>2</v>
      </c>
    </row>
    <row r="662" spans="1:18" s="69" customFormat="1" ht="120">
      <c r="A662" s="256" t="s">
        <v>1913</v>
      </c>
      <c r="B662" s="256" t="s">
        <v>45</v>
      </c>
      <c r="C662" s="256" t="s">
        <v>80</v>
      </c>
      <c r="D662" s="258" t="s">
        <v>180</v>
      </c>
      <c r="E662" s="187">
        <v>56</v>
      </c>
      <c r="F662" s="256">
        <v>6.5401438698486896E-3</v>
      </c>
      <c r="G662" s="181">
        <v>1</v>
      </c>
      <c r="H662" s="257">
        <v>43071</v>
      </c>
      <c r="I662" s="186" t="s">
        <v>1969</v>
      </c>
      <c r="J662" s="186">
        <v>0</v>
      </c>
      <c r="K662" s="186" t="s">
        <v>1970</v>
      </c>
      <c r="L662" s="256">
        <v>184</v>
      </c>
      <c r="M662" s="256">
        <v>1</v>
      </c>
      <c r="N662" s="256">
        <v>1</v>
      </c>
      <c r="O662" s="256">
        <v>4</v>
      </c>
    </row>
    <row r="663" spans="1:18" s="69" customFormat="1" ht="120">
      <c r="A663" s="256" t="s">
        <v>1913</v>
      </c>
      <c r="B663" s="256" t="s">
        <v>45</v>
      </c>
      <c r="C663" s="256" t="s">
        <v>46</v>
      </c>
      <c r="D663" s="186" t="s">
        <v>1971</v>
      </c>
      <c r="E663" s="187">
        <v>169</v>
      </c>
      <c r="F663" s="256">
        <v>6.4502247895115204E-6</v>
      </c>
      <c r="G663" s="181">
        <v>1</v>
      </c>
      <c r="H663" s="257">
        <v>43067</v>
      </c>
      <c r="I663" s="186" t="s">
        <v>1972</v>
      </c>
      <c r="J663" s="186">
        <v>0</v>
      </c>
      <c r="K663" s="186" t="s">
        <v>1973</v>
      </c>
      <c r="L663" s="256">
        <v>178</v>
      </c>
      <c r="M663" s="256">
        <v>1</v>
      </c>
      <c r="N663" s="256">
        <v>1</v>
      </c>
      <c r="O663" s="256">
        <v>13</v>
      </c>
    </row>
    <row r="664" spans="1:18" s="69" customFormat="1" ht="120">
      <c r="A664" s="256" t="s">
        <v>1913</v>
      </c>
      <c r="B664" s="256" t="s">
        <v>45</v>
      </c>
      <c r="C664" s="256" t="s">
        <v>80</v>
      </c>
      <c r="D664" s="258" t="s">
        <v>305</v>
      </c>
      <c r="E664" s="187">
        <v>52</v>
      </c>
      <c r="F664" s="256">
        <v>0.15184457775517601</v>
      </c>
      <c r="G664" s="181">
        <v>1</v>
      </c>
      <c r="H664" s="257">
        <v>43063</v>
      </c>
      <c r="I664" s="186" t="s">
        <v>1974</v>
      </c>
      <c r="J664" s="186">
        <v>0</v>
      </c>
      <c r="K664" s="186" t="s">
        <v>1975</v>
      </c>
      <c r="L664" s="256">
        <v>176</v>
      </c>
      <c r="M664" s="256">
        <v>1</v>
      </c>
      <c r="N664" s="256">
        <v>1</v>
      </c>
      <c r="O664" s="256">
        <v>6</v>
      </c>
    </row>
    <row r="665" spans="1:18" s="69" customFormat="1" ht="45">
      <c r="A665" s="256" t="s">
        <v>1913</v>
      </c>
      <c r="B665" s="256" t="s">
        <v>45</v>
      </c>
      <c r="C665" s="256" t="s">
        <v>80</v>
      </c>
      <c r="D665" s="220" t="s">
        <v>305</v>
      </c>
      <c r="E665" s="187">
        <v>39</v>
      </c>
      <c r="F665" s="256">
        <v>2.7293563433998101E-2</v>
      </c>
      <c r="G665" s="181">
        <v>1</v>
      </c>
      <c r="H665" s="257">
        <v>43030</v>
      </c>
      <c r="I665" s="186" t="s">
        <v>1976</v>
      </c>
      <c r="J665" s="186">
        <v>0</v>
      </c>
      <c r="K665" s="186" t="s">
        <v>1977</v>
      </c>
      <c r="L665" s="256">
        <v>47</v>
      </c>
      <c r="M665" s="220">
        <v>0</v>
      </c>
      <c r="N665" s="186">
        <v>1</v>
      </c>
      <c r="O665" s="220">
        <v>1</v>
      </c>
    </row>
    <row r="666" spans="1:18" s="69" customFormat="1" ht="105">
      <c r="A666" s="256" t="s">
        <v>1913</v>
      </c>
      <c r="B666" s="256" t="s">
        <v>45</v>
      </c>
      <c r="C666" s="256" t="s">
        <v>46</v>
      </c>
      <c r="D666" s="186" t="s">
        <v>1978</v>
      </c>
      <c r="E666" s="187">
        <v>154</v>
      </c>
      <c r="F666" s="256">
        <v>7.4900813329392707E-9</v>
      </c>
      <c r="G666" s="181">
        <v>0</v>
      </c>
      <c r="H666" s="257">
        <v>43025</v>
      </c>
      <c r="I666" s="186" t="s">
        <v>4417</v>
      </c>
      <c r="J666" s="186">
        <v>0</v>
      </c>
      <c r="K666" s="186" t="s">
        <v>1980</v>
      </c>
      <c r="L666" s="256">
        <v>97</v>
      </c>
      <c r="M666" s="256">
        <v>2</v>
      </c>
      <c r="N666" s="256">
        <v>1</v>
      </c>
      <c r="O666" s="256">
        <v>7</v>
      </c>
    </row>
    <row r="667" spans="1:18" s="69" customFormat="1" ht="120">
      <c r="A667" s="256" t="s">
        <v>1913</v>
      </c>
      <c r="B667" s="256" t="s">
        <v>45</v>
      </c>
      <c r="C667" s="256" t="s">
        <v>80</v>
      </c>
      <c r="D667" s="258" t="s">
        <v>359</v>
      </c>
      <c r="E667" s="187">
        <v>49</v>
      </c>
      <c r="F667" s="256">
        <v>4.0672195426989504E-3</v>
      </c>
      <c r="G667" s="181">
        <v>1</v>
      </c>
      <c r="H667" s="257">
        <v>43021</v>
      </c>
      <c r="I667" s="186" t="s">
        <v>1981</v>
      </c>
      <c r="J667" s="186">
        <v>0</v>
      </c>
      <c r="K667" s="186" t="s">
        <v>1982</v>
      </c>
      <c r="L667" s="256">
        <v>161</v>
      </c>
      <c r="M667" s="256">
        <v>1</v>
      </c>
      <c r="N667" s="256">
        <v>1</v>
      </c>
      <c r="O667" s="256">
        <v>3</v>
      </c>
    </row>
    <row r="668" spans="1:18" s="69" customFormat="1" ht="45">
      <c r="A668" s="256" t="s">
        <v>1913</v>
      </c>
      <c r="B668" s="256" t="s">
        <v>45</v>
      </c>
      <c r="C668" s="256" t="s">
        <v>80</v>
      </c>
      <c r="D668" s="258" t="s">
        <v>305</v>
      </c>
      <c r="E668" s="187">
        <v>65</v>
      </c>
      <c r="F668" s="256">
        <v>5.4628600609323098E-2</v>
      </c>
      <c r="G668" s="181">
        <v>1</v>
      </c>
      <c r="H668" s="257">
        <v>43017</v>
      </c>
      <c r="I668" s="186" t="s">
        <v>1983</v>
      </c>
      <c r="J668" s="186">
        <v>0</v>
      </c>
      <c r="K668" s="186" t="s">
        <v>1984</v>
      </c>
      <c r="L668" s="256">
        <v>38</v>
      </c>
      <c r="M668" s="256">
        <v>0</v>
      </c>
      <c r="N668" s="256">
        <v>1</v>
      </c>
      <c r="O668" s="256">
        <v>1</v>
      </c>
    </row>
    <row r="669" spans="1:18" s="69" customFormat="1" ht="45">
      <c r="A669" s="256" t="s">
        <v>1913</v>
      </c>
      <c r="B669" s="256" t="s">
        <v>59</v>
      </c>
      <c r="C669" s="256" t="s">
        <v>80</v>
      </c>
      <c r="D669" s="186" t="s">
        <v>1985</v>
      </c>
      <c r="E669" s="187">
        <v>30</v>
      </c>
      <c r="F669" s="256">
        <v>0.120678724582525</v>
      </c>
      <c r="G669" s="181">
        <v>1</v>
      </c>
      <c r="H669" s="257">
        <v>42911</v>
      </c>
      <c r="I669" s="258" t="s">
        <v>1986</v>
      </c>
      <c r="J669" s="258">
        <v>1</v>
      </c>
      <c r="K669" s="186" t="s">
        <v>1987</v>
      </c>
      <c r="L669" s="256">
        <v>69</v>
      </c>
      <c r="M669" s="256">
        <v>0</v>
      </c>
      <c r="N669" s="256">
        <v>1</v>
      </c>
      <c r="O669" s="256">
        <v>2</v>
      </c>
    </row>
    <row r="670" spans="1:18" s="69" customFormat="1" ht="225">
      <c r="A670" s="256" t="s">
        <v>1913</v>
      </c>
      <c r="B670" s="256" t="s">
        <v>45</v>
      </c>
      <c r="C670" s="256" t="s">
        <v>46</v>
      </c>
      <c r="D670" s="186" t="s">
        <v>1588</v>
      </c>
      <c r="E670" s="187">
        <v>397</v>
      </c>
      <c r="F670" s="256">
        <v>4.12385328566023E-4</v>
      </c>
      <c r="G670" s="181">
        <v>0</v>
      </c>
      <c r="H670" s="302">
        <v>42663</v>
      </c>
      <c r="I670" s="181" t="s">
        <v>4418</v>
      </c>
      <c r="J670" s="181">
        <v>0</v>
      </c>
      <c r="K670" s="186" t="s">
        <v>1590</v>
      </c>
      <c r="L670" s="256">
        <v>129</v>
      </c>
      <c r="M670" s="256">
        <v>0</v>
      </c>
      <c r="N670" s="256">
        <v>1</v>
      </c>
      <c r="O670" s="256">
        <v>8</v>
      </c>
    </row>
    <row r="671" spans="1:18" s="69" customFormat="1" ht="60">
      <c r="A671" s="256" t="s">
        <v>1989</v>
      </c>
      <c r="B671" s="256" t="s">
        <v>45</v>
      </c>
      <c r="C671" s="256" t="s">
        <v>80</v>
      </c>
      <c r="D671" s="186" t="s">
        <v>1990</v>
      </c>
      <c r="E671" s="187"/>
      <c r="F671" s="256"/>
      <c r="G671" s="181">
        <v>1</v>
      </c>
      <c r="H671" s="264">
        <v>44121</v>
      </c>
      <c r="I671" s="261" t="s">
        <v>1991</v>
      </c>
      <c r="J671" s="181">
        <v>1</v>
      </c>
      <c r="K671" s="261" t="s">
        <v>1992</v>
      </c>
      <c r="L671" s="256"/>
      <c r="M671" s="256">
        <v>1</v>
      </c>
      <c r="N671" s="256">
        <v>1</v>
      </c>
      <c r="O671" s="256">
        <v>5</v>
      </c>
      <c r="P671" s="69">
        <f>AVERAGE(M671:M679)</f>
        <v>0.66666666666666663</v>
      </c>
      <c r="Q671" s="69">
        <f>AVERAGE(N671:N679)</f>
        <v>1.1111111111111112</v>
      </c>
      <c r="R671" s="69">
        <f>AVERAGE(O671:O679)</f>
        <v>7.1111111111111107</v>
      </c>
    </row>
    <row r="672" spans="1:18" s="69" customFormat="1" ht="60">
      <c r="A672" s="256" t="s">
        <v>1989</v>
      </c>
      <c r="B672" s="256" t="s">
        <v>45</v>
      </c>
      <c r="C672" s="256" t="s">
        <v>80</v>
      </c>
      <c r="D672" s="261" t="s">
        <v>1993</v>
      </c>
      <c r="E672" s="187"/>
      <c r="F672" s="256"/>
      <c r="G672" s="181">
        <v>1</v>
      </c>
      <c r="H672" s="263">
        <v>44104</v>
      </c>
      <c r="I672" s="261" t="s">
        <v>1994</v>
      </c>
      <c r="J672" s="181">
        <v>1</v>
      </c>
      <c r="K672" s="261" t="s">
        <v>1995</v>
      </c>
      <c r="L672" s="256"/>
      <c r="M672" s="256">
        <v>0</v>
      </c>
      <c r="N672" s="256">
        <v>1</v>
      </c>
      <c r="O672" s="256">
        <v>13</v>
      </c>
    </row>
    <row r="673" spans="1:18" s="69" customFormat="1" ht="135">
      <c r="A673" s="256" t="s">
        <v>1989</v>
      </c>
      <c r="B673" s="256" t="s">
        <v>45</v>
      </c>
      <c r="C673" s="256" t="s">
        <v>80</v>
      </c>
      <c r="D673" s="261" t="s">
        <v>1996</v>
      </c>
      <c r="E673" s="187">
        <v>80</v>
      </c>
      <c r="F673" s="256">
        <v>6.4084647638037506E-2</v>
      </c>
      <c r="G673" s="181">
        <v>1</v>
      </c>
      <c r="H673" s="263">
        <v>44042</v>
      </c>
      <c r="I673" s="261" t="s">
        <v>1997</v>
      </c>
      <c r="J673" s="181">
        <v>0</v>
      </c>
      <c r="K673" s="186" t="s">
        <v>4419</v>
      </c>
      <c r="L673" s="256"/>
      <c r="M673" s="256">
        <v>1</v>
      </c>
      <c r="N673" s="256">
        <v>1</v>
      </c>
      <c r="O673" s="256">
        <v>6</v>
      </c>
    </row>
    <row r="674" spans="1:18" s="69" customFormat="1" ht="75">
      <c r="A674" s="256" t="s">
        <v>1989</v>
      </c>
      <c r="B674" s="256" t="s">
        <v>45</v>
      </c>
      <c r="C674" s="256" t="s">
        <v>221</v>
      </c>
      <c r="D674" s="186" t="s">
        <v>1999</v>
      </c>
      <c r="E674" s="187">
        <v>76</v>
      </c>
      <c r="F674" s="256">
        <v>7.0487821583457002E-3</v>
      </c>
      <c r="G674" s="181">
        <v>1</v>
      </c>
      <c r="H674" s="257">
        <v>43842</v>
      </c>
      <c r="I674" s="186" t="s">
        <v>2000</v>
      </c>
      <c r="J674" s="186">
        <v>0</v>
      </c>
      <c r="K674" s="186" t="s">
        <v>2001</v>
      </c>
      <c r="L674" s="256">
        <v>98</v>
      </c>
      <c r="M674" s="256">
        <v>1</v>
      </c>
      <c r="N674" s="256">
        <v>1</v>
      </c>
      <c r="O674" s="256">
        <v>3</v>
      </c>
      <c r="P674" s="69">
        <f>AVERAGE(O674:O679)</f>
        <v>6.666666666666667</v>
      </c>
    </row>
    <row r="675" spans="1:18" s="69" customFormat="1" ht="60">
      <c r="A675" s="256" t="s">
        <v>1989</v>
      </c>
      <c r="B675" s="256" t="s">
        <v>45</v>
      </c>
      <c r="C675" s="256" t="s">
        <v>80</v>
      </c>
      <c r="D675" s="258" t="s">
        <v>2002</v>
      </c>
      <c r="E675" s="187">
        <v>32</v>
      </c>
      <c r="F675" s="256">
        <v>3.2391094317499899E-3</v>
      </c>
      <c r="G675" s="181">
        <v>1</v>
      </c>
      <c r="H675" s="257">
        <v>43637</v>
      </c>
      <c r="I675" s="220" t="s">
        <v>2003</v>
      </c>
      <c r="J675" s="186">
        <v>0</v>
      </c>
      <c r="K675" s="186" t="s">
        <v>2004</v>
      </c>
      <c r="L675" s="256">
        <v>82</v>
      </c>
      <c r="M675" s="220">
        <v>1</v>
      </c>
      <c r="N675" s="186">
        <v>1</v>
      </c>
      <c r="O675" s="220">
        <v>14</v>
      </c>
    </row>
    <row r="676" spans="1:18" s="69" customFormat="1" ht="60">
      <c r="A676" s="256" t="s">
        <v>1989</v>
      </c>
      <c r="B676" s="256" t="s">
        <v>45</v>
      </c>
      <c r="C676" s="256" t="s">
        <v>80</v>
      </c>
      <c r="D676" s="181" t="s">
        <v>944</v>
      </c>
      <c r="E676" s="187">
        <v>113</v>
      </c>
      <c r="F676" s="256">
        <v>1.5228849070680901E-8</v>
      </c>
      <c r="G676" s="181">
        <v>1</v>
      </c>
      <c r="H676" s="257">
        <v>43331</v>
      </c>
      <c r="I676" s="220" t="s">
        <v>2005</v>
      </c>
      <c r="J676" s="186">
        <v>0</v>
      </c>
      <c r="K676" s="186" t="s">
        <v>2006</v>
      </c>
      <c r="L676" s="256">
        <v>73</v>
      </c>
      <c r="M676" s="220">
        <v>2</v>
      </c>
      <c r="N676" s="186">
        <v>1</v>
      </c>
      <c r="O676" s="220">
        <v>5</v>
      </c>
    </row>
    <row r="677" spans="1:18" s="69" customFormat="1" ht="90">
      <c r="A677" s="256" t="s">
        <v>1989</v>
      </c>
      <c r="B677" s="256" t="s">
        <v>45</v>
      </c>
      <c r="C677" s="256" t="s">
        <v>46</v>
      </c>
      <c r="D677" s="258" t="s">
        <v>2007</v>
      </c>
      <c r="E677" s="187">
        <v>116</v>
      </c>
      <c r="F677" s="256">
        <v>5.9155882536465699E-5</v>
      </c>
      <c r="G677" s="181">
        <v>0</v>
      </c>
      <c r="H677" s="301">
        <v>43228</v>
      </c>
      <c r="I677" s="220" t="s">
        <v>2008</v>
      </c>
      <c r="J677" s="186">
        <v>0</v>
      </c>
      <c r="K677" s="186" t="s">
        <v>2009</v>
      </c>
      <c r="L677" s="256">
        <v>120</v>
      </c>
      <c r="M677" s="256">
        <v>0</v>
      </c>
      <c r="N677" s="256">
        <v>1</v>
      </c>
      <c r="O677" s="256">
        <v>2</v>
      </c>
    </row>
    <row r="678" spans="1:18" s="69" customFormat="1" ht="105">
      <c r="A678" s="256" t="s">
        <v>1989</v>
      </c>
      <c r="B678" s="256" t="s">
        <v>45</v>
      </c>
      <c r="C678" s="256" t="s">
        <v>80</v>
      </c>
      <c r="D678" s="258" t="s">
        <v>305</v>
      </c>
      <c r="E678" s="187">
        <v>49</v>
      </c>
      <c r="F678" s="256">
        <v>2.6240967099899802E-4</v>
      </c>
      <c r="G678" s="181">
        <v>1</v>
      </c>
      <c r="H678" s="257">
        <v>43196</v>
      </c>
      <c r="I678" s="186" t="s">
        <v>2010</v>
      </c>
      <c r="J678" s="186">
        <v>0</v>
      </c>
      <c r="K678" s="186" t="s">
        <v>2011</v>
      </c>
      <c r="L678" s="256">
        <v>152</v>
      </c>
      <c r="M678" s="256">
        <v>0</v>
      </c>
      <c r="N678" s="256">
        <v>2</v>
      </c>
      <c r="O678" s="256">
        <v>4</v>
      </c>
    </row>
    <row r="679" spans="1:18" s="69" customFormat="1" ht="90">
      <c r="A679" s="256" t="s">
        <v>1989</v>
      </c>
      <c r="B679" s="256" t="s">
        <v>45</v>
      </c>
      <c r="C679" s="256" t="s">
        <v>46</v>
      </c>
      <c r="D679" s="186" t="s">
        <v>2012</v>
      </c>
      <c r="E679" s="187">
        <v>114</v>
      </c>
      <c r="F679" s="256">
        <v>6.8310761688006303E-5</v>
      </c>
      <c r="G679" s="181">
        <v>1</v>
      </c>
      <c r="H679" s="257">
        <v>42509</v>
      </c>
      <c r="I679" s="181" t="s">
        <v>2013</v>
      </c>
      <c r="J679" s="181">
        <v>0</v>
      </c>
      <c r="K679" s="186" t="s">
        <v>2014</v>
      </c>
      <c r="L679" s="256">
        <v>123</v>
      </c>
      <c r="M679" s="256">
        <v>0</v>
      </c>
      <c r="N679" s="256">
        <v>1</v>
      </c>
      <c r="O679" s="256">
        <v>12</v>
      </c>
    </row>
    <row r="680" spans="1:18" s="69" customFormat="1" ht="45">
      <c r="A680" s="256" t="s">
        <v>2015</v>
      </c>
      <c r="B680" s="256" t="s">
        <v>45</v>
      </c>
      <c r="C680" s="256" t="s">
        <v>80</v>
      </c>
      <c r="D680" s="186" t="s">
        <v>2016</v>
      </c>
      <c r="E680" s="187"/>
      <c r="F680" s="256"/>
      <c r="G680" s="181">
        <v>1</v>
      </c>
      <c r="H680" s="263">
        <v>44178</v>
      </c>
      <c r="I680" s="181" t="s">
        <v>2017</v>
      </c>
      <c r="J680" s="181">
        <v>0</v>
      </c>
      <c r="K680" s="261" t="s">
        <v>2018</v>
      </c>
      <c r="L680" s="256"/>
      <c r="M680" s="256">
        <v>0</v>
      </c>
      <c r="N680" s="256">
        <v>1</v>
      </c>
      <c r="O680" s="256">
        <v>3</v>
      </c>
      <c r="P680" s="69">
        <f>AVERAGE(M680:M697)</f>
        <v>5.5555555555555552E-2</v>
      </c>
      <c r="Q680" s="69">
        <f>AVERAGE(N680:N697)</f>
        <v>1.0555555555555556</v>
      </c>
      <c r="R680" s="69">
        <f>AVERAGE(O680:O697)</f>
        <v>3.6666666666666665</v>
      </c>
    </row>
    <row r="681" spans="1:18" s="69" customFormat="1" ht="45">
      <c r="A681" s="256" t="s">
        <v>2015</v>
      </c>
      <c r="B681" s="256" t="s">
        <v>45</v>
      </c>
      <c r="C681" s="256" t="s">
        <v>80</v>
      </c>
      <c r="D681" s="261" t="s">
        <v>2016</v>
      </c>
      <c r="E681" s="187"/>
      <c r="F681" s="256"/>
      <c r="G681" s="181">
        <v>1</v>
      </c>
      <c r="H681" s="263">
        <v>44176</v>
      </c>
      <c r="I681" s="265" t="s">
        <v>2019</v>
      </c>
      <c r="J681" s="181">
        <v>0</v>
      </c>
      <c r="K681" s="261" t="s">
        <v>2018</v>
      </c>
      <c r="L681" s="256"/>
      <c r="M681" s="256">
        <v>0</v>
      </c>
      <c r="N681" s="256">
        <v>1</v>
      </c>
      <c r="O681" s="256">
        <v>4</v>
      </c>
    </row>
    <row r="682" spans="1:18" s="69" customFormat="1" ht="105">
      <c r="A682" s="256" t="s">
        <v>2015</v>
      </c>
      <c r="B682" s="256" t="s">
        <v>45</v>
      </c>
      <c r="C682" s="256" t="s">
        <v>80</v>
      </c>
      <c r="D682" s="261" t="s">
        <v>2020</v>
      </c>
      <c r="E682" s="187"/>
      <c r="F682" s="256"/>
      <c r="G682" s="181">
        <v>1</v>
      </c>
      <c r="H682" s="263">
        <v>44175</v>
      </c>
      <c r="I682" s="136" t="s">
        <v>2021</v>
      </c>
      <c r="J682" s="181">
        <v>0</v>
      </c>
      <c r="K682" s="261" t="s">
        <v>2022</v>
      </c>
      <c r="L682" s="256"/>
      <c r="M682" s="256">
        <v>0</v>
      </c>
      <c r="N682" s="256">
        <v>1</v>
      </c>
      <c r="O682" s="256">
        <v>4</v>
      </c>
    </row>
    <row r="683" spans="1:18" s="69" customFormat="1" ht="45">
      <c r="A683" s="256" t="s">
        <v>2015</v>
      </c>
      <c r="B683" s="256" t="s">
        <v>45</v>
      </c>
      <c r="C683" s="256" t="s">
        <v>80</v>
      </c>
      <c r="D683" s="261" t="s">
        <v>2016</v>
      </c>
      <c r="E683" s="187"/>
      <c r="F683" s="256"/>
      <c r="G683" s="181">
        <v>1</v>
      </c>
      <c r="H683" s="263">
        <v>44175</v>
      </c>
      <c r="I683" s="181" t="s">
        <v>2023</v>
      </c>
      <c r="J683" s="181">
        <v>0</v>
      </c>
      <c r="K683" s="261" t="s">
        <v>2018</v>
      </c>
      <c r="L683" s="256"/>
      <c r="M683" s="256">
        <v>0</v>
      </c>
      <c r="N683" s="256">
        <v>1</v>
      </c>
      <c r="O683" s="256">
        <v>5</v>
      </c>
    </row>
    <row r="684" spans="1:18" s="69" customFormat="1" ht="30">
      <c r="A684" s="256" t="s">
        <v>2015</v>
      </c>
      <c r="B684" s="256" t="s">
        <v>45</v>
      </c>
      <c r="C684" s="256" t="s">
        <v>80</v>
      </c>
      <c r="D684" s="261" t="s">
        <v>2024</v>
      </c>
      <c r="E684" s="187"/>
      <c r="F684" s="256"/>
      <c r="G684" s="181">
        <v>1</v>
      </c>
      <c r="H684" s="264">
        <v>44174</v>
      </c>
      <c r="I684" s="261" t="s">
        <v>2025</v>
      </c>
      <c r="J684" s="181">
        <v>0</v>
      </c>
      <c r="K684" s="261" t="s">
        <v>2018</v>
      </c>
      <c r="L684" s="256"/>
      <c r="M684" s="256">
        <v>0</v>
      </c>
      <c r="N684" s="256">
        <v>1</v>
      </c>
      <c r="O684" s="256">
        <v>5</v>
      </c>
    </row>
    <row r="685" spans="1:18" s="69" customFormat="1" ht="105">
      <c r="A685" s="256" t="s">
        <v>2015</v>
      </c>
      <c r="B685" s="256" t="s">
        <v>45</v>
      </c>
      <c r="C685" s="256" t="s">
        <v>80</v>
      </c>
      <c r="D685" s="261" t="s">
        <v>1713</v>
      </c>
      <c r="E685" s="187"/>
      <c r="F685" s="256"/>
      <c r="G685" s="181">
        <v>1</v>
      </c>
      <c r="H685" s="263">
        <v>44172</v>
      </c>
      <c r="I685" s="261" t="s">
        <v>2026</v>
      </c>
      <c r="J685" s="181">
        <v>0</v>
      </c>
      <c r="K685" s="261" t="s">
        <v>2027</v>
      </c>
      <c r="L685" s="256"/>
      <c r="M685" s="256">
        <v>0</v>
      </c>
      <c r="N685" s="181">
        <v>1</v>
      </c>
      <c r="O685" s="256">
        <v>1</v>
      </c>
    </row>
    <row r="686" spans="1:18" s="69" customFormat="1" ht="75">
      <c r="A686" s="256" t="s">
        <v>2015</v>
      </c>
      <c r="B686" s="256" t="s">
        <v>45</v>
      </c>
      <c r="C686" s="256" t="s">
        <v>80</v>
      </c>
      <c r="D686" s="261" t="s">
        <v>1713</v>
      </c>
      <c r="E686" s="187"/>
      <c r="F686" s="256"/>
      <c r="G686" s="181">
        <v>1</v>
      </c>
      <c r="H686" s="263">
        <v>44171</v>
      </c>
      <c r="I686" s="261" t="s">
        <v>2028</v>
      </c>
      <c r="J686" s="181">
        <v>0</v>
      </c>
      <c r="K686" s="261" t="s">
        <v>2029</v>
      </c>
      <c r="L686" s="256"/>
      <c r="M686" s="256">
        <v>0</v>
      </c>
      <c r="N686" s="256">
        <v>1</v>
      </c>
      <c r="O686" s="256">
        <v>1</v>
      </c>
    </row>
    <row r="687" spans="1:18" s="69" customFormat="1" ht="30">
      <c r="A687" s="256" t="s">
        <v>2015</v>
      </c>
      <c r="B687" s="256" t="s">
        <v>45</v>
      </c>
      <c r="C687" s="256" t="s">
        <v>80</v>
      </c>
      <c r="D687" s="261" t="s">
        <v>2020</v>
      </c>
      <c r="E687" s="187"/>
      <c r="F687" s="256"/>
      <c r="G687" s="181">
        <v>1</v>
      </c>
      <c r="H687" s="263">
        <v>44171</v>
      </c>
      <c r="I687" s="181" t="s">
        <v>2030</v>
      </c>
      <c r="J687" s="181">
        <v>0</v>
      </c>
      <c r="K687" s="261" t="s">
        <v>2031</v>
      </c>
      <c r="L687" s="256"/>
      <c r="M687" s="256">
        <v>0</v>
      </c>
      <c r="N687" s="256">
        <v>1</v>
      </c>
      <c r="O687" s="256">
        <v>3</v>
      </c>
    </row>
    <row r="688" spans="1:18" s="69" customFormat="1" ht="45">
      <c r="A688" s="256" t="s">
        <v>2015</v>
      </c>
      <c r="B688" s="256" t="s">
        <v>45</v>
      </c>
      <c r="C688" s="256" t="s">
        <v>80</v>
      </c>
      <c r="D688" s="261" t="s">
        <v>2032</v>
      </c>
      <c r="E688" s="187"/>
      <c r="F688" s="256"/>
      <c r="G688" s="181">
        <v>1</v>
      </c>
      <c r="H688" s="264">
        <v>44170</v>
      </c>
      <c r="I688" s="181" t="s">
        <v>2033</v>
      </c>
      <c r="J688" s="181">
        <v>0</v>
      </c>
      <c r="K688" s="261" t="s">
        <v>2031</v>
      </c>
      <c r="L688" s="256"/>
      <c r="M688" s="256">
        <v>0</v>
      </c>
      <c r="N688" s="256">
        <v>1</v>
      </c>
      <c r="O688" s="256">
        <v>4</v>
      </c>
    </row>
    <row r="689" spans="1:18" s="69" customFormat="1" ht="75">
      <c r="A689" s="256" t="s">
        <v>2015</v>
      </c>
      <c r="B689" s="256" t="s">
        <v>45</v>
      </c>
      <c r="C689" s="256" t="s">
        <v>80</v>
      </c>
      <c r="D689" s="261" t="s">
        <v>2034</v>
      </c>
      <c r="E689" s="187"/>
      <c r="F689" s="256"/>
      <c r="G689" s="181">
        <v>1</v>
      </c>
      <c r="H689" s="263">
        <v>44169</v>
      </c>
      <c r="I689" s="181" t="s">
        <v>2035</v>
      </c>
      <c r="J689" s="181">
        <v>0</v>
      </c>
      <c r="K689" s="261" t="s">
        <v>2029</v>
      </c>
      <c r="L689" s="256"/>
      <c r="M689" s="256">
        <v>1</v>
      </c>
      <c r="N689" s="256">
        <v>1</v>
      </c>
      <c r="O689" s="256">
        <v>3</v>
      </c>
    </row>
    <row r="690" spans="1:18" s="69" customFormat="1" ht="105">
      <c r="A690" s="256" t="s">
        <v>2015</v>
      </c>
      <c r="B690" s="256" t="s">
        <v>45</v>
      </c>
      <c r="C690" s="256" t="s">
        <v>80</v>
      </c>
      <c r="D690" s="258" t="s">
        <v>232</v>
      </c>
      <c r="E690" s="187">
        <v>183</v>
      </c>
      <c r="F690" s="256">
        <v>8.2294144038373304E-2</v>
      </c>
      <c r="G690" s="181">
        <v>1</v>
      </c>
      <c r="H690" s="257">
        <v>43997</v>
      </c>
      <c r="I690" s="186" t="s">
        <v>3238</v>
      </c>
      <c r="J690" s="186">
        <v>0</v>
      </c>
      <c r="K690" s="186" t="s">
        <v>3239</v>
      </c>
      <c r="L690" s="256">
        <v>31</v>
      </c>
      <c r="M690" s="256">
        <v>0</v>
      </c>
      <c r="N690" s="256">
        <v>1</v>
      </c>
      <c r="O690" s="256">
        <v>3</v>
      </c>
      <c r="P690" s="69">
        <f>AVERAGE(M690:M697)</f>
        <v>0</v>
      </c>
    </row>
    <row r="691" spans="1:18" s="69" customFormat="1" ht="30">
      <c r="A691" s="256" t="s">
        <v>2015</v>
      </c>
      <c r="B691" s="256" t="s">
        <v>45</v>
      </c>
      <c r="C691" s="256" t="s">
        <v>80</v>
      </c>
      <c r="D691" s="258" t="s">
        <v>1688</v>
      </c>
      <c r="E691" s="187">
        <v>58</v>
      </c>
      <c r="F691" s="256">
        <v>2.3711799509906799E-4</v>
      </c>
      <c r="G691" s="181">
        <v>1</v>
      </c>
      <c r="H691" s="257">
        <v>43921</v>
      </c>
      <c r="I691" s="186" t="s">
        <v>3240</v>
      </c>
      <c r="J691" s="186">
        <v>0</v>
      </c>
      <c r="K691" s="186" t="s">
        <v>2038</v>
      </c>
      <c r="L691" s="256">
        <v>38</v>
      </c>
      <c r="M691" s="256">
        <v>0</v>
      </c>
      <c r="N691" s="256">
        <v>1</v>
      </c>
      <c r="O691" s="256">
        <v>3</v>
      </c>
      <c r="P691" s="69">
        <f>AVERAGE(O690:O697)</f>
        <v>4.125</v>
      </c>
    </row>
    <row r="692" spans="1:18" s="69" customFormat="1" ht="90">
      <c r="A692" s="256" t="s">
        <v>2015</v>
      </c>
      <c r="B692" s="256" t="s">
        <v>45</v>
      </c>
      <c r="C692" s="256" t="s">
        <v>80</v>
      </c>
      <c r="D692" s="258" t="s">
        <v>2036</v>
      </c>
      <c r="E692" s="187">
        <v>153</v>
      </c>
      <c r="F692" s="256">
        <v>3.3256064568831802E-11</v>
      </c>
      <c r="G692" s="181">
        <v>1</v>
      </c>
      <c r="H692" s="257">
        <v>43921</v>
      </c>
      <c r="I692" s="186" t="s">
        <v>2037</v>
      </c>
      <c r="J692" s="186">
        <v>0</v>
      </c>
      <c r="K692" s="186" t="s">
        <v>2038</v>
      </c>
      <c r="L692" s="256">
        <v>38</v>
      </c>
      <c r="M692" s="256">
        <v>0</v>
      </c>
      <c r="N692" s="256">
        <v>1</v>
      </c>
      <c r="O692" s="256">
        <v>2</v>
      </c>
    </row>
    <row r="693" spans="1:18" s="69" customFormat="1" ht="60">
      <c r="A693" s="256" t="s">
        <v>2015</v>
      </c>
      <c r="B693" s="256" t="s">
        <v>52</v>
      </c>
      <c r="C693" s="256" t="s">
        <v>46</v>
      </c>
      <c r="D693" s="220" t="s">
        <v>2039</v>
      </c>
      <c r="E693" s="187">
        <v>66</v>
      </c>
      <c r="F693" s="256">
        <v>0.99959308713876904</v>
      </c>
      <c r="G693" s="181">
        <v>0</v>
      </c>
      <c r="H693" s="257">
        <v>43751</v>
      </c>
      <c r="I693" s="186" t="s">
        <v>2040</v>
      </c>
      <c r="J693" s="186">
        <v>0</v>
      </c>
      <c r="K693" s="186" t="s">
        <v>2041</v>
      </c>
      <c r="L693" s="256">
        <v>49</v>
      </c>
      <c r="M693" s="220">
        <v>0</v>
      </c>
      <c r="N693" s="186">
        <v>1</v>
      </c>
      <c r="O693" s="220">
        <v>3</v>
      </c>
    </row>
    <row r="694" spans="1:18" s="69" customFormat="1" ht="135">
      <c r="A694" s="256" t="s">
        <v>2015</v>
      </c>
      <c r="B694" s="256" t="s">
        <v>59</v>
      </c>
      <c r="C694" s="256" t="s">
        <v>46</v>
      </c>
      <c r="D694" s="220" t="s">
        <v>2042</v>
      </c>
      <c r="E694" s="187">
        <v>225</v>
      </c>
      <c r="F694" s="256">
        <v>0.99995517910863896</v>
      </c>
      <c r="G694" s="181">
        <v>1</v>
      </c>
      <c r="H694" s="257">
        <v>43430</v>
      </c>
      <c r="I694" s="181" t="s">
        <v>2043</v>
      </c>
      <c r="J694" s="181">
        <v>0</v>
      </c>
      <c r="K694" s="186" t="s">
        <v>2044</v>
      </c>
      <c r="L694" s="256">
        <v>46</v>
      </c>
      <c r="M694" s="220">
        <v>0</v>
      </c>
      <c r="N694" s="186">
        <v>2</v>
      </c>
      <c r="O694" s="220">
        <v>2</v>
      </c>
    </row>
    <row r="695" spans="1:18" s="69" customFormat="1" ht="75">
      <c r="A695" s="256" t="s">
        <v>2015</v>
      </c>
      <c r="B695" s="256" t="s">
        <v>45</v>
      </c>
      <c r="C695" s="256" t="s">
        <v>46</v>
      </c>
      <c r="D695" s="258" t="s">
        <v>2045</v>
      </c>
      <c r="E695" s="187">
        <v>79</v>
      </c>
      <c r="F695" s="256">
        <v>0.99953739083237503</v>
      </c>
      <c r="G695" s="181">
        <v>1</v>
      </c>
      <c r="H695" s="257">
        <v>43419</v>
      </c>
      <c r="I695" s="186" t="s">
        <v>2046</v>
      </c>
      <c r="J695" s="186">
        <v>1</v>
      </c>
      <c r="K695" s="186" t="s">
        <v>2047</v>
      </c>
      <c r="L695" s="256">
        <v>92</v>
      </c>
      <c r="M695" s="256">
        <v>0</v>
      </c>
      <c r="N695" s="256">
        <v>1</v>
      </c>
      <c r="O695" s="256">
        <v>4</v>
      </c>
    </row>
    <row r="696" spans="1:18" s="69" customFormat="1" ht="30">
      <c r="A696" s="256" t="s">
        <v>2015</v>
      </c>
      <c r="B696" s="256" t="s">
        <v>45</v>
      </c>
      <c r="C696" s="256" t="s">
        <v>46</v>
      </c>
      <c r="D696" s="186" t="s">
        <v>2048</v>
      </c>
      <c r="E696" s="187">
        <v>16</v>
      </c>
      <c r="F696" s="256">
        <v>0.99468997542306103</v>
      </c>
      <c r="G696" s="181">
        <v>0</v>
      </c>
      <c r="H696" s="257">
        <v>43054</v>
      </c>
      <c r="I696" s="258" t="s">
        <v>2049</v>
      </c>
      <c r="J696" s="258">
        <v>0</v>
      </c>
      <c r="K696" s="186" t="s">
        <v>2050</v>
      </c>
      <c r="L696" s="256">
        <v>27</v>
      </c>
      <c r="M696" s="256">
        <v>0</v>
      </c>
      <c r="N696" s="256">
        <v>1</v>
      </c>
      <c r="O696" s="256">
        <v>14</v>
      </c>
    </row>
    <row r="697" spans="1:18" s="69" customFormat="1" ht="45">
      <c r="A697" s="256" t="s">
        <v>2015</v>
      </c>
      <c r="B697" s="256" t="s">
        <v>45</v>
      </c>
      <c r="C697" s="256" t="s">
        <v>80</v>
      </c>
      <c r="D697" s="186" t="s">
        <v>2051</v>
      </c>
      <c r="E697" s="187">
        <v>38</v>
      </c>
      <c r="F697" s="256">
        <v>0.88128964168146795</v>
      </c>
      <c r="G697" s="181">
        <v>1</v>
      </c>
      <c r="H697" s="257">
        <v>43054</v>
      </c>
      <c r="I697" s="186" t="s">
        <v>2052</v>
      </c>
      <c r="J697" s="186">
        <v>0</v>
      </c>
      <c r="K697" s="186" t="s">
        <v>2050</v>
      </c>
      <c r="L697" s="256">
        <v>27</v>
      </c>
      <c r="M697" s="256">
        <v>0</v>
      </c>
      <c r="N697" s="256">
        <v>1</v>
      </c>
      <c r="O697" s="256">
        <v>2</v>
      </c>
    </row>
    <row r="698" spans="1:18" s="69" customFormat="1" ht="150">
      <c r="A698" s="256" t="s">
        <v>2053</v>
      </c>
      <c r="B698" s="256" t="s">
        <v>45</v>
      </c>
      <c r="C698" s="256" t="s">
        <v>221</v>
      </c>
      <c r="D698" s="261" t="s">
        <v>2054</v>
      </c>
      <c r="E698" s="187"/>
      <c r="F698" s="256"/>
      <c r="G698" s="181">
        <v>1</v>
      </c>
      <c r="H698" s="264">
        <v>44134</v>
      </c>
      <c r="I698" s="186" t="s">
        <v>4420</v>
      </c>
      <c r="J698" s="186">
        <v>1</v>
      </c>
      <c r="K698" s="186" t="s">
        <v>2056</v>
      </c>
      <c r="L698" s="256"/>
      <c r="M698" s="256">
        <v>1</v>
      </c>
      <c r="N698" s="256">
        <v>2</v>
      </c>
      <c r="O698" s="256">
        <v>11</v>
      </c>
      <c r="P698" s="69">
        <f>AVERAGE(M698:M715)</f>
        <v>0.66666666666666663</v>
      </c>
      <c r="Q698" s="69">
        <f>AVERAGE(N698:N715)</f>
        <v>1.4444444444444444</v>
      </c>
      <c r="R698" s="69">
        <f>AVERAGE(O698:O715)</f>
        <v>13.388888888888889</v>
      </c>
    </row>
    <row r="699" spans="1:18" s="69" customFormat="1" ht="150">
      <c r="A699" s="256" t="s">
        <v>2053</v>
      </c>
      <c r="B699" s="256" t="s">
        <v>45</v>
      </c>
      <c r="C699" s="256" t="s">
        <v>221</v>
      </c>
      <c r="D699" s="261" t="s">
        <v>2057</v>
      </c>
      <c r="E699" s="187"/>
      <c r="F699" s="256"/>
      <c r="G699" s="181">
        <v>0</v>
      </c>
      <c r="H699" s="263">
        <v>44126</v>
      </c>
      <c r="I699" s="186" t="s">
        <v>4421</v>
      </c>
      <c r="J699" s="186">
        <v>0</v>
      </c>
      <c r="K699" s="261" t="s">
        <v>2059</v>
      </c>
      <c r="L699" s="256"/>
      <c r="M699" s="256">
        <v>0</v>
      </c>
      <c r="N699" s="256">
        <v>2</v>
      </c>
      <c r="O699" s="256">
        <v>5</v>
      </c>
    </row>
    <row r="700" spans="1:18" s="69" customFormat="1" ht="90">
      <c r="A700" s="256" t="s">
        <v>2053</v>
      </c>
      <c r="B700" s="256" t="s">
        <v>45</v>
      </c>
      <c r="C700" s="256" t="s">
        <v>46</v>
      </c>
      <c r="D700" s="186" t="s">
        <v>2060</v>
      </c>
      <c r="E700" s="187">
        <v>155</v>
      </c>
      <c r="F700" s="256">
        <v>5.2554537021236802E-2</v>
      </c>
      <c r="G700" s="181">
        <v>0</v>
      </c>
      <c r="H700" s="257">
        <v>44005</v>
      </c>
      <c r="I700" s="186" t="s">
        <v>2061</v>
      </c>
      <c r="J700" s="186">
        <v>0</v>
      </c>
      <c r="K700" s="186" t="s">
        <v>2062</v>
      </c>
      <c r="L700" s="256">
        <v>28</v>
      </c>
      <c r="M700" s="256">
        <v>2</v>
      </c>
      <c r="N700" s="256">
        <v>2</v>
      </c>
      <c r="O700" s="256">
        <v>38</v>
      </c>
      <c r="P700" s="69">
        <f>AVERAGE(M700:M715)</f>
        <v>0.6875</v>
      </c>
    </row>
    <row r="701" spans="1:18" s="69" customFormat="1" ht="105">
      <c r="A701" s="256" t="s">
        <v>2053</v>
      </c>
      <c r="B701" s="256" t="s">
        <v>59</v>
      </c>
      <c r="C701" s="256" t="s">
        <v>221</v>
      </c>
      <c r="D701" s="258" t="s">
        <v>2053</v>
      </c>
      <c r="E701" s="187">
        <v>49</v>
      </c>
      <c r="F701" s="256">
        <v>8.6423025602182495E-3</v>
      </c>
      <c r="G701" s="181">
        <v>1</v>
      </c>
      <c r="H701" s="257">
        <v>43932</v>
      </c>
      <c r="I701" s="186" t="s">
        <v>2063</v>
      </c>
      <c r="J701" s="186">
        <v>0</v>
      </c>
      <c r="K701" s="186" t="s">
        <v>2064</v>
      </c>
      <c r="L701" s="256">
        <v>153</v>
      </c>
      <c r="M701" s="256">
        <v>1</v>
      </c>
      <c r="N701" s="256">
        <v>1</v>
      </c>
      <c r="O701" s="256">
        <v>3</v>
      </c>
      <c r="P701" s="69">
        <f>AVERAGE(O700:O715)</f>
        <v>14.0625</v>
      </c>
    </row>
    <row r="702" spans="1:18" s="69" customFormat="1" ht="105">
      <c r="A702" s="256" t="s">
        <v>2053</v>
      </c>
      <c r="B702" s="256" t="s">
        <v>45</v>
      </c>
      <c r="C702" s="256" t="s">
        <v>46</v>
      </c>
      <c r="D702" s="258" t="s">
        <v>2065</v>
      </c>
      <c r="E702" s="187">
        <v>202</v>
      </c>
      <c r="F702" s="256">
        <v>0.53532640317226399</v>
      </c>
      <c r="G702" s="181">
        <v>0</v>
      </c>
      <c r="H702" s="257">
        <v>43493</v>
      </c>
      <c r="I702" s="186" t="s">
        <v>2066</v>
      </c>
      <c r="J702" s="186">
        <v>0</v>
      </c>
      <c r="K702" s="186" t="s">
        <v>2067</v>
      </c>
      <c r="L702" s="256">
        <v>37</v>
      </c>
      <c r="M702" s="256">
        <v>0</v>
      </c>
      <c r="N702" s="256">
        <v>2</v>
      </c>
      <c r="O702" s="256">
        <v>14</v>
      </c>
    </row>
    <row r="703" spans="1:18" s="69" customFormat="1" ht="105">
      <c r="A703" s="256" t="s">
        <v>2053</v>
      </c>
      <c r="B703" s="256" t="s">
        <v>45</v>
      </c>
      <c r="C703" s="256" t="s">
        <v>46</v>
      </c>
      <c r="D703" s="186" t="s">
        <v>2068</v>
      </c>
      <c r="E703" s="187">
        <v>184</v>
      </c>
      <c r="F703" s="256">
        <v>0.95644569177014704</v>
      </c>
      <c r="G703" s="181">
        <v>0</v>
      </c>
      <c r="H703" s="257">
        <v>43493</v>
      </c>
      <c r="I703" s="186" t="s">
        <v>2069</v>
      </c>
      <c r="J703" s="186">
        <v>0</v>
      </c>
      <c r="K703" s="186" t="s">
        <v>2067</v>
      </c>
      <c r="L703" s="256">
        <v>37</v>
      </c>
      <c r="M703" s="256">
        <v>1</v>
      </c>
      <c r="N703" s="256">
        <v>1</v>
      </c>
      <c r="O703" s="256">
        <v>14</v>
      </c>
    </row>
    <row r="704" spans="1:18" s="69" customFormat="1" ht="30">
      <c r="A704" s="256" t="s">
        <v>2053</v>
      </c>
      <c r="B704" s="256" t="s">
        <v>45</v>
      </c>
      <c r="C704" s="256" t="s">
        <v>46</v>
      </c>
      <c r="D704" s="258" t="s">
        <v>2070</v>
      </c>
      <c r="E704" s="187">
        <v>23</v>
      </c>
      <c r="F704" s="256">
        <v>1.4092278725366E-2</v>
      </c>
      <c r="G704" s="181">
        <v>0</v>
      </c>
      <c r="H704" s="257">
        <v>43491</v>
      </c>
      <c r="I704" s="256" t="s">
        <v>2071</v>
      </c>
      <c r="J704" s="256">
        <v>1</v>
      </c>
      <c r="K704" s="186" t="s">
        <v>2067</v>
      </c>
      <c r="L704" s="256">
        <v>37</v>
      </c>
      <c r="M704" s="256">
        <v>0</v>
      </c>
      <c r="N704" s="256">
        <v>1</v>
      </c>
      <c r="O704" s="256">
        <v>3</v>
      </c>
    </row>
    <row r="705" spans="1:18" s="69" customFormat="1" ht="30">
      <c r="A705" s="256" t="s">
        <v>2053</v>
      </c>
      <c r="B705" s="256" t="s">
        <v>45</v>
      </c>
      <c r="C705" s="256" t="s">
        <v>46</v>
      </c>
      <c r="D705" s="220" t="s">
        <v>2072</v>
      </c>
      <c r="E705" s="187">
        <v>53</v>
      </c>
      <c r="F705" s="256">
        <v>0.64026306942868505</v>
      </c>
      <c r="G705" s="181">
        <v>0</v>
      </c>
      <c r="H705" s="257">
        <v>43490</v>
      </c>
      <c r="I705" s="186" t="s">
        <v>2073</v>
      </c>
      <c r="J705" s="186">
        <v>1</v>
      </c>
      <c r="K705" s="186" t="s">
        <v>2067</v>
      </c>
      <c r="L705" s="256">
        <v>37</v>
      </c>
      <c r="M705" s="220">
        <v>0</v>
      </c>
      <c r="N705" s="186">
        <v>1</v>
      </c>
      <c r="O705" s="220">
        <v>4</v>
      </c>
    </row>
    <row r="706" spans="1:18" s="69" customFormat="1" ht="30">
      <c r="A706" s="256" t="s">
        <v>2053</v>
      </c>
      <c r="B706" s="256" t="s">
        <v>45</v>
      </c>
      <c r="C706" s="256" t="s">
        <v>46</v>
      </c>
      <c r="D706" s="258" t="s">
        <v>2070</v>
      </c>
      <c r="E706" s="187">
        <v>47</v>
      </c>
      <c r="F706" s="256">
        <v>0.96577247422258405</v>
      </c>
      <c r="G706" s="181">
        <v>0</v>
      </c>
      <c r="H706" s="257">
        <v>43490</v>
      </c>
      <c r="I706" s="186" t="s">
        <v>2074</v>
      </c>
      <c r="J706" s="186">
        <v>1</v>
      </c>
      <c r="K706" s="186" t="s">
        <v>2067</v>
      </c>
      <c r="L706" s="256">
        <v>37</v>
      </c>
      <c r="M706" s="256">
        <v>0</v>
      </c>
      <c r="N706" s="256">
        <v>1</v>
      </c>
      <c r="O706" s="256">
        <v>4</v>
      </c>
    </row>
    <row r="707" spans="1:18" s="69" customFormat="1" ht="30">
      <c r="A707" s="256" t="s">
        <v>2053</v>
      </c>
      <c r="B707" s="256" t="s">
        <v>45</v>
      </c>
      <c r="C707" s="256" t="s">
        <v>80</v>
      </c>
      <c r="D707" s="258" t="s">
        <v>778</v>
      </c>
      <c r="E707" s="187">
        <v>48</v>
      </c>
      <c r="F707" s="256">
        <v>0.807201652301483</v>
      </c>
      <c r="G707" s="181">
        <v>0</v>
      </c>
      <c r="H707" s="257">
        <v>43327</v>
      </c>
      <c r="I707" s="220" t="s">
        <v>2075</v>
      </c>
      <c r="J707" s="186">
        <v>0</v>
      </c>
      <c r="K707" s="186" t="s">
        <v>2076</v>
      </c>
      <c r="L707" s="256">
        <v>33</v>
      </c>
      <c r="M707" s="220">
        <v>2</v>
      </c>
      <c r="N707" s="186">
        <v>2</v>
      </c>
      <c r="O707" s="220">
        <v>13</v>
      </c>
    </row>
    <row r="708" spans="1:18" s="69" customFormat="1" ht="105">
      <c r="A708" s="256" t="s">
        <v>2053</v>
      </c>
      <c r="B708" s="256" t="s">
        <v>45</v>
      </c>
      <c r="C708" s="256" t="s">
        <v>80</v>
      </c>
      <c r="D708" s="186" t="s">
        <v>2077</v>
      </c>
      <c r="E708" s="187">
        <v>74</v>
      </c>
      <c r="F708" s="256">
        <v>0.12673630786485901</v>
      </c>
      <c r="G708" s="181">
        <v>0</v>
      </c>
      <c r="H708" s="257">
        <v>43314</v>
      </c>
      <c r="I708" s="186" t="s">
        <v>2078</v>
      </c>
      <c r="J708" s="186">
        <v>0</v>
      </c>
      <c r="K708" s="186" t="s">
        <v>2079</v>
      </c>
      <c r="L708" s="256">
        <v>160</v>
      </c>
      <c r="M708" s="256">
        <v>0</v>
      </c>
      <c r="N708" s="256">
        <v>1</v>
      </c>
      <c r="O708" s="256">
        <v>12</v>
      </c>
    </row>
    <row r="709" spans="1:18" s="69" customFormat="1" ht="120">
      <c r="A709" s="256" t="s">
        <v>2053</v>
      </c>
      <c r="B709" s="256" t="s">
        <v>45</v>
      </c>
      <c r="C709" s="256" t="s">
        <v>80</v>
      </c>
      <c r="D709" s="186" t="s">
        <v>2077</v>
      </c>
      <c r="E709" s="187">
        <v>98</v>
      </c>
      <c r="F709" s="256">
        <v>0.55863059721802399</v>
      </c>
      <c r="G709" s="181">
        <v>0</v>
      </c>
      <c r="H709" s="257">
        <v>43313</v>
      </c>
      <c r="I709" s="186" t="s">
        <v>2080</v>
      </c>
      <c r="J709" s="186">
        <v>0</v>
      </c>
      <c r="K709" s="186" t="s">
        <v>2081</v>
      </c>
      <c r="L709" s="256">
        <v>164</v>
      </c>
      <c r="M709" s="256">
        <v>0</v>
      </c>
      <c r="N709" s="256">
        <v>1</v>
      </c>
      <c r="O709" s="256">
        <v>1</v>
      </c>
    </row>
    <row r="710" spans="1:18" s="69" customFormat="1" ht="120">
      <c r="A710" s="256" t="s">
        <v>2053</v>
      </c>
      <c r="B710" s="256" t="s">
        <v>45</v>
      </c>
      <c r="C710" s="256" t="s">
        <v>80</v>
      </c>
      <c r="D710" s="186" t="s">
        <v>2077</v>
      </c>
      <c r="E710" s="187">
        <v>114</v>
      </c>
      <c r="F710" s="256">
        <v>3.1519491738851702E-7</v>
      </c>
      <c r="G710" s="181">
        <v>0</v>
      </c>
      <c r="H710" s="257">
        <v>43307</v>
      </c>
      <c r="I710" s="186" t="s">
        <v>2082</v>
      </c>
      <c r="J710" s="186">
        <v>0</v>
      </c>
      <c r="K710" s="181" t="s">
        <v>2083</v>
      </c>
      <c r="L710" s="256">
        <v>166</v>
      </c>
      <c r="M710" s="256">
        <v>1</v>
      </c>
      <c r="N710" s="256">
        <v>1</v>
      </c>
      <c r="O710" s="256">
        <v>5</v>
      </c>
    </row>
    <row r="711" spans="1:18" s="69" customFormat="1" ht="75">
      <c r="A711" s="256" t="s">
        <v>2053</v>
      </c>
      <c r="B711" s="256" t="s">
        <v>45</v>
      </c>
      <c r="C711" s="256" t="s">
        <v>80</v>
      </c>
      <c r="D711" s="220" t="s">
        <v>180</v>
      </c>
      <c r="E711" s="187">
        <v>48</v>
      </c>
      <c r="F711" s="256">
        <v>0.99374845048093996</v>
      </c>
      <c r="G711" s="181">
        <v>1</v>
      </c>
      <c r="H711" s="257">
        <v>43298</v>
      </c>
      <c r="I711" s="186" t="s">
        <v>2084</v>
      </c>
      <c r="J711" s="186">
        <v>0</v>
      </c>
      <c r="K711" s="186" t="s">
        <v>2085</v>
      </c>
      <c r="L711" s="256">
        <v>104</v>
      </c>
      <c r="M711" s="220">
        <v>2</v>
      </c>
      <c r="N711" s="186">
        <v>1</v>
      </c>
      <c r="O711" s="220">
        <v>8</v>
      </c>
    </row>
    <row r="712" spans="1:18" s="69" customFormat="1" ht="60">
      <c r="A712" s="256" t="s">
        <v>2053</v>
      </c>
      <c r="B712" s="256" t="s">
        <v>59</v>
      </c>
      <c r="C712" s="256" t="s">
        <v>46</v>
      </c>
      <c r="D712" s="186" t="s">
        <v>2086</v>
      </c>
      <c r="E712" s="187">
        <v>93</v>
      </c>
      <c r="F712" s="256">
        <v>3.10811091072982E-3</v>
      </c>
      <c r="G712" s="181">
        <v>1</v>
      </c>
      <c r="H712" s="257">
        <v>43213</v>
      </c>
      <c r="I712" s="186" t="s">
        <v>2087</v>
      </c>
      <c r="J712" s="186">
        <v>0</v>
      </c>
      <c r="K712" s="186" t="s">
        <v>2088</v>
      </c>
      <c r="L712" s="256">
        <v>18</v>
      </c>
      <c r="M712" s="256">
        <v>0</v>
      </c>
      <c r="N712" s="256">
        <v>1</v>
      </c>
      <c r="O712" s="256">
        <v>100</v>
      </c>
    </row>
    <row r="713" spans="1:18" s="69" customFormat="1" ht="195">
      <c r="A713" s="256" t="s">
        <v>2053</v>
      </c>
      <c r="B713" s="256" t="s">
        <v>59</v>
      </c>
      <c r="C713" s="256" t="s">
        <v>46</v>
      </c>
      <c r="D713" s="220" t="s">
        <v>2089</v>
      </c>
      <c r="E713" s="187">
        <v>282</v>
      </c>
      <c r="F713" s="256">
        <v>0.98361445316073104</v>
      </c>
      <c r="G713" s="181">
        <v>1</v>
      </c>
      <c r="H713" s="257">
        <v>43096</v>
      </c>
      <c r="I713" s="181" t="s">
        <v>2090</v>
      </c>
      <c r="J713" s="181">
        <v>1</v>
      </c>
      <c r="K713" s="220" t="s">
        <v>2091</v>
      </c>
      <c r="L713" s="256">
        <v>132</v>
      </c>
      <c r="M713" s="220">
        <v>0</v>
      </c>
      <c r="N713" s="186">
        <v>4</v>
      </c>
      <c r="O713" s="220">
        <v>1</v>
      </c>
    </row>
    <row r="714" spans="1:18" s="69" customFormat="1" ht="120">
      <c r="A714" s="256" t="s">
        <v>2053</v>
      </c>
      <c r="B714" s="256" t="s">
        <v>59</v>
      </c>
      <c r="C714" s="256" t="s">
        <v>80</v>
      </c>
      <c r="D714" s="186" t="s">
        <v>2092</v>
      </c>
      <c r="E714" s="187">
        <v>100</v>
      </c>
      <c r="F714" s="256">
        <v>1.5889112186346799E-2</v>
      </c>
      <c r="G714" s="181">
        <v>1</v>
      </c>
      <c r="H714" s="257">
        <v>42979</v>
      </c>
      <c r="I714" s="186" t="s">
        <v>2093</v>
      </c>
      <c r="J714" s="186">
        <v>0</v>
      </c>
      <c r="K714" s="186" t="s">
        <v>2094</v>
      </c>
      <c r="L714" s="256">
        <v>171</v>
      </c>
      <c r="M714" s="256">
        <v>0</v>
      </c>
      <c r="N714" s="256">
        <v>1</v>
      </c>
      <c r="O714" s="256">
        <v>3</v>
      </c>
    </row>
    <row r="715" spans="1:18" s="69" customFormat="1" ht="75">
      <c r="A715" s="256" t="s">
        <v>2053</v>
      </c>
      <c r="B715" s="256" t="s">
        <v>45</v>
      </c>
      <c r="C715" s="256" t="s">
        <v>80</v>
      </c>
      <c r="D715" s="258" t="s">
        <v>2095</v>
      </c>
      <c r="E715" s="187">
        <v>120</v>
      </c>
      <c r="F715" s="256">
        <v>5.2140768143083002E-6</v>
      </c>
      <c r="G715" s="181">
        <v>1</v>
      </c>
      <c r="H715" s="257">
        <v>42975</v>
      </c>
      <c r="I715" s="220" t="s">
        <v>2096</v>
      </c>
      <c r="J715" s="186">
        <v>1</v>
      </c>
      <c r="K715" s="186" t="s">
        <v>2097</v>
      </c>
      <c r="L715" s="256">
        <v>56</v>
      </c>
      <c r="M715" s="220">
        <v>2</v>
      </c>
      <c r="N715" s="186">
        <v>1</v>
      </c>
      <c r="O715" s="220">
        <v>2</v>
      </c>
    </row>
    <row r="716" spans="1:18" s="69" customFormat="1" ht="75">
      <c r="A716" s="256" t="s">
        <v>2098</v>
      </c>
      <c r="B716" s="256" t="s">
        <v>45</v>
      </c>
      <c r="C716" s="256" t="s">
        <v>221</v>
      </c>
      <c r="D716" s="186" t="s">
        <v>2099</v>
      </c>
      <c r="E716" s="187"/>
      <c r="F716" s="256"/>
      <c r="G716" s="181">
        <v>1</v>
      </c>
      <c r="H716" s="257">
        <v>44170</v>
      </c>
      <c r="I716" s="261" t="s">
        <v>2100</v>
      </c>
      <c r="J716" s="186">
        <v>1</v>
      </c>
      <c r="K716" s="261" t="s">
        <v>2101</v>
      </c>
      <c r="L716" s="256"/>
      <c r="M716" s="186">
        <v>0</v>
      </c>
      <c r="N716" s="186">
        <v>2</v>
      </c>
      <c r="O716" s="186">
        <v>3</v>
      </c>
      <c r="P716" s="69">
        <f>AVERAGE(M716:M733)</f>
        <v>0.3888888888888889</v>
      </c>
      <c r="Q716" s="69">
        <f>AVERAGE(N716:N733)</f>
        <v>1.0555555555555556</v>
      </c>
      <c r="R716" s="69">
        <f>AVERAGE(O716:O733)</f>
        <v>5</v>
      </c>
    </row>
    <row r="717" spans="1:18" s="69" customFormat="1" ht="120">
      <c r="A717" s="256" t="s">
        <v>2098</v>
      </c>
      <c r="B717" s="256" t="s">
        <v>59</v>
      </c>
      <c r="C717" s="256" t="s">
        <v>1223</v>
      </c>
      <c r="D717" s="186" t="s">
        <v>1239</v>
      </c>
      <c r="E717" s="187"/>
      <c r="F717" s="256"/>
      <c r="G717" s="181">
        <v>1</v>
      </c>
      <c r="H717" s="257">
        <v>44139</v>
      </c>
      <c r="I717" s="186" t="s">
        <v>1240</v>
      </c>
      <c r="J717" s="186">
        <v>1</v>
      </c>
      <c r="K717" s="261" t="s">
        <v>1241</v>
      </c>
      <c r="L717" s="256"/>
      <c r="M717" s="186">
        <v>0</v>
      </c>
      <c r="N717" s="186">
        <v>1</v>
      </c>
      <c r="O717" s="186">
        <v>0</v>
      </c>
    </row>
    <row r="718" spans="1:18" s="69" customFormat="1" ht="120">
      <c r="A718" s="256" t="s">
        <v>2098</v>
      </c>
      <c r="B718" s="256" t="s">
        <v>45</v>
      </c>
      <c r="C718" s="256" t="s">
        <v>1223</v>
      </c>
      <c r="D718" s="261" t="s">
        <v>2102</v>
      </c>
      <c r="E718" s="187"/>
      <c r="F718" s="256"/>
      <c r="G718" s="181">
        <v>1</v>
      </c>
      <c r="H718" s="257">
        <v>44069</v>
      </c>
      <c r="I718" s="261" t="s">
        <v>2103</v>
      </c>
      <c r="J718" s="186">
        <v>1</v>
      </c>
      <c r="K718" s="261" t="s">
        <v>2104</v>
      </c>
      <c r="L718" s="256"/>
      <c r="M718" s="186">
        <v>0</v>
      </c>
      <c r="N718" s="186">
        <v>1</v>
      </c>
      <c r="O718" s="186">
        <v>1</v>
      </c>
    </row>
    <row r="719" spans="1:18" s="69" customFormat="1" ht="75">
      <c r="A719" s="256" t="s">
        <v>2098</v>
      </c>
      <c r="B719" s="256" t="s">
        <v>59</v>
      </c>
      <c r="C719" s="256" t="s">
        <v>1223</v>
      </c>
      <c r="D719" s="186" t="s">
        <v>2105</v>
      </c>
      <c r="E719" s="187">
        <v>31</v>
      </c>
      <c r="F719" s="256">
        <v>2.5716234858681498E-2</v>
      </c>
      <c r="G719" s="181">
        <v>1</v>
      </c>
      <c r="H719" s="257">
        <v>44034</v>
      </c>
      <c r="I719" s="258" t="s">
        <v>2106</v>
      </c>
      <c r="J719" s="258">
        <v>1</v>
      </c>
      <c r="K719" s="186" t="s">
        <v>2107</v>
      </c>
      <c r="L719" s="256">
        <v>96</v>
      </c>
      <c r="M719" s="256">
        <v>0</v>
      </c>
      <c r="N719" s="256">
        <v>1</v>
      </c>
      <c r="O719" s="256">
        <v>1</v>
      </c>
      <c r="P719" s="69">
        <f>AVERAGE(M719:M733)</f>
        <v>0.46666666666666667</v>
      </c>
    </row>
    <row r="720" spans="1:18" s="69" customFormat="1" ht="120">
      <c r="A720" s="256" t="s">
        <v>2098</v>
      </c>
      <c r="B720" s="256" t="s">
        <v>45</v>
      </c>
      <c r="C720" s="256" t="s">
        <v>1223</v>
      </c>
      <c r="D720" s="186" t="s">
        <v>2108</v>
      </c>
      <c r="E720" s="187">
        <v>111</v>
      </c>
      <c r="F720" s="256">
        <v>0.10311580567246301</v>
      </c>
      <c r="G720" s="181">
        <v>1</v>
      </c>
      <c r="H720" s="302">
        <v>44032</v>
      </c>
      <c r="I720" s="186" t="s">
        <v>2109</v>
      </c>
      <c r="J720" s="186">
        <v>1</v>
      </c>
      <c r="K720" s="186" t="s">
        <v>2110</v>
      </c>
      <c r="L720" s="256">
        <v>177</v>
      </c>
      <c r="M720" s="256">
        <v>0</v>
      </c>
      <c r="N720" s="256">
        <v>1</v>
      </c>
      <c r="O720" s="256">
        <v>7</v>
      </c>
      <c r="P720" s="69">
        <f>AVERAGE(O719:O733)</f>
        <v>5.7333333333333334</v>
      </c>
    </row>
    <row r="721" spans="1:18" s="69" customFormat="1" ht="105">
      <c r="A721" s="256" t="s">
        <v>2098</v>
      </c>
      <c r="B721" s="256" t="s">
        <v>45</v>
      </c>
      <c r="C721" s="256" t="s">
        <v>46</v>
      </c>
      <c r="D721" s="220" t="s">
        <v>2111</v>
      </c>
      <c r="E721" s="187">
        <v>86</v>
      </c>
      <c r="F721" s="256">
        <v>0.99336864265367997</v>
      </c>
      <c r="G721" s="181">
        <v>0</v>
      </c>
      <c r="H721" s="257">
        <v>43979</v>
      </c>
      <c r="I721" s="186" t="s">
        <v>2112</v>
      </c>
      <c r="J721" s="186">
        <v>1</v>
      </c>
      <c r="K721" s="186" t="s">
        <v>2113</v>
      </c>
      <c r="L721" s="256">
        <v>152</v>
      </c>
      <c r="M721" s="220">
        <v>0</v>
      </c>
      <c r="N721" s="186">
        <v>1</v>
      </c>
      <c r="O721" s="220">
        <v>11</v>
      </c>
    </row>
    <row r="722" spans="1:18" s="69" customFormat="1" ht="120">
      <c r="A722" s="256" t="s">
        <v>2098</v>
      </c>
      <c r="B722" s="256" t="s">
        <v>45</v>
      </c>
      <c r="C722" s="256" t="s">
        <v>4422</v>
      </c>
      <c r="D722" s="186" t="s">
        <v>2114</v>
      </c>
      <c r="E722" s="187">
        <v>193</v>
      </c>
      <c r="F722" s="256">
        <v>5.2841201381159695E-7</v>
      </c>
      <c r="G722" s="181">
        <v>1</v>
      </c>
      <c r="H722" s="257">
        <v>43952</v>
      </c>
      <c r="I722" s="186" t="s">
        <v>2115</v>
      </c>
      <c r="J722" s="186">
        <v>0</v>
      </c>
      <c r="K722" s="186" t="s">
        <v>2116</v>
      </c>
      <c r="L722" s="256">
        <v>158</v>
      </c>
      <c r="M722" s="256">
        <v>0</v>
      </c>
      <c r="N722" s="256">
        <v>1</v>
      </c>
      <c r="O722" s="256">
        <v>6</v>
      </c>
    </row>
    <row r="723" spans="1:18" s="69" customFormat="1" ht="75">
      <c r="A723" s="256" t="s">
        <v>2098</v>
      </c>
      <c r="B723" s="256" t="s">
        <v>45</v>
      </c>
      <c r="C723" s="256" t="s">
        <v>4422</v>
      </c>
      <c r="D723" s="186" t="s">
        <v>2117</v>
      </c>
      <c r="E723" s="187">
        <v>136</v>
      </c>
      <c r="F723" s="256">
        <v>1.6982878769944401E-8</v>
      </c>
      <c r="G723" s="181">
        <v>1</v>
      </c>
      <c r="H723" s="257">
        <v>43835</v>
      </c>
      <c r="I723" s="220" t="s">
        <v>2118</v>
      </c>
      <c r="J723" s="186">
        <v>1</v>
      </c>
      <c r="K723" s="186" t="s">
        <v>2119</v>
      </c>
      <c r="L723" s="256">
        <v>87</v>
      </c>
      <c r="M723" s="220">
        <v>0</v>
      </c>
      <c r="N723" s="186">
        <v>1</v>
      </c>
      <c r="O723" s="220">
        <v>2</v>
      </c>
    </row>
    <row r="724" spans="1:18" s="69" customFormat="1" ht="90">
      <c r="A724" s="256" t="s">
        <v>2098</v>
      </c>
      <c r="B724" s="256" t="s">
        <v>45</v>
      </c>
      <c r="C724" s="256" t="s">
        <v>46</v>
      </c>
      <c r="D724" s="296" t="s">
        <v>2120</v>
      </c>
      <c r="E724" s="187">
        <v>76</v>
      </c>
      <c r="F724" s="256">
        <v>0.69692145410019302</v>
      </c>
      <c r="G724" s="181">
        <v>1</v>
      </c>
      <c r="H724" s="257">
        <v>43703</v>
      </c>
      <c r="I724" s="186" t="s">
        <v>2121</v>
      </c>
      <c r="J724" s="186">
        <v>0</v>
      </c>
      <c r="K724" s="186" t="s">
        <v>2122</v>
      </c>
      <c r="L724" s="256">
        <v>116</v>
      </c>
      <c r="M724" s="256">
        <v>0</v>
      </c>
      <c r="N724" s="256">
        <v>1</v>
      </c>
      <c r="O724" s="256">
        <v>1</v>
      </c>
    </row>
    <row r="725" spans="1:18" s="69" customFormat="1" ht="90">
      <c r="A725" s="256" t="s">
        <v>2098</v>
      </c>
      <c r="B725" s="256" t="s">
        <v>45</v>
      </c>
      <c r="C725" s="256" t="s">
        <v>1223</v>
      </c>
      <c r="D725" s="296" t="s">
        <v>2123</v>
      </c>
      <c r="E725" s="187">
        <v>89</v>
      </c>
      <c r="F725" s="256">
        <v>2.4965904270929399E-3</v>
      </c>
      <c r="G725" s="181">
        <v>1</v>
      </c>
      <c r="H725" s="257">
        <v>43682</v>
      </c>
      <c r="I725" s="186" t="s">
        <v>2124</v>
      </c>
      <c r="J725" s="186">
        <v>1</v>
      </c>
      <c r="K725" s="186" t="s">
        <v>2125</v>
      </c>
      <c r="L725" s="256">
        <v>126</v>
      </c>
      <c r="M725" s="256">
        <v>3</v>
      </c>
      <c r="N725" s="256">
        <v>1</v>
      </c>
      <c r="O725" s="256">
        <v>3</v>
      </c>
    </row>
    <row r="726" spans="1:18" s="69" customFormat="1" ht="60">
      <c r="A726" s="256" t="s">
        <v>2098</v>
      </c>
      <c r="B726" s="256" t="s">
        <v>45</v>
      </c>
      <c r="C726" s="256" t="s">
        <v>1223</v>
      </c>
      <c r="D726" s="186" t="s">
        <v>2126</v>
      </c>
      <c r="E726" s="187">
        <v>78</v>
      </c>
      <c r="F726" s="256">
        <v>1.3044821396188701E-3</v>
      </c>
      <c r="G726" s="181">
        <v>1</v>
      </c>
      <c r="H726" s="257">
        <v>43682</v>
      </c>
      <c r="I726" s="186" t="s">
        <v>2127</v>
      </c>
      <c r="J726" s="186">
        <v>1</v>
      </c>
      <c r="K726" s="186" t="s">
        <v>2128</v>
      </c>
      <c r="L726" s="256">
        <v>77</v>
      </c>
      <c r="M726" s="256">
        <v>0</v>
      </c>
      <c r="N726" s="256">
        <v>1</v>
      </c>
      <c r="O726" s="256">
        <v>1</v>
      </c>
    </row>
    <row r="727" spans="1:18" s="69" customFormat="1" ht="210">
      <c r="A727" s="256" t="s">
        <v>2098</v>
      </c>
      <c r="B727" s="256" t="s">
        <v>45</v>
      </c>
      <c r="C727" s="256" t="s">
        <v>46</v>
      </c>
      <c r="D727" s="296" t="s">
        <v>2129</v>
      </c>
      <c r="E727" s="187">
        <v>410</v>
      </c>
      <c r="F727" s="256">
        <v>5.1292303737682201E-14</v>
      </c>
      <c r="G727" s="181">
        <v>1</v>
      </c>
      <c r="H727" s="257">
        <v>43391</v>
      </c>
      <c r="I727" s="186" t="s">
        <v>2130</v>
      </c>
      <c r="J727" s="186">
        <v>0</v>
      </c>
      <c r="K727" s="186" t="s">
        <v>2131</v>
      </c>
      <c r="L727" s="256">
        <v>113</v>
      </c>
      <c r="M727" s="256">
        <v>0</v>
      </c>
      <c r="N727" s="256">
        <v>1</v>
      </c>
      <c r="O727" s="256">
        <v>4</v>
      </c>
    </row>
    <row r="728" spans="1:18" s="69" customFormat="1" ht="105">
      <c r="A728" s="256" t="s">
        <v>2098</v>
      </c>
      <c r="B728" s="256" t="s">
        <v>45</v>
      </c>
      <c r="C728" s="256" t="s">
        <v>46</v>
      </c>
      <c r="D728" s="296" t="s">
        <v>2132</v>
      </c>
      <c r="E728" s="187">
        <v>199</v>
      </c>
      <c r="F728" s="256">
        <v>1.75845052249324E-4</v>
      </c>
      <c r="G728" s="181">
        <v>1</v>
      </c>
      <c r="H728" s="257">
        <v>43261</v>
      </c>
      <c r="I728" s="186" t="s">
        <v>4423</v>
      </c>
      <c r="J728" s="186">
        <v>1</v>
      </c>
      <c r="K728" s="186" t="s">
        <v>2134</v>
      </c>
      <c r="L728" s="256">
        <v>58</v>
      </c>
      <c r="M728" s="256">
        <v>0</v>
      </c>
      <c r="N728" s="256">
        <v>1</v>
      </c>
      <c r="O728" s="256">
        <v>11</v>
      </c>
    </row>
    <row r="729" spans="1:18" s="69" customFormat="1" ht="90">
      <c r="A729" s="256" t="s">
        <v>2098</v>
      </c>
      <c r="B729" s="256" t="s">
        <v>45</v>
      </c>
      <c r="C729" s="256" t="s">
        <v>80</v>
      </c>
      <c r="D729" s="296" t="s">
        <v>2135</v>
      </c>
      <c r="E729" s="187">
        <v>96</v>
      </c>
      <c r="F729" s="256">
        <v>6.4486261774909805E-8</v>
      </c>
      <c r="G729" s="181">
        <v>1</v>
      </c>
      <c r="H729" s="257">
        <v>43236</v>
      </c>
      <c r="I729" s="186" t="s">
        <v>2136</v>
      </c>
      <c r="J729" s="186">
        <v>0</v>
      </c>
      <c r="K729" s="186" t="s">
        <v>2137</v>
      </c>
      <c r="L729" s="256">
        <v>112</v>
      </c>
      <c r="M729" s="256">
        <v>0</v>
      </c>
      <c r="N729" s="256">
        <v>1</v>
      </c>
      <c r="O729" s="256">
        <v>2</v>
      </c>
    </row>
    <row r="730" spans="1:18" s="69" customFormat="1" ht="75">
      <c r="A730" s="256" t="s">
        <v>2098</v>
      </c>
      <c r="B730" s="256" t="s">
        <v>45</v>
      </c>
      <c r="C730" s="256" t="s">
        <v>46</v>
      </c>
      <c r="D730" s="258" t="s">
        <v>2138</v>
      </c>
      <c r="E730" s="187">
        <v>48</v>
      </c>
      <c r="F730" s="256">
        <v>0.82927401904505604</v>
      </c>
      <c r="G730" s="181">
        <v>1</v>
      </c>
      <c r="H730" s="257">
        <v>43122</v>
      </c>
      <c r="I730" s="181" t="s">
        <v>2139</v>
      </c>
      <c r="J730" s="181">
        <v>1</v>
      </c>
      <c r="K730" s="186" t="s">
        <v>2140</v>
      </c>
      <c r="L730" s="256">
        <v>95</v>
      </c>
      <c r="M730" s="256">
        <v>0</v>
      </c>
      <c r="N730" s="256">
        <v>1</v>
      </c>
      <c r="O730" s="256">
        <v>14</v>
      </c>
    </row>
    <row r="731" spans="1:18" s="69" customFormat="1" ht="90">
      <c r="A731" s="256" t="s">
        <v>2098</v>
      </c>
      <c r="B731" s="256" t="s">
        <v>59</v>
      </c>
      <c r="C731" s="256" t="s">
        <v>46</v>
      </c>
      <c r="D731" s="186" t="s">
        <v>1499</v>
      </c>
      <c r="E731" s="187">
        <v>150</v>
      </c>
      <c r="F731" s="256">
        <v>1.12735354366178E-5</v>
      </c>
      <c r="G731" s="181">
        <v>1</v>
      </c>
      <c r="H731" s="257">
        <v>43104</v>
      </c>
      <c r="I731" s="186" t="s">
        <v>1500</v>
      </c>
      <c r="J731" s="186">
        <v>1</v>
      </c>
      <c r="K731" s="186" t="s">
        <v>1501</v>
      </c>
      <c r="L731" s="256">
        <v>58</v>
      </c>
      <c r="M731" s="256">
        <v>0</v>
      </c>
      <c r="N731" s="256">
        <v>1</v>
      </c>
      <c r="O731" s="256">
        <v>4</v>
      </c>
    </row>
    <row r="732" spans="1:18" s="69" customFormat="1" ht="105">
      <c r="A732" s="256" t="s">
        <v>2098</v>
      </c>
      <c r="B732" s="256" t="s">
        <v>45</v>
      </c>
      <c r="C732" s="256" t="s">
        <v>46</v>
      </c>
      <c r="D732" s="186" t="s">
        <v>2141</v>
      </c>
      <c r="E732" s="187">
        <v>188</v>
      </c>
      <c r="F732" s="256">
        <v>0.99993744518493899</v>
      </c>
      <c r="G732" s="181">
        <v>0</v>
      </c>
      <c r="H732" s="257">
        <v>42993</v>
      </c>
      <c r="I732" s="186" t="s">
        <v>2142</v>
      </c>
      <c r="J732" s="186">
        <v>0</v>
      </c>
      <c r="K732" s="181" t="s">
        <v>2143</v>
      </c>
      <c r="L732" s="256">
        <v>79</v>
      </c>
      <c r="M732" s="256">
        <v>3</v>
      </c>
      <c r="N732" s="256">
        <v>1</v>
      </c>
      <c r="O732" s="256">
        <v>14</v>
      </c>
    </row>
    <row r="733" spans="1:18" s="69" customFormat="1" ht="105">
      <c r="A733" s="256" t="s">
        <v>2098</v>
      </c>
      <c r="B733" s="256" t="s">
        <v>52</v>
      </c>
      <c r="C733" s="256" t="s">
        <v>46</v>
      </c>
      <c r="D733" s="296" t="s">
        <v>2144</v>
      </c>
      <c r="E733" s="187">
        <v>141</v>
      </c>
      <c r="F733" s="256">
        <v>1.6692428610040101E-3</v>
      </c>
      <c r="G733" s="181">
        <v>1</v>
      </c>
      <c r="H733" s="257">
        <v>42991</v>
      </c>
      <c r="I733" s="186" t="s">
        <v>2145</v>
      </c>
      <c r="J733" s="186">
        <v>0</v>
      </c>
      <c r="K733" s="186" t="s">
        <v>2146</v>
      </c>
      <c r="L733" s="256">
        <v>148</v>
      </c>
      <c r="M733" s="256">
        <v>1</v>
      </c>
      <c r="N733" s="256">
        <v>1</v>
      </c>
      <c r="O733" s="256">
        <v>5</v>
      </c>
    </row>
    <row r="734" spans="1:18" s="69" customFormat="1" ht="30">
      <c r="A734" s="256" t="s">
        <v>2147</v>
      </c>
      <c r="B734" s="256" t="s">
        <v>45</v>
      </c>
      <c r="C734" s="256" t="s">
        <v>80</v>
      </c>
      <c r="D734" s="296" t="s">
        <v>2148</v>
      </c>
      <c r="E734" s="187"/>
      <c r="F734" s="256"/>
      <c r="G734" s="181">
        <v>1</v>
      </c>
      <c r="H734" s="263">
        <v>44153</v>
      </c>
      <c r="I734" s="186" t="s">
        <v>2149</v>
      </c>
      <c r="J734" s="186">
        <v>0</v>
      </c>
      <c r="K734" s="265" t="s">
        <v>2150</v>
      </c>
      <c r="L734" s="256"/>
      <c r="M734" s="256">
        <v>0</v>
      </c>
      <c r="N734" s="256">
        <v>1</v>
      </c>
      <c r="O734" s="256">
        <v>5</v>
      </c>
      <c r="P734" s="69">
        <f>AVERAGE(M734:M744)</f>
        <v>0.36363636363636365</v>
      </c>
      <c r="Q734" s="69">
        <f>AVERAGE(N734:N744)</f>
        <v>1.0909090909090908</v>
      </c>
      <c r="R734" s="69">
        <f>AVERAGE(O734:O744)</f>
        <v>7.4545454545454541</v>
      </c>
    </row>
    <row r="735" spans="1:18" s="69" customFormat="1" ht="45">
      <c r="A735" s="256" t="s">
        <v>2147</v>
      </c>
      <c r="B735" s="256" t="s">
        <v>45</v>
      </c>
      <c r="C735" s="256" t="s">
        <v>221</v>
      </c>
      <c r="D735" s="304" t="s">
        <v>2151</v>
      </c>
      <c r="E735" s="187">
        <v>48</v>
      </c>
      <c r="F735" s="256">
        <v>0.77302803448091095</v>
      </c>
      <c r="G735" s="181">
        <v>1</v>
      </c>
      <c r="H735" s="257">
        <v>43957</v>
      </c>
      <c r="I735" s="186" t="s">
        <v>2152</v>
      </c>
      <c r="J735" s="186">
        <v>0</v>
      </c>
      <c r="K735" s="186" t="s">
        <v>2153</v>
      </c>
      <c r="L735" s="256">
        <v>60</v>
      </c>
      <c r="M735" s="304">
        <v>0</v>
      </c>
      <c r="N735" s="258">
        <v>1</v>
      </c>
      <c r="O735" s="304">
        <v>2</v>
      </c>
      <c r="P735" s="69">
        <f>AVERAGE(M735:M744)</f>
        <v>0.4</v>
      </c>
    </row>
    <row r="736" spans="1:18" s="69" customFormat="1" ht="45">
      <c r="A736" s="256" t="s">
        <v>2147</v>
      </c>
      <c r="B736" s="256" t="s">
        <v>45</v>
      </c>
      <c r="C736" s="256" t="s">
        <v>221</v>
      </c>
      <c r="D736" s="220" t="s">
        <v>2154</v>
      </c>
      <c r="E736" s="187">
        <v>48</v>
      </c>
      <c r="F736" s="256">
        <v>2.01733675370225E-2</v>
      </c>
      <c r="G736" s="181">
        <v>1</v>
      </c>
      <c r="H736" s="257">
        <v>43953</v>
      </c>
      <c r="I736" s="186" t="s">
        <v>2155</v>
      </c>
      <c r="J736" s="186">
        <v>0</v>
      </c>
      <c r="K736" s="186" t="s">
        <v>2153</v>
      </c>
      <c r="L736" s="256">
        <v>60</v>
      </c>
      <c r="M736" s="220">
        <v>0</v>
      </c>
      <c r="N736" s="186">
        <v>1</v>
      </c>
      <c r="O736" s="220">
        <v>6</v>
      </c>
      <c r="P736" s="69">
        <f>AVERAGE(O735:O744)</f>
        <v>7.7</v>
      </c>
    </row>
    <row r="737" spans="1:15" s="69" customFormat="1" ht="45">
      <c r="A737" s="256" t="s">
        <v>2147</v>
      </c>
      <c r="B737" s="256" t="s">
        <v>45</v>
      </c>
      <c r="C737" s="256" t="s">
        <v>80</v>
      </c>
      <c r="D737" s="258" t="s">
        <v>305</v>
      </c>
      <c r="E737" s="187">
        <v>38</v>
      </c>
      <c r="F737" s="256">
        <v>1.29934366982143E-3</v>
      </c>
      <c r="G737" s="181">
        <v>1</v>
      </c>
      <c r="H737" s="257">
        <v>43839</v>
      </c>
      <c r="I737" s="186" t="s">
        <v>2156</v>
      </c>
      <c r="J737" s="186">
        <v>0</v>
      </c>
      <c r="K737" s="186" t="s">
        <v>2157</v>
      </c>
      <c r="L737" s="256">
        <v>57</v>
      </c>
      <c r="M737" s="256">
        <v>0</v>
      </c>
      <c r="N737" s="256">
        <v>1</v>
      </c>
      <c r="O737" s="256">
        <v>4</v>
      </c>
    </row>
    <row r="738" spans="1:15" s="69" customFormat="1" ht="30">
      <c r="A738" s="256" t="s">
        <v>2147</v>
      </c>
      <c r="B738" s="256" t="s">
        <v>45</v>
      </c>
      <c r="C738" s="256" t="s">
        <v>80</v>
      </c>
      <c r="D738" s="258" t="s">
        <v>2158</v>
      </c>
      <c r="E738" s="187">
        <v>49</v>
      </c>
      <c r="F738" s="256">
        <v>1.0462323777916699E-3</v>
      </c>
      <c r="G738" s="181">
        <v>1</v>
      </c>
      <c r="H738" s="257">
        <v>43732</v>
      </c>
      <c r="I738" s="186" t="s">
        <v>2159</v>
      </c>
      <c r="J738" s="186">
        <v>0</v>
      </c>
      <c r="K738" s="186" t="s">
        <v>2160</v>
      </c>
      <c r="L738" s="256">
        <v>25</v>
      </c>
      <c r="M738" s="256">
        <v>0</v>
      </c>
      <c r="N738" s="256">
        <v>1</v>
      </c>
      <c r="O738" s="256">
        <v>2</v>
      </c>
    </row>
    <row r="739" spans="1:15" s="69" customFormat="1" ht="60">
      <c r="A739" s="256" t="s">
        <v>2147</v>
      </c>
      <c r="B739" s="256" t="s">
        <v>45</v>
      </c>
      <c r="C739" s="256" t="s">
        <v>46</v>
      </c>
      <c r="D739" s="186" t="s">
        <v>2161</v>
      </c>
      <c r="E739" s="187">
        <v>113</v>
      </c>
      <c r="F739" s="256">
        <v>0.99983465225648505</v>
      </c>
      <c r="G739" s="181">
        <v>1</v>
      </c>
      <c r="H739" s="257">
        <v>43431</v>
      </c>
      <c r="I739" s="186" t="s">
        <v>2162</v>
      </c>
      <c r="J739" s="186">
        <v>1</v>
      </c>
      <c r="K739" s="258" t="s">
        <v>2163</v>
      </c>
      <c r="L739" s="256">
        <v>19</v>
      </c>
      <c r="M739" s="256">
        <v>2</v>
      </c>
      <c r="N739" s="256">
        <v>1</v>
      </c>
      <c r="O739" s="256">
        <v>22</v>
      </c>
    </row>
    <row r="740" spans="1:15" s="69" customFormat="1" ht="75">
      <c r="A740" s="256" t="s">
        <v>2147</v>
      </c>
      <c r="B740" s="256" t="s">
        <v>45</v>
      </c>
      <c r="C740" s="256" t="s">
        <v>46</v>
      </c>
      <c r="D740" s="186" t="s">
        <v>2164</v>
      </c>
      <c r="E740" s="187">
        <v>122</v>
      </c>
      <c r="F740" s="256">
        <v>6.2955423331079196E-4</v>
      </c>
      <c r="G740" s="181">
        <v>1</v>
      </c>
      <c r="H740" s="257">
        <v>43314</v>
      </c>
      <c r="I740" s="186" t="s">
        <v>2165</v>
      </c>
      <c r="J740" s="186">
        <v>1</v>
      </c>
      <c r="K740" s="186" t="s">
        <v>2166</v>
      </c>
      <c r="L740" s="256">
        <v>98</v>
      </c>
      <c r="M740" s="256">
        <v>0</v>
      </c>
      <c r="N740" s="256">
        <v>1</v>
      </c>
      <c r="O740" s="256">
        <v>5</v>
      </c>
    </row>
    <row r="741" spans="1:15" s="69" customFormat="1" ht="105">
      <c r="A741" s="256" t="s">
        <v>2147</v>
      </c>
      <c r="B741" s="256" t="s">
        <v>45</v>
      </c>
      <c r="C741" s="256" t="s">
        <v>46</v>
      </c>
      <c r="D741" s="220" t="s">
        <v>2167</v>
      </c>
      <c r="E741" s="187">
        <v>180</v>
      </c>
      <c r="F741" s="256">
        <v>1.7096563376117799E-7</v>
      </c>
      <c r="G741" s="181">
        <v>1</v>
      </c>
      <c r="H741" s="257">
        <v>43246</v>
      </c>
      <c r="I741" s="186" t="s">
        <v>2168</v>
      </c>
      <c r="J741" s="186">
        <v>1</v>
      </c>
      <c r="K741" s="186" t="s">
        <v>2169</v>
      </c>
      <c r="L741" s="256">
        <v>74</v>
      </c>
      <c r="M741" s="220">
        <v>1</v>
      </c>
      <c r="N741" s="186">
        <v>1</v>
      </c>
      <c r="O741" s="220">
        <v>5</v>
      </c>
    </row>
    <row r="742" spans="1:15" s="69" customFormat="1" ht="75">
      <c r="A742" s="256" t="s">
        <v>2147</v>
      </c>
      <c r="B742" s="256" t="s">
        <v>45</v>
      </c>
      <c r="C742" s="256" t="s">
        <v>80</v>
      </c>
      <c r="D742" s="186" t="s">
        <v>2170</v>
      </c>
      <c r="E742" s="187">
        <v>106</v>
      </c>
      <c r="F742" s="256">
        <v>4.9524448986204601E-8</v>
      </c>
      <c r="G742" s="181">
        <v>1</v>
      </c>
      <c r="H742" s="257">
        <v>43220</v>
      </c>
      <c r="I742" s="186" t="s">
        <v>2171</v>
      </c>
      <c r="J742" s="186">
        <v>0</v>
      </c>
      <c r="K742" s="186" t="s">
        <v>2172</v>
      </c>
      <c r="L742" s="256">
        <v>83</v>
      </c>
      <c r="M742" s="256">
        <v>0</v>
      </c>
      <c r="N742" s="256">
        <v>1</v>
      </c>
      <c r="O742" s="256">
        <v>3</v>
      </c>
    </row>
    <row r="743" spans="1:15" s="69" customFormat="1" ht="30">
      <c r="A743" s="256" t="s">
        <v>2147</v>
      </c>
      <c r="B743" s="256" t="s">
        <v>45</v>
      </c>
      <c r="C743" s="256" t="s">
        <v>80</v>
      </c>
      <c r="D743" s="258" t="s">
        <v>2173</v>
      </c>
      <c r="E743" s="187">
        <v>32</v>
      </c>
      <c r="F743" s="256">
        <v>0.189194102300553</v>
      </c>
      <c r="G743" s="181">
        <v>1</v>
      </c>
      <c r="H743" s="257">
        <v>42669</v>
      </c>
      <c r="I743" s="186" t="s">
        <v>2174</v>
      </c>
      <c r="J743" s="186">
        <v>1</v>
      </c>
      <c r="K743" s="186" t="s">
        <v>2175</v>
      </c>
      <c r="L743" s="256">
        <v>41</v>
      </c>
      <c r="M743" s="256">
        <v>0</v>
      </c>
      <c r="N743" s="256">
        <v>2</v>
      </c>
      <c r="O743" s="256">
        <v>14</v>
      </c>
    </row>
    <row r="744" spans="1:15" s="69" customFormat="1" ht="90">
      <c r="A744" s="256" t="s">
        <v>2147</v>
      </c>
      <c r="B744" s="256" t="s">
        <v>45</v>
      </c>
      <c r="C744" s="256" t="s">
        <v>46</v>
      </c>
      <c r="D744" s="258" t="s">
        <v>2176</v>
      </c>
      <c r="E744" s="187">
        <v>152</v>
      </c>
      <c r="F744" s="256">
        <v>2.8489557122313201E-6</v>
      </c>
      <c r="G744" s="181">
        <v>0</v>
      </c>
      <c r="H744" s="257">
        <v>42576</v>
      </c>
      <c r="I744" s="186" t="s">
        <v>2177</v>
      </c>
      <c r="J744" s="186">
        <v>0</v>
      </c>
      <c r="K744" s="186" t="s">
        <v>2178</v>
      </c>
      <c r="L744" s="256">
        <v>79</v>
      </c>
      <c r="M744" s="256">
        <v>1</v>
      </c>
      <c r="N744" s="256">
        <v>1</v>
      </c>
      <c r="O744" s="256">
        <v>14</v>
      </c>
    </row>
  </sheetData>
  <autoFilter ref="A1:O744" xr:uid="{00000000-0009-0000-0000-000002000000}"/>
  <phoneticPr fontId="16" type="noConversion"/>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75"/>
  <sheetViews>
    <sheetView workbookViewId="0">
      <selection activeCell="E2" sqref="E2"/>
    </sheetView>
  </sheetViews>
  <sheetFormatPr baseColWidth="10" defaultColWidth="8.6640625" defaultRowHeight="15"/>
  <cols>
    <col min="2" max="3" width="9" customWidth="1"/>
    <col min="4" max="8" width="10.83203125" customWidth="1"/>
    <col min="9" max="9" width="55.5" customWidth="1"/>
    <col min="10" max="10" width="14.5" customWidth="1"/>
    <col min="11" max="11" width="42.83203125" customWidth="1"/>
    <col min="12" max="12" width="9" customWidth="1"/>
    <col min="16" max="18" width="8.6640625" style="277"/>
  </cols>
  <sheetData>
    <row r="1" spans="1:18" s="69" customFormat="1" ht="45">
      <c r="A1" s="181" t="s">
        <v>1</v>
      </c>
      <c r="B1" s="254" t="s">
        <v>2</v>
      </c>
      <c r="C1" s="254" t="s">
        <v>3</v>
      </c>
      <c r="D1" s="254" t="s">
        <v>4</v>
      </c>
      <c r="E1" s="146" t="s">
        <v>5</v>
      </c>
      <c r="F1" s="254" t="s">
        <v>4342</v>
      </c>
      <c r="G1" s="254" t="s">
        <v>11</v>
      </c>
      <c r="H1" s="255" t="s">
        <v>12</v>
      </c>
      <c r="I1" s="254" t="s">
        <v>18</v>
      </c>
      <c r="J1" s="254" t="s">
        <v>4343</v>
      </c>
      <c r="K1" s="181" t="s">
        <v>19</v>
      </c>
      <c r="L1" s="256">
        <f>LEN(K1)</f>
        <v>3</v>
      </c>
      <c r="M1" s="181" t="s">
        <v>21</v>
      </c>
      <c r="N1" s="181" t="s">
        <v>4344</v>
      </c>
      <c r="O1" s="181" t="s">
        <v>22</v>
      </c>
      <c r="P1" s="281" t="s">
        <v>23</v>
      </c>
      <c r="Q1" s="282"/>
      <c r="R1" s="282"/>
    </row>
    <row r="2" spans="1:18" s="69" customFormat="1" ht="226">
      <c r="A2" s="256" t="s">
        <v>2179</v>
      </c>
      <c r="B2" s="256" t="s">
        <v>45</v>
      </c>
      <c r="C2" s="256" t="s">
        <v>46</v>
      </c>
      <c r="D2" s="186" t="s">
        <v>2180</v>
      </c>
      <c r="E2" s="187">
        <f>LEN(I2)</f>
        <v>375</v>
      </c>
      <c r="F2" s="256">
        <v>0.99984408595843099</v>
      </c>
      <c r="G2" s="278">
        <v>0</v>
      </c>
      <c r="H2" s="279">
        <v>43623</v>
      </c>
      <c r="I2" s="181" t="s">
        <v>4424</v>
      </c>
      <c r="J2" s="181">
        <v>0</v>
      </c>
      <c r="K2" s="186" t="s">
        <v>2182</v>
      </c>
      <c r="L2" s="256">
        <f>LEN(K2)</f>
        <v>105</v>
      </c>
      <c r="M2" s="256">
        <v>0</v>
      </c>
      <c r="N2" s="256">
        <v>1</v>
      </c>
      <c r="O2" s="256">
        <v>5</v>
      </c>
      <c r="P2" s="282">
        <f>AVERAGE(M2:M34)</f>
        <v>0.15151515151515152</v>
      </c>
      <c r="Q2" s="282">
        <f>AVERAGE(N2:N34)</f>
        <v>1.303030303030303</v>
      </c>
      <c r="R2" s="282">
        <f>AVERAGE(O2:O34)</f>
        <v>8.0606060606060606</v>
      </c>
    </row>
    <row r="3" spans="1:18" s="69" customFormat="1" ht="61">
      <c r="A3" s="256" t="s">
        <v>2179</v>
      </c>
      <c r="B3" s="256" t="s">
        <v>45</v>
      </c>
      <c r="C3" s="256" t="s">
        <v>46</v>
      </c>
      <c r="D3" s="181" t="s">
        <v>2183</v>
      </c>
      <c r="E3" s="187">
        <f t="shared" ref="E3:E66" si="0">LEN(I3)</f>
        <v>23</v>
      </c>
      <c r="F3" s="256">
        <v>5.7047072639920503E-2</v>
      </c>
      <c r="G3" s="278">
        <v>1</v>
      </c>
      <c r="H3" s="280">
        <v>43454</v>
      </c>
      <c r="I3" s="256" t="s">
        <v>2184</v>
      </c>
      <c r="J3" s="256">
        <v>0</v>
      </c>
      <c r="K3" s="181" t="s">
        <v>2185</v>
      </c>
      <c r="L3" s="256">
        <v>87</v>
      </c>
      <c r="M3" s="256">
        <v>0</v>
      </c>
      <c r="N3" s="256">
        <v>1</v>
      </c>
      <c r="O3" s="256">
        <v>1</v>
      </c>
      <c r="P3" s="69">
        <f>AVERAGE(M2:M175)</f>
        <v>0.39080459770114945</v>
      </c>
      <c r="Q3" s="282">
        <f>AVERAGE(N2:N175)</f>
        <v>1.1839080459770115</v>
      </c>
      <c r="R3" s="282">
        <f>AVERAGE(O2:O175)</f>
        <v>5.9367816091954024</v>
      </c>
    </row>
    <row r="4" spans="1:18" s="69" customFormat="1" ht="76">
      <c r="A4" s="256" t="s">
        <v>2179</v>
      </c>
      <c r="B4" s="256" t="s">
        <v>45</v>
      </c>
      <c r="C4" s="256" t="s">
        <v>46</v>
      </c>
      <c r="D4" s="186" t="s">
        <v>2186</v>
      </c>
      <c r="E4" s="187">
        <f t="shared" si="0"/>
        <v>64</v>
      </c>
      <c r="F4" s="256">
        <v>0.99852270152900502</v>
      </c>
      <c r="G4" s="278">
        <v>0</v>
      </c>
      <c r="H4" s="279">
        <v>43397</v>
      </c>
      <c r="I4" s="181" t="s">
        <v>2187</v>
      </c>
      <c r="J4" s="181">
        <v>0</v>
      </c>
      <c r="K4" s="181" t="s">
        <v>2188</v>
      </c>
      <c r="L4" s="256">
        <v>95</v>
      </c>
      <c r="M4" s="256">
        <v>0</v>
      </c>
      <c r="N4" s="256">
        <v>1</v>
      </c>
      <c r="O4" s="256">
        <v>7</v>
      </c>
      <c r="P4" s="282"/>
      <c r="Q4" s="282"/>
      <c r="R4" s="282"/>
    </row>
    <row r="5" spans="1:18" s="69" customFormat="1" ht="76">
      <c r="A5" s="256" t="s">
        <v>2179</v>
      </c>
      <c r="B5" s="256" t="s">
        <v>45</v>
      </c>
      <c r="C5" s="256" t="s">
        <v>46</v>
      </c>
      <c r="D5" s="186" t="s">
        <v>2189</v>
      </c>
      <c r="E5" s="187">
        <f t="shared" si="0"/>
        <v>37</v>
      </c>
      <c r="F5" s="256">
        <v>0.41828903895418801</v>
      </c>
      <c r="G5" s="278">
        <v>0</v>
      </c>
      <c r="H5" s="279">
        <v>43363</v>
      </c>
      <c r="I5" s="181" t="s">
        <v>2190</v>
      </c>
      <c r="J5" s="181">
        <v>0</v>
      </c>
      <c r="K5" s="186" t="s">
        <v>2191</v>
      </c>
      <c r="L5" s="256">
        <v>100</v>
      </c>
      <c r="M5" s="256">
        <v>0</v>
      </c>
      <c r="N5" s="256">
        <v>1</v>
      </c>
      <c r="O5" s="256">
        <v>21</v>
      </c>
      <c r="P5" s="282"/>
      <c r="Q5" s="282"/>
      <c r="R5" s="282"/>
    </row>
    <row r="6" spans="1:18" s="69" customFormat="1" ht="46">
      <c r="A6" s="256" t="s">
        <v>2179</v>
      </c>
      <c r="B6" s="256" t="s">
        <v>45</v>
      </c>
      <c r="C6" s="256" t="s">
        <v>80</v>
      </c>
      <c r="D6" s="181" t="s">
        <v>1459</v>
      </c>
      <c r="E6" s="187">
        <f t="shared" si="0"/>
        <v>45</v>
      </c>
      <c r="F6" s="256">
        <v>1.19152638280445E-2</v>
      </c>
      <c r="G6" s="278">
        <v>1</v>
      </c>
      <c r="H6" s="279">
        <v>43341</v>
      </c>
      <c r="I6" s="181" t="s">
        <v>2192</v>
      </c>
      <c r="J6" s="181">
        <v>1</v>
      </c>
      <c r="K6" s="181" t="s">
        <v>2193</v>
      </c>
      <c r="L6" s="256">
        <v>44</v>
      </c>
      <c r="M6" s="256">
        <v>0</v>
      </c>
      <c r="N6" s="256">
        <v>1</v>
      </c>
      <c r="O6" s="256">
        <v>1</v>
      </c>
      <c r="P6" s="282"/>
      <c r="Q6" s="282"/>
      <c r="R6" s="282"/>
    </row>
    <row r="7" spans="1:18" s="69" customFormat="1" ht="31">
      <c r="A7" s="256" t="s">
        <v>2179</v>
      </c>
      <c r="B7" s="256" t="s">
        <v>45</v>
      </c>
      <c r="C7" s="256" t="s">
        <v>80</v>
      </c>
      <c r="D7" s="186" t="s">
        <v>2194</v>
      </c>
      <c r="E7" s="187">
        <f t="shared" si="0"/>
        <v>35</v>
      </c>
      <c r="F7" s="256">
        <v>5.6273654349421297E-3</v>
      </c>
      <c r="G7" s="278">
        <v>0</v>
      </c>
      <c r="H7" s="279">
        <v>43338</v>
      </c>
      <c r="I7" s="256" t="s">
        <v>2195</v>
      </c>
      <c r="J7" s="256">
        <v>1</v>
      </c>
      <c r="K7" s="181" t="s">
        <v>2196</v>
      </c>
      <c r="L7" s="256">
        <v>39</v>
      </c>
      <c r="M7" s="256">
        <v>0</v>
      </c>
      <c r="N7" s="256">
        <v>1</v>
      </c>
      <c r="O7" s="256">
        <v>2</v>
      </c>
      <c r="P7" s="282"/>
      <c r="Q7" s="282"/>
      <c r="R7" s="282"/>
    </row>
    <row r="8" spans="1:18" s="69" customFormat="1" ht="136">
      <c r="A8" s="256" t="s">
        <v>2179</v>
      </c>
      <c r="B8" s="256" t="s">
        <v>45</v>
      </c>
      <c r="C8" s="256" t="s">
        <v>80</v>
      </c>
      <c r="D8" s="181" t="s">
        <v>305</v>
      </c>
      <c r="E8" s="187">
        <f t="shared" si="0"/>
        <v>114</v>
      </c>
      <c r="F8" s="256">
        <v>2.1236614316604298E-3</v>
      </c>
      <c r="G8" s="278">
        <v>1</v>
      </c>
      <c r="H8" s="280">
        <v>43334</v>
      </c>
      <c r="I8" s="181" t="s">
        <v>2197</v>
      </c>
      <c r="J8" s="181">
        <v>0</v>
      </c>
      <c r="K8" s="181" t="s">
        <v>2198</v>
      </c>
      <c r="L8" s="256">
        <v>192</v>
      </c>
      <c r="M8" s="256">
        <v>0</v>
      </c>
      <c r="N8" s="256">
        <v>1</v>
      </c>
      <c r="O8" s="256">
        <v>2</v>
      </c>
      <c r="P8" s="282"/>
      <c r="Q8" s="282"/>
      <c r="R8" s="282"/>
    </row>
    <row r="9" spans="1:18" s="69" customFormat="1" ht="106">
      <c r="A9" s="256" t="s">
        <v>2179</v>
      </c>
      <c r="B9" s="256" t="s">
        <v>119</v>
      </c>
      <c r="C9" s="256" t="s">
        <v>46</v>
      </c>
      <c r="D9" s="186" t="s">
        <v>2199</v>
      </c>
      <c r="E9" s="187">
        <f t="shared" si="0"/>
        <v>63</v>
      </c>
      <c r="F9" s="256">
        <v>0.435327254207797</v>
      </c>
      <c r="G9" s="278">
        <v>1</v>
      </c>
      <c r="H9" s="279">
        <v>43287</v>
      </c>
      <c r="I9" s="181" t="s">
        <v>2200</v>
      </c>
      <c r="J9" s="181">
        <v>1</v>
      </c>
      <c r="K9" s="181" t="s">
        <v>2201</v>
      </c>
      <c r="L9" s="256">
        <v>154</v>
      </c>
      <c r="M9" s="256">
        <v>0</v>
      </c>
      <c r="N9" s="256">
        <v>1</v>
      </c>
      <c r="O9" s="256">
        <v>4</v>
      </c>
      <c r="P9" s="282"/>
      <c r="Q9" s="282"/>
      <c r="R9" s="282"/>
    </row>
    <row r="10" spans="1:18" s="69" customFormat="1" ht="106">
      <c r="A10" s="256" t="s">
        <v>2179</v>
      </c>
      <c r="B10" s="256" t="s">
        <v>45</v>
      </c>
      <c r="C10" s="256" t="s">
        <v>80</v>
      </c>
      <c r="D10" s="186" t="s">
        <v>2202</v>
      </c>
      <c r="E10" s="187">
        <f t="shared" si="0"/>
        <v>67</v>
      </c>
      <c r="F10" s="256">
        <v>3.8680296053061902E-4</v>
      </c>
      <c r="G10" s="278">
        <v>1</v>
      </c>
      <c r="H10" s="279">
        <v>43234</v>
      </c>
      <c r="I10" s="181" t="s">
        <v>2203</v>
      </c>
      <c r="J10" s="181">
        <v>1</v>
      </c>
      <c r="K10" s="181" t="s">
        <v>2204</v>
      </c>
      <c r="L10" s="256">
        <v>150</v>
      </c>
      <c r="M10" s="256">
        <v>0</v>
      </c>
      <c r="N10" s="256">
        <v>1</v>
      </c>
      <c r="O10" s="256">
        <v>2</v>
      </c>
      <c r="P10" s="282"/>
      <c r="Q10" s="282"/>
      <c r="R10" s="282"/>
    </row>
    <row r="11" spans="1:18" s="69" customFormat="1" ht="91">
      <c r="A11" s="256" t="s">
        <v>2179</v>
      </c>
      <c r="B11" s="256" t="s">
        <v>45</v>
      </c>
      <c r="C11" s="256" t="s">
        <v>80</v>
      </c>
      <c r="D11" s="186" t="s">
        <v>2205</v>
      </c>
      <c r="E11" s="187">
        <f t="shared" si="0"/>
        <v>69</v>
      </c>
      <c r="F11" s="256">
        <v>1.35910981862608E-4</v>
      </c>
      <c r="G11" s="278">
        <v>0</v>
      </c>
      <c r="H11" s="279">
        <v>43219</v>
      </c>
      <c r="I11" s="181" t="s">
        <v>2206</v>
      </c>
      <c r="J11" s="181">
        <v>0</v>
      </c>
      <c r="K11" s="186" t="s">
        <v>2207</v>
      </c>
      <c r="L11" s="256">
        <v>132</v>
      </c>
      <c r="M11" s="256">
        <v>0</v>
      </c>
      <c r="N11" s="256">
        <v>1</v>
      </c>
      <c r="O11" s="256">
        <v>4</v>
      </c>
      <c r="P11" s="282"/>
      <c r="Q11" s="282"/>
      <c r="R11" s="282"/>
    </row>
    <row r="12" spans="1:18" s="69" customFormat="1" ht="136">
      <c r="A12" s="256" t="s">
        <v>2179</v>
      </c>
      <c r="B12" s="256" t="s">
        <v>45</v>
      </c>
      <c r="C12" s="256" t="s">
        <v>80</v>
      </c>
      <c r="D12" s="186" t="s">
        <v>305</v>
      </c>
      <c r="E12" s="187">
        <f t="shared" si="0"/>
        <v>87</v>
      </c>
      <c r="F12" s="256">
        <v>1.51153567471418E-5</v>
      </c>
      <c r="G12" s="278">
        <v>0</v>
      </c>
      <c r="H12" s="279">
        <v>43209</v>
      </c>
      <c r="I12" s="186" t="s">
        <v>2208</v>
      </c>
      <c r="J12" s="186">
        <v>0</v>
      </c>
      <c r="K12" s="186" t="s">
        <v>2209</v>
      </c>
      <c r="L12" s="256">
        <v>201</v>
      </c>
      <c r="M12" s="256">
        <v>0</v>
      </c>
      <c r="N12" s="256">
        <v>1</v>
      </c>
      <c r="O12" s="256">
        <v>4</v>
      </c>
      <c r="P12" s="282"/>
      <c r="Q12" s="282"/>
      <c r="R12" s="282"/>
    </row>
    <row r="13" spans="1:18" s="69" customFormat="1" ht="76">
      <c r="A13" s="256" t="s">
        <v>2179</v>
      </c>
      <c r="B13" s="256" t="s">
        <v>45</v>
      </c>
      <c r="C13" s="256" t="s">
        <v>46</v>
      </c>
      <c r="D13" s="186" t="s">
        <v>2210</v>
      </c>
      <c r="E13" s="187">
        <f t="shared" si="0"/>
        <v>103</v>
      </c>
      <c r="F13" s="256">
        <v>0.89923523783779202</v>
      </c>
      <c r="G13" s="278">
        <v>1</v>
      </c>
      <c r="H13" s="279">
        <v>43198</v>
      </c>
      <c r="I13" s="283" t="s">
        <v>2211</v>
      </c>
      <c r="J13" s="284">
        <v>0</v>
      </c>
      <c r="K13" s="181" t="s">
        <v>2212</v>
      </c>
      <c r="L13" s="256">
        <v>82</v>
      </c>
      <c r="M13" s="256">
        <v>0</v>
      </c>
      <c r="N13" s="256">
        <v>1</v>
      </c>
      <c r="O13" s="256">
        <v>3</v>
      </c>
      <c r="P13" s="282"/>
      <c r="Q13" s="282"/>
      <c r="R13" s="282"/>
    </row>
    <row r="14" spans="1:18" s="69" customFormat="1" ht="91">
      <c r="A14" s="256" t="s">
        <v>2179</v>
      </c>
      <c r="B14" s="256" t="s">
        <v>45</v>
      </c>
      <c r="C14" s="256" t="s">
        <v>46</v>
      </c>
      <c r="D14" s="258" t="s">
        <v>1483</v>
      </c>
      <c r="E14" s="187">
        <f t="shared" si="0"/>
        <v>160</v>
      </c>
      <c r="F14" s="256">
        <v>5.2884513741462396E-3</v>
      </c>
      <c r="G14" s="278">
        <v>1</v>
      </c>
      <c r="H14" s="279">
        <v>43178</v>
      </c>
      <c r="I14" s="181" t="s">
        <v>2213</v>
      </c>
      <c r="J14" s="181">
        <v>0</v>
      </c>
      <c r="K14" s="181" t="s">
        <v>2214</v>
      </c>
      <c r="L14" s="256">
        <v>56</v>
      </c>
      <c r="M14" s="256">
        <v>0</v>
      </c>
      <c r="N14" s="256">
        <v>1</v>
      </c>
      <c r="O14" s="256">
        <v>2</v>
      </c>
      <c r="P14" s="282"/>
      <c r="Q14" s="282"/>
      <c r="R14" s="282"/>
    </row>
    <row r="15" spans="1:18" s="69" customFormat="1" ht="76">
      <c r="A15" s="256" t="s">
        <v>2179</v>
      </c>
      <c r="B15" s="256" t="s">
        <v>45</v>
      </c>
      <c r="C15" s="256" t="s">
        <v>46</v>
      </c>
      <c r="D15" s="258" t="s">
        <v>2154</v>
      </c>
      <c r="E15" s="187">
        <f t="shared" si="0"/>
        <v>62</v>
      </c>
      <c r="F15" s="256">
        <v>2.91744313817861E-2</v>
      </c>
      <c r="G15" s="278">
        <v>1</v>
      </c>
      <c r="H15" s="279">
        <v>43165</v>
      </c>
      <c r="I15" s="181" t="s">
        <v>2215</v>
      </c>
      <c r="J15" s="181">
        <v>0</v>
      </c>
      <c r="K15" s="181" t="s">
        <v>2216</v>
      </c>
      <c r="L15" s="256">
        <v>95</v>
      </c>
      <c r="M15" s="256">
        <v>0</v>
      </c>
      <c r="N15" s="256">
        <v>1</v>
      </c>
      <c r="O15" s="256">
        <v>2</v>
      </c>
      <c r="P15" s="282"/>
      <c r="Q15" s="282"/>
      <c r="R15" s="282"/>
    </row>
    <row r="16" spans="1:18" s="69" customFormat="1" ht="136">
      <c r="A16" s="256" t="s">
        <v>2179</v>
      </c>
      <c r="B16" s="256" t="s">
        <v>45</v>
      </c>
      <c r="C16" s="256" t="s">
        <v>76</v>
      </c>
      <c r="D16" s="186" t="s">
        <v>2217</v>
      </c>
      <c r="E16" s="187">
        <f t="shared" si="0"/>
        <v>216</v>
      </c>
      <c r="F16" s="256">
        <v>3.9650304705096698E-6</v>
      </c>
      <c r="G16" s="278">
        <v>1</v>
      </c>
      <c r="H16" s="279">
        <v>43089</v>
      </c>
      <c r="I16" s="181" t="s">
        <v>2218</v>
      </c>
      <c r="J16" s="181">
        <v>0</v>
      </c>
      <c r="K16" s="181" t="s">
        <v>2219</v>
      </c>
      <c r="L16" s="256">
        <v>193</v>
      </c>
      <c r="M16" s="256">
        <v>0</v>
      </c>
      <c r="N16" s="256">
        <v>1</v>
      </c>
      <c r="O16" s="256">
        <v>1</v>
      </c>
      <c r="P16" s="282"/>
      <c r="Q16" s="282"/>
      <c r="R16" s="282"/>
    </row>
    <row r="17" spans="1:18" s="69" customFormat="1" ht="136">
      <c r="A17" s="256" t="s">
        <v>2179</v>
      </c>
      <c r="B17" s="256" t="s">
        <v>45</v>
      </c>
      <c r="C17" s="256" t="s">
        <v>76</v>
      </c>
      <c r="D17" s="186" t="s">
        <v>2220</v>
      </c>
      <c r="E17" s="187">
        <f t="shared" si="0"/>
        <v>33</v>
      </c>
      <c r="F17" s="256">
        <v>3.8664438779638698E-3</v>
      </c>
      <c r="G17" s="278">
        <v>1</v>
      </c>
      <c r="H17" s="279">
        <v>43084</v>
      </c>
      <c r="I17" s="258" t="s">
        <v>2221</v>
      </c>
      <c r="J17" s="258">
        <v>0</v>
      </c>
      <c r="K17" s="181" t="s">
        <v>2222</v>
      </c>
      <c r="L17" s="256">
        <v>182</v>
      </c>
      <c r="M17" s="256">
        <v>0</v>
      </c>
      <c r="N17" s="256">
        <v>1</v>
      </c>
      <c r="O17" s="256">
        <v>7</v>
      </c>
      <c r="P17" s="282"/>
      <c r="Q17" s="282"/>
      <c r="R17" s="282"/>
    </row>
    <row r="18" spans="1:18" s="69" customFormat="1" ht="121">
      <c r="A18" s="256" t="s">
        <v>2179</v>
      </c>
      <c r="B18" s="256" t="s">
        <v>45</v>
      </c>
      <c r="C18" s="256" t="s">
        <v>80</v>
      </c>
      <c r="D18" s="258" t="s">
        <v>159</v>
      </c>
      <c r="E18" s="187">
        <f t="shared" si="0"/>
        <v>61</v>
      </c>
      <c r="F18" s="256">
        <v>0.45293602386521897</v>
      </c>
      <c r="G18" s="278">
        <v>1</v>
      </c>
      <c r="H18" s="279">
        <v>43083</v>
      </c>
      <c r="I18" s="181" t="s">
        <v>2223</v>
      </c>
      <c r="J18" s="181">
        <v>0</v>
      </c>
      <c r="K18" s="181" t="s">
        <v>2224</v>
      </c>
      <c r="L18" s="256">
        <v>160</v>
      </c>
      <c r="M18" s="256">
        <v>0</v>
      </c>
      <c r="N18" s="256">
        <v>1</v>
      </c>
      <c r="O18" s="256">
        <v>4</v>
      </c>
      <c r="P18" s="282"/>
      <c r="Q18" s="282"/>
      <c r="R18" s="282"/>
    </row>
    <row r="19" spans="1:18" s="69" customFormat="1" ht="136">
      <c r="A19" s="256" t="s">
        <v>2179</v>
      </c>
      <c r="B19" s="256" t="s">
        <v>45</v>
      </c>
      <c r="C19" s="256" t="s">
        <v>76</v>
      </c>
      <c r="D19" s="186" t="s">
        <v>2217</v>
      </c>
      <c r="E19" s="187">
        <f t="shared" si="0"/>
        <v>216</v>
      </c>
      <c r="F19" s="256">
        <v>3.9650304705096698E-6</v>
      </c>
      <c r="G19" s="278">
        <v>1</v>
      </c>
      <c r="H19" s="279">
        <v>43083</v>
      </c>
      <c r="I19" s="181" t="s">
        <v>2218</v>
      </c>
      <c r="J19" s="181">
        <v>0</v>
      </c>
      <c r="K19" s="181" t="s">
        <v>2219</v>
      </c>
      <c r="L19" s="256">
        <v>193</v>
      </c>
      <c r="M19" s="256">
        <v>0</v>
      </c>
      <c r="N19" s="256">
        <v>1</v>
      </c>
      <c r="O19" s="256">
        <v>4</v>
      </c>
      <c r="P19" s="282"/>
      <c r="Q19" s="282"/>
      <c r="R19" s="282"/>
    </row>
    <row r="20" spans="1:18" s="69" customFormat="1" ht="91">
      <c r="A20" s="256" t="s">
        <v>2179</v>
      </c>
      <c r="B20" s="256" t="s">
        <v>45</v>
      </c>
      <c r="C20" s="256" t="s">
        <v>76</v>
      </c>
      <c r="D20" s="186" t="s">
        <v>2225</v>
      </c>
      <c r="E20" s="187">
        <f t="shared" si="0"/>
        <v>67</v>
      </c>
      <c r="F20" s="256">
        <v>1.1247867319319499E-5</v>
      </c>
      <c r="G20" s="278">
        <v>1</v>
      </c>
      <c r="H20" s="280">
        <v>43080</v>
      </c>
      <c r="I20" s="181" t="s">
        <v>2226</v>
      </c>
      <c r="J20" s="181">
        <v>0</v>
      </c>
      <c r="K20" s="181" t="s">
        <v>2227</v>
      </c>
      <c r="L20" s="256">
        <v>98</v>
      </c>
      <c r="M20" s="256">
        <v>0</v>
      </c>
      <c r="N20" s="256">
        <v>1</v>
      </c>
      <c r="O20" s="256">
        <v>2</v>
      </c>
      <c r="P20" s="282"/>
      <c r="Q20" s="282"/>
      <c r="R20" s="282"/>
    </row>
    <row r="21" spans="1:18" s="69" customFormat="1" ht="91">
      <c r="A21" s="256" t="s">
        <v>2179</v>
      </c>
      <c r="B21" s="256" t="s">
        <v>45</v>
      </c>
      <c r="C21" s="256" t="s">
        <v>80</v>
      </c>
      <c r="D21" s="186" t="s">
        <v>2228</v>
      </c>
      <c r="E21" s="187">
        <f t="shared" si="0"/>
        <v>71</v>
      </c>
      <c r="F21" s="256">
        <v>1.64913888286644E-2</v>
      </c>
      <c r="G21" s="278">
        <v>1</v>
      </c>
      <c r="H21" s="280">
        <v>43077</v>
      </c>
      <c r="I21" s="181" t="s">
        <v>2229</v>
      </c>
      <c r="J21" s="181">
        <v>0</v>
      </c>
      <c r="K21" s="181" t="s">
        <v>2230</v>
      </c>
      <c r="L21" s="256">
        <v>99</v>
      </c>
      <c r="M21" s="256">
        <v>0</v>
      </c>
      <c r="N21" s="256">
        <v>1</v>
      </c>
      <c r="O21" s="256">
        <v>4</v>
      </c>
      <c r="P21" s="282"/>
      <c r="Q21" s="282"/>
      <c r="R21" s="282"/>
    </row>
    <row r="22" spans="1:18" s="69" customFormat="1" ht="76">
      <c r="A22" s="256" t="s">
        <v>2179</v>
      </c>
      <c r="B22" s="256" t="s">
        <v>45</v>
      </c>
      <c r="C22" s="256" t="s">
        <v>80</v>
      </c>
      <c r="D22" s="181" t="s">
        <v>2228</v>
      </c>
      <c r="E22" s="187">
        <f t="shared" si="0"/>
        <v>69</v>
      </c>
      <c r="F22" s="256">
        <v>4.7318439663435199E-5</v>
      </c>
      <c r="G22" s="278">
        <v>1</v>
      </c>
      <c r="H22" s="279">
        <v>43075</v>
      </c>
      <c r="I22" s="181" t="s">
        <v>2231</v>
      </c>
      <c r="J22" s="181">
        <v>0</v>
      </c>
      <c r="K22" s="186" t="s">
        <v>2227</v>
      </c>
      <c r="L22" s="256">
        <v>98</v>
      </c>
      <c r="M22" s="256">
        <v>0</v>
      </c>
      <c r="N22" s="256">
        <v>1</v>
      </c>
      <c r="O22" s="256">
        <v>14</v>
      </c>
      <c r="P22" s="282"/>
      <c r="Q22" s="282"/>
      <c r="R22" s="282"/>
    </row>
    <row r="23" spans="1:18" s="69" customFormat="1" ht="76">
      <c r="A23" s="256" t="s">
        <v>2179</v>
      </c>
      <c r="B23" s="256" t="s">
        <v>45</v>
      </c>
      <c r="C23" s="256" t="s">
        <v>80</v>
      </c>
      <c r="D23" s="258" t="s">
        <v>200</v>
      </c>
      <c r="E23" s="187">
        <f t="shared" si="0"/>
        <v>43</v>
      </c>
      <c r="F23" s="256">
        <v>6.3761633211238903E-3</v>
      </c>
      <c r="G23" s="278">
        <v>1</v>
      </c>
      <c r="H23" s="279">
        <v>43074</v>
      </c>
      <c r="I23" s="181" t="s">
        <v>2232</v>
      </c>
      <c r="J23" s="181">
        <v>0</v>
      </c>
      <c r="K23" s="181" t="s">
        <v>2227</v>
      </c>
      <c r="L23" s="256">
        <v>98</v>
      </c>
      <c r="M23" s="256">
        <v>0</v>
      </c>
      <c r="N23" s="256">
        <v>1</v>
      </c>
      <c r="O23" s="256">
        <v>13</v>
      </c>
      <c r="P23" s="282"/>
      <c r="Q23" s="282"/>
      <c r="R23" s="282"/>
    </row>
    <row r="24" spans="1:18" s="69" customFormat="1" ht="76">
      <c r="A24" s="256" t="s">
        <v>2179</v>
      </c>
      <c r="B24" s="256" t="s">
        <v>45</v>
      </c>
      <c r="C24" s="256" t="s">
        <v>46</v>
      </c>
      <c r="D24" s="181" t="s">
        <v>2233</v>
      </c>
      <c r="E24" s="187">
        <f t="shared" si="0"/>
        <v>137</v>
      </c>
      <c r="F24" s="256">
        <v>1.6855074328470099E-6</v>
      </c>
      <c r="G24" s="278">
        <v>1</v>
      </c>
      <c r="H24" s="279">
        <v>43068</v>
      </c>
      <c r="I24" s="181" t="s">
        <v>2234</v>
      </c>
      <c r="J24" s="181">
        <v>0</v>
      </c>
      <c r="K24" s="181" t="s">
        <v>2235</v>
      </c>
      <c r="L24" s="256">
        <v>60</v>
      </c>
      <c r="M24" s="256">
        <v>0</v>
      </c>
      <c r="N24" s="256">
        <v>1</v>
      </c>
      <c r="O24" s="256">
        <v>13</v>
      </c>
      <c r="P24" s="282"/>
      <c r="Q24" s="282"/>
      <c r="R24" s="282"/>
    </row>
    <row r="25" spans="1:18" s="69" customFormat="1" ht="76">
      <c r="A25" s="256" t="s">
        <v>2179</v>
      </c>
      <c r="B25" s="256" t="s">
        <v>59</v>
      </c>
      <c r="C25" s="256" t="s">
        <v>46</v>
      </c>
      <c r="D25" s="258" t="s">
        <v>141</v>
      </c>
      <c r="E25" s="187">
        <f t="shared" si="0"/>
        <v>52</v>
      </c>
      <c r="F25" s="256">
        <v>0.78852273145537</v>
      </c>
      <c r="G25" s="278">
        <v>1</v>
      </c>
      <c r="H25" s="280">
        <v>43032</v>
      </c>
      <c r="I25" s="181" t="s">
        <v>2236</v>
      </c>
      <c r="J25" s="181">
        <v>0</v>
      </c>
      <c r="K25" s="181" t="s">
        <v>2237</v>
      </c>
      <c r="L25" s="256">
        <v>108</v>
      </c>
      <c r="M25" s="256">
        <v>0</v>
      </c>
      <c r="N25" s="256">
        <v>1</v>
      </c>
      <c r="O25" s="256">
        <v>2</v>
      </c>
      <c r="P25" s="282"/>
      <c r="Q25" s="282"/>
      <c r="R25" s="282"/>
    </row>
    <row r="26" spans="1:18" s="69" customFormat="1" ht="91">
      <c r="A26" s="256" t="s">
        <v>2179</v>
      </c>
      <c r="B26" s="256" t="s">
        <v>45</v>
      </c>
      <c r="C26" s="256" t="s">
        <v>46</v>
      </c>
      <c r="D26" s="186" t="s">
        <v>2238</v>
      </c>
      <c r="E26" s="187">
        <f t="shared" si="0"/>
        <v>33</v>
      </c>
      <c r="F26" s="256">
        <v>7.7697226484209096E-3</v>
      </c>
      <c r="G26" s="278">
        <v>0</v>
      </c>
      <c r="H26" s="279">
        <v>43031</v>
      </c>
      <c r="I26" s="181" t="s">
        <v>2239</v>
      </c>
      <c r="J26" s="181">
        <v>0</v>
      </c>
      <c r="K26" s="181" t="s">
        <v>2240</v>
      </c>
      <c r="L26" s="256">
        <v>122</v>
      </c>
      <c r="M26" s="256">
        <v>0</v>
      </c>
      <c r="N26" s="256">
        <v>1</v>
      </c>
      <c r="O26" s="256">
        <v>2</v>
      </c>
      <c r="P26" s="282"/>
      <c r="Q26" s="282"/>
      <c r="R26" s="282"/>
    </row>
    <row r="27" spans="1:18" s="69" customFormat="1" ht="151">
      <c r="A27" s="256" t="s">
        <v>2179</v>
      </c>
      <c r="B27" s="256" t="s">
        <v>45</v>
      </c>
      <c r="C27" s="256" t="s">
        <v>80</v>
      </c>
      <c r="D27" s="186" t="s">
        <v>2241</v>
      </c>
      <c r="E27" s="187">
        <f t="shared" si="0"/>
        <v>52</v>
      </c>
      <c r="F27" s="256">
        <v>0.92801817045409896</v>
      </c>
      <c r="G27" s="278">
        <v>1</v>
      </c>
      <c r="H27" s="280">
        <v>42942</v>
      </c>
      <c r="I27" s="181" t="s">
        <v>2242</v>
      </c>
      <c r="J27" s="181">
        <v>1</v>
      </c>
      <c r="K27" s="181" t="s">
        <v>2243</v>
      </c>
      <c r="L27" s="256">
        <v>219</v>
      </c>
      <c r="M27" s="256">
        <v>0</v>
      </c>
      <c r="N27" s="256">
        <v>1</v>
      </c>
      <c r="O27" s="256">
        <v>5</v>
      </c>
      <c r="P27" s="282"/>
      <c r="Q27" s="282"/>
      <c r="R27" s="282"/>
    </row>
    <row r="28" spans="1:18" s="69" customFormat="1" ht="106">
      <c r="A28" s="256" t="s">
        <v>2179</v>
      </c>
      <c r="B28" s="256" t="s">
        <v>119</v>
      </c>
      <c r="C28" s="256" t="s">
        <v>46</v>
      </c>
      <c r="D28" s="186" t="s">
        <v>4425</v>
      </c>
      <c r="E28" s="187">
        <f t="shared" si="0"/>
        <v>117</v>
      </c>
      <c r="F28" s="256">
        <v>0.99999954861085605</v>
      </c>
      <c r="G28" s="278">
        <v>0</v>
      </c>
      <c r="H28" s="280">
        <v>42825</v>
      </c>
      <c r="I28" s="181" t="s">
        <v>4426</v>
      </c>
      <c r="J28" s="181">
        <v>1</v>
      </c>
      <c r="K28" s="283" t="s">
        <v>2246</v>
      </c>
      <c r="L28" s="256">
        <v>120</v>
      </c>
      <c r="M28" s="256">
        <v>0</v>
      </c>
      <c r="N28" s="256">
        <v>1</v>
      </c>
      <c r="O28" s="256">
        <v>10</v>
      </c>
      <c r="P28" s="282"/>
      <c r="Q28" s="282"/>
      <c r="R28" s="282"/>
    </row>
    <row r="29" spans="1:18" s="69" customFormat="1" ht="256">
      <c r="A29" s="256" t="s">
        <v>2179</v>
      </c>
      <c r="B29" s="256" t="s">
        <v>45</v>
      </c>
      <c r="C29" s="256" t="s">
        <v>46</v>
      </c>
      <c r="D29" s="181" t="s">
        <v>2247</v>
      </c>
      <c r="E29" s="187">
        <f t="shared" si="0"/>
        <v>462</v>
      </c>
      <c r="F29" s="256">
        <v>0.913261111495831</v>
      </c>
      <c r="G29" s="278">
        <v>1</v>
      </c>
      <c r="H29" s="280">
        <v>42667</v>
      </c>
      <c r="I29" s="181" t="s">
        <v>4427</v>
      </c>
      <c r="J29" s="181">
        <v>1</v>
      </c>
      <c r="K29" s="181" t="s">
        <v>2249</v>
      </c>
      <c r="L29" s="256">
        <v>190</v>
      </c>
      <c r="M29" s="256">
        <v>1</v>
      </c>
      <c r="N29" s="256">
        <v>6</v>
      </c>
      <c r="O29" s="256">
        <v>25</v>
      </c>
      <c r="P29" s="282"/>
      <c r="Q29" s="282"/>
      <c r="R29" s="282"/>
    </row>
    <row r="30" spans="1:18" s="69" customFormat="1" ht="136">
      <c r="A30" s="256" t="s">
        <v>2179</v>
      </c>
      <c r="B30" s="256" t="s">
        <v>59</v>
      </c>
      <c r="C30" s="256" t="s">
        <v>46</v>
      </c>
      <c r="D30" s="186" t="s">
        <v>2250</v>
      </c>
      <c r="E30" s="187">
        <f t="shared" si="0"/>
        <v>202</v>
      </c>
      <c r="F30" s="256">
        <v>3.3214996850516099E-2</v>
      </c>
      <c r="G30" s="278">
        <v>1</v>
      </c>
      <c r="H30" s="279">
        <v>42666</v>
      </c>
      <c r="I30" s="181" t="s">
        <v>2251</v>
      </c>
      <c r="J30" s="181">
        <v>0</v>
      </c>
      <c r="K30" s="186" t="s">
        <v>2252</v>
      </c>
      <c r="L30" s="256">
        <v>199</v>
      </c>
      <c r="M30" s="256">
        <v>0</v>
      </c>
      <c r="N30" s="256">
        <v>2</v>
      </c>
      <c r="O30" s="256">
        <v>9</v>
      </c>
      <c r="P30" s="282"/>
      <c r="Q30" s="282"/>
      <c r="R30" s="282"/>
    </row>
    <row r="31" spans="1:18" s="69" customFormat="1" ht="106">
      <c r="A31" s="256" t="s">
        <v>2179</v>
      </c>
      <c r="B31" s="256" t="s">
        <v>45</v>
      </c>
      <c r="C31" s="256" t="s">
        <v>46</v>
      </c>
      <c r="D31" s="181" t="s">
        <v>2253</v>
      </c>
      <c r="E31" s="187">
        <f t="shared" si="0"/>
        <v>107</v>
      </c>
      <c r="F31" s="256">
        <v>1.5796330151696101E-5</v>
      </c>
      <c r="G31" s="278">
        <v>1</v>
      </c>
      <c r="H31" s="279">
        <v>42622</v>
      </c>
      <c r="I31" s="181" t="s">
        <v>2254</v>
      </c>
      <c r="J31" s="181">
        <v>0</v>
      </c>
      <c r="K31" s="181" t="s">
        <v>4428</v>
      </c>
      <c r="L31" s="256">
        <v>154</v>
      </c>
      <c r="M31" s="256">
        <v>0</v>
      </c>
      <c r="N31" s="256">
        <v>1</v>
      </c>
      <c r="O31" s="256">
        <v>10</v>
      </c>
      <c r="P31" s="282"/>
      <c r="Q31" s="282"/>
      <c r="R31" s="282"/>
    </row>
    <row r="32" spans="1:18" s="69" customFormat="1" ht="106">
      <c r="A32" s="256" t="s">
        <v>2179</v>
      </c>
      <c r="B32" s="256" t="s">
        <v>45</v>
      </c>
      <c r="C32" s="256" t="s">
        <v>46</v>
      </c>
      <c r="D32" s="181" t="s">
        <v>2256</v>
      </c>
      <c r="E32" s="187">
        <f t="shared" si="0"/>
        <v>191</v>
      </c>
      <c r="F32" s="256">
        <v>0.99999958625407404</v>
      </c>
      <c r="G32" s="278">
        <v>1</v>
      </c>
      <c r="H32" s="279">
        <v>42568</v>
      </c>
      <c r="I32" s="181" t="s">
        <v>4429</v>
      </c>
      <c r="J32" s="181">
        <v>1</v>
      </c>
      <c r="K32" s="181" t="s">
        <v>4428</v>
      </c>
      <c r="L32" s="256">
        <v>154</v>
      </c>
      <c r="M32" s="256">
        <v>1</v>
      </c>
      <c r="N32" s="256">
        <v>3</v>
      </c>
      <c r="O32" s="256">
        <v>23</v>
      </c>
      <c r="P32" s="282"/>
      <c r="Q32" s="282"/>
      <c r="R32" s="282"/>
    </row>
    <row r="33" spans="1:18" s="69" customFormat="1" ht="61">
      <c r="A33" s="256" t="s">
        <v>2179</v>
      </c>
      <c r="B33" s="256" t="s">
        <v>45</v>
      </c>
      <c r="C33" s="256" t="s">
        <v>80</v>
      </c>
      <c r="D33" s="186" t="s">
        <v>2258</v>
      </c>
      <c r="E33" s="187">
        <f t="shared" si="0"/>
        <v>33</v>
      </c>
      <c r="F33" s="256">
        <v>0.73616800547924499</v>
      </c>
      <c r="G33" s="278">
        <v>1</v>
      </c>
      <c r="H33" s="279">
        <v>42533</v>
      </c>
      <c r="I33" s="256" t="s">
        <v>2259</v>
      </c>
      <c r="J33" s="256">
        <v>0</v>
      </c>
      <c r="K33" s="186" t="s">
        <v>2260</v>
      </c>
      <c r="L33" s="256">
        <v>81</v>
      </c>
      <c r="M33" s="256">
        <v>1</v>
      </c>
      <c r="N33" s="256">
        <v>2</v>
      </c>
      <c r="O33" s="256">
        <v>22</v>
      </c>
      <c r="P33" s="282"/>
      <c r="Q33" s="282"/>
      <c r="R33" s="282"/>
    </row>
    <row r="34" spans="1:18" s="69" customFormat="1" ht="106">
      <c r="A34" s="256" t="s">
        <v>2179</v>
      </c>
      <c r="B34" s="256" t="s">
        <v>45</v>
      </c>
      <c r="C34" s="256" t="s">
        <v>46</v>
      </c>
      <c r="D34" s="186" t="s">
        <v>2261</v>
      </c>
      <c r="E34" s="187">
        <f t="shared" si="0"/>
        <v>95</v>
      </c>
      <c r="F34" s="256">
        <v>3.8537008347145497E-2</v>
      </c>
      <c r="G34" s="278">
        <v>1</v>
      </c>
      <c r="H34" s="279">
        <v>42407</v>
      </c>
      <c r="I34" s="181" t="s">
        <v>2262</v>
      </c>
      <c r="J34" s="181">
        <v>0</v>
      </c>
      <c r="K34" s="181" t="s">
        <v>2263</v>
      </c>
      <c r="L34" s="256">
        <v>153</v>
      </c>
      <c r="M34" s="256">
        <v>2</v>
      </c>
      <c r="N34" s="256">
        <v>2</v>
      </c>
      <c r="O34" s="256">
        <v>36</v>
      </c>
      <c r="P34" s="282"/>
      <c r="Q34" s="282"/>
      <c r="R34" s="282"/>
    </row>
    <row r="35" spans="1:18" s="69" customFormat="1" ht="76">
      <c r="A35" s="256" t="s">
        <v>2264</v>
      </c>
      <c r="B35" s="256" t="s">
        <v>45</v>
      </c>
      <c r="C35" s="256" t="s">
        <v>46</v>
      </c>
      <c r="D35" s="258" t="s">
        <v>2264</v>
      </c>
      <c r="E35" s="187">
        <f t="shared" si="0"/>
        <v>34</v>
      </c>
      <c r="F35" s="256">
        <v>8.8958562749007694E-2</v>
      </c>
      <c r="G35" s="278">
        <v>1</v>
      </c>
      <c r="H35" s="280">
        <v>43712</v>
      </c>
      <c r="I35" s="256" t="s">
        <v>2265</v>
      </c>
      <c r="J35" s="256">
        <v>0</v>
      </c>
      <c r="K35" s="181" t="s">
        <v>2266</v>
      </c>
      <c r="L35" s="256">
        <v>105</v>
      </c>
      <c r="M35" s="256">
        <v>0</v>
      </c>
      <c r="N35" s="256">
        <v>1</v>
      </c>
      <c r="O35" s="256">
        <v>1</v>
      </c>
      <c r="P35" s="282">
        <f>AVERAGE(M35:M44)</f>
        <v>0.3</v>
      </c>
      <c r="Q35" s="282">
        <f>AVERAGE(N35:N44)</f>
        <v>1</v>
      </c>
      <c r="R35" s="282">
        <f>AVERAGE(O35:O44)</f>
        <v>6.4</v>
      </c>
    </row>
    <row r="36" spans="1:18" s="69" customFormat="1" ht="61">
      <c r="A36" s="256" t="s">
        <v>2264</v>
      </c>
      <c r="B36" s="256" t="s">
        <v>45</v>
      </c>
      <c r="C36" s="256" t="s">
        <v>80</v>
      </c>
      <c r="D36" s="186" t="s">
        <v>2267</v>
      </c>
      <c r="E36" s="187">
        <f t="shared" si="0"/>
        <v>94</v>
      </c>
      <c r="F36" s="256">
        <v>0.29887167684435201</v>
      </c>
      <c r="G36" s="278">
        <v>1</v>
      </c>
      <c r="H36" s="279">
        <v>43287</v>
      </c>
      <c r="I36" s="181" t="s">
        <v>2268</v>
      </c>
      <c r="J36" s="181">
        <v>1</v>
      </c>
      <c r="K36" s="181" t="s">
        <v>2269</v>
      </c>
      <c r="L36" s="256">
        <v>70</v>
      </c>
      <c r="M36" s="256">
        <v>2</v>
      </c>
      <c r="N36" s="256">
        <v>1</v>
      </c>
      <c r="O36" s="256">
        <v>10</v>
      </c>
      <c r="P36" s="282"/>
      <c r="Q36" s="282"/>
      <c r="R36" s="282"/>
    </row>
    <row r="37" spans="1:18" s="69" customFormat="1" ht="76">
      <c r="A37" s="256" t="s">
        <v>2264</v>
      </c>
      <c r="B37" s="256" t="s">
        <v>45</v>
      </c>
      <c r="C37" s="256" t="s">
        <v>46</v>
      </c>
      <c r="D37" s="258" t="s">
        <v>159</v>
      </c>
      <c r="E37" s="187">
        <f t="shared" si="0"/>
        <v>74</v>
      </c>
      <c r="F37" s="256">
        <v>1.3663512760134401E-2</v>
      </c>
      <c r="G37" s="278">
        <v>1</v>
      </c>
      <c r="H37" s="280">
        <v>43076</v>
      </c>
      <c r="I37" s="181" t="s">
        <v>2270</v>
      </c>
      <c r="J37" s="181">
        <v>0</v>
      </c>
      <c r="K37" s="181" t="s">
        <v>2271</v>
      </c>
      <c r="L37" s="256">
        <v>97</v>
      </c>
      <c r="M37" s="256">
        <v>0</v>
      </c>
      <c r="N37" s="256">
        <v>1</v>
      </c>
      <c r="O37" s="256">
        <v>13</v>
      </c>
      <c r="P37" s="282"/>
      <c r="Q37" s="282"/>
      <c r="R37" s="282"/>
    </row>
    <row r="38" spans="1:18" s="69" customFormat="1" ht="76">
      <c r="A38" s="256" t="s">
        <v>2264</v>
      </c>
      <c r="B38" s="256" t="s">
        <v>45</v>
      </c>
      <c r="C38" s="256" t="s">
        <v>46</v>
      </c>
      <c r="D38" s="186" t="s">
        <v>2272</v>
      </c>
      <c r="E38" s="187">
        <f t="shared" si="0"/>
        <v>134</v>
      </c>
      <c r="F38" s="256">
        <v>1.0111142404456401E-6</v>
      </c>
      <c r="G38" s="278">
        <v>1</v>
      </c>
      <c r="H38" s="280">
        <v>43075</v>
      </c>
      <c r="I38" s="186" t="s">
        <v>2273</v>
      </c>
      <c r="J38" s="186">
        <v>0</v>
      </c>
      <c r="K38" s="181" t="s">
        <v>2271</v>
      </c>
      <c r="L38" s="256">
        <v>97</v>
      </c>
      <c r="M38" s="256">
        <v>0</v>
      </c>
      <c r="N38" s="256">
        <v>1</v>
      </c>
      <c r="O38" s="256">
        <v>13</v>
      </c>
      <c r="P38" s="282"/>
      <c r="Q38" s="282"/>
      <c r="R38" s="282"/>
    </row>
    <row r="39" spans="1:18" s="69" customFormat="1" ht="76">
      <c r="A39" s="256" t="s">
        <v>2264</v>
      </c>
      <c r="B39" s="256" t="s">
        <v>45</v>
      </c>
      <c r="C39" s="256" t="s">
        <v>80</v>
      </c>
      <c r="D39" s="258" t="s">
        <v>159</v>
      </c>
      <c r="E39" s="187">
        <f t="shared" si="0"/>
        <v>71</v>
      </c>
      <c r="F39" s="256">
        <v>0.49732761511608697</v>
      </c>
      <c r="G39" s="278">
        <v>1</v>
      </c>
      <c r="H39" s="279">
        <v>43068</v>
      </c>
      <c r="I39" s="181" t="s">
        <v>2274</v>
      </c>
      <c r="J39" s="181">
        <v>0</v>
      </c>
      <c r="K39" s="181" t="s">
        <v>2271</v>
      </c>
      <c r="L39" s="256">
        <v>97</v>
      </c>
      <c r="M39" s="256">
        <v>0</v>
      </c>
      <c r="N39" s="256">
        <v>1</v>
      </c>
      <c r="O39" s="256">
        <v>13</v>
      </c>
      <c r="P39" s="282"/>
      <c r="Q39" s="282"/>
      <c r="R39" s="282"/>
    </row>
    <row r="40" spans="1:18" s="69" customFormat="1" ht="76">
      <c r="A40" s="256" t="s">
        <v>2264</v>
      </c>
      <c r="B40" s="256" t="s">
        <v>45</v>
      </c>
      <c r="C40" s="256" t="s">
        <v>46</v>
      </c>
      <c r="D40" s="186" t="s">
        <v>2275</v>
      </c>
      <c r="E40" s="187">
        <f t="shared" si="0"/>
        <v>96</v>
      </c>
      <c r="F40" s="256">
        <v>0.103001497042837</v>
      </c>
      <c r="G40" s="278">
        <v>0</v>
      </c>
      <c r="H40" s="279">
        <v>43068</v>
      </c>
      <c r="I40" s="186" t="s">
        <v>2276</v>
      </c>
      <c r="J40" s="186">
        <v>0</v>
      </c>
      <c r="K40" s="181" t="s">
        <v>2277</v>
      </c>
      <c r="L40" s="256">
        <v>91</v>
      </c>
      <c r="M40" s="256">
        <v>0</v>
      </c>
      <c r="N40" s="256">
        <v>1</v>
      </c>
      <c r="O40" s="256">
        <v>3</v>
      </c>
      <c r="P40" s="282"/>
      <c r="Q40" s="282"/>
      <c r="R40" s="282"/>
    </row>
    <row r="41" spans="1:18" s="69" customFormat="1" ht="76">
      <c r="A41" s="256" t="s">
        <v>2264</v>
      </c>
      <c r="B41" s="256" t="s">
        <v>45</v>
      </c>
      <c r="C41" s="256" t="s">
        <v>46</v>
      </c>
      <c r="D41" s="186" t="s">
        <v>2278</v>
      </c>
      <c r="E41" s="187">
        <f t="shared" si="0"/>
        <v>96</v>
      </c>
      <c r="F41" s="256">
        <v>0.103001497042837</v>
      </c>
      <c r="G41" s="278">
        <v>0</v>
      </c>
      <c r="H41" s="279">
        <v>43068</v>
      </c>
      <c r="I41" s="181" t="s">
        <v>2276</v>
      </c>
      <c r="J41" s="181">
        <v>0</v>
      </c>
      <c r="K41" s="181" t="s">
        <v>2277</v>
      </c>
      <c r="L41" s="256">
        <v>91</v>
      </c>
      <c r="M41" s="256">
        <v>0</v>
      </c>
      <c r="N41" s="256">
        <v>1</v>
      </c>
      <c r="O41" s="256">
        <v>3</v>
      </c>
      <c r="P41" s="282"/>
      <c r="Q41" s="282"/>
      <c r="R41" s="282"/>
    </row>
    <row r="42" spans="1:18" s="69" customFormat="1" ht="76">
      <c r="A42" s="256" t="s">
        <v>2264</v>
      </c>
      <c r="B42" s="256" t="s">
        <v>45</v>
      </c>
      <c r="C42" s="256" t="s">
        <v>46</v>
      </c>
      <c r="D42" s="186" t="s">
        <v>2279</v>
      </c>
      <c r="E42" s="187">
        <f t="shared" si="0"/>
        <v>70</v>
      </c>
      <c r="F42" s="256">
        <v>2.7618845774567E-2</v>
      </c>
      <c r="G42" s="278">
        <v>1</v>
      </c>
      <c r="H42" s="279">
        <v>43045</v>
      </c>
      <c r="I42" s="186" t="s">
        <v>2280</v>
      </c>
      <c r="J42" s="186">
        <v>1</v>
      </c>
      <c r="K42" s="186" t="s">
        <v>2281</v>
      </c>
      <c r="L42" s="256">
        <v>53</v>
      </c>
      <c r="M42" s="256">
        <v>1</v>
      </c>
      <c r="N42" s="256">
        <v>1</v>
      </c>
      <c r="O42" s="256">
        <v>3</v>
      </c>
      <c r="P42" s="282"/>
      <c r="Q42" s="282"/>
      <c r="R42" s="282"/>
    </row>
    <row r="43" spans="1:18" s="69" customFormat="1" ht="61">
      <c r="A43" s="256" t="s">
        <v>2264</v>
      </c>
      <c r="B43" s="256" t="s">
        <v>45</v>
      </c>
      <c r="C43" s="256" t="s">
        <v>46</v>
      </c>
      <c r="D43" s="186" t="s">
        <v>2282</v>
      </c>
      <c r="E43" s="187">
        <f t="shared" si="0"/>
        <v>91</v>
      </c>
      <c r="F43" s="256">
        <v>8.6701007148803897E-5</v>
      </c>
      <c r="G43" s="278">
        <v>1</v>
      </c>
      <c r="H43" s="279">
        <v>43045</v>
      </c>
      <c r="I43" s="186" t="s">
        <v>2283</v>
      </c>
      <c r="J43" s="186">
        <v>1</v>
      </c>
      <c r="K43" s="186" t="s">
        <v>2281</v>
      </c>
      <c r="L43" s="256">
        <v>53</v>
      </c>
      <c r="M43" s="256">
        <v>0</v>
      </c>
      <c r="N43" s="256">
        <v>1</v>
      </c>
      <c r="O43" s="256">
        <v>3</v>
      </c>
      <c r="P43" s="282"/>
      <c r="Q43" s="282"/>
      <c r="R43" s="282"/>
    </row>
    <row r="44" spans="1:18" s="69" customFormat="1" ht="91">
      <c r="A44" s="256" t="s">
        <v>2264</v>
      </c>
      <c r="B44" s="256" t="s">
        <v>45</v>
      </c>
      <c r="C44" s="256" t="s">
        <v>46</v>
      </c>
      <c r="D44" s="186" t="s">
        <v>2284</v>
      </c>
      <c r="E44" s="187">
        <f t="shared" si="0"/>
        <v>113</v>
      </c>
      <c r="F44" s="256">
        <v>0.99999780357336898</v>
      </c>
      <c r="G44" s="278">
        <v>1</v>
      </c>
      <c r="H44" s="279">
        <v>42905</v>
      </c>
      <c r="I44" s="186" t="s">
        <v>2285</v>
      </c>
      <c r="J44" s="186">
        <v>0</v>
      </c>
      <c r="K44" s="186" t="s">
        <v>2286</v>
      </c>
      <c r="L44" s="256">
        <v>106</v>
      </c>
      <c r="M44" s="256">
        <v>0</v>
      </c>
      <c r="N44" s="256">
        <v>1</v>
      </c>
      <c r="O44" s="256">
        <v>2</v>
      </c>
      <c r="P44" s="282"/>
      <c r="Q44" s="282"/>
      <c r="R44" s="282"/>
    </row>
    <row r="45" spans="1:18" s="69" customFormat="1" ht="91">
      <c r="A45" s="256" t="s">
        <v>2287</v>
      </c>
      <c r="B45" s="256" t="s">
        <v>45</v>
      </c>
      <c r="C45" s="256" t="s">
        <v>221</v>
      </c>
      <c r="D45" s="186" t="s">
        <v>2288</v>
      </c>
      <c r="E45" s="187">
        <f t="shared" si="0"/>
        <v>173</v>
      </c>
      <c r="F45" s="256">
        <v>5.1106474607820504E-10</v>
      </c>
      <c r="G45" s="278">
        <v>1</v>
      </c>
      <c r="H45" s="279">
        <v>43839</v>
      </c>
      <c r="I45" s="186" t="s">
        <v>2289</v>
      </c>
      <c r="J45" s="186">
        <v>0</v>
      </c>
      <c r="K45" s="186" t="s">
        <v>2290</v>
      </c>
      <c r="L45" s="256">
        <v>76</v>
      </c>
      <c r="M45" s="256">
        <v>2</v>
      </c>
      <c r="N45" s="256">
        <v>2</v>
      </c>
      <c r="O45" s="256">
        <v>11</v>
      </c>
      <c r="P45" s="282">
        <f>AVERAGE(M45:M64)</f>
        <v>0.5</v>
      </c>
      <c r="Q45" s="282">
        <f>AVERAGE(N45:N64)</f>
        <v>1.1000000000000001</v>
      </c>
      <c r="R45" s="282">
        <f>AVERAGE(O45:O64)</f>
        <v>3.85</v>
      </c>
    </row>
    <row r="46" spans="1:18" s="69" customFormat="1" ht="46">
      <c r="A46" s="256" t="s">
        <v>2287</v>
      </c>
      <c r="B46" s="256" t="s">
        <v>45</v>
      </c>
      <c r="C46" s="256" t="s">
        <v>221</v>
      </c>
      <c r="D46" s="181" t="s">
        <v>2291</v>
      </c>
      <c r="E46" s="187">
        <f t="shared" si="0"/>
        <v>81</v>
      </c>
      <c r="F46" s="256">
        <v>1.76931141574799E-3</v>
      </c>
      <c r="G46" s="278">
        <v>1</v>
      </c>
      <c r="H46" s="279">
        <v>43835</v>
      </c>
      <c r="I46" s="186" t="s">
        <v>2292</v>
      </c>
      <c r="J46" s="186">
        <v>0</v>
      </c>
      <c r="K46" s="186" t="s">
        <v>2293</v>
      </c>
      <c r="L46" s="256">
        <v>63</v>
      </c>
      <c r="M46" s="256">
        <v>1</v>
      </c>
      <c r="N46" s="256">
        <v>1</v>
      </c>
      <c r="O46" s="256">
        <v>8</v>
      </c>
      <c r="P46" s="282"/>
      <c r="Q46" s="282"/>
      <c r="R46" s="282"/>
    </row>
    <row r="47" spans="1:18" s="69" customFormat="1" ht="46">
      <c r="A47" s="256" t="s">
        <v>2287</v>
      </c>
      <c r="B47" s="256" t="s">
        <v>59</v>
      </c>
      <c r="C47" s="256" t="s">
        <v>664</v>
      </c>
      <c r="D47" s="186" t="s">
        <v>2294</v>
      </c>
      <c r="E47" s="187">
        <f t="shared" si="0"/>
        <v>26</v>
      </c>
      <c r="F47" s="256">
        <v>4.3847187499477601E-2</v>
      </c>
      <c r="G47" s="278">
        <v>1</v>
      </c>
      <c r="H47" s="279">
        <v>43796</v>
      </c>
      <c r="I47" s="258" t="s">
        <v>2295</v>
      </c>
      <c r="J47" s="258">
        <v>1</v>
      </c>
      <c r="K47" s="186" t="s">
        <v>2296</v>
      </c>
      <c r="L47" s="256">
        <v>57</v>
      </c>
      <c r="M47" s="256">
        <v>0</v>
      </c>
      <c r="N47" s="256">
        <v>2</v>
      </c>
      <c r="O47" s="256">
        <v>2</v>
      </c>
      <c r="P47" s="282"/>
      <c r="Q47" s="282"/>
      <c r="R47" s="282"/>
    </row>
    <row r="48" spans="1:18" s="69" customFormat="1" ht="61">
      <c r="A48" s="256" t="s">
        <v>2287</v>
      </c>
      <c r="B48" s="256" t="s">
        <v>59</v>
      </c>
      <c r="C48" s="256" t="s">
        <v>221</v>
      </c>
      <c r="D48" s="258" t="s">
        <v>2297</v>
      </c>
      <c r="E48" s="187">
        <f t="shared" si="0"/>
        <v>37</v>
      </c>
      <c r="F48" s="256">
        <v>0.95079759105385198</v>
      </c>
      <c r="G48" s="278">
        <v>1</v>
      </c>
      <c r="H48" s="279">
        <v>43795</v>
      </c>
      <c r="I48" s="186" t="s">
        <v>2298</v>
      </c>
      <c r="J48" s="186">
        <v>1</v>
      </c>
      <c r="K48" s="181" t="s">
        <v>2299</v>
      </c>
      <c r="L48" s="256">
        <v>79</v>
      </c>
      <c r="M48" s="256">
        <v>0</v>
      </c>
      <c r="N48" s="256">
        <v>1</v>
      </c>
      <c r="O48" s="256">
        <v>0</v>
      </c>
      <c r="P48" s="282"/>
      <c r="Q48" s="282"/>
      <c r="R48" s="282"/>
    </row>
    <row r="49" spans="1:18" s="69" customFormat="1" ht="61">
      <c r="A49" s="256" t="s">
        <v>2287</v>
      </c>
      <c r="B49" s="256" t="s">
        <v>59</v>
      </c>
      <c r="C49" s="256" t="s">
        <v>221</v>
      </c>
      <c r="D49" s="186" t="s">
        <v>2300</v>
      </c>
      <c r="E49" s="187">
        <f t="shared" si="0"/>
        <v>49</v>
      </c>
      <c r="F49" s="256">
        <v>0.66996713212499703</v>
      </c>
      <c r="G49" s="278">
        <v>1</v>
      </c>
      <c r="H49" s="279">
        <v>43792</v>
      </c>
      <c r="I49" s="186" t="s">
        <v>2301</v>
      </c>
      <c r="J49" s="186">
        <v>1</v>
      </c>
      <c r="K49" s="186" t="s">
        <v>2302</v>
      </c>
      <c r="L49" s="256">
        <v>77</v>
      </c>
      <c r="M49" s="256">
        <v>0</v>
      </c>
      <c r="N49" s="256">
        <v>1</v>
      </c>
      <c r="O49" s="256">
        <v>3</v>
      </c>
      <c r="P49" s="282"/>
      <c r="Q49" s="282"/>
      <c r="R49" s="282"/>
    </row>
    <row r="50" spans="1:18" s="69" customFormat="1" ht="91">
      <c r="A50" s="256" t="s">
        <v>2287</v>
      </c>
      <c r="B50" s="256" t="s">
        <v>59</v>
      </c>
      <c r="C50" s="256" t="s">
        <v>221</v>
      </c>
      <c r="D50" s="186" t="s">
        <v>2303</v>
      </c>
      <c r="E50" s="187">
        <f t="shared" si="0"/>
        <v>49</v>
      </c>
      <c r="F50" s="256">
        <v>0.66996713212499703</v>
      </c>
      <c r="G50" s="278">
        <v>1</v>
      </c>
      <c r="H50" s="279">
        <v>43792</v>
      </c>
      <c r="I50" s="186" t="s">
        <v>2301</v>
      </c>
      <c r="J50" s="186">
        <v>1</v>
      </c>
      <c r="K50" s="186" t="s">
        <v>2304</v>
      </c>
      <c r="L50" s="256">
        <v>126</v>
      </c>
      <c r="M50" s="256">
        <v>0</v>
      </c>
      <c r="N50" s="256">
        <v>1</v>
      </c>
      <c r="O50" s="256">
        <v>2</v>
      </c>
      <c r="P50" s="282"/>
      <c r="Q50" s="282"/>
      <c r="R50" s="282"/>
    </row>
    <row r="51" spans="1:18" s="69" customFormat="1" ht="61">
      <c r="A51" s="256" t="s">
        <v>2287</v>
      </c>
      <c r="B51" s="256" t="s">
        <v>59</v>
      </c>
      <c r="C51" s="256" t="s">
        <v>80</v>
      </c>
      <c r="D51" s="186" t="s">
        <v>2305</v>
      </c>
      <c r="E51" s="187">
        <f t="shared" si="0"/>
        <v>24</v>
      </c>
      <c r="F51" s="256">
        <v>2.45980073800879E-2</v>
      </c>
      <c r="G51" s="278">
        <v>1</v>
      </c>
      <c r="H51" s="279">
        <v>43747</v>
      </c>
      <c r="I51" s="258" t="s">
        <v>2306</v>
      </c>
      <c r="J51" s="258">
        <v>1</v>
      </c>
      <c r="K51" s="186" t="s">
        <v>2307</v>
      </c>
      <c r="L51" s="256">
        <v>58</v>
      </c>
      <c r="M51" s="256">
        <v>0</v>
      </c>
      <c r="N51" s="256">
        <v>1</v>
      </c>
      <c r="O51" s="256">
        <v>1</v>
      </c>
      <c r="P51" s="282"/>
      <c r="Q51" s="282"/>
      <c r="R51" s="282"/>
    </row>
    <row r="52" spans="1:18" s="69" customFormat="1" ht="76">
      <c r="A52" s="256" t="s">
        <v>2287</v>
      </c>
      <c r="B52" s="256" t="s">
        <v>59</v>
      </c>
      <c r="C52" s="256" t="s">
        <v>80</v>
      </c>
      <c r="D52" s="181" t="s">
        <v>2308</v>
      </c>
      <c r="E52" s="187">
        <f t="shared" si="0"/>
        <v>20</v>
      </c>
      <c r="F52" s="256">
        <v>0.65348637689451705</v>
      </c>
      <c r="G52" s="278">
        <v>1</v>
      </c>
      <c r="H52" s="279">
        <v>43717</v>
      </c>
      <c r="I52" s="256" t="s">
        <v>2309</v>
      </c>
      <c r="J52" s="256">
        <v>1</v>
      </c>
      <c r="K52" s="186" t="s">
        <v>2310</v>
      </c>
      <c r="L52" s="256">
        <v>97</v>
      </c>
      <c r="M52" s="256">
        <v>0</v>
      </c>
      <c r="N52" s="256">
        <v>1</v>
      </c>
      <c r="O52" s="256">
        <v>1</v>
      </c>
      <c r="P52" s="282"/>
      <c r="Q52" s="282"/>
      <c r="R52" s="282"/>
    </row>
    <row r="53" spans="1:18" s="69" customFormat="1" ht="91">
      <c r="A53" s="256" t="s">
        <v>2287</v>
      </c>
      <c r="B53" s="256" t="s">
        <v>45</v>
      </c>
      <c r="C53" s="256" t="s">
        <v>46</v>
      </c>
      <c r="D53" s="186" t="s">
        <v>2311</v>
      </c>
      <c r="E53" s="187">
        <f t="shared" si="0"/>
        <v>71</v>
      </c>
      <c r="F53" s="256">
        <v>0.66078547481633898</v>
      </c>
      <c r="G53" s="278">
        <v>1</v>
      </c>
      <c r="H53" s="279">
        <v>43400</v>
      </c>
      <c r="I53" s="186" t="s">
        <v>2312</v>
      </c>
      <c r="J53" s="186">
        <v>0</v>
      </c>
      <c r="K53" s="186" t="s">
        <v>2313</v>
      </c>
      <c r="L53" s="256">
        <v>99</v>
      </c>
      <c r="M53" s="256">
        <v>1</v>
      </c>
      <c r="N53" s="256">
        <v>1</v>
      </c>
      <c r="O53" s="256">
        <v>6</v>
      </c>
      <c r="P53" s="282"/>
      <c r="Q53" s="282"/>
      <c r="R53" s="282"/>
    </row>
    <row r="54" spans="1:18" s="69" customFormat="1" ht="181">
      <c r="A54" s="256" t="s">
        <v>2287</v>
      </c>
      <c r="B54" s="256" t="s">
        <v>45</v>
      </c>
      <c r="C54" s="256" t="s">
        <v>46</v>
      </c>
      <c r="D54" s="186" t="s">
        <v>2314</v>
      </c>
      <c r="E54" s="187">
        <f t="shared" si="0"/>
        <v>330</v>
      </c>
      <c r="F54" s="256">
        <v>3.9033485962348499E-2</v>
      </c>
      <c r="G54" s="278">
        <v>1</v>
      </c>
      <c r="H54" s="279">
        <v>43262</v>
      </c>
      <c r="I54" s="186" t="s">
        <v>2315</v>
      </c>
      <c r="J54" s="186">
        <v>0</v>
      </c>
      <c r="K54" s="186" t="s">
        <v>2316</v>
      </c>
      <c r="L54" s="256">
        <v>134</v>
      </c>
      <c r="M54" s="256">
        <v>0</v>
      </c>
      <c r="N54" s="256">
        <v>1</v>
      </c>
      <c r="O54" s="256">
        <v>2</v>
      </c>
      <c r="P54" s="282"/>
      <c r="Q54" s="282"/>
      <c r="R54" s="282"/>
    </row>
    <row r="55" spans="1:18" s="69" customFormat="1" ht="136">
      <c r="A55" s="256" t="s">
        <v>2287</v>
      </c>
      <c r="B55" s="256" t="s">
        <v>45</v>
      </c>
      <c r="C55" s="256" t="s">
        <v>46</v>
      </c>
      <c r="D55" s="186" t="s">
        <v>2317</v>
      </c>
      <c r="E55" s="187">
        <f t="shared" si="0"/>
        <v>263</v>
      </c>
      <c r="F55" s="256">
        <v>3.8859509512767503E-5</v>
      </c>
      <c r="G55" s="278">
        <v>1</v>
      </c>
      <c r="H55" s="279">
        <v>43259</v>
      </c>
      <c r="I55" s="186" t="s">
        <v>2318</v>
      </c>
      <c r="J55" s="186">
        <v>0</v>
      </c>
      <c r="K55" s="186" t="s">
        <v>2316</v>
      </c>
      <c r="L55" s="256">
        <v>134</v>
      </c>
      <c r="M55" s="256">
        <v>0</v>
      </c>
      <c r="N55" s="256">
        <v>1</v>
      </c>
      <c r="O55" s="256">
        <v>4</v>
      </c>
      <c r="P55" s="282"/>
      <c r="Q55" s="282"/>
      <c r="R55" s="282"/>
    </row>
    <row r="56" spans="1:18" s="69" customFormat="1" ht="106">
      <c r="A56" s="256" t="s">
        <v>2287</v>
      </c>
      <c r="B56" s="256" t="s">
        <v>59</v>
      </c>
      <c r="C56" s="256" t="s">
        <v>46</v>
      </c>
      <c r="D56" s="186" t="s">
        <v>2319</v>
      </c>
      <c r="E56" s="187">
        <f t="shared" si="0"/>
        <v>158</v>
      </c>
      <c r="F56" s="256">
        <v>1.82596021541137E-4</v>
      </c>
      <c r="G56" s="278">
        <v>0</v>
      </c>
      <c r="H56" s="279">
        <v>43255</v>
      </c>
      <c r="I56" s="186" t="s">
        <v>4430</v>
      </c>
      <c r="J56" s="186">
        <v>1</v>
      </c>
      <c r="K56" s="186" t="s">
        <v>2321</v>
      </c>
      <c r="L56" s="256">
        <v>145</v>
      </c>
      <c r="M56" s="256">
        <v>2</v>
      </c>
      <c r="N56" s="256">
        <v>1</v>
      </c>
      <c r="O56" s="256">
        <v>3</v>
      </c>
      <c r="P56" s="282"/>
      <c r="Q56" s="282"/>
      <c r="R56" s="282"/>
    </row>
    <row r="57" spans="1:18" s="69" customFormat="1" ht="226">
      <c r="A57" s="256" t="s">
        <v>2287</v>
      </c>
      <c r="B57" s="256" t="s">
        <v>59</v>
      </c>
      <c r="C57" s="256" t="s">
        <v>46</v>
      </c>
      <c r="D57" s="186" t="s">
        <v>2322</v>
      </c>
      <c r="E57" s="187">
        <f t="shared" si="0"/>
        <v>420</v>
      </c>
      <c r="F57" s="256">
        <v>5.2002195664924097E-5</v>
      </c>
      <c r="G57" s="278">
        <v>0</v>
      </c>
      <c r="H57" s="279">
        <v>43250</v>
      </c>
      <c r="I57" s="186" t="s">
        <v>2323</v>
      </c>
      <c r="J57" s="186">
        <v>1</v>
      </c>
      <c r="K57" s="186" t="s">
        <v>2324</v>
      </c>
      <c r="L57" s="256">
        <v>104</v>
      </c>
      <c r="M57" s="256">
        <v>0</v>
      </c>
      <c r="N57" s="256">
        <v>1</v>
      </c>
      <c r="O57" s="256">
        <v>1</v>
      </c>
      <c r="P57" s="282"/>
      <c r="Q57" s="282"/>
      <c r="R57" s="282"/>
    </row>
    <row r="58" spans="1:18" s="69" customFormat="1" ht="76">
      <c r="A58" s="256" t="s">
        <v>2287</v>
      </c>
      <c r="B58" s="256" t="s">
        <v>59</v>
      </c>
      <c r="C58" s="256" t="s">
        <v>46</v>
      </c>
      <c r="D58" s="186" t="s">
        <v>2319</v>
      </c>
      <c r="E58" s="187">
        <f t="shared" si="0"/>
        <v>137</v>
      </c>
      <c r="F58" s="256">
        <v>0.98800924541466595</v>
      </c>
      <c r="G58" s="278">
        <v>0</v>
      </c>
      <c r="H58" s="279">
        <v>43248</v>
      </c>
      <c r="I58" s="186" t="s">
        <v>4431</v>
      </c>
      <c r="J58" s="186">
        <v>1</v>
      </c>
      <c r="K58" s="186" t="s">
        <v>2326</v>
      </c>
      <c r="L58" s="256">
        <v>37</v>
      </c>
      <c r="M58" s="256">
        <v>1</v>
      </c>
      <c r="N58" s="256">
        <v>1</v>
      </c>
      <c r="O58" s="256">
        <v>2</v>
      </c>
      <c r="P58" s="282"/>
      <c r="Q58" s="282"/>
      <c r="R58" s="282"/>
    </row>
    <row r="59" spans="1:18" s="69" customFormat="1" ht="121">
      <c r="A59" s="256" t="s">
        <v>2287</v>
      </c>
      <c r="B59" s="256" t="s">
        <v>45</v>
      </c>
      <c r="C59" s="256" t="s">
        <v>46</v>
      </c>
      <c r="D59" s="186" t="s">
        <v>2327</v>
      </c>
      <c r="E59" s="187">
        <f t="shared" si="0"/>
        <v>232</v>
      </c>
      <c r="F59" s="256">
        <v>5.33351141029925E-13</v>
      </c>
      <c r="G59" s="278">
        <v>0</v>
      </c>
      <c r="H59" s="279">
        <v>43238</v>
      </c>
      <c r="I59" s="186" t="s">
        <v>2328</v>
      </c>
      <c r="J59" s="186">
        <v>0</v>
      </c>
      <c r="K59" s="186" t="s">
        <v>2329</v>
      </c>
      <c r="L59" s="256">
        <v>85</v>
      </c>
      <c r="M59" s="256">
        <v>0</v>
      </c>
      <c r="N59" s="256">
        <v>1</v>
      </c>
      <c r="O59" s="256">
        <v>5</v>
      </c>
      <c r="P59" s="282"/>
      <c r="Q59" s="282"/>
      <c r="R59" s="282"/>
    </row>
    <row r="60" spans="1:18" s="69" customFormat="1" ht="166">
      <c r="A60" s="256" t="s">
        <v>2287</v>
      </c>
      <c r="B60" s="256" t="s">
        <v>45</v>
      </c>
      <c r="C60" s="256" t="s">
        <v>46</v>
      </c>
      <c r="D60" s="258" t="s">
        <v>2330</v>
      </c>
      <c r="E60" s="187">
        <f t="shared" si="0"/>
        <v>169</v>
      </c>
      <c r="F60" s="256">
        <v>2.3064565812802601E-9</v>
      </c>
      <c r="G60" s="278">
        <v>0</v>
      </c>
      <c r="H60" s="279">
        <v>43235</v>
      </c>
      <c r="I60" s="181" t="s">
        <v>2331</v>
      </c>
      <c r="J60" s="181">
        <v>0</v>
      </c>
      <c r="K60" s="186" t="s">
        <v>2332</v>
      </c>
      <c r="L60" s="256">
        <v>234</v>
      </c>
      <c r="M60" s="256">
        <v>1</v>
      </c>
      <c r="N60" s="256">
        <v>1</v>
      </c>
      <c r="O60" s="256">
        <v>2</v>
      </c>
      <c r="P60" s="282"/>
      <c r="Q60" s="282"/>
      <c r="R60" s="282"/>
    </row>
    <row r="61" spans="1:18" s="69" customFormat="1" ht="136">
      <c r="A61" s="256" t="s">
        <v>2287</v>
      </c>
      <c r="B61" s="256" t="s">
        <v>45</v>
      </c>
      <c r="C61" s="256" t="s">
        <v>46</v>
      </c>
      <c r="D61" s="186" t="s">
        <v>2333</v>
      </c>
      <c r="E61" s="187">
        <f t="shared" si="0"/>
        <v>239</v>
      </c>
      <c r="F61" s="256">
        <v>0.85060428724054005</v>
      </c>
      <c r="G61" s="278">
        <v>0</v>
      </c>
      <c r="H61" s="279">
        <v>43234</v>
      </c>
      <c r="I61" s="186" t="s">
        <v>2334</v>
      </c>
      <c r="J61" s="186">
        <v>1</v>
      </c>
      <c r="K61" s="186" t="s">
        <v>2335</v>
      </c>
      <c r="L61" s="256">
        <v>77</v>
      </c>
      <c r="M61" s="256">
        <v>1</v>
      </c>
      <c r="N61" s="256">
        <v>1</v>
      </c>
      <c r="O61" s="256">
        <v>7</v>
      </c>
      <c r="P61" s="282"/>
      <c r="Q61" s="282"/>
      <c r="R61" s="282"/>
    </row>
    <row r="62" spans="1:18" s="69" customFormat="1" ht="106">
      <c r="A62" s="256" t="s">
        <v>2287</v>
      </c>
      <c r="B62" s="256" t="s">
        <v>45</v>
      </c>
      <c r="C62" s="256" t="s">
        <v>80</v>
      </c>
      <c r="D62" s="258" t="s">
        <v>159</v>
      </c>
      <c r="E62" s="187">
        <f t="shared" si="0"/>
        <v>53</v>
      </c>
      <c r="F62" s="256">
        <v>2.4213403633017699E-3</v>
      </c>
      <c r="G62" s="278">
        <v>1</v>
      </c>
      <c r="H62" s="279">
        <v>43074</v>
      </c>
      <c r="I62" s="186" t="s">
        <v>2336</v>
      </c>
      <c r="J62" s="186">
        <v>0</v>
      </c>
      <c r="K62" s="186" t="s">
        <v>2337</v>
      </c>
      <c r="L62" s="256">
        <v>134</v>
      </c>
      <c r="M62" s="256">
        <v>0</v>
      </c>
      <c r="N62" s="256">
        <v>1</v>
      </c>
      <c r="O62" s="256">
        <v>13</v>
      </c>
      <c r="P62" s="282"/>
      <c r="Q62" s="282"/>
      <c r="R62" s="282"/>
    </row>
    <row r="63" spans="1:18" s="69" customFormat="1" ht="121">
      <c r="A63" s="256" t="s">
        <v>2287</v>
      </c>
      <c r="B63" s="256" t="s">
        <v>45</v>
      </c>
      <c r="C63" s="256" t="s">
        <v>80</v>
      </c>
      <c r="D63" s="181" t="s">
        <v>200</v>
      </c>
      <c r="E63" s="187">
        <f t="shared" si="0"/>
        <v>44</v>
      </c>
      <c r="F63" s="256">
        <v>1.6715057667134599E-2</v>
      </c>
      <c r="G63" s="278">
        <v>1</v>
      </c>
      <c r="H63" s="279">
        <v>43017</v>
      </c>
      <c r="I63" s="186" t="s">
        <v>2338</v>
      </c>
      <c r="J63" s="186">
        <v>0</v>
      </c>
      <c r="K63" s="186" t="s">
        <v>2339</v>
      </c>
      <c r="L63" s="256">
        <v>170</v>
      </c>
      <c r="M63" s="256">
        <v>0</v>
      </c>
      <c r="N63" s="256">
        <v>1</v>
      </c>
      <c r="O63" s="256">
        <v>1</v>
      </c>
      <c r="P63" s="282"/>
      <c r="Q63" s="282"/>
      <c r="R63" s="282"/>
    </row>
    <row r="64" spans="1:18" s="69" customFormat="1" ht="46">
      <c r="A64" s="256" t="s">
        <v>2287</v>
      </c>
      <c r="B64" s="256" t="s">
        <v>59</v>
      </c>
      <c r="C64" s="256" t="s">
        <v>46</v>
      </c>
      <c r="D64" s="186" t="s">
        <v>2340</v>
      </c>
      <c r="E64" s="187">
        <f t="shared" si="0"/>
        <v>58</v>
      </c>
      <c r="F64" s="256">
        <v>0.98501307633864799</v>
      </c>
      <c r="G64" s="278">
        <v>1</v>
      </c>
      <c r="H64" s="279">
        <v>42965</v>
      </c>
      <c r="I64" s="186" t="s">
        <v>2341</v>
      </c>
      <c r="J64" s="186">
        <v>1</v>
      </c>
      <c r="K64" s="186" t="s">
        <v>2342</v>
      </c>
      <c r="L64" s="256">
        <v>37</v>
      </c>
      <c r="M64" s="256">
        <v>1</v>
      </c>
      <c r="N64" s="256">
        <v>1</v>
      </c>
      <c r="O64" s="256">
        <v>3</v>
      </c>
      <c r="P64" s="282"/>
      <c r="Q64" s="282"/>
      <c r="R64" s="282"/>
    </row>
    <row r="65" spans="1:18" s="69" customFormat="1" ht="31">
      <c r="A65" s="256" t="s">
        <v>2343</v>
      </c>
      <c r="B65" s="256" t="s">
        <v>45</v>
      </c>
      <c r="C65" s="256" t="s">
        <v>80</v>
      </c>
      <c r="D65" s="186" t="s">
        <v>2344</v>
      </c>
      <c r="E65" s="187">
        <f t="shared" si="0"/>
        <v>56</v>
      </c>
      <c r="F65" s="256">
        <v>0.89987157192039702</v>
      </c>
      <c r="G65" s="278">
        <v>1</v>
      </c>
      <c r="H65" s="279">
        <v>43660</v>
      </c>
      <c r="I65" s="186" t="s">
        <v>2345</v>
      </c>
      <c r="J65" s="186">
        <v>0</v>
      </c>
      <c r="K65" s="186" t="s">
        <v>2346</v>
      </c>
      <c r="L65" s="256">
        <v>32</v>
      </c>
      <c r="M65" s="256">
        <v>0</v>
      </c>
      <c r="N65" s="256">
        <v>1</v>
      </c>
      <c r="O65" s="256">
        <v>3</v>
      </c>
      <c r="P65" s="282">
        <f>AVERAGE(M65:M67)</f>
        <v>0.33333333333333331</v>
      </c>
      <c r="Q65" s="282">
        <f>AVERAGE(N65:N67)</f>
        <v>1.3333333333333333</v>
      </c>
      <c r="R65" s="282">
        <f>AVERAGE(O65:O67)</f>
        <v>7.666666666666667</v>
      </c>
    </row>
    <row r="66" spans="1:18" s="69" customFormat="1" ht="76">
      <c r="A66" s="256" t="s">
        <v>2343</v>
      </c>
      <c r="B66" s="256" t="s">
        <v>45</v>
      </c>
      <c r="C66" s="256" t="s">
        <v>80</v>
      </c>
      <c r="D66" s="181" t="s">
        <v>2347</v>
      </c>
      <c r="E66" s="187">
        <f t="shared" si="0"/>
        <v>95</v>
      </c>
      <c r="F66" s="256">
        <v>2.46181127705469E-8</v>
      </c>
      <c r="G66" s="278">
        <v>1</v>
      </c>
      <c r="H66" s="279">
        <v>42667</v>
      </c>
      <c r="I66" s="186" t="s">
        <v>2348</v>
      </c>
      <c r="J66" s="186">
        <v>0</v>
      </c>
      <c r="K66" s="186" t="s">
        <v>2348</v>
      </c>
      <c r="L66" s="256">
        <v>95</v>
      </c>
      <c r="M66" s="256">
        <v>0</v>
      </c>
      <c r="N66" s="256">
        <v>1</v>
      </c>
      <c r="O66" s="256">
        <v>2</v>
      </c>
      <c r="P66" s="282"/>
      <c r="Q66" s="282"/>
      <c r="R66" s="282"/>
    </row>
    <row r="67" spans="1:18" s="69" customFormat="1" ht="61">
      <c r="A67" s="256" t="s">
        <v>2343</v>
      </c>
      <c r="B67" s="256" t="s">
        <v>45</v>
      </c>
      <c r="C67" s="256" t="s">
        <v>80</v>
      </c>
      <c r="D67" s="186" t="s">
        <v>2349</v>
      </c>
      <c r="E67" s="187">
        <f t="shared" ref="E67:E130" si="1">LEN(I67)</f>
        <v>36</v>
      </c>
      <c r="F67" s="256">
        <v>0.99381775011391604</v>
      </c>
      <c r="G67" s="278">
        <v>1</v>
      </c>
      <c r="H67" s="279">
        <v>42646</v>
      </c>
      <c r="I67" s="186" t="s">
        <v>2350</v>
      </c>
      <c r="J67" s="186">
        <v>1</v>
      </c>
      <c r="K67" s="186" t="s">
        <v>2351</v>
      </c>
      <c r="L67" s="256">
        <v>69</v>
      </c>
      <c r="M67" s="256">
        <v>1</v>
      </c>
      <c r="N67" s="256">
        <v>2</v>
      </c>
      <c r="O67" s="256">
        <v>18</v>
      </c>
      <c r="P67" s="282"/>
      <c r="Q67" s="282"/>
      <c r="R67" s="282"/>
    </row>
    <row r="68" spans="1:18" s="69" customFormat="1" ht="61">
      <c r="A68" s="256" t="s">
        <v>2352</v>
      </c>
      <c r="B68" s="256" t="s">
        <v>45</v>
      </c>
      <c r="C68" s="256" t="s">
        <v>80</v>
      </c>
      <c r="D68" s="181" t="s">
        <v>159</v>
      </c>
      <c r="E68" s="187">
        <f t="shared" si="1"/>
        <v>61</v>
      </c>
      <c r="F68" s="256">
        <v>7.5582678579766402E-5</v>
      </c>
      <c r="G68" s="278">
        <v>1</v>
      </c>
      <c r="H68" s="279">
        <v>42834</v>
      </c>
      <c r="I68" s="186" t="s">
        <v>2353</v>
      </c>
      <c r="J68" s="186">
        <v>0</v>
      </c>
      <c r="K68" s="186" t="s">
        <v>2354</v>
      </c>
      <c r="L68" s="256">
        <v>74</v>
      </c>
      <c r="M68" s="256">
        <v>0</v>
      </c>
      <c r="N68" s="256">
        <v>1</v>
      </c>
      <c r="O68" s="256">
        <v>12</v>
      </c>
    </row>
    <row r="69" spans="1:18" s="69" customFormat="1" ht="46">
      <c r="A69" s="256" t="s">
        <v>2355</v>
      </c>
      <c r="B69" s="256" t="s">
        <v>59</v>
      </c>
      <c r="C69" s="256" t="s">
        <v>46</v>
      </c>
      <c r="D69" s="186" t="s">
        <v>2356</v>
      </c>
      <c r="E69" s="187">
        <f t="shared" si="1"/>
        <v>70</v>
      </c>
      <c r="F69" s="256">
        <v>0.63079894713409701</v>
      </c>
      <c r="G69" s="278">
        <v>0</v>
      </c>
      <c r="H69" s="279">
        <v>43698</v>
      </c>
      <c r="I69" s="186" t="s">
        <v>2357</v>
      </c>
      <c r="J69" s="186">
        <v>1</v>
      </c>
      <c r="K69" s="186" t="s">
        <v>2358</v>
      </c>
      <c r="L69" s="256">
        <v>66</v>
      </c>
      <c r="M69" s="256">
        <v>1</v>
      </c>
      <c r="N69" s="256">
        <v>1</v>
      </c>
      <c r="O69" s="256">
        <v>5</v>
      </c>
      <c r="P69" s="69">
        <f>AVERAGE(M69:M90)</f>
        <v>0.81818181818181823</v>
      </c>
      <c r="Q69" s="69">
        <f>AVERAGE(M69:N90)</f>
        <v>1.1136363636363635</v>
      </c>
      <c r="R69" s="69">
        <f>AVERAGE(O69:O90)</f>
        <v>8.9090909090909083</v>
      </c>
    </row>
    <row r="70" spans="1:18" s="69" customFormat="1" ht="211">
      <c r="A70" s="256" t="s">
        <v>2355</v>
      </c>
      <c r="B70" s="256" t="s">
        <v>45</v>
      </c>
      <c r="C70" s="256" t="s">
        <v>46</v>
      </c>
      <c r="D70" s="186" t="s">
        <v>2359</v>
      </c>
      <c r="E70" s="187">
        <f t="shared" si="1"/>
        <v>395</v>
      </c>
      <c r="F70" s="256">
        <v>0</v>
      </c>
      <c r="G70" s="278">
        <v>0</v>
      </c>
      <c r="H70" s="279">
        <v>43692</v>
      </c>
      <c r="I70" s="186" t="s">
        <v>4432</v>
      </c>
      <c r="J70" s="186">
        <v>0</v>
      </c>
      <c r="K70" s="186" t="s">
        <v>2361</v>
      </c>
      <c r="L70" s="256">
        <v>139</v>
      </c>
      <c r="M70" s="256">
        <v>0</v>
      </c>
      <c r="N70" s="256">
        <v>1</v>
      </c>
      <c r="O70" s="256">
        <v>5</v>
      </c>
    </row>
    <row r="71" spans="1:18" s="69" customFormat="1" ht="181">
      <c r="A71" s="256" t="s">
        <v>2355</v>
      </c>
      <c r="B71" s="256" t="s">
        <v>119</v>
      </c>
      <c r="C71" s="256" t="s">
        <v>46</v>
      </c>
      <c r="D71" s="186" t="s">
        <v>2362</v>
      </c>
      <c r="E71" s="187">
        <f t="shared" si="1"/>
        <v>333</v>
      </c>
      <c r="F71" s="256">
        <v>0.99635777929049896</v>
      </c>
      <c r="G71" s="278">
        <v>0</v>
      </c>
      <c r="H71" s="279">
        <v>43669</v>
      </c>
      <c r="I71" s="186" t="s">
        <v>2363</v>
      </c>
      <c r="J71" s="186">
        <v>0</v>
      </c>
      <c r="K71" s="186" t="s">
        <v>2364</v>
      </c>
      <c r="L71" s="256">
        <v>26</v>
      </c>
      <c r="M71" s="256">
        <v>0</v>
      </c>
      <c r="N71" s="256">
        <v>1</v>
      </c>
      <c r="O71" s="256">
        <v>2</v>
      </c>
    </row>
    <row r="72" spans="1:18" s="69" customFormat="1" ht="76">
      <c r="A72" s="256" t="s">
        <v>2355</v>
      </c>
      <c r="B72" s="256" t="s">
        <v>59</v>
      </c>
      <c r="C72" s="256" t="s">
        <v>46</v>
      </c>
      <c r="D72" s="186" t="s">
        <v>2365</v>
      </c>
      <c r="E72" s="187">
        <f t="shared" si="1"/>
        <v>118</v>
      </c>
      <c r="F72" s="256">
        <v>0.149950178956644</v>
      </c>
      <c r="G72" s="278">
        <v>1</v>
      </c>
      <c r="H72" s="279">
        <v>43454</v>
      </c>
      <c r="I72" s="186" t="s">
        <v>4433</v>
      </c>
      <c r="J72" s="186">
        <v>1</v>
      </c>
      <c r="K72" s="186" t="s">
        <v>2367</v>
      </c>
      <c r="L72" s="256">
        <v>58</v>
      </c>
      <c r="M72" s="256">
        <v>0</v>
      </c>
      <c r="N72" s="256">
        <v>2</v>
      </c>
      <c r="O72" s="256">
        <v>1</v>
      </c>
    </row>
    <row r="73" spans="1:18" s="69" customFormat="1" ht="151">
      <c r="A73" s="256" t="s">
        <v>2355</v>
      </c>
      <c r="B73" s="256" t="s">
        <v>45</v>
      </c>
      <c r="C73" s="256" t="s">
        <v>46</v>
      </c>
      <c r="D73" s="186" t="s">
        <v>2368</v>
      </c>
      <c r="E73" s="187">
        <f t="shared" si="1"/>
        <v>266</v>
      </c>
      <c r="F73" s="256">
        <v>3.32999664998113E-6</v>
      </c>
      <c r="G73" s="278">
        <v>1</v>
      </c>
      <c r="H73" s="279">
        <v>43396</v>
      </c>
      <c r="I73" s="186" t="s">
        <v>2369</v>
      </c>
      <c r="J73" s="186">
        <v>0</v>
      </c>
      <c r="K73" s="186" t="s">
        <v>2370</v>
      </c>
      <c r="L73" s="256">
        <v>149</v>
      </c>
      <c r="M73" s="256">
        <v>1</v>
      </c>
      <c r="N73" s="256">
        <v>2</v>
      </c>
      <c r="O73" s="256">
        <v>14</v>
      </c>
    </row>
    <row r="74" spans="1:18" s="69" customFormat="1" ht="211">
      <c r="A74" s="256" t="s">
        <v>2355</v>
      </c>
      <c r="B74" s="256" t="s">
        <v>45</v>
      </c>
      <c r="C74" s="256" t="s">
        <v>46</v>
      </c>
      <c r="D74" s="186" t="s">
        <v>2371</v>
      </c>
      <c r="E74" s="187">
        <f t="shared" si="1"/>
        <v>392</v>
      </c>
      <c r="F74" s="256">
        <v>5.3295803470666502E-3</v>
      </c>
      <c r="G74" s="278">
        <v>1</v>
      </c>
      <c r="H74" s="279">
        <v>43364</v>
      </c>
      <c r="I74" s="186" t="s">
        <v>4434</v>
      </c>
      <c r="J74" s="186">
        <v>1</v>
      </c>
      <c r="K74" s="186" t="s">
        <v>2373</v>
      </c>
      <c r="L74" s="256">
        <v>126</v>
      </c>
      <c r="M74" s="256">
        <v>1</v>
      </c>
      <c r="N74" s="256">
        <v>4</v>
      </c>
      <c r="O74" s="256">
        <v>26</v>
      </c>
    </row>
    <row r="75" spans="1:18" s="69" customFormat="1" ht="91">
      <c r="A75" s="256" t="s">
        <v>2355</v>
      </c>
      <c r="B75" s="256" t="s">
        <v>45</v>
      </c>
      <c r="C75" s="256" t="s">
        <v>46</v>
      </c>
      <c r="D75" s="186" t="s">
        <v>2374</v>
      </c>
      <c r="E75" s="187">
        <f t="shared" si="1"/>
        <v>149</v>
      </c>
      <c r="F75" s="256">
        <v>7.0414416816631006E-2</v>
      </c>
      <c r="G75" s="278">
        <v>1</v>
      </c>
      <c r="H75" s="279">
        <v>43357</v>
      </c>
      <c r="I75" s="186" t="s">
        <v>2375</v>
      </c>
      <c r="J75" s="186">
        <v>0</v>
      </c>
      <c r="K75" s="186" t="s">
        <v>2376</v>
      </c>
      <c r="L75" s="256">
        <v>107</v>
      </c>
      <c r="M75" s="256">
        <v>3</v>
      </c>
      <c r="N75" s="256">
        <v>2</v>
      </c>
      <c r="O75" s="256">
        <v>33</v>
      </c>
    </row>
    <row r="76" spans="1:18" s="69" customFormat="1" ht="61">
      <c r="A76" s="256" t="s">
        <v>2355</v>
      </c>
      <c r="B76" s="256" t="s">
        <v>59</v>
      </c>
      <c r="C76" s="256" t="s">
        <v>46</v>
      </c>
      <c r="D76" s="181" t="s">
        <v>2377</v>
      </c>
      <c r="E76" s="187">
        <f t="shared" si="1"/>
        <v>83</v>
      </c>
      <c r="F76" s="256">
        <v>2.72683239743721E-6</v>
      </c>
      <c r="G76" s="278">
        <v>1</v>
      </c>
      <c r="H76" s="279">
        <v>43354</v>
      </c>
      <c r="I76" s="186" t="s">
        <v>2378</v>
      </c>
      <c r="J76" s="186">
        <v>0</v>
      </c>
      <c r="K76" s="186" t="s">
        <v>2379</v>
      </c>
      <c r="L76" s="256">
        <v>75</v>
      </c>
      <c r="M76" s="256">
        <v>0</v>
      </c>
      <c r="N76" s="256">
        <v>1</v>
      </c>
      <c r="O76" s="256">
        <v>2</v>
      </c>
    </row>
    <row r="77" spans="1:18" s="69" customFormat="1" ht="61">
      <c r="A77" s="256" t="s">
        <v>2355</v>
      </c>
      <c r="B77" s="256" t="s">
        <v>45</v>
      </c>
      <c r="C77" s="256" t="s">
        <v>46</v>
      </c>
      <c r="D77" s="181" t="s">
        <v>2380</v>
      </c>
      <c r="E77" s="187">
        <f t="shared" si="1"/>
        <v>73</v>
      </c>
      <c r="F77" s="256">
        <v>5.16819938039903E-3</v>
      </c>
      <c r="G77" s="278">
        <v>1</v>
      </c>
      <c r="H77" s="279">
        <v>43350</v>
      </c>
      <c r="I77" s="186" t="s">
        <v>4435</v>
      </c>
      <c r="J77" s="186">
        <v>0</v>
      </c>
      <c r="K77" s="186" t="s">
        <v>2382</v>
      </c>
      <c r="L77" s="256">
        <v>63</v>
      </c>
      <c r="M77" s="256">
        <v>0</v>
      </c>
      <c r="N77" s="256">
        <v>1</v>
      </c>
      <c r="O77" s="256">
        <v>5</v>
      </c>
    </row>
    <row r="78" spans="1:18" s="69" customFormat="1" ht="106">
      <c r="A78" s="256" t="s">
        <v>2355</v>
      </c>
      <c r="B78" s="256" t="s">
        <v>45</v>
      </c>
      <c r="C78" s="256" t="s">
        <v>46</v>
      </c>
      <c r="D78" s="181" t="s">
        <v>2383</v>
      </c>
      <c r="E78" s="187">
        <f t="shared" si="1"/>
        <v>138</v>
      </c>
      <c r="F78" s="256">
        <v>0.32995093506086098</v>
      </c>
      <c r="G78" s="278">
        <v>1</v>
      </c>
      <c r="H78" s="279">
        <v>43303</v>
      </c>
      <c r="I78" s="186" t="s">
        <v>2384</v>
      </c>
      <c r="J78" s="186">
        <v>0</v>
      </c>
      <c r="K78" s="186" t="s">
        <v>2385</v>
      </c>
      <c r="L78" s="256">
        <v>154</v>
      </c>
      <c r="M78" s="256">
        <v>1</v>
      </c>
      <c r="N78" s="256">
        <v>1</v>
      </c>
      <c r="O78" s="256">
        <v>4</v>
      </c>
    </row>
    <row r="79" spans="1:18" s="69" customFormat="1" ht="91">
      <c r="A79" s="256" t="s">
        <v>2355</v>
      </c>
      <c r="B79" s="256" t="s">
        <v>45</v>
      </c>
      <c r="C79" s="256" t="s">
        <v>46</v>
      </c>
      <c r="D79" s="186" t="s">
        <v>2386</v>
      </c>
      <c r="E79" s="187">
        <f t="shared" si="1"/>
        <v>166</v>
      </c>
      <c r="F79" s="256">
        <v>6.3364435698432002E-8</v>
      </c>
      <c r="G79" s="278">
        <v>1</v>
      </c>
      <c r="H79" s="279">
        <v>43096</v>
      </c>
      <c r="I79" s="186" t="s">
        <v>4436</v>
      </c>
      <c r="J79" s="186">
        <v>0</v>
      </c>
      <c r="K79" s="186" t="s">
        <v>2388</v>
      </c>
      <c r="L79" s="256">
        <v>52</v>
      </c>
      <c r="M79" s="256">
        <v>0</v>
      </c>
      <c r="N79" s="256">
        <v>1</v>
      </c>
      <c r="O79" s="256">
        <v>2</v>
      </c>
    </row>
    <row r="80" spans="1:18" s="69" customFormat="1" ht="46">
      <c r="A80" s="256" t="s">
        <v>2355</v>
      </c>
      <c r="B80" s="256" t="s">
        <v>45</v>
      </c>
      <c r="C80" s="256" t="s">
        <v>80</v>
      </c>
      <c r="D80" s="258" t="s">
        <v>159</v>
      </c>
      <c r="E80" s="187">
        <f t="shared" si="1"/>
        <v>57</v>
      </c>
      <c r="F80" s="256">
        <v>4.2434906534582498E-2</v>
      </c>
      <c r="G80" s="278">
        <v>1</v>
      </c>
      <c r="H80" s="279">
        <v>43094</v>
      </c>
      <c r="I80" s="186" t="s">
        <v>2389</v>
      </c>
      <c r="J80" s="186">
        <v>0</v>
      </c>
      <c r="K80" s="186" t="s">
        <v>2388</v>
      </c>
      <c r="L80" s="256">
        <v>52</v>
      </c>
      <c r="M80" s="256">
        <v>0</v>
      </c>
      <c r="N80" s="256">
        <v>1</v>
      </c>
      <c r="O80" s="256">
        <v>2</v>
      </c>
    </row>
    <row r="81" spans="1:18" s="69" customFormat="1" ht="76">
      <c r="A81" s="256" t="s">
        <v>2355</v>
      </c>
      <c r="B81" s="256" t="s">
        <v>45</v>
      </c>
      <c r="C81" s="256" t="s">
        <v>46</v>
      </c>
      <c r="D81" s="181" t="s">
        <v>2355</v>
      </c>
      <c r="E81" s="187">
        <f t="shared" si="1"/>
        <v>55</v>
      </c>
      <c r="F81" s="256">
        <v>1.8041358183751698E-2</v>
      </c>
      <c r="G81" s="278">
        <v>1</v>
      </c>
      <c r="H81" s="279">
        <v>43019</v>
      </c>
      <c r="I81" s="186" t="s">
        <v>2390</v>
      </c>
      <c r="J81" s="186">
        <v>1</v>
      </c>
      <c r="K81" s="186" t="s">
        <v>2391</v>
      </c>
      <c r="L81" s="256">
        <v>111</v>
      </c>
      <c r="M81" s="256">
        <v>0</v>
      </c>
      <c r="N81" s="256">
        <v>1</v>
      </c>
      <c r="O81" s="256">
        <v>12</v>
      </c>
    </row>
    <row r="82" spans="1:18" s="69" customFormat="1" ht="31">
      <c r="A82" s="256" t="s">
        <v>2355</v>
      </c>
      <c r="B82" s="256" t="s">
        <v>45</v>
      </c>
      <c r="C82" s="256" t="s">
        <v>80</v>
      </c>
      <c r="D82" s="258" t="s">
        <v>180</v>
      </c>
      <c r="E82" s="187">
        <f t="shared" si="1"/>
        <v>54</v>
      </c>
      <c r="F82" s="256">
        <v>3.0207863680032899E-3</v>
      </c>
      <c r="G82" s="278">
        <v>1</v>
      </c>
      <c r="H82" s="279">
        <v>42993</v>
      </c>
      <c r="I82" s="186" t="s">
        <v>2392</v>
      </c>
      <c r="J82" s="186">
        <v>0</v>
      </c>
      <c r="K82" s="186" t="s">
        <v>2393</v>
      </c>
      <c r="L82" s="256">
        <v>42</v>
      </c>
      <c r="M82" s="256">
        <v>1</v>
      </c>
      <c r="N82" s="256">
        <v>1</v>
      </c>
      <c r="O82" s="256">
        <v>5</v>
      </c>
    </row>
    <row r="83" spans="1:18" s="69" customFormat="1" ht="106">
      <c r="A83" s="256" t="s">
        <v>2355</v>
      </c>
      <c r="B83" s="256" t="s">
        <v>45</v>
      </c>
      <c r="C83" s="256" t="s">
        <v>46</v>
      </c>
      <c r="D83" s="186" t="s">
        <v>2394</v>
      </c>
      <c r="E83" s="187">
        <f t="shared" si="1"/>
        <v>160</v>
      </c>
      <c r="F83" s="256">
        <v>0.99985542594865595</v>
      </c>
      <c r="G83" s="278">
        <v>1</v>
      </c>
      <c r="H83" s="279">
        <v>42990</v>
      </c>
      <c r="I83" s="186" t="s">
        <v>2395</v>
      </c>
      <c r="J83" s="186">
        <v>0</v>
      </c>
      <c r="K83" s="186" t="s">
        <v>2396</v>
      </c>
      <c r="L83" s="256">
        <v>146</v>
      </c>
      <c r="M83" s="256">
        <v>2</v>
      </c>
      <c r="N83" s="256">
        <v>1</v>
      </c>
      <c r="O83" s="256">
        <v>13</v>
      </c>
    </row>
    <row r="84" spans="1:18" s="69" customFormat="1" ht="31">
      <c r="A84" s="256" t="s">
        <v>2355</v>
      </c>
      <c r="B84" s="256" t="s">
        <v>59</v>
      </c>
      <c r="C84" s="256" t="s">
        <v>46</v>
      </c>
      <c r="D84" s="258" t="s">
        <v>2397</v>
      </c>
      <c r="E84" s="187">
        <f t="shared" si="1"/>
        <v>15</v>
      </c>
      <c r="F84" s="256">
        <v>0.18666400370587899</v>
      </c>
      <c r="G84" s="278">
        <v>1</v>
      </c>
      <c r="H84" s="279">
        <v>42968</v>
      </c>
      <c r="I84" s="258" t="s">
        <v>2398</v>
      </c>
      <c r="J84" s="258">
        <v>0</v>
      </c>
      <c r="K84" s="186" t="s">
        <v>2399</v>
      </c>
      <c r="L84" s="256">
        <v>46</v>
      </c>
      <c r="M84" s="256">
        <v>0</v>
      </c>
      <c r="N84" s="256">
        <v>1</v>
      </c>
      <c r="O84" s="256">
        <v>0</v>
      </c>
    </row>
    <row r="85" spans="1:18" s="69" customFormat="1" ht="136">
      <c r="A85" s="256" t="s">
        <v>2355</v>
      </c>
      <c r="B85" s="256" t="s">
        <v>45</v>
      </c>
      <c r="C85" s="256" t="s">
        <v>46</v>
      </c>
      <c r="D85" s="186" t="s">
        <v>2400</v>
      </c>
      <c r="E85" s="187">
        <f t="shared" si="1"/>
        <v>262</v>
      </c>
      <c r="F85" s="256">
        <v>6.3809851712E-3</v>
      </c>
      <c r="G85" s="278">
        <v>1</v>
      </c>
      <c r="H85" s="279">
        <v>42954</v>
      </c>
      <c r="I85" s="186" t="s">
        <v>2401</v>
      </c>
      <c r="J85" s="186">
        <v>0</v>
      </c>
      <c r="K85" s="186" t="s">
        <v>2402</v>
      </c>
      <c r="L85" s="256">
        <v>76</v>
      </c>
      <c r="M85" s="256">
        <v>2</v>
      </c>
      <c r="N85" s="256">
        <v>1</v>
      </c>
      <c r="O85" s="256">
        <v>14</v>
      </c>
    </row>
    <row r="86" spans="1:18" s="69" customFormat="1" ht="61">
      <c r="A86" s="256" t="s">
        <v>2355</v>
      </c>
      <c r="B86" s="256" t="s">
        <v>59</v>
      </c>
      <c r="C86" s="256" t="s">
        <v>46</v>
      </c>
      <c r="D86" s="186" t="s">
        <v>2403</v>
      </c>
      <c r="E86" s="187">
        <f t="shared" si="1"/>
        <v>71</v>
      </c>
      <c r="F86" s="256">
        <v>0.99635160032778303</v>
      </c>
      <c r="G86" s="278">
        <v>1</v>
      </c>
      <c r="H86" s="279">
        <v>42943</v>
      </c>
      <c r="I86" s="186" t="s">
        <v>2404</v>
      </c>
      <c r="J86" s="186">
        <v>0</v>
      </c>
      <c r="K86" s="186" t="s">
        <v>2405</v>
      </c>
      <c r="L86" s="256">
        <v>22</v>
      </c>
      <c r="M86" s="256">
        <v>0</v>
      </c>
      <c r="N86" s="256">
        <v>1</v>
      </c>
      <c r="O86" s="256">
        <v>1</v>
      </c>
    </row>
    <row r="87" spans="1:18" s="69" customFormat="1" ht="61">
      <c r="A87" s="256" t="s">
        <v>2355</v>
      </c>
      <c r="B87" s="256" t="s">
        <v>59</v>
      </c>
      <c r="C87" s="256" t="s">
        <v>46</v>
      </c>
      <c r="D87" s="186" t="s">
        <v>2406</v>
      </c>
      <c r="E87" s="187">
        <f t="shared" si="1"/>
        <v>111</v>
      </c>
      <c r="F87" s="256">
        <v>0.23071286565506899</v>
      </c>
      <c r="G87" s="278">
        <v>1</v>
      </c>
      <c r="H87" s="279">
        <v>42915</v>
      </c>
      <c r="I87" s="186" t="s">
        <v>2407</v>
      </c>
      <c r="J87" s="186">
        <v>0</v>
      </c>
      <c r="K87" s="186" t="s">
        <v>2408</v>
      </c>
      <c r="L87" s="256">
        <v>28</v>
      </c>
      <c r="M87" s="256">
        <v>0</v>
      </c>
      <c r="N87" s="256">
        <v>1</v>
      </c>
      <c r="O87" s="256">
        <v>5</v>
      </c>
    </row>
    <row r="88" spans="1:18" s="69" customFormat="1" ht="91">
      <c r="A88" s="256" t="s">
        <v>2355</v>
      </c>
      <c r="B88" s="256" t="s">
        <v>59</v>
      </c>
      <c r="C88" s="256" t="s">
        <v>46</v>
      </c>
      <c r="D88" s="186" t="s">
        <v>2409</v>
      </c>
      <c r="E88" s="187">
        <f t="shared" si="1"/>
        <v>57</v>
      </c>
      <c r="F88" s="256">
        <v>0.15109364604843001</v>
      </c>
      <c r="G88" s="278">
        <v>1</v>
      </c>
      <c r="H88" s="279">
        <v>42905</v>
      </c>
      <c r="I88" s="186" t="s">
        <v>2410</v>
      </c>
      <c r="J88" s="186">
        <v>0</v>
      </c>
      <c r="K88" s="186" t="s">
        <v>2411</v>
      </c>
      <c r="L88" s="256">
        <v>121</v>
      </c>
      <c r="M88" s="256">
        <v>0</v>
      </c>
      <c r="N88" s="256">
        <v>1</v>
      </c>
      <c r="O88" s="256">
        <v>2</v>
      </c>
    </row>
    <row r="89" spans="1:18" s="69" customFormat="1" ht="91">
      <c r="A89" s="256" t="s">
        <v>2355</v>
      </c>
      <c r="B89" s="256" t="s">
        <v>45</v>
      </c>
      <c r="C89" s="256" t="s">
        <v>46</v>
      </c>
      <c r="D89" s="186" t="s">
        <v>2412</v>
      </c>
      <c r="E89" s="187">
        <f t="shared" si="1"/>
        <v>92</v>
      </c>
      <c r="F89" s="256">
        <v>0.95679277407185304</v>
      </c>
      <c r="G89" s="278">
        <v>1</v>
      </c>
      <c r="H89" s="279">
        <v>42746</v>
      </c>
      <c r="I89" s="186" t="s">
        <v>2413</v>
      </c>
      <c r="J89" s="186">
        <v>0</v>
      </c>
      <c r="K89" s="186" t="s">
        <v>2414</v>
      </c>
      <c r="L89" s="256">
        <v>122</v>
      </c>
      <c r="M89" s="256">
        <v>5</v>
      </c>
      <c r="N89" s="256">
        <v>3</v>
      </c>
      <c r="O89" s="256">
        <v>26</v>
      </c>
    </row>
    <row r="90" spans="1:18" s="69" customFormat="1" ht="106">
      <c r="A90" s="256" t="s">
        <v>2355</v>
      </c>
      <c r="B90" s="256" t="s">
        <v>45</v>
      </c>
      <c r="C90" s="256" t="s">
        <v>46</v>
      </c>
      <c r="D90" s="186" t="s">
        <v>2415</v>
      </c>
      <c r="E90" s="187">
        <f t="shared" si="1"/>
        <v>111</v>
      </c>
      <c r="F90" s="256">
        <v>9.7501071350018703E-2</v>
      </c>
      <c r="G90" s="278">
        <v>1</v>
      </c>
      <c r="H90" s="279">
        <v>42731</v>
      </c>
      <c r="I90" s="186" t="s">
        <v>2416</v>
      </c>
      <c r="J90" s="186">
        <v>0</v>
      </c>
      <c r="K90" s="186" t="s">
        <v>2417</v>
      </c>
      <c r="L90" s="256">
        <v>154</v>
      </c>
      <c r="M90" s="256">
        <v>1</v>
      </c>
      <c r="N90" s="256">
        <v>2</v>
      </c>
      <c r="O90" s="256">
        <v>17</v>
      </c>
    </row>
    <row r="91" spans="1:18" s="69" customFormat="1" ht="106">
      <c r="A91" s="256" t="s">
        <v>2418</v>
      </c>
      <c r="B91" s="256" t="s">
        <v>45</v>
      </c>
      <c r="C91" s="256" t="s">
        <v>46</v>
      </c>
      <c r="D91" s="261" t="s">
        <v>2419</v>
      </c>
      <c r="E91" s="187">
        <f t="shared" si="1"/>
        <v>137</v>
      </c>
      <c r="F91" s="256"/>
      <c r="G91" s="278">
        <v>1</v>
      </c>
      <c r="H91" s="264">
        <v>44163</v>
      </c>
      <c r="I91" s="261" t="s">
        <v>2420</v>
      </c>
      <c r="J91" s="186">
        <v>1</v>
      </c>
      <c r="K91" s="261" t="s">
        <v>2421</v>
      </c>
      <c r="L91" s="256"/>
      <c r="M91" s="256">
        <v>0</v>
      </c>
      <c r="N91" s="256">
        <v>1</v>
      </c>
      <c r="O91" s="256">
        <v>3</v>
      </c>
      <c r="P91" s="282">
        <f>AVERAGE(M91:M122)</f>
        <v>0.71875</v>
      </c>
      <c r="Q91" s="282">
        <f>AVERAGE(N91:N122)</f>
        <v>1.125</v>
      </c>
      <c r="R91" s="282">
        <f>AVERAGE(O91:O122)</f>
        <v>5</v>
      </c>
    </row>
    <row r="92" spans="1:18" s="69" customFormat="1" ht="91">
      <c r="A92" s="256" t="s">
        <v>2418</v>
      </c>
      <c r="B92" s="256" t="s">
        <v>45</v>
      </c>
      <c r="C92" s="256" t="s">
        <v>46</v>
      </c>
      <c r="D92" s="261" t="s">
        <v>2422</v>
      </c>
      <c r="E92" s="187">
        <f t="shared" si="1"/>
        <v>42</v>
      </c>
      <c r="F92" s="256"/>
      <c r="G92" s="278">
        <v>1</v>
      </c>
      <c r="H92" s="263">
        <v>44149</v>
      </c>
      <c r="I92" s="261" t="s">
        <v>2423</v>
      </c>
      <c r="J92" s="186">
        <v>1</v>
      </c>
      <c r="K92" s="261" t="s">
        <v>2424</v>
      </c>
      <c r="L92" s="256"/>
      <c r="M92" s="256">
        <v>2</v>
      </c>
      <c r="N92" s="256">
        <v>1</v>
      </c>
      <c r="O92" s="256">
        <v>9</v>
      </c>
      <c r="P92" s="282"/>
      <c r="Q92" s="282"/>
      <c r="R92" s="282"/>
    </row>
    <row r="93" spans="1:18" s="69" customFormat="1" ht="121">
      <c r="A93" s="256" t="s">
        <v>2418</v>
      </c>
      <c r="B93" s="256" t="s">
        <v>45</v>
      </c>
      <c r="C93" s="256" t="s">
        <v>46</v>
      </c>
      <c r="D93" s="186" t="s">
        <v>2425</v>
      </c>
      <c r="E93" s="187">
        <f t="shared" si="1"/>
        <v>103</v>
      </c>
      <c r="F93" s="256">
        <v>9.1604656971000496E-8</v>
      </c>
      <c r="G93" s="278">
        <v>1</v>
      </c>
      <c r="H93" s="279">
        <v>43947</v>
      </c>
      <c r="I93" s="186" t="s">
        <v>2426</v>
      </c>
      <c r="J93" s="186">
        <v>0</v>
      </c>
      <c r="K93" s="186" t="s">
        <v>4437</v>
      </c>
      <c r="L93" s="256">
        <v>159</v>
      </c>
      <c r="M93" s="256">
        <v>0</v>
      </c>
      <c r="N93" s="256">
        <v>1</v>
      </c>
      <c r="O93" s="256">
        <v>2</v>
      </c>
      <c r="P93" s="282"/>
      <c r="Q93" s="282"/>
      <c r="R93" s="282"/>
    </row>
    <row r="94" spans="1:18" s="69" customFormat="1" ht="91">
      <c r="A94" s="256" t="s">
        <v>2418</v>
      </c>
      <c r="B94" s="256" t="s">
        <v>59</v>
      </c>
      <c r="C94" s="256" t="s">
        <v>46</v>
      </c>
      <c r="D94" s="181" t="s">
        <v>2428</v>
      </c>
      <c r="E94" s="187">
        <f t="shared" si="1"/>
        <v>52</v>
      </c>
      <c r="F94" s="256">
        <v>6.2658803161819198E-4</v>
      </c>
      <c r="G94" s="278">
        <v>1</v>
      </c>
      <c r="H94" s="279">
        <v>43933</v>
      </c>
      <c r="I94" s="186" t="s">
        <v>2429</v>
      </c>
      <c r="J94" s="186">
        <v>1</v>
      </c>
      <c r="K94" s="186" t="s">
        <v>2430</v>
      </c>
      <c r="L94" s="256">
        <v>96</v>
      </c>
      <c r="M94" s="256">
        <v>0</v>
      </c>
      <c r="N94" s="256">
        <v>2</v>
      </c>
      <c r="O94" s="256">
        <v>3</v>
      </c>
      <c r="P94" s="282">
        <f>AVERAGE(O93:O122)</f>
        <v>4.9333333333333336</v>
      </c>
      <c r="Q94" s="282"/>
      <c r="R94" s="282"/>
    </row>
    <row r="95" spans="1:18" s="69" customFormat="1" ht="121">
      <c r="A95" s="256" t="s">
        <v>2418</v>
      </c>
      <c r="B95" s="256" t="s">
        <v>119</v>
      </c>
      <c r="C95" s="256" t="s">
        <v>46</v>
      </c>
      <c r="D95" s="181" t="s">
        <v>2431</v>
      </c>
      <c r="E95" s="187">
        <f t="shared" si="1"/>
        <v>209</v>
      </c>
      <c r="F95" s="256">
        <v>2.4175500033252201E-4</v>
      </c>
      <c r="G95" s="278">
        <v>1</v>
      </c>
      <c r="H95" s="279">
        <v>43883</v>
      </c>
      <c r="I95" s="186" t="s">
        <v>4438</v>
      </c>
      <c r="J95" s="186">
        <v>1</v>
      </c>
      <c r="K95" s="186" t="s">
        <v>2433</v>
      </c>
      <c r="L95" s="256">
        <v>90</v>
      </c>
      <c r="M95" s="256">
        <v>1</v>
      </c>
      <c r="N95" s="256">
        <v>1</v>
      </c>
      <c r="O95" s="256">
        <v>7</v>
      </c>
      <c r="P95" s="282"/>
      <c r="Q95" s="282"/>
      <c r="R95" s="282"/>
    </row>
    <row r="96" spans="1:18" s="69" customFormat="1" ht="76">
      <c r="A96" s="256" t="s">
        <v>2418</v>
      </c>
      <c r="B96" s="256" t="s">
        <v>45</v>
      </c>
      <c r="C96" s="256" t="s">
        <v>221</v>
      </c>
      <c r="D96" s="186" t="s">
        <v>2434</v>
      </c>
      <c r="E96" s="187">
        <f t="shared" si="1"/>
        <v>72</v>
      </c>
      <c r="F96" s="256">
        <v>1.0136276543094599E-3</v>
      </c>
      <c r="G96" s="278">
        <v>0</v>
      </c>
      <c r="H96" s="279">
        <v>43810</v>
      </c>
      <c r="I96" s="186" t="s">
        <v>2435</v>
      </c>
      <c r="J96" s="186">
        <v>0</v>
      </c>
      <c r="K96" s="186" t="s">
        <v>2436</v>
      </c>
      <c r="L96" s="256">
        <v>64</v>
      </c>
      <c r="M96" s="256">
        <v>0</v>
      </c>
      <c r="N96" s="256">
        <v>1</v>
      </c>
      <c r="O96" s="256">
        <v>2</v>
      </c>
      <c r="P96" s="282"/>
      <c r="Q96" s="282"/>
      <c r="R96" s="282"/>
    </row>
    <row r="97" spans="1:18" s="69" customFormat="1" ht="106">
      <c r="A97" s="256" t="s">
        <v>2418</v>
      </c>
      <c r="B97" s="256" t="s">
        <v>59</v>
      </c>
      <c r="C97" s="256" t="s">
        <v>46</v>
      </c>
      <c r="D97" s="181" t="s">
        <v>2437</v>
      </c>
      <c r="E97" s="187">
        <f t="shared" si="1"/>
        <v>34</v>
      </c>
      <c r="F97" s="256">
        <v>0.19083769913235299</v>
      </c>
      <c r="G97" s="278">
        <v>1</v>
      </c>
      <c r="H97" s="279">
        <v>43788</v>
      </c>
      <c r="I97" s="181" t="s">
        <v>2438</v>
      </c>
      <c r="J97" s="181">
        <v>0</v>
      </c>
      <c r="K97" s="186" t="s">
        <v>2439</v>
      </c>
      <c r="L97" s="256">
        <v>81</v>
      </c>
      <c r="M97" s="256">
        <v>0</v>
      </c>
      <c r="N97" s="256">
        <v>1</v>
      </c>
      <c r="O97" s="256">
        <v>0</v>
      </c>
      <c r="P97" s="282"/>
      <c r="Q97" s="282"/>
      <c r="R97" s="282"/>
    </row>
    <row r="98" spans="1:18" s="69" customFormat="1" ht="46">
      <c r="A98" s="256" t="s">
        <v>2418</v>
      </c>
      <c r="B98" s="256" t="s">
        <v>45</v>
      </c>
      <c r="C98" s="256" t="s">
        <v>80</v>
      </c>
      <c r="D98" s="181" t="s">
        <v>2440</v>
      </c>
      <c r="E98" s="187">
        <f t="shared" si="1"/>
        <v>32</v>
      </c>
      <c r="F98" s="256">
        <v>2.0697899907580301E-2</v>
      </c>
      <c r="G98" s="278">
        <v>0</v>
      </c>
      <c r="H98" s="279">
        <v>43760</v>
      </c>
      <c r="I98" s="258" t="s">
        <v>2441</v>
      </c>
      <c r="J98" s="258">
        <v>0</v>
      </c>
      <c r="K98" s="186" t="s">
        <v>2442</v>
      </c>
      <c r="L98" s="256">
        <v>46</v>
      </c>
      <c r="M98" s="256">
        <v>0</v>
      </c>
      <c r="N98" s="256">
        <v>1</v>
      </c>
      <c r="O98" s="256">
        <v>2</v>
      </c>
      <c r="P98" s="282"/>
      <c r="Q98" s="282"/>
      <c r="R98" s="282"/>
    </row>
    <row r="99" spans="1:18" s="69" customFormat="1" ht="61">
      <c r="A99" s="256" t="s">
        <v>2418</v>
      </c>
      <c r="B99" s="256" t="s">
        <v>59</v>
      </c>
      <c r="C99" s="256" t="s">
        <v>46</v>
      </c>
      <c r="D99" s="186" t="s">
        <v>2443</v>
      </c>
      <c r="E99" s="187">
        <f t="shared" si="1"/>
        <v>28</v>
      </c>
      <c r="F99" s="256">
        <v>0.15195053530550101</v>
      </c>
      <c r="G99" s="278">
        <v>1</v>
      </c>
      <c r="H99" s="279">
        <v>43751</v>
      </c>
      <c r="I99" s="258" t="s">
        <v>2444</v>
      </c>
      <c r="J99" s="258">
        <v>0</v>
      </c>
      <c r="K99" s="186" t="s">
        <v>2445</v>
      </c>
      <c r="L99" s="256">
        <v>66</v>
      </c>
      <c r="M99" s="256">
        <v>3</v>
      </c>
      <c r="N99" s="256">
        <v>1</v>
      </c>
      <c r="O99" s="256">
        <v>3</v>
      </c>
      <c r="P99" s="282"/>
      <c r="Q99" s="282"/>
      <c r="R99" s="282"/>
    </row>
    <row r="100" spans="1:18" s="69" customFormat="1" ht="46">
      <c r="A100" s="256" t="s">
        <v>2418</v>
      </c>
      <c r="B100" s="256" t="s">
        <v>45</v>
      </c>
      <c r="C100" s="256" t="s">
        <v>80</v>
      </c>
      <c r="D100" s="186" t="s">
        <v>2446</v>
      </c>
      <c r="E100" s="187">
        <f t="shared" si="1"/>
        <v>76</v>
      </c>
      <c r="F100" s="256">
        <v>5.5739223047173202E-3</v>
      </c>
      <c r="G100" s="278">
        <v>1</v>
      </c>
      <c r="H100" s="279">
        <v>43744</v>
      </c>
      <c r="I100" s="186" t="s">
        <v>2447</v>
      </c>
      <c r="J100" s="186">
        <v>0</v>
      </c>
      <c r="K100" s="186" t="s">
        <v>2448</v>
      </c>
      <c r="L100" s="256">
        <v>53</v>
      </c>
      <c r="M100" s="256">
        <v>0</v>
      </c>
      <c r="N100" s="256">
        <v>1</v>
      </c>
      <c r="O100" s="256">
        <v>4</v>
      </c>
      <c r="P100" s="282"/>
      <c r="Q100" s="282"/>
      <c r="R100" s="282"/>
    </row>
    <row r="101" spans="1:18" s="69" customFormat="1" ht="46">
      <c r="A101" s="256" t="s">
        <v>2418</v>
      </c>
      <c r="B101" s="256" t="s">
        <v>59</v>
      </c>
      <c r="C101" s="256" t="s">
        <v>46</v>
      </c>
      <c r="D101" s="181" t="s">
        <v>2449</v>
      </c>
      <c r="E101" s="187">
        <f t="shared" si="1"/>
        <v>57</v>
      </c>
      <c r="F101" s="256">
        <v>6.6250993136134403E-2</v>
      </c>
      <c r="G101" s="278">
        <v>1</v>
      </c>
      <c r="H101" s="279">
        <v>43726</v>
      </c>
      <c r="I101" s="186" t="s">
        <v>2450</v>
      </c>
      <c r="J101" s="186">
        <v>0</v>
      </c>
      <c r="K101" s="186" t="s">
        <v>2451</v>
      </c>
      <c r="L101" s="256">
        <v>37</v>
      </c>
      <c r="M101" s="256">
        <v>2</v>
      </c>
      <c r="N101" s="256">
        <v>1</v>
      </c>
      <c r="O101" s="256">
        <v>6</v>
      </c>
      <c r="P101" s="282"/>
      <c r="Q101" s="282"/>
      <c r="R101" s="282"/>
    </row>
    <row r="102" spans="1:18" s="69" customFormat="1" ht="91">
      <c r="A102" s="256" t="s">
        <v>2418</v>
      </c>
      <c r="B102" s="256" t="s">
        <v>59</v>
      </c>
      <c r="C102" s="256" t="s">
        <v>46</v>
      </c>
      <c r="D102" s="181" t="s">
        <v>2452</v>
      </c>
      <c r="E102" s="187">
        <f t="shared" si="1"/>
        <v>50</v>
      </c>
      <c r="F102" s="256">
        <v>0.15743458589541601</v>
      </c>
      <c r="G102" s="278">
        <v>1</v>
      </c>
      <c r="H102" s="279">
        <v>43720</v>
      </c>
      <c r="I102" s="186" t="s">
        <v>2453</v>
      </c>
      <c r="J102" s="186">
        <v>0</v>
      </c>
      <c r="K102" s="186" t="s">
        <v>2454</v>
      </c>
      <c r="L102" s="256">
        <v>125</v>
      </c>
      <c r="M102" s="256">
        <v>2</v>
      </c>
      <c r="N102" s="256">
        <v>1</v>
      </c>
      <c r="O102" s="256">
        <v>12</v>
      </c>
      <c r="P102" s="282"/>
      <c r="Q102" s="282"/>
      <c r="R102" s="282"/>
    </row>
    <row r="103" spans="1:18" s="69" customFormat="1" ht="121">
      <c r="A103" s="256" t="s">
        <v>2418</v>
      </c>
      <c r="B103" s="256" t="s">
        <v>45</v>
      </c>
      <c r="C103" s="256" t="s">
        <v>46</v>
      </c>
      <c r="D103" s="186" t="s">
        <v>2455</v>
      </c>
      <c r="E103" s="187">
        <f t="shared" si="1"/>
        <v>20</v>
      </c>
      <c r="F103" s="256">
        <v>0.74843880990746703</v>
      </c>
      <c r="G103" s="278">
        <v>1</v>
      </c>
      <c r="H103" s="279">
        <v>43711</v>
      </c>
      <c r="I103" s="181" t="s">
        <v>2456</v>
      </c>
      <c r="J103" s="181">
        <v>0</v>
      </c>
      <c r="K103" s="186" t="s">
        <v>2457</v>
      </c>
      <c r="L103" s="256">
        <v>61</v>
      </c>
      <c r="M103" s="256">
        <v>2</v>
      </c>
      <c r="N103" s="256">
        <v>1</v>
      </c>
      <c r="O103" s="256">
        <v>8</v>
      </c>
      <c r="P103" s="282"/>
      <c r="Q103" s="282"/>
      <c r="R103" s="282"/>
    </row>
    <row r="104" spans="1:18" s="69" customFormat="1" ht="151">
      <c r="A104" s="256" t="s">
        <v>2418</v>
      </c>
      <c r="B104" s="256" t="s">
        <v>59</v>
      </c>
      <c r="C104" s="256" t="s">
        <v>80</v>
      </c>
      <c r="D104" s="186" t="s">
        <v>2458</v>
      </c>
      <c r="E104" s="187">
        <f t="shared" si="1"/>
        <v>27</v>
      </c>
      <c r="F104" s="256">
        <v>2.3880199064891801E-3</v>
      </c>
      <c r="G104" s="278">
        <v>1</v>
      </c>
      <c r="H104" s="279">
        <v>43706</v>
      </c>
      <c r="I104" s="258" t="s">
        <v>2459</v>
      </c>
      <c r="J104" s="258">
        <v>0</v>
      </c>
      <c r="K104" s="186" t="s">
        <v>2460</v>
      </c>
      <c r="L104" s="256">
        <v>204</v>
      </c>
      <c r="M104" s="256">
        <v>0</v>
      </c>
      <c r="N104" s="256">
        <v>2</v>
      </c>
      <c r="O104" s="256">
        <v>4</v>
      </c>
      <c r="P104" s="282"/>
      <c r="Q104" s="282"/>
      <c r="R104" s="282"/>
    </row>
    <row r="105" spans="1:18" s="69" customFormat="1" ht="61">
      <c r="A105" s="256" t="s">
        <v>2418</v>
      </c>
      <c r="B105" s="256" t="s">
        <v>59</v>
      </c>
      <c r="C105" s="256" t="s">
        <v>46</v>
      </c>
      <c r="D105" s="186" t="s">
        <v>2461</v>
      </c>
      <c r="E105" s="187">
        <f t="shared" si="1"/>
        <v>71</v>
      </c>
      <c r="F105" s="256">
        <v>0.35006237481251301</v>
      </c>
      <c r="G105" s="278">
        <v>1</v>
      </c>
      <c r="H105" s="279">
        <v>43569</v>
      </c>
      <c r="I105" s="186" t="s">
        <v>2462</v>
      </c>
      <c r="J105" s="186">
        <v>1</v>
      </c>
      <c r="K105" s="186" t="s">
        <v>2463</v>
      </c>
      <c r="L105" s="256">
        <v>85</v>
      </c>
      <c r="M105" s="256">
        <v>1</v>
      </c>
      <c r="N105" s="256">
        <v>1</v>
      </c>
      <c r="O105" s="256">
        <v>3</v>
      </c>
      <c r="P105" s="282"/>
      <c r="Q105" s="282"/>
      <c r="R105" s="282"/>
    </row>
    <row r="106" spans="1:18" s="69" customFormat="1" ht="61">
      <c r="A106" s="256" t="s">
        <v>2418</v>
      </c>
      <c r="B106" s="256" t="s">
        <v>59</v>
      </c>
      <c r="C106" s="256" t="s">
        <v>46</v>
      </c>
      <c r="D106" s="186" t="s">
        <v>2464</v>
      </c>
      <c r="E106" s="187">
        <f t="shared" si="1"/>
        <v>12</v>
      </c>
      <c r="F106" s="256">
        <v>0.36467205737235903</v>
      </c>
      <c r="G106" s="278">
        <v>1</v>
      </c>
      <c r="H106" s="279">
        <v>43558</v>
      </c>
      <c r="I106" s="258" t="s">
        <v>2465</v>
      </c>
      <c r="J106" s="258">
        <v>0</v>
      </c>
      <c r="K106" s="186" t="s">
        <v>2466</v>
      </c>
      <c r="L106" s="256">
        <v>86</v>
      </c>
      <c r="M106" s="256">
        <v>1</v>
      </c>
      <c r="N106" s="256">
        <v>1</v>
      </c>
      <c r="O106" s="256">
        <v>5</v>
      </c>
      <c r="P106" s="282"/>
      <c r="Q106" s="282"/>
      <c r="R106" s="282"/>
    </row>
    <row r="107" spans="1:18" s="69" customFormat="1" ht="241">
      <c r="A107" s="256" t="s">
        <v>2418</v>
      </c>
      <c r="B107" s="256" t="s">
        <v>45</v>
      </c>
      <c r="C107" s="256" t="s">
        <v>46</v>
      </c>
      <c r="D107" s="186" t="s">
        <v>2467</v>
      </c>
      <c r="E107" s="187">
        <f t="shared" si="1"/>
        <v>452</v>
      </c>
      <c r="F107" s="256">
        <v>0</v>
      </c>
      <c r="G107" s="278">
        <v>1</v>
      </c>
      <c r="H107" s="279">
        <v>43315</v>
      </c>
      <c r="I107" s="186" t="s">
        <v>2468</v>
      </c>
      <c r="J107" s="186">
        <v>0</v>
      </c>
      <c r="K107" s="186" t="s">
        <v>2469</v>
      </c>
      <c r="L107" s="256">
        <v>64</v>
      </c>
      <c r="M107" s="256">
        <v>1</v>
      </c>
      <c r="N107" s="256">
        <v>1</v>
      </c>
      <c r="O107" s="256">
        <v>14</v>
      </c>
      <c r="P107" s="282"/>
      <c r="Q107" s="282"/>
      <c r="R107" s="282"/>
    </row>
    <row r="108" spans="1:18" s="69" customFormat="1" ht="196">
      <c r="A108" s="256" t="s">
        <v>2418</v>
      </c>
      <c r="B108" s="256" t="s">
        <v>45</v>
      </c>
      <c r="C108" s="256" t="s">
        <v>80</v>
      </c>
      <c r="D108" s="186" t="s">
        <v>2470</v>
      </c>
      <c r="E108" s="187">
        <f t="shared" si="1"/>
        <v>141</v>
      </c>
      <c r="F108" s="256">
        <v>1.8118038339509602E-5</v>
      </c>
      <c r="G108" s="278">
        <v>1</v>
      </c>
      <c r="H108" s="279">
        <v>43270</v>
      </c>
      <c r="I108" s="186" t="s">
        <v>2471</v>
      </c>
      <c r="J108" s="186">
        <v>0</v>
      </c>
      <c r="K108" s="186" t="s">
        <v>2472</v>
      </c>
      <c r="L108" s="256">
        <v>285</v>
      </c>
      <c r="M108" s="256">
        <v>0</v>
      </c>
      <c r="N108" s="256">
        <v>2</v>
      </c>
      <c r="O108" s="256">
        <v>7</v>
      </c>
      <c r="P108" s="282"/>
      <c r="Q108" s="282"/>
      <c r="R108" s="282"/>
    </row>
    <row r="109" spans="1:18" s="69" customFormat="1" ht="76">
      <c r="A109" s="256" t="s">
        <v>2418</v>
      </c>
      <c r="B109" s="256" t="s">
        <v>45</v>
      </c>
      <c r="C109" s="256" t="s">
        <v>46</v>
      </c>
      <c r="D109" s="186" t="s">
        <v>2473</v>
      </c>
      <c r="E109" s="187">
        <f t="shared" si="1"/>
        <v>42</v>
      </c>
      <c r="F109" s="256">
        <v>0.166665034940435</v>
      </c>
      <c r="G109" s="278">
        <v>0</v>
      </c>
      <c r="H109" s="279">
        <v>43239</v>
      </c>
      <c r="I109" s="186" t="s">
        <v>2474</v>
      </c>
      <c r="J109" s="186">
        <v>1</v>
      </c>
      <c r="K109" s="186" t="s">
        <v>2475</v>
      </c>
      <c r="L109" s="256">
        <v>103</v>
      </c>
      <c r="M109" s="256">
        <v>1</v>
      </c>
      <c r="N109" s="256">
        <v>1</v>
      </c>
      <c r="O109" s="256">
        <v>6</v>
      </c>
      <c r="P109" s="282"/>
      <c r="Q109" s="282"/>
      <c r="R109" s="282"/>
    </row>
    <row r="110" spans="1:18" s="69" customFormat="1" ht="166">
      <c r="A110" s="256" t="s">
        <v>2418</v>
      </c>
      <c r="B110" s="256" t="s">
        <v>45</v>
      </c>
      <c r="C110" s="256" t="s">
        <v>46</v>
      </c>
      <c r="D110" s="186" t="s">
        <v>2476</v>
      </c>
      <c r="E110" s="187">
        <f t="shared" si="1"/>
        <v>301</v>
      </c>
      <c r="F110" s="256">
        <v>3.7949467901476901E-8</v>
      </c>
      <c r="G110" s="278">
        <v>0</v>
      </c>
      <c r="H110" s="279">
        <v>43193</v>
      </c>
      <c r="I110" s="186" t="s">
        <v>2477</v>
      </c>
      <c r="J110" s="186">
        <v>0</v>
      </c>
      <c r="K110" s="186" t="s">
        <v>2478</v>
      </c>
      <c r="L110" s="256">
        <v>167</v>
      </c>
      <c r="M110" s="256">
        <v>0</v>
      </c>
      <c r="N110" s="256">
        <v>1</v>
      </c>
      <c r="O110" s="256">
        <v>1</v>
      </c>
      <c r="P110" s="282"/>
      <c r="Q110" s="282"/>
      <c r="R110" s="282"/>
    </row>
    <row r="111" spans="1:18" s="69" customFormat="1" ht="106">
      <c r="A111" s="256" t="s">
        <v>2418</v>
      </c>
      <c r="B111" s="256" t="s">
        <v>45</v>
      </c>
      <c r="C111" s="256" t="s">
        <v>46</v>
      </c>
      <c r="D111" s="186" t="s">
        <v>2479</v>
      </c>
      <c r="E111" s="187">
        <f t="shared" si="1"/>
        <v>60</v>
      </c>
      <c r="F111" s="256">
        <v>0.124263619502027</v>
      </c>
      <c r="G111" s="278">
        <v>1</v>
      </c>
      <c r="H111" s="279">
        <v>43178</v>
      </c>
      <c r="I111" s="186" t="s">
        <v>2480</v>
      </c>
      <c r="J111" s="186">
        <v>0</v>
      </c>
      <c r="K111" s="186" t="s">
        <v>2481</v>
      </c>
      <c r="L111" s="256">
        <v>122</v>
      </c>
      <c r="M111" s="256">
        <v>1</v>
      </c>
      <c r="N111" s="256">
        <v>1</v>
      </c>
      <c r="O111" s="256">
        <v>2</v>
      </c>
      <c r="P111" s="282"/>
      <c r="Q111" s="282"/>
      <c r="R111" s="282"/>
    </row>
    <row r="112" spans="1:18" s="69" customFormat="1" ht="136">
      <c r="A112" s="256" t="s">
        <v>2418</v>
      </c>
      <c r="B112" s="256" t="s">
        <v>45</v>
      </c>
      <c r="C112" s="256" t="s">
        <v>80</v>
      </c>
      <c r="D112" s="186" t="s">
        <v>1459</v>
      </c>
      <c r="E112" s="187">
        <f t="shared" si="1"/>
        <v>52</v>
      </c>
      <c r="F112" s="256">
        <v>5.4909340902686802E-5</v>
      </c>
      <c r="G112" s="278">
        <v>1</v>
      </c>
      <c r="H112" s="279">
        <v>43135</v>
      </c>
      <c r="I112" s="186" t="s">
        <v>2482</v>
      </c>
      <c r="J112" s="186">
        <v>1</v>
      </c>
      <c r="K112" s="186" t="s">
        <v>2483</v>
      </c>
      <c r="L112" s="256">
        <v>177</v>
      </c>
      <c r="M112" s="256">
        <v>3</v>
      </c>
      <c r="N112" s="256">
        <v>2</v>
      </c>
      <c r="O112" s="256">
        <v>4</v>
      </c>
      <c r="P112" s="282"/>
      <c r="Q112" s="282"/>
      <c r="R112" s="282"/>
    </row>
    <row r="113" spans="1:18" s="69" customFormat="1" ht="136">
      <c r="A113" s="256" t="s">
        <v>2418</v>
      </c>
      <c r="B113" s="256" t="s">
        <v>119</v>
      </c>
      <c r="C113" s="256" t="s">
        <v>46</v>
      </c>
      <c r="D113" s="186" t="s">
        <v>2484</v>
      </c>
      <c r="E113" s="187">
        <f t="shared" si="1"/>
        <v>41</v>
      </c>
      <c r="F113" s="256">
        <v>0.33590153345086798</v>
      </c>
      <c r="G113" s="278">
        <v>1</v>
      </c>
      <c r="H113" s="279">
        <v>43124</v>
      </c>
      <c r="I113" s="186" t="s">
        <v>2484</v>
      </c>
      <c r="J113" s="186">
        <v>1</v>
      </c>
      <c r="K113" s="186" t="s">
        <v>2485</v>
      </c>
      <c r="L113" s="256">
        <v>53</v>
      </c>
      <c r="M113" s="256">
        <v>0</v>
      </c>
      <c r="N113" s="256">
        <v>1</v>
      </c>
      <c r="O113" s="256">
        <v>6</v>
      </c>
      <c r="P113" s="282"/>
      <c r="Q113" s="282"/>
      <c r="R113" s="282"/>
    </row>
    <row r="114" spans="1:18" s="69" customFormat="1" ht="46">
      <c r="A114" s="256" t="s">
        <v>2418</v>
      </c>
      <c r="B114" s="256" t="s">
        <v>45</v>
      </c>
      <c r="C114" s="256" t="s">
        <v>80</v>
      </c>
      <c r="D114" s="186" t="s">
        <v>2486</v>
      </c>
      <c r="E114" s="187">
        <f t="shared" si="1"/>
        <v>59</v>
      </c>
      <c r="F114" s="256">
        <v>0.47156684321640502</v>
      </c>
      <c r="G114" s="278">
        <v>1</v>
      </c>
      <c r="H114" s="279">
        <v>43120</v>
      </c>
      <c r="I114" s="186" t="s">
        <v>2487</v>
      </c>
      <c r="J114" s="186">
        <v>0</v>
      </c>
      <c r="K114" s="186" t="s">
        <v>2488</v>
      </c>
      <c r="L114" s="256">
        <v>45</v>
      </c>
      <c r="M114" s="256">
        <v>0</v>
      </c>
      <c r="N114" s="256">
        <v>1</v>
      </c>
      <c r="O114" s="256">
        <v>12</v>
      </c>
      <c r="P114" s="282"/>
      <c r="Q114" s="282"/>
      <c r="R114" s="282"/>
    </row>
    <row r="115" spans="1:18" s="69" customFormat="1" ht="121">
      <c r="A115" s="256" t="s">
        <v>2418</v>
      </c>
      <c r="B115" s="256" t="s">
        <v>45</v>
      </c>
      <c r="C115" s="256" t="s">
        <v>80</v>
      </c>
      <c r="D115" s="186" t="s">
        <v>2489</v>
      </c>
      <c r="E115" s="187">
        <f t="shared" si="1"/>
        <v>48</v>
      </c>
      <c r="F115" s="256">
        <v>0.44266253060732802</v>
      </c>
      <c r="G115" s="278">
        <v>1</v>
      </c>
      <c r="H115" s="279">
        <v>43067</v>
      </c>
      <c r="I115" s="186" t="s">
        <v>2490</v>
      </c>
      <c r="J115" s="186">
        <v>1</v>
      </c>
      <c r="K115" s="186" t="s">
        <v>4439</v>
      </c>
      <c r="L115" s="256">
        <v>180</v>
      </c>
      <c r="M115" s="256">
        <v>0</v>
      </c>
      <c r="N115" s="256">
        <v>1</v>
      </c>
      <c r="O115" s="256">
        <v>1</v>
      </c>
      <c r="P115" s="282"/>
      <c r="Q115" s="282"/>
      <c r="R115" s="282"/>
    </row>
    <row r="116" spans="1:18" s="69" customFormat="1" ht="61">
      <c r="A116" s="256" t="s">
        <v>2418</v>
      </c>
      <c r="B116" s="256" t="s">
        <v>45</v>
      </c>
      <c r="C116" s="256" t="s">
        <v>80</v>
      </c>
      <c r="D116" s="186" t="s">
        <v>2492</v>
      </c>
      <c r="E116" s="187">
        <f t="shared" si="1"/>
        <v>45</v>
      </c>
      <c r="F116" s="256">
        <v>2.1678300036550201E-2</v>
      </c>
      <c r="G116" s="278">
        <v>1</v>
      </c>
      <c r="H116" s="279">
        <v>43023</v>
      </c>
      <c r="I116" s="186" t="s">
        <v>2493</v>
      </c>
      <c r="J116" s="186">
        <v>1</v>
      </c>
      <c r="K116" s="186" t="s">
        <v>2494</v>
      </c>
      <c r="L116" s="256">
        <v>66</v>
      </c>
      <c r="M116" s="256">
        <v>2</v>
      </c>
      <c r="N116" s="256">
        <v>1</v>
      </c>
      <c r="O116" s="256">
        <v>4</v>
      </c>
      <c r="P116" s="282"/>
      <c r="Q116" s="282"/>
      <c r="R116" s="282"/>
    </row>
    <row r="117" spans="1:18" s="69" customFormat="1" ht="91">
      <c r="A117" s="256" t="s">
        <v>2418</v>
      </c>
      <c r="B117" s="256" t="s">
        <v>59</v>
      </c>
      <c r="C117" s="256" t="s">
        <v>46</v>
      </c>
      <c r="D117" s="186" t="s">
        <v>2495</v>
      </c>
      <c r="E117" s="187">
        <f t="shared" si="1"/>
        <v>142</v>
      </c>
      <c r="F117" s="256">
        <v>0.99747968984498903</v>
      </c>
      <c r="G117" s="278">
        <v>1</v>
      </c>
      <c r="H117" s="279">
        <v>42989</v>
      </c>
      <c r="I117" s="186" t="s">
        <v>2496</v>
      </c>
      <c r="J117" s="186">
        <v>1</v>
      </c>
      <c r="K117" s="186" t="s">
        <v>2497</v>
      </c>
      <c r="L117" s="256">
        <v>122</v>
      </c>
      <c r="M117" s="256">
        <v>0</v>
      </c>
      <c r="N117" s="256">
        <v>1</v>
      </c>
      <c r="O117" s="256">
        <v>2</v>
      </c>
      <c r="P117" s="282"/>
      <c r="Q117" s="282"/>
      <c r="R117" s="282"/>
    </row>
    <row r="118" spans="1:18" s="69" customFormat="1" ht="106">
      <c r="A118" s="256" t="s">
        <v>2418</v>
      </c>
      <c r="B118" s="256" t="s">
        <v>59</v>
      </c>
      <c r="C118" s="256" t="s">
        <v>46</v>
      </c>
      <c r="D118" s="186" t="s">
        <v>2498</v>
      </c>
      <c r="E118" s="187">
        <f t="shared" si="1"/>
        <v>38</v>
      </c>
      <c r="F118" s="256">
        <v>7.5553420029989396E-2</v>
      </c>
      <c r="G118" s="278">
        <v>1</v>
      </c>
      <c r="H118" s="279">
        <v>42984</v>
      </c>
      <c r="I118" s="186" t="s">
        <v>4440</v>
      </c>
      <c r="J118" s="186">
        <v>0</v>
      </c>
      <c r="K118" s="186" t="s">
        <v>2500</v>
      </c>
      <c r="L118" s="256">
        <v>141</v>
      </c>
      <c r="M118" s="256">
        <v>0</v>
      </c>
      <c r="N118" s="256">
        <v>1</v>
      </c>
      <c r="O118" s="256">
        <v>2</v>
      </c>
      <c r="P118" s="282"/>
      <c r="Q118" s="282"/>
      <c r="R118" s="282"/>
    </row>
    <row r="119" spans="1:18" s="69" customFormat="1" ht="76">
      <c r="A119" s="256" t="s">
        <v>2418</v>
      </c>
      <c r="B119" s="256" t="s">
        <v>45</v>
      </c>
      <c r="C119" s="256" t="s">
        <v>46</v>
      </c>
      <c r="D119" s="186" t="s">
        <v>2501</v>
      </c>
      <c r="E119" s="187">
        <f t="shared" si="1"/>
        <v>126</v>
      </c>
      <c r="F119" s="256">
        <v>0.91603701466198695</v>
      </c>
      <c r="G119" s="278">
        <v>1</v>
      </c>
      <c r="H119" s="279">
        <v>42984</v>
      </c>
      <c r="I119" s="186" t="s">
        <v>2502</v>
      </c>
      <c r="J119" s="186">
        <v>0</v>
      </c>
      <c r="K119" s="186" t="s">
        <v>2503</v>
      </c>
      <c r="L119" s="256">
        <v>61</v>
      </c>
      <c r="M119" s="256">
        <v>0</v>
      </c>
      <c r="N119" s="256">
        <v>1</v>
      </c>
      <c r="O119" s="256">
        <v>6</v>
      </c>
      <c r="P119" s="282"/>
      <c r="Q119" s="282"/>
      <c r="R119" s="282"/>
    </row>
    <row r="120" spans="1:18" s="69" customFormat="1" ht="91">
      <c r="A120" s="256" t="s">
        <v>2418</v>
      </c>
      <c r="B120" s="256" t="s">
        <v>45</v>
      </c>
      <c r="C120" s="256" t="s">
        <v>46</v>
      </c>
      <c r="D120" s="186" t="s">
        <v>2504</v>
      </c>
      <c r="E120" s="187">
        <f t="shared" si="1"/>
        <v>138</v>
      </c>
      <c r="F120" s="256">
        <v>2.10889686929061E-5</v>
      </c>
      <c r="G120" s="278">
        <v>1</v>
      </c>
      <c r="H120" s="279">
        <v>42971</v>
      </c>
      <c r="I120" s="186" t="s">
        <v>2505</v>
      </c>
      <c r="J120" s="186">
        <v>0</v>
      </c>
      <c r="K120" s="186" t="s">
        <v>2506</v>
      </c>
      <c r="L120" s="256">
        <v>132</v>
      </c>
      <c r="M120" s="256">
        <v>0</v>
      </c>
      <c r="N120" s="256">
        <v>1</v>
      </c>
      <c r="O120" s="256">
        <v>6</v>
      </c>
      <c r="P120" s="282"/>
      <c r="Q120" s="282"/>
      <c r="R120" s="282"/>
    </row>
    <row r="121" spans="1:18" s="69" customFormat="1" ht="91">
      <c r="A121" s="256" t="s">
        <v>2418</v>
      </c>
      <c r="B121" s="256" t="s">
        <v>119</v>
      </c>
      <c r="C121" s="256" t="s">
        <v>46</v>
      </c>
      <c r="D121" s="186" t="s">
        <v>2507</v>
      </c>
      <c r="E121" s="187">
        <f t="shared" si="1"/>
        <v>166</v>
      </c>
      <c r="F121" s="256">
        <v>1.8709966909113999E-10</v>
      </c>
      <c r="G121" s="278">
        <v>1</v>
      </c>
      <c r="H121" s="279">
        <v>42969</v>
      </c>
      <c r="I121" s="186" t="s">
        <v>2508</v>
      </c>
      <c r="J121" s="186">
        <v>0</v>
      </c>
      <c r="K121" s="186" t="s">
        <v>2506</v>
      </c>
      <c r="L121" s="256">
        <v>132</v>
      </c>
      <c r="M121" s="256">
        <v>1</v>
      </c>
      <c r="N121" s="256">
        <v>1</v>
      </c>
      <c r="O121" s="256">
        <v>8</v>
      </c>
      <c r="P121" s="282"/>
      <c r="Q121" s="282"/>
      <c r="R121" s="282"/>
    </row>
    <row r="122" spans="1:18" s="69" customFormat="1" ht="91">
      <c r="A122" s="256" t="s">
        <v>2418</v>
      </c>
      <c r="B122" s="256" t="s">
        <v>45</v>
      </c>
      <c r="C122" s="256" t="s">
        <v>46</v>
      </c>
      <c r="D122" s="186" t="s">
        <v>2498</v>
      </c>
      <c r="E122" s="187">
        <f t="shared" si="1"/>
        <v>21</v>
      </c>
      <c r="F122" s="256">
        <v>0.54381288873332001</v>
      </c>
      <c r="G122" s="278">
        <v>1</v>
      </c>
      <c r="H122" s="279">
        <v>42932</v>
      </c>
      <c r="I122" s="258" t="s">
        <v>2498</v>
      </c>
      <c r="J122" s="258">
        <v>0</v>
      </c>
      <c r="K122" s="186" t="s">
        <v>2509</v>
      </c>
      <c r="L122" s="256">
        <v>122</v>
      </c>
      <c r="M122" s="256">
        <v>0</v>
      </c>
      <c r="N122" s="256">
        <v>1</v>
      </c>
      <c r="O122" s="256">
        <v>6</v>
      </c>
      <c r="P122" s="282"/>
      <c r="Q122" s="282"/>
      <c r="R122" s="282"/>
    </row>
    <row r="123" spans="1:18" s="69" customFormat="1" ht="91">
      <c r="A123" s="256" t="s">
        <v>2510</v>
      </c>
      <c r="B123" s="256" t="s">
        <v>45</v>
      </c>
      <c r="C123" s="256" t="s">
        <v>80</v>
      </c>
      <c r="D123" s="181" t="s">
        <v>159</v>
      </c>
      <c r="E123" s="187">
        <f t="shared" si="1"/>
        <v>52</v>
      </c>
      <c r="F123" s="256">
        <v>0.61121338745444498</v>
      </c>
      <c r="G123" s="278">
        <v>1</v>
      </c>
      <c r="H123" s="279">
        <v>43735</v>
      </c>
      <c r="I123" s="186" t="s">
        <v>2511</v>
      </c>
      <c r="J123" s="186">
        <v>0</v>
      </c>
      <c r="K123" s="181" t="s">
        <v>2512</v>
      </c>
      <c r="L123" s="256">
        <v>130</v>
      </c>
      <c r="M123" s="256">
        <v>0</v>
      </c>
      <c r="N123" s="256">
        <v>1</v>
      </c>
      <c r="O123" s="256">
        <v>2</v>
      </c>
      <c r="P123" s="69">
        <f>AVERAGE(M123:M168)</f>
        <v>0.17391304347826086</v>
      </c>
      <c r="Q123" s="69">
        <f>AVERAGE(N123:N168)</f>
        <v>1.0869565217391304</v>
      </c>
      <c r="R123" s="69">
        <f>AVERAGE(O123:O168)</f>
        <v>3.9130434782608696</v>
      </c>
    </row>
    <row r="124" spans="1:18" s="69" customFormat="1" ht="76">
      <c r="A124" s="256" t="s">
        <v>2510</v>
      </c>
      <c r="B124" s="256" t="s">
        <v>45</v>
      </c>
      <c r="C124" s="256" t="s">
        <v>80</v>
      </c>
      <c r="D124" s="258" t="s">
        <v>159</v>
      </c>
      <c r="E124" s="187">
        <f t="shared" si="1"/>
        <v>50</v>
      </c>
      <c r="F124" s="256">
        <v>6.6859007901130099E-2</v>
      </c>
      <c r="G124" s="278">
        <v>1</v>
      </c>
      <c r="H124" s="279">
        <v>43733</v>
      </c>
      <c r="I124" s="186" t="s">
        <v>2513</v>
      </c>
      <c r="J124" s="186">
        <v>0</v>
      </c>
      <c r="K124" s="186" t="s">
        <v>2514</v>
      </c>
      <c r="L124" s="256">
        <v>98</v>
      </c>
      <c r="M124" s="256">
        <v>0</v>
      </c>
      <c r="N124" s="256">
        <v>1</v>
      </c>
      <c r="O124" s="256">
        <v>2</v>
      </c>
    </row>
    <row r="125" spans="1:18" s="69" customFormat="1" ht="46">
      <c r="A125" s="256" t="s">
        <v>2510</v>
      </c>
      <c r="B125" s="256" t="s">
        <v>45</v>
      </c>
      <c r="C125" s="256" t="s">
        <v>80</v>
      </c>
      <c r="D125" s="181" t="s">
        <v>2515</v>
      </c>
      <c r="E125" s="187">
        <f t="shared" si="1"/>
        <v>31</v>
      </c>
      <c r="F125" s="256">
        <v>6.6229760362466203E-3</v>
      </c>
      <c r="G125" s="278">
        <v>1</v>
      </c>
      <c r="H125" s="279">
        <v>43637</v>
      </c>
      <c r="I125" s="258" t="s">
        <v>2516</v>
      </c>
      <c r="J125" s="258">
        <v>0</v>
      </c>
      <c r="K125" s="186" t="s">
        <v>2517</v>
      </c>
      <c r="L125" s="256">
        <v>62</v>
      </c>
      <c r="M125" s="256">
        <v>0</v>
      </c>
      <c r="N125" s="256">
        <v>1</v>
      </c>
      <c r="O125" s="256">
        <v>3</v>
      </c>
    </row>
    <row r="126" spans="1:18" s="69" customFormat="1" ht="91">
      <c r="A126" s="256" t="s">
        <v>2510</v>
      </c>
      <c r="B126" s="256" t="s">
        <v>45</v>
      </c>
      <c r="C126" s="256" t="s">
        <v>46</v>
      </c>
      <c r="D126" s="186" t="s">
        <v>2518</v>
      </c>
      <c r="E126" s="187">
        <f t="shared" si="1"/>
        <v>165</v>
      </c>
      <c r="F126" s="256">
        <v>1.7471600962659701E-6</v>
      </c>
      <c r="G126" s="278">
        <v>1</v>
      </c>
      <c r="H126" s="279">
        <v>43546</v>
      </c>
      <c r="I126" s="186" t="s">
        <v>2519</v>
      </c>
      <c r="J126" s="186">
        <v>0</v>
      </c>
      <c r="K126" s="186" t="s">
        <v>2520</v>
      </c>
      <c r="L126" s="256">
        <v>79</v>
      </c>
      <c r="M126" s="256">
        <v>0</v>
      </c>
      <c r="N126" s="256">
        <v>1</v>
      </c>
      <c r="O126" s="256">
        <v>3</v>
      </c>
    </row>
    <row r="127" spans="1:18" s="69" customFormat="1" ht="91">
      <c r="A127" s="256" t="s">
        <v>2510</v>
      </c>
      <c r="B127" s="256" t="s">
        <v>59</v>
      </c>
      <c r="C127" s="256" t="s">
        <v>46</v>
      </c>
      <c r="D127" s="186" t="s">
        <v>2521</v>
      </c>
      <c r="E127" s="187">
        <f t="shared" si="1"/>
        <v>82</v>
      </c>
      <c r="F127" s="256">
        <v>9.5825754151790399E-5</v>
      </c>
      <c r="G127" s="278">
        <v>1</v>
      </c>
      <c r="H127" s="279">
        <v>43525</v>
      </c>
      <c r="I127" s="186" t="s">
        <v>2522</v>
      </c>
      <c r="J127" s="186">
        <v>0</v>
      </c>
      <c r="K127" s="186" t="s">
        <v>2523</v>
      </c>
      <c r="L127" s="256">
        <v>130</v>
      </c>
      <c r="M127" s="256">
        <v>0</v>
      </c>
      <c r="N127" s="256">
        <v>1</v>
      </c>
      <c r="O127" s="256">
        <v>3</v>
      </c>
    </row>
    <row r="128" spans="1:18" s="69" customFormat="1" ht="136">
      <c r="A128" s="256" t="s">
        <v>2510</v>
      </c>
      <c r="B128" s="256" t="s">
        <v>45</v>
      </c>
      <c r="C128" s="256" t="s">
        <v>46</v>
      </c>
      <c r="D128" s="186" t="s">
        <v>2524</v>
      </c>
      <c r="E128" s="187">
        <f t="shared" si="1"/>
        <v>76</v>
      </c>
      <c r="F128" s="256">
        <v>2.2771279251099201E-7</v>
      </c>
      <c r="G128" s="278">
        <v>1</v>
      </c>
      <c r="H128" s="279">
        <v>43388</v>
      </c>
      <c r="I128" s="186" t="s">
        <v>2525</v>
      </c>
      <c r="J128" s="186">
        <v>0</v>
      </c>
      <c r="K128" s="186" t="s">
        <v>2526</v>
      </c>
      <c r="L128" s="256">
        <v>198</v>
      </c>
      <c r="M128" s="256">
        <v>0</v>
      </c>
      <c r="N128" s="256">
        <v>1</v>
      </c>
      <c r="O128" s="256">
        <v>2</v>
      </c>
    </row>
    <row r="129" spans="1:15" s="69" customFormat="1" ht="61">
      <c r="A129" s="256" t="s">
        <v>2510</v>
      </c>
      <c r="B129" s="256" t="s">
        <v>45</v>
      </c>
      <c r="C129" s="256" t="s">
        <v>46</v>
      </c>
      <c r="D129" s="181" t="s">
        <v>2527</v>
      </c>
      <c r="E129" s="187">
        <f t="shared" si="1"/>
        <v>46</v>
      </c>
      <c r="F129" s="256">
        <v>0.13397500581202201</v>
      </c>
      <c r="G129" s="278">
        <v>1</v>
      </c>
      <c r="H129" s="279">
        <v>43307</v>
      </c>
      <c r="I129" s="186" t="s">
        <v>2528</v>
      </c>
      <c r="J129" s="186">
        <v>0</v>
      </c>
      <c r="K129" s="186" t="s">
        <v>2529</v>
      </c>
      <c r="L129" s="256">
        <v>90</v>
      </c>
      <c r="M129" s="256">
        <v>1</v>
      </c>
      <c r="N129" s="256">
        <v>1</v>
      </c>
      <c r="O129" s="256">
        <v>6</v>
      </c>
    </row>
    <row r="130" spans="1:15" s="69" customFormat="1" ht="211">
      <c r="A130" s="256" t="s">
        <v>2510</v>
      </c>
      <c r="B130" s="256" t="s">
        <v>45</v>
      </c>
      <c r="C130" s="256" t="s">
        <v>80</v>
      </c>
      <c r="D130" s="258" t="s">
        <v>439</v>
      </c>
      <c r="E130" s="187">
        <f t="shared" si="1"/>
        <v>55</v>
      </c>
      <c r="F130" s="256">
        <v>9.7862010304122005E-2</v>
      </c>
      <c r="G130" s="278">
        <v>1</v>
      </c>
      <c r="H130" s="279">
        <v>43245</v>
      </c>
      <c r="I130" s="186" t="s">
        <v>2530</v>
      </c>
      <c r="J130" s="186">
        <v>0</v>
      </c>
      <c r="K130" s="186" t="s">
        <v>2531</v>
      </c>
      <c r="L130" s="256">
        <v>296</v>
      </c>
      <c r="M130" s="256">
        <v>0</v>
      </c>
      <c r="N130" s="256">
        <v>1</v>
      </c>
      <c r="O130" s="256">
        <v>0</v>
      </c>
    </row>
    <row r="131" spans="1:15" s="69" customFormat="1" ht="211">
      <c r="A131" s="256" t="s">
        <v>2510</v>
      </c>
      <c r="B131" s="256" t="s">
        <v>45</v>
      </c>
      <c r="C131" s="256" t="s">
        <v>80</v>
      </c>
      <c r="D131" s="258" t="s">
        <v>180</v>
      </c>
      <c r="E131" s="187">
        <f t="shared" ref="E131:E175" si="2">LEN(I131)</f>
        <v>64</v>
      </c>
      <c r="F131" s="256">
        <v>9.1583715850185299E-4</v>
      </c>
      <c r="G131" s="278">
        <v>1</v>
      </c>
      <c r="H131" s="279">
        <v>43244</v>
      </c>
      <c r="I131" s="186" t="s">
        <v>2532</v>
      </c>
      <c r="J131" s="186">
        <v>0</v>
      </c>
      <c r="K131" s="186" t="s">
        <v>2531</v>
      </c>
      <c r="L131" s="256">
        <v>296</v>
      </c>
      <c r="M131" s="256">
        <v>0</v>
      </c>
      <c r="N131" s="256">
        <v>1</v>
      </c>
      <c r="O131" s="256">
        <v>1</v>
      </c>
    </row>
    <row r="132" spans="1:15" s="69" customFormat="1" ht="151">
      <c r="A132" s="256" t="s">
        <v>2510</v>
      </c>
      <c r="B132" s="256" t="s">
        <v>45</v>
      </c>
      <c r="C132" s="256" t="s">
        <v>80</v>
      </c>
      <c r="D132" s="186" t="s">
        <v>559</v>
      </c>
      <c r="E132" s="187">
        <f t="shared" si="2"/>
        <v>73</v>
      </c>
      <c r="F132" s="256">
        <v>2.01630784716911E-4</v>
      </c>
      <c r="G132" s="278">
        <v>1</v>
      </c>
      <c r="H132" s="279">
        <v>43242</v>
      </c>
      <c r="I132" s="186" t="s">
        <v>2533</v>
      </c>
      <c r="J132" s="186">
        <v>0</v>
      </c>
      <c r="K132" s="186" t="s">
        <v>2534</v>
      </c>
      <c r="L132" s="256">
        <v>220</v>
      </c>
      <c r="M132" s="256">
        <v>0</v>
      </c>
      <c r="N132" s="256">
        <v>1</v>
      </c>
      <c r="O132" s="256">
        <v>0</v>
      </c>
    </row>
    <row r="133" spans="1:15" s="69" customFormat="1" ht="151">
      <c r="A133" s="256" t="s">
        <v>2510</v>
      </c>
      <c r="B133" s="256" t="s">
        <v>45</v>
      </c>
      <c r="C133" s="256" t="s">
        <v>46</v>
      </c>
      <c r="D133" s="186" t="s">
        <v>2535</v>
      </c>
      <c r="E133" s="187">
        <f t="shared" si="2"/>
        <v>67</v>
      </c>
      <c r="F133" s="256">
        <v>4.3317050251949797E-3</v>
      </c>
      <c r="G133" s="278">
        <v>1</v>
      </c>
      <c r="H133" s="279">
        <v>43238</v>
      </c>
      <c r="I133" s="186" t="s">
        <v>2536</v>
      </c>
      <c r="J133" s="186">
        <v>0</v>
      </c>
      <c r="K133" s="186" t="s">
        <v>2537</v>
      </c>
      <c r="L133" s="256">
        <v>214</v>
      </c>
      <c r="M133" s="256">
        <v>0</v>
      </c>
      <c r="N133" s="256">
        <v>1</v>
      </c>
      <c r="O133" s="256">
        <v>3</v>
      </c>
    </row>
    <row r="134" spans="1:15" s="69" customFormat="1" ht="196">
      <c r="A134" s="256" t="s">
        <v>2510</v>
      </c>
      <c r="B134" s="256" t="s">
        <v>45</v>
      </c>
      <c r="C134" s="256" t="s">
        <v>80</v>
      </c>
      <c r="D134" s="258" t="s">
        <v>2538</v>
      </c>
      <c r="E134" s="187">
        <f t="shared" si="2"/>
        <v>96</v>
      </c>
      <c r="F134" s="256">
        <v>0.21383254543105101</v>
      </c>
      <c r="G134" s="278">
        <v>1</v>
      </c>
      <c r="H134" s="279">
        <v>43230</v>
      </c>
      <c r="I134" s="186" t="s">
        <v>2539</v>
      </c>
      <c r="J134" s="186">
        <v>0</v>
      </c>
      <c r="K134" s="186" t="s">
        <v>4441</v>
      </c>
      <c r="L134" s="256">
        <v>288</v>
      </c>
      <c r="M134" s="256">
        <v>0</v>
      </c>
      <c r="N134" s="256">
        <v>1</v>
      </c>
      <c r="O134" s="256">
        <v>0</v>
      </c>
    </row>
    <row r="135" spans="1:15" s="69" customFormat="1" ht="196">
      <c r="A135" s="256" t="s">
        <v>2510</v>
      </c>
      <c r="B135" s="256" t="s">
        <v>45</v>
      </c>
      <c r="C135" s="256" t="s">
        <v>80</v>
      </c>
      <c r="D135" s="186" t="s">
        <v>2541</v>
      </c>
      <c r="E135" s="187">
        <f t="shared" si="2"/>
        <v>105</v>
      </c>
      <c r="F135" s="256">
        <v>5.9997454380440497E-3</v>
      </c>
      <c r="G135" s="278">
        <v>1</v>
      </c>
      <c r="H135" s="279">
        <v>43229</v>
      </c>
      <c r="I135" s="186" t="s">
        <v>2542</v>
      </c>
      <c r="J135" s="186">
        <v>0</v>
      </c>
      <c r="K135" s="186" t="s">
        <v>4441</v>
      </c>
      <c r="L135" s="256">
        <v>288</v>
      </c>
      <c r="M135" s="256">
        <v>0</v>
      </c>
      <c r="N135" s="256">
        <v>1</v>
      </c>
      <c r="O135" s="256">
        <v>1</v>
      </c>
    </row>
    <row r="136" spans="1:15" s="69" customFormat="1" ht="196">
      <c r="A136" s="256" t="s">
        <v>2510</v>
      </c>
      <c r="B136" s="256" t="s">
        <v>45</v>
      </c>
      <c r="C136" s="256" t="s">
        <v>80</v>
      </c>
      <c r="D136" s="181" t="s">
        <v>439</v>
      </c>
      <c r="E136" s="187">
        <f t="shared" si="2"/>
        <v>35</v>
      </c>
      <c r="F136" s="256">
        <v>8.2831803889626997E-4</v>
      </c>
      <c r="G136" s="278">
        <v>1</v>
      </c>
      <c r="H136" s="279">
        <v>43229</v>
      </c>
      <c r="I136" s="258" t="s">
        <v>2543</v>
      </c>
      <c r="J136" s="258">
        <v>0</v>
      </c>
      <c r="K136" s="186" t="s">
        <v>4441</v>
      </c>
      <c r="L136" s="256">
        <v>288</v>
      </c>
      <c r="M136" s="256">
        <v>0</v>
      </c>
      <c r="N136" s="256">
        <v>1</v>
      </c>
      <c r="O136" s="256">
        <v>1</v>
      </c>
    </row>
    <row r="137" spans="1:15" s="69" customFormat="1" ht="196">
      <c r="A137" s="256" t="s">
        <v>2510</v>
      </c>
      <c r="B137" s="256" t="s">
        <v>45</v>
      </c>
      <c r="C137" s="256" t="s">
        <v>80</v>
      </c>
      <c r="D137" s="258" t="s">
        <v>200</v>
      </c>
      <c r="E137" s="187">
        <f t="shared" si="2"/>
        <v>47</v>
      </c>
      <c r="F137" s="256">
        <v>3.8845999096896101E-2</v>
      </c>
      <c r="G137" s="278">
        <v>1</v>
      </c>
      <c r="H137" s="279">
        <v>43229</v>
      </c>
      <c r="I137" s="186" t="s">
        <v>2544</v>
      </c>
      <c r="J137" s="186">
        <v>0</v>
      </c>
      <c r="K137" s="186" t="s">
        <v>4442</v>
      </c>
      <c r="L137" s="256">
        <v>288</v>
      </c>
      <c r="M137" s="256">
        <v>0</v>
      </c>
      <c r="N137" s="256">
        <v>1</v>
      </c>
      <c r="O137" s="256">
        <v>1</v>
      </c>
    </row>
    <row r="138" spans="1:15" s="69" customFormat="1" ht="196">
      <c r="A138" s="256" t="s">
        <v>2510</v>
      </c>
      <c r="B138" s="256" t="s">
        <v>45</v>
      </c>
      <c r="C138" s="256" t="s">
        <v>80</v>
      </c>
      <c r="D138" s="258" t="s">
        <v>439</v>
      </c>
      <c r="E138" s="187">
        <f t="shared" si="2"/>
        <v>51</v>
      </c>
      <c r="F138" s="256">
        <v>1.96344639661339E-4</v>
      </c>
      <c r="G138" s="278">
        <v>1</v>
      </c>
      <c r="H138" s="279">
        <v>43229</v>
      </c>
      <c r="I138" s="186" t="s">
        <v>2546</v>
      </c>
      <c r="J138" s="186">
        <v>0</v>
      </c>
      <c r="K138" s="186" t="s">
        <v>4443</v>
      </c>
      <c r="L138" s="256">
        <v>288</v>
      </c>
      <c r="M138" s="256">
        <v>0</v>
      </c>
      <c r="N138" s="256">
        <v>1</v>
      </c>
      <c r="O138" s="256">
        <v>1</v>
      </c>
    </row>
    <row r="139" spans="1:15" s="69" customFormat="1" ht="181">
      <c r="A139" s="256" t="s">
        <v>2510</v>
      </c>
      <c r="B139" s="256" t="s">
        <v>45</v>
      </c>
      <c r="C139" s="256" t="s">
        <v>80</v>
      </c>
      <c r="D139" s="186" t="s">
        <v>2541</v>
      </c>
      <c r="E139" s="187">
        <f t="shared" si="2"/>
        <v>80</v>
      </c>
      <c r="F139" s="256">
        <v>7.1715771913227704E-6</v>
      </c>
      <c r="G139" s="278">
        <v>1</v>
      </c>
      <c r="H139" s="279">
        <v>43222</v>
      </c>
      <c r="I139" s="186" t="s">
        <v>2548</v>
      </c>
      <c r="J139" s="186">
        <v>0</v>
      </c>
      <c r="K139" s="186" t="s">
        <v>2549</v>
      </c>
      <c r="L139" s="256">
        <v>255</v>
      </c>
      <c r="M139" s="256">
        <v>0</v>
      </c>
      <c r="N139" s="256">
        <v>1</v>
      </c>
      <c r="O139" s="256">
        <v>0</v>
      </c>
    </row>
    <row r="140" spans="1:15" s="69" customFormat="1" ht="181">
      <c r="A140" s="256" t="s">
        <v>2510</v>
      </c>
      <c r="B140" s="256" t="s">
        <v>45</v>
      </c>
      <c r="C140" s="256" t="s">
        <v>80</v>
      </c>
      <c r="D140" s="186" t="s">
        <v>2550</v>
      </c>
      <c r="E140" s="187">
        <f t="shared" si="2"/>
        <v>205</v>
      </c>
      <c r="F140" s="256">
        <v>3.5064395831341198E-10</v>
      </c>
      <c r="G140" s="278">
        <v>1</v>
      </c>
      <c r="H140" s="279">
        <v>43222</v>
      </c>
      <c r="I140" s="186" t="s">
        <v>2551</v>
      </c>
      <c r="J140" s="186">
        <v>0</v>
      </c>
      <c r="K140" s="186" t="s">
        <v>2549</v>
      </c>
      <c r="L140" s="256">
        <v>255</v>
      </c>
      <c r="M140" s="256">
        <v>0</v>
      </c>
      <c r="N140" s="256">
        <v>1</v>
      </c>
      <c r="O140" s="256">
        <v>0</v>
      </c>
    </row>
    <row r="141" spans="1:15" s="69" customFormat="1" ht="151">
      <c r="A141" s="256" t="s">
        <v>2510</v>
      </c>
      <c r="B141" s="256" t="s">
        <v>45</v>
      </c>
      <c r="C141" s="256" t="s">
        <v>80</v>
      </c>
      <c r="D141" s="258" t="s">
        <v>159</v>
      </c>
      <c r="E141" s="187">
        <f t="shared" si="2"/>
        <v>46</v>
      </c>
      <c r="F141" s="256">
        <v>2.9748317306283498E-2</v>
      </c>
      <c r="G141" s="278">
        <v>1</v>
      </c>
      <c r="H141" s="279">
        <v>43222</v>
      </c>
      <c r="I141" s="186" t="s">
        <v>2552</v>
      </c>
      <c r="J141" s="186">
        <v>0</v>
      </c>
      <c r="K141" s="186" t="s">
        <v>2553</v>
      </c>
      <c r="L141" s="256">
        <v>210</v>
      </c>
      <c r="M141" s="256">
        <v>0</v>
      </c>
      <c r="N141" s="256">
        <v>1</v>
      </c>
      <c r="O141" s="256">
        <v>0</v>
      </c>
    </row>
    <row r="142" spans="1:15" s="69" customFormat="1" ht="166">
      <c r="A142" s="256" t="s">
        <v>2510</v>
      </c>
      <c r="B142" s="256" t="s">
        <v>45</v>
      </c>
      <c r="C142" s="256" t="s">
        <v>80</v>
      </c>
      <c r="D142" s="181" t="s">
        <v>180</v>
      </c>
      <c r="E142" s="187">
        <f t="shared" si="2"/>
        <v>41</v>
      </c>
      <c r="F142" s="256">
        <v>0.51052531636065002</v>
      </c>
      <c r="G142" s="278">
        <v>1</v>
      </c>
      <c r="H142" s="279">
        <v>43217</v>
      </c>
      <c r="I142" s="186" t="s">
        <v>2554</v>
      </c>
      <c r="J142" s="186">
        <v>0</v>
      </c>
      <c r="K142" s="186" t="s">
        <v>2555</v>
      </c>
      <c r="L142" s="256">
        <v>241</v>
      </c>
      <c r="M142" s="256">
        <v>0</v>
      </c>
      <c r="N142" s="256">
        <v>1</v>
      </c>
      <c r="O142" s="256">
        <v>1</v>
      </c>
    </row>
    <row r="143" spans="1:15" s="69" customFormat="1" ht="91">
      <c r="A143" s="256" t="s">
        <v>2510</v>
      </c>
      <c r="B143" s="256" t="s">
        <v>45</v>
      </c>
      <c r="C143" s="256" t="s">
        <v>80</v>
      </c>
      <c r="D143" s="258" t="s">
        <v>2556</v>
      </c>
      <c r="E143" s="187">
        <f t="shared" si="2"/>
        <v>54</v>
      </c>
      <c r="F143" s="256">
        <v>8.7911318868351095E-3</v>
      </c>
      <c r="G143" s="278">
        <v>1</v>
      </c>
      <c r="H143" s="279">
        <v>43197</v>
      </c>
      <c r="I143" s="186" t="s">
        <v>2557</v>
      </c>
      <c r="J143" s="186">
        <v>0</v>
      </c>
      <c r="K143" s="186" t="s">
        <v>2558</v>
      </c>
      <c r="L143" s="256">
        <v>128</v>
      </c>
      <c r="M143" s="256">
        <v>0</v>
      </c>
      <c r="N143" s="256">
        <v>1</v>
      </c>
      <c r="O143" s="256">
        <v>2</v>
      </c>
    </row>
    <row r="144" spans="1:15" s="69" customFormat="1" ht="46">
      <c r="A144" s="256" t="s">
        <v>2510</v>
      </c>
      <c r="B144" s="256" t="s">
        <v>45</v>
      </c>
      <c r="C144" s="256" t="s">
        <v>80</v>
      </c>
      <c r="D144" s="258" t="s">
        <v>2559</v>
      </c>
      <c r="E144" s="187">
        <f t="shared" si="2"/>
        <v>46</v>
      </c>
      <c r="F144" s="256">
        <v>0.62717021558739505</v>
      </c>
      <c r="G144" s="278">
        <v>1</v>
      </c>
      <c r="H144" s="279">
        <v>43191</v>
      </c>
      <c r="I144" s="186" t="s">
        <v>2560</v>
      </c>
      <c r="J144" s="186">
        <v>0</v>
      </c>
      <c r="K144" s="186" t="s">
        <v>2561</v>
      </c>
      <c r="L144" s="256">
        <v>53</v>
      </c>
      <c r="M144" s="256">
        <v>0</v>
      </c>
      <c r="N144" s="256">
        <v>1</v>
      </c>
      <c r="O144" s="256">
        <v>2</v>
      </c>
    </row>
    <row r="145" spans="1:15" s="69" customFormat="1" ht="46">
      <c r="A145" s="256" t="s">
        <v>2510</v>
      </c>
      <c r="B145" s="256" t="s">
        <v>45</v>
      </c>
      <c r="C145" s="256" t="s">
        <v>80</v>
      </c>
      <c r="D145" s="258" t="s">
        <v>2036</v>
      </c>
      <c r="E145" s="187">
        <f t="shared" si="2"/>
        <v>41</v>
      </c>
      <c r="F145" s="256">
        <v>3.8845999096896101E-2</v>
      </c>
      <c r="G145" s="278">
        <v>1</v>
      </c>
      <c r="H145" s="279">
        <v>43191</v>
      </c>
      <c r="I145" s="186" t="s">
        <v>2562</v>
      </c>
      <c r="J145" s="186">
        <v>0</v>
      </c>
      <c r="K145" s="186" t="s">
        <v>2561</v>
      </c>
      <c r="L145" s="256">
        <v>53</v>
      </c>
      <c r="M145" s="256">
        <v>0</v>
      </c>
      <c r="N145" s="256">
        <v>1</v>
      </c>
      <c r="O145" s="256">
        <v>2</v>
      </c>
    </row>
    <row r="146" spans="1:15" s="69" customFormat="1" ht="61">
      <c r="A146" s="256" t="s">
        <v>2510</v>
      </c>
      <c r="B146" s="256" t="s">
        <v>45</v>
      </c>
      <c r="C146" s="256" t="s">
        <v>80</v>
      </c>
      <c r="D146" s="186" t="s">
        <v>2563</v>
      </c>
      <c r="E146" s="187">
        <f t="shared" si="2"/>
        <v>47</v>
      </c>
      <c r="F146" s="256">
        <v>0.25215454358799699</v>
      </c>
      <c r="G146" s="278">
        <v>1</v>
      </c>
      <c r="H146" s="279">
        <v>43182</v>
      </c>
      <c r="I146" s="186" t="s">
        <v>2564</v>
      </c>
      <c r="J146" s="186">
        <v>0</v>
      </c>
      <c r="K146" s="186" t="s">
        <v>2565</v>
      </c>
      <c r="L146" s="256">
        <v>80</v>
      </c>
      <c r="M146" s="256">
        <v>0</v>
      </c>
      <c r="N146" s="256">
        <v>1</v>
      </c>
      <c r="O146" s="256">
        <v>4</v>
      </c>
    </row>
    <row r="147" spans="1:15" s="69" customFormat="1" ht="61">
      <c r="A147" s="256" t="s">
        <v>2510</v>
      </c>
      <c r="B147" s="256" t="s">
        <v>45</v>
      </c>
      <c r="C147" s="256" t="s">
        <v>80</v>
      </c>
      <c r="D147" s="258" t="s">
        <v>159</v>
      </c>
      <c r="E147" s="187">
        <f t="shared" si="2"/>
        <v>47</v>
      </c>
      <c r="F147" s="256">
        <v>1.13168014827658E-3</v>
      </c>
      <c r="G147" s="278">
        <v>1</v>
      </c>
      <c r="H147" s="279">
        <v>43173</v>
      </c>
      <c r="I147" s="186" t="s">
        <v>2566</v>
      </c>
      <c r="J147" s="186">
        <v>0</v>
      </c>
      <c r="K147" s="186" t="s">
        <v>2567</v>
      </c>
      <c r="L147" s="256">
        <v>74</v>
      </c>
      <c r="M147" s="256">
        <v>0</v>
      </c>
      <c r="N147" s="256">
        <v>1</v>
      </c>
      <c r="O147" s="256">
        <v>1</v>
      </c>
    </row>
    <row r="148" spans="1:15" s="69" customFormat="1" ht="76">
      <c r="A148" s="256" t="s">
        <v>2510</v>
      </c>
      <c r="B148" s="256" t="s">
        <v>45</v>
      </c>
      <c r="C148" s="256" t="s">
        <v>80</v>
      </c>
      <c r="D148" s="258" t="s">
        <v>2568</v>
      </c>
      <c r="E148" s="187">
        <f t="shared" si="2"/>
        <v>84</v>
      </c>
      <c r="F148" s="256">
        <v>1.79815221621027E-4</v>
      </c>
      <c r="G148" s="278">
        <v>1</v>
      </c>
      <c r="H148" s="279">
        <v>43171</v>
      </c>
      <c r="I148" s="186" t="s">
        <v>2569</v>
      </c>
      <c r="J148" s="186">
        <v>1</v>
      </c>
      <c r="K148" s="186" t="s">
        <v>2570</v>
      </c>
      <c r="L148" s="256">
        <v>95</v>
      </c>
      <c r="M148" s="256">
        <v>1</v>
      </c>
      <c r="N148" s="256">
        <v>2</v>
      </c>
      <c r="O148" s="256">
        <v>9</v>
      </c>
    </row>
    <row r="149" spans="1:15" s="69" customFormat="1" ht="46">
      <c r="A149" s="256" t="s">
        <v>2510</v>
      </c>
      <c r="B149" s="256" t="s">
        <v>45</v>
      </c>
      <c r="C149" s="256" t="s">
        <v>80</v>
      </c>
      <c r="D149" s="186" t="s">
        <v>2563</v>
      </c>
      <c r="E149" s="187">
        <f t="shared" si="2"/>
        <v>52</v>
      </c>
      <c r="F149" s="256">
        <v>0.57020545364101105</v>
      </c>
      <c r="G149" s="278">
        <v>1</v>
      </c>
      <c r="H149" s="279">
        <v>43170</v>
      </c>
      <c r="I149" s="186" t="s">
        <v>2571</v>
      </c>
      <c r="J149" s="186">
        <v>0</v>
      </c>
      <c r="K149" s="186" t="s">
        <v>2572</v>
      </c>
      <c r="L149" s="256">
        <v>54</v>
      </c>
      <c r="M149" s="256">
        <v>0</v>
      </c>
      <c r="N149" s="256">
        <v>1</v>
      </c>
      <c r="O149" s="256">
        <v>2</v>
      </c>
    </row>
    <row r="150" spans="1:15" s="69" customFormat="1" ht="46">
      <c r="A150" s="256" t="s">
        <v>2510</v>
      </c>
      <c r="B150" s="256" t="s">
        <v>45</v>
      </c>
      <c r="C150" s="256" t="s">
        <v>80</v>
      </c>
      <c r="D150" s="186" t="s">
        <v>2563</v>
      </c>
      <c r="E150" s="187">
        <f t="shared" si="2"/>
        <v>43</v>
      </c>
      <c r="F150" s="256">
        <v>0.157897078897628</v>
      </c>
      <c r="G150" s="278">
        <v>1</v>
      </c>
      <c r="H150" s="279">
        <v>43167</v>
      </c>
      <c r="I150" s="186" t="s">
        <v>2573</v>
      </c>
      <c r="J150" s="186">
        <v>0</v>
      </c>
      <c r="K150" s="186" t="s">
        <v>2574</v>
      </c>
      <c r="L150" s="256">
        <v>52</v>
      </c>
      <c r="M150" s="256">
        <v>0</v>
      </c>
      <c r="N150" s="256">
        <v>1</v>
      </c>
      <c r="O150" s="256">
        <v>4</v>
      </c>
    </row>
    <row r="151" spans="1:15" s="69" customFormat="1" ht="76">
      <c r="A151" s="256" t="s">
        <v>2510</v>
      </c>
      <c r="B151" s="256" t="s">
        <v>45</v>
      </c>
      <c r="C151" s="256" t="s">
        <v>80</v>
      </c>
      <c r="D151" s="258" t="s">
        <v>159</v>
      </c>
      <c r="E151" s="187">
        <f t="shared" si="2"/>
        <v>39</v>
      </c>
      <c r="F151" s="256">
        <v>1.24646983468508E-2</v>
      </c>
      <c r="G151" s="278">
        <v>1</v>
      </c>
      <c r="H151" s="279">
        <v>43164</v>
      </c>
      <c r="I151" s="186" t="s">
        <v>2575</v>
      </c>
      <c r="J151" s="186">
        <v>0</v>
      </c>
      <c r="K151" s="186" t="s">
        <v>2576</v>
      </c>
      <c r="L151" s="256">
        <v>106</v>
      </c>
      <c r="M151" s="256">
        <v>0</v>
      </c>
      <c r="N151" s="256">
        <v>1</v>
      </c>
      <c r="O151" s="256">
        <v>1</v>
      </c>
    </row>
    <row r="152" spans="1:15" s="69" customFormat="1" ht="76">
      <c r="A152" s="256" t="s">
        <v>2510</v>
      </c>
      <c r="B152" s="256" t="s">
        <v>45</v>
      </c>
      <c r="C152" s="256" t="s">
        <v>80</v>
      </c>
      <c r="D152" s="186" t="s">
        <v>2577</v>
      </c>
      <c r="E152" s="187">
        <f t="shared" si="2"/>
        <v>57</v>
      </c>
      <c r="F152" s="256">
        <v>7.1067195039009601E-4</v>
      </c>
      <c r="G152" s="278">
        <v>1</v>
      </c>
      <c r="H152" s="279">
        <v>43100</v>
      </c>
      <c r="I152" s="186" t="s">
        <v>2578</v>
      </c>
      <c r="J152" s="186">
        <v>1</v>
      </c>
      <c r="K152" s="186" t="s">
        <v>2579</v>
      </c>
      <c r="L152" s="256">
        <v>106</v>
      </c>
      <c r="M152" s="256">
        <v>2</v>
      </c>
      <c r="N152" s="256">
        <v>1</v>
      </c>
      <c r="O152" s="256">
        <v>4</v>
      </c>
    </row>
    <row r="153" spans="1:15" s="69" customFormat="1" ht="76">
      <c r="A153" s="256" t="s">
        <v>2510</v>
      </c>
      <c r="B153" s="256" t="s">
        <v>45</v>
      </c>
      <c r="C153" s="256" t="s">
        <v>80</v>
      </c>
      <c r="D153" s="258" t="s">
        <v>2580</v>
      </c>
      <c r="E153" s="187">
        <f t="shared" si="2"/>
        <v>63</v>
      </c>
      <c r="F153" s="256">
        <v>4.4718190308751203E-3</v>
      </c>
      <c r="G153" s="278">
        <v>1</v>
      </c>
      <c r="H153" s="279">
        <v>43068</v>
      </c>
      <c r="I153" s="186" t="s">
        <v>2581</v>
      </c>
      <c r="J153" s="186">
        <v>0</v>
      </c>
      <c r="K153" s="186" t="s">
        <v>2582</v>
      </c>
      <c r="L153" s="256">
        <v>98</v>
      </c>
      <c r="M153" s="256">
        <v>0</v>
      </c>
      <c r="N153" s="256">
        <v>1</v>
      </c>
      <c r="O153" s="256">
        <v>13</v>
      </c>
    </row>
    <row r="154" spans="1:15" s="69" customFormat="1" ht="76">
      <c r="A154" s="256" t="s">
        <v>2510</v>
      </c>
      <c r="B154" s="256" t="s">
        <v>45</v>
      </c>
      <c r="C154" s="256" t="s">
        <v>80</v>
      </c>
      <c r="D154" s="258" t="s">
        <v>200</v>
      </c>
      <c r="E154" s="187">
        <f t="shared" si="2"/>
        <v>51</v>
      </c>
      <c r="F154" s="256">
        <v>8.39127038223186E-3</v>
      </c>
      <c r="G154" s="278">
        <v>1</v>
      </c>
      <c r="H154" s="279">
        <v>43061</v>
      </c>
      <c r="I154" s="181" t="s">
        <v>2583</v>
      </c>
      <c r="J154" s="181">
        <v>0</v>
      </c>
      <c r="K154" s="186" t="s">
        <v>2584</v>
      </c>
      <c r="L154" s="256">
        <v>96</v>
      </c>
      <c r="M154" s="256">
        <v>0</v>
      </c>
      <c r="N154" s="256">
        <v>1</v>
      </c>
      <c r="O154" s="256">
        <v>2</v>
      </c>
    </row>
    <row r="155" spans="1:15" s="69" customFormat="1" ht="76">
      <c r="A155" s="256" t="s">
        <v>2510</v>
      </c>
      <c r="B155" s="256" t="s">
        <v>45</v>
      </c>
      <c r="C155" s="256" t="s">
        <v>80</v>
      </c>
      <c r="D155" s="258" t="s">
        <v>180</v>
      </c>
      <c r="E155" s="187">
        <f t="shared" si="2"/>
        <v>58</v>
      </c>
      <c r="F155" s="256">
        <v>2.4954040566975401E-2</v>
      </c>
      <c r="G155" s="278">
        <v>1</v>
      </c>
      <c r="H155" s="279">
        <v>43058</v>
      </c>
      <c r="I155" s="186" t="s">
        <v>2585</v>
      </c>
      <c r="J155" s="186">
        <v>0</v>
      </c>
      <c r="K155" s="186" t="s">
        <v>2584</v>
      </c>
      <c r="L155" s="256">
        <v>96</v>
      </c>
      <c r="M155" s="256">
        <v>0</v>
      </c>
      <c r="N155" s="256">
        <v>1</v>
      </c>
      <c r="O155" s="256">
        <v>3</v>
      </c>
    </row>
    <row r="156" spans="1:15" s="69" customFormat="1" ht="76">
      <c r="A156" s="256" t="s">
        <v>2510</v>
      </c>
      <c r="B156" s="256" t="s">
        <v>45</v>
      </c>
      <c r="C156" s="256" t="s">
        <v>46</v>
      </c>
      <c r="D156" s="186" t="s">
        <v>2586</v>
      </c>
      <c r="E156" s="187">
        <f t="shared" si="2"/>
        <v>108</v>
      </c>
      <c r="F156" s="256">
        <v>4.7580092251463403E-2</v>
      </c>
      <c r="G156" s="278">
        <v>1</v>
      </c>
      <c r="H156" s="279">
        <v>43057</v>
      </c>
      <c r="I156" s="186" t="s">
        <v>2587</v>
      </c>
      <c r="J156" s="186">
        <v>0</v>
      </c>
      <c r="K156" s="186" t="s">
        <v>2584</v>
      </c>
      <c r="L156" s="256">
        <v>96</v>
      </c>
      <c r="M156" s="256">
        <v>0</v>
      </c>
      <c r="N156" s="256">
        <v>1</v>
      </c>
      <c r="O156" s="256">
        <v>4</v>
      </c>
    </row>
    <row r="157" spans="1:15" s="69" customFormat="1" ht="106">
      <c r="A157" s="256" t="s">
        <v>2510</v>
      </c>
      <c r="B157" s="256" t="s">
        <v>45</v>
      </c>
      <c r="C157" s="256" t="s">
        <v>46</v>
      </c>
      <c r="D157" s="186" t="s">
        <v>2588</v>
      </c>
      <c r="E157" s="187">
        <f t="shared" si="2"/>
        <v>121</v>
      </c>
      <c r="F157" s="256">
        <v>1.0113556436878201E-3</v>
      </c>
      <c r="G157" s="278">
        <v>1</v>
      </c>
      <c r="H157" s="279">
        <v>43055</v>
      </c>
      <c r="I157" s="186" t="s">
        <v>2589</v>
      </c>
      <c r="J157" s="186">
        <v>0</v>
      </c>
      <c r="K157" s="186" t="s">
        <v>2337</v>
      </c>
      <c r="L157" s="256">
        <v>134</v>
      </c>
      <c r="M157" s="256">
        <v>0</v>
      </c>
      <c r="N157" s="256">
        <v>1</v>
      </c>
      <c r="O157" s="256">
        <v>4</v>
      </c>
    </row>
    <row r="158" spans="1:15" s="69" customFormat="1" ht="76">
      <c r="A158" s="256" t="s">
        <v>2510</v>
      </c>
      <c r="B158" s="256" t="s">
        <v>59</v>
      </c>
      <c r="C158" s="256" t="s">
        <v>46</v>
      </c>
      <c r="D158" s="181" t="s">
        <v>2590</v>
      </c>
      <c r="E158" s="187">
        <f t="shared" si="2"/>
        <v>77</v>
      </c>
      <c r="F158" s="256">
        <v>8.2688305874343299E-3</v>
      </c>
      <c r="G158" s="278">
        <v>1</v>
      </c>
      <c r="H158" s="279">
        <v>43046</v>
      </c>
      <c r="I158" s="186" t="s">
        <v>2591</v>
      </c>
      <c r="J158" s="186">
        <v>1</v>
      </c>
      <c r="K158" s="186" t="s">
        <v>2592</v>
      </c>
      <c r="L158" s="256">
        <v>96</v>
      </c>
      <c r="M158" s="256">
        <v>1</v>
      </c>
      <c r="N158" s="256">
        <v>1</v>
      </c>
      <c r="O158" s="256">
        <v>2</v>
      </c>
    </row>
    <row r="159" spans="1:15" s="69" customFormat="1" ht="151">
      <c r="A159" s="256" t="s">
        <v>2510</v>
      </c>
      <c r="B159" s="256" t="s">
        <v>45</v>
      </c>
      <c r="C159" s="256" t="s">
        <v>833</v>
      </c>
      <c r="D159" s="186" t="s">
        <v>2593</v>
      </c>
      <c r="E159" s="187">
        <f t="shared" si="2"/>
        <v>261</v>
      </c>
      <c r="F159" s="256">
        <v>0</v>
      </c>
      <c r="G159" s="278">
        <v>1</v>
      </c>
      <c r="H159" s="279">
        <v>43013</v>
      </c>
      <c r="I159" s="186" t="s">
        <v>2594</v>
      </c>
      <c r="J159" s="186">
        <v>0</v>
      </c>
      <c r="K159" s="186" t="s">
        <v>2595</v>
      </c>
      <c r="L159" s="256">
        <v>117</v>
      </c>
      <c r="M159" s="256">
        <v>1</v>
      </c>
      <c r="N159" s="256">
        <v>2</v>
      </c>
      <c r="O159" s="256">
        <v>14</v>
      </c>
    </row>
    <row r="160" spans="1:15" s="69" customFormat="1" ht="46">
      <c r="A160" s="256" t="s">
        <v>2510</v>
      </c>
      <c r="B160" s="256" t="s">
        <v>45</v>
      </c>
      <c r="C160" s="256" t="s">
        <v>46</v>
      </c>
      <c r="D160" s="258" t="s">
        <v>2596</v>
      </c>
      <c r="E160" s="187">
        <f t="shared" si="2"/>
        <v>80</v>
      </c>
      <c r="F160" s="256">
        <v>0.58536157643712405</v>
      </c>
      <c r="G160" s="278">
        <v>1</v>
      </c>
      <c r="H160" s="279">
        <v>42990</v>
      </c>
      <c r="I160" s="186" t="s">
        <v>2597</v>
      </c>
      <c r="J160" s="186">
        <v>0</v>
      </c>
      <c r="K160" s="186" t="s">
        <v>2598</v>
      </c>
      <c r="L160" s="256">
        <v>26</v>
      </c>
      <c r="M160" s="256">
        <v>0</v>
      </c>
      <c r="N160" s="256">
        <v>1</v>
      </c>
      <c r="O160" s="256">
        <v>3</v>
      </c>
    </row>
    <row r="161" spans="1:18" s="69" customFormat="1" ht="76">
      <c r="A161" s="256" t="s">
        <v>2510</v>
      </c>
      <c r="B161" s="256" t="s">
        <v>45</v>
      </c>
      <c r="C161" s="256" t="s">
        <v>46</v>
      </c>
      <c r="D161" s="181" t="s">
        <v>2599</v>
      </c>
      <c r="E161" s="187">
        <f t="shared" si="2"/>
        <v>86</v>
      </c>
      <c r="F161" s="256">
        <v>1.08376196371607E-5</v>
      </c>
      <c r="G161" s="278">
        <v>1</v>
      </c>
      <c r="H161" s="279">
        <v>42989</v>
      </c>
      <c r="I161" s="186" t="s">
        <v>2600</v>
      </c>
      <c r="J161" s="186">
        <v>0</v>
      </c>
      <c r="K161" s="186" t="s">
        <v>2601</v>
      </c>
      <c r="L161" s="256">
        <v>91</v>
      </c>
      <c r="M161" s="256">
        <v>0</v>
      </c>
      <c r="N161" s="256">
        <v>1</v>
      </c>
      <c r="O161" s="256">
        <v>2</v>
      </c>
    </row>
    <row r="162" spans="1:18" s="69" customFormat="1" ht="46">
      <c r="A162" s="256" t="s">
        <v>2510</v>
      </c>
      <c r="B162" s="256" t="s">
        <v>45</v>
      </c>
      <c r="C162" s="256" t="s">
        <v>80</v>
      </c>
      <c r="D162" s="181" t="s">
        <v>2602</v>
      </c>
      <c r="E162" s="187">
        <f t="shared" si="2"/>
        <v>25</v>
      </c>
      <c r="F162" s="256">
        <v>8.0536755067527194E-2</v>
      </c>
      <c r="G162" s="278">
        <v>1</v>
      </c>
      <c r="H162" s="279">
        <v>42988</v>
      </c>
      <c r="I162" s="258" t="s">
        <v>2603</v>
      </c>
      <c r="J162" s="258">
        <v>0</v>
      </c>
      <c r="K162" s="186" t="s">
        <v>2604</v>
      </c>
      <c r="L162" s="256">
        <v>63</v>
      </c>
      <c r="M162" s="256">
        <v>0</v>
      </c>
      <c r="N162" s="256">
        <v>2</v>
      </c>
      <c r="O162" s="256">
        <v>14</v>
      </c>
    </row>
    <row r="163" spans="1:18" s="69" customFormat="1" ht="76">
      <c r="A163" s="256" t="s">
        <v>2510</v>
      </c>
      <c r="B163" s="256" t="s">
        <v>45</v>
      </c>
      <c r="C163" s="256" t="s">
        <v>46</v>
      </c>
      <c r="D163" s="186" t="s">
        <v>2605</v>
      </c>
      <c r="E163" s="187">
        <f t="shared" si="2"/>
        <v>136</v>
      </c>
      <c r="F163" s="256">
        <v>0.19213054869539101</v>
      </c>
      <c r="G163" s="278">
        <v>1</v>
      </c>
      <c r="H163" s="279">
        <v>42987</v>
      </c>
      <c r="I163" s="186" t="s">
        <v>2606</v>
      </c>
      <c r="J163" s="186">
        <v>0</v>
      </c>
      <c r="K163" s="186" t="s">
        <v>2601</v>
      </c>
      <c r="L163" s="256">
        <v>91</v>
      </c>
      <c r="M163" s="256">
        <v>0</v>
      </c>
      <c r="N163" s="256">
        <v>1</v>
      </c>
      <c r="O163" s="256">
        <v>4</v>
      </c>
    </row>
    <row r="164" spans="1:18" s="69" customFormat="1" ht="76">
      <c r="A164" s="256" t="s">
        <v>2510</v>
      </c>
      <c r="B164" s="256" t="s">
        <v>45</v>
      </c>
      <c r="C164" s="256" t="s">
        <v>80</v>
      </c>
      <c r="D164" s="258" t="s">
        <v>159</v>
      </c>
      <c r="E164" s="187">
        <f t="shared" si="2"/>
        <v>35</v>
      </c>
      <c r="F164" s="256">
        <v>1.4597155133514899E-2</v>
      </c>
      <c r="G164" s="278">
        <v>1</v>
      </c>
      <c r="H164" s="279">
        <v>42987</v>
      </c>
      <c r="I164" s="258" t="s">
        <v>2607</v>
      </c>
      <c r="J164" s="258">
        <v>0</v>
      </c>
      <c r="K164" s="186" t="s">
        <v>2601</v>
      </c>
      <c r="L164" s="256">
        <v>91</v>
      </c>
      <c r="M164" s="256">
        <v>0</v>
      </c>
      <c r="N164" s="256">
        <v>1</v>
      </c>
      <c r="O164" s="256">
        <v>8</v>
      </c>
    </row>
    <row r="165" spans="1:18" s="69" customFormat="1" ht="76">
      <c r="A165" s="256" t="s">
        <v>2510</v>
      </c>
      <c r="B165" s="256" t="s">
        <v>45</v>
      </c>
      <c r="C165" s="256" t="s">
        <v>46</v>
      </c>
      <c r="D165" s="181" t="s">
        <v>2608</v>
      </c>
      <c r="E165" s="187">
        <f t="shared" si="2"/>
        <v>98</v>
      </c>
      <c r="F165" s="256">
        <v>1.57627150621842E-3</v>
      </c>
      <c r="G165" s="278">
        <v>1</v>
      </c>
      <c r="H165" s="279">
        <v>42986</v>
      </c>
      <c r="I165" s="186" t="s">
        <v>2609</v>
      </c>
      <c r="J165" s="186">
        <v>0</v>
      </c>
      <c r="K165" s="186" t="s">
        <v>2601</v>
      </c>
      <c r="L165" s="256">
        <v>91</v>
      </c>
      <c r="M165" s="256">
        <v>0</v>
      </c>
      <c r="N165" s="256">
        <v>1</v>
      </c>
      <c r="O165" s="256">
        <v>9</v>
      </c>
    </row>
    <row r="166" spans="1:18" s="69" customFormat="1" ht="121">
      <c r="A166" s="256" t="s">
        <v>2510</v>
      </c>
      <c r="B166" s="256" t="s">
        <v>45</v>
      </c>
      <c r="C166" s="256" t="s">
        <v>46</v>
      </c>
      <c r="D166" s="186" t="s">
        <v>2610</v>
      </c>
      <c r="E166" s="187">
        <f t="shared" si="2"/>
        <v>119</v>
      </c>
      <c r="F166" s="256">
        <v>1.98167386944448E-8</v>
      </c>
      <c r="G166" s="278">
        <v>1</v>
      </c>
      <c r="H166" s="279">
        <v>42986</v>
      </c>
      <c r="I166" s="186" t="s">
        <v>2611</v>
      </c>
      <c r="J166" s="186">
        <v>0</v>
      </c>
      <c r="K166" s="186" t="s">
        <v>2612</v>
      </c>
      <c r="L166" s="256">
        <v>166</v>
      </c>
      <c r="M166" s="256">
        <v>0</v>
      </c>
      <c r="N166" s="256">
        <v>1</v>
      </c>
      <c r="O166" s="256">
        <v>4</v>
      </c>
    </row>
    <row r="167" spans="1:18" s="69" customFormat="1" ht="61">
      <c r="A167" s="256" t="s">
        <v>2510</v>
      </c>
      <c r="B167" s="256" t="s">
        <v>45</v>
      </c>
      <c r="C167" s="256" t="s">
        <v>80</v>
      </c>
      <c r="D167" s="258" t="s">
        <v>200</v>
      </c>
      <c r="E167" s="187">
        <f t="shared" si="2"/>
        <v>40</v>
      </c>
      <c r="F167" s="256">
        <v>0.108337441011173</v>
      </c>
      <c r="G167" s="278">
        <v>1</v>
      </c>
      <c r="H167" s="279">
        <v>42985</v>
      </c>
      <c r="I167" s="186" t="s">
        <v>2613</v>
      </c>
      <c r="J167" s="186">
        <v>0</v>
      </c>
      <c r="K167" s="186" t="s">
        <v>2614</v>
      </c>
      <c r="L167" s="256">
        <v>77</v>
      </c>
      <c r="M167" s="256">
        <v>0</v>
      </c>
      <c r="N167" s="256">
        <v>1</v>
      </c>
      <c r="O167" s="256">
        <v>5</v>
      </c>
    </row>
    <row r="168" spans="1:18" s="69" customFormat="1" ht="61">
      <c r="A168" s="256" t="s">
        <v>2510</v>
      </c>
      <c r="B168" s="256" t="s">
        <v>1191</v>
      </c>
      <c r="C168" s="256" t="s">
        <v>80</v>
      </c>
      <c r="D168" s="258" t="s">
        <v>2615</v>
      </c>
      <c r="E168" s="187">
        <f t="shared" si="2"/>
        <v>24</v>
      </c>
      <c r="F168" s="256">
        <v>2.3795612069461701E-2</v>
      </c>
      <c r="G168" s="278">
        <v>1</v>
      </c>
      <c r="H168" s="280">
        <v>42528</v>
      </c>
      <c r="I168" s="181" t="s">
        <v>2616</v>
      </c>
      <c r="J168" s="181">
        <v>0</v>
      </c>
      <c r="K168" s="186" t="s">
        <v>2617</v>
      </c>
      <c r="L168" s="256">
        <v>77</v>
      </c>
      <c r="M168" s="256">
        <v>2</v>
      </c>
      <c r="N168" s="256">
        <v>2</v>
      </c>
      <c r="O168" s="256">
        <v>28</v>
      </c>
    </row>
    <row r="169" spans="1:18" s="69" customFormat="1" ht="31">
      <c r="A169" s="256" t="s">
        <v>2618</v>
      </c>
      <c r="B169" s="256" t="s">
        <v>45</v>
      </c>
      <c r="C169" s="256" t="s">
        <v>80</v>
      </c>
      <c r="D169" s="258" t="s">
        <v>359</v>
      </c>
      <c r="E169" s="187">
        <f t="shared" si="2"/>
        <v>38</v>
      </c>
      <c r="F169" s="256">
        <v>9.2437408103113697E-2</v>
      </c>
      <c r="G169" s="278">
        <v>1</v>
      </c>
      <c r="H169" s="279">
        <v>43170</v>
      </c>
      <c r="I169" s="258" t="s">
        <v>2619</v>
      </c>
      <c r="J169" s="258">
        <v>0</v>
      </c>
      <c r="K169" s="186" t="s">
        <v>2620</v>
      </c>
      <c r="L169" s="256">
        <v>47</v>
      </c>
      <c r="M169" s="256">
        <v>0</v>
      </c>
      <c r="N169" s="256">
        <v>1</v>
      </c>
      <c r="O169" s="256">
        <v>2</v>
      </c>
      <c r="P169" s="69">
        <f>AVERAGE(M169:M175)</f>
        <v>0</v>
      </c>
      <c r="Q169" s="69">
        <f>AVERAGE(N169:N175)</f>
        <v>1.2857142857142858</v>
      </c>
      <c r="R169" s="69">
        <f>AVERAGE(O169:O175)</f>
        <v>7.8571428571428568</v>
      </c>
    </row>
    <row r="170" spans="1:18" s="69" customFormat="1" ht="91">
      <c r="A170" s="256" t="s">
        <v>2618</v>
      </c>
      <c r="B170" s="256" t="s">
        <v>45</v>
      </c>
      <c r="C170" s="256" t="s">
        <v>46</v>
      </c>
      <c r="D170" s="186" t="s">
        <v>2621</v>
      </c>
      <c r="E170" s="187">
        <f t="shared" si="2"/>
        <v>166</v>
      </c>
      <c r="F170" s="256">
        <v>8.5709217501062098E-14</v>
      </c>
      <c r="G170" s="278">
        <v>1</v>
      </c>
      <c r="H170" s="279">
        <v>43088</v>
      </c>
      <c r="I170" s="186" t="s">
        <v>2622</v>
      </c>
      <c r="J170" s="186">
        <v>0</v>
      </c>
      <c r="K170" s="186" t="s">
        <v>2623</v>
      </c>
      <c r="L170" s="256">
        <v>131</v>
      </c>
      <c r="M170" s="256">
        <v>0</v>
      </c>
      <c r="N170" s="256">
        <v>1</v>
      </c>
      <c r="O170" s="256">
        <v>3</v>
      </c>
    </row>
    <row r="171" spans="1:18" s="69" customFormat="1" ht="241">
      <c r="A171" s="256" t="s">
        <v>2618</v>
      </c>
      <c r="B171" s="256" t="s">
        <v>45</v>
      </c>
      <c r="C171" s="256" t="s">
        <v>46</v>
      </c>
      <c r="D171" s="186" t="s">
        <v>2624</v>
      </c>
      <c r="E171" s="187">
        <f t="shared" si="2"/>
        <v>463</v>
      </c>
      <c r="F171" s="256">
        <v>0</v>
      </c>
      <c r="G171" s="278">
        <v>1</v>
      </c>
      <c r="H171" s="279">
        <v>43088</v>
      </c>
      <c r="I171" s="186" t="s">
        <v>4444</v>
      </c>
      <c r="J171" s="186">
        <v>0</v>
      </c>
      <c r="K171" s="186" t="s">
        <v>2623</v>
      </c>
      <c r="L171" s="256">
        <v>131</v>
      </c>
      <c r="M171" s="256">
        <v>0</v>
      </c>
      <c r="N171" s="256">
        <v>1</v>
      </c>
      <c r="O171" s="256">
        <v>3</v>
      </c>
    </row>
    <row r="172" spans="1:18" s="69" customFormat="1" ht="106">
      <c r="A172" s="256" t="s">
        <v>2618</v>
      </c>
      <c r="B172" s="256" t="s">
        <v>45</v>
      </c>
      <c r="C172" s="256" t="s">
        <v>46</v>
      </c>
      <c r="D172" s="186" t="s">
        <v>2626</v>
      </c>
      <c r="E172" s="187">
        <f t="shared" si="2"/>
        <v>202</v>
      </c>
      <c r="F172" s="256">
        <v>3.1907809727726999E-13</v>
      </c>
      <c r="G172" s="278">
        <v>1</v>
      </c>
      <c r="H172" s="279">
        <v>43071</v>
      </c>
      <c r="I172" s="186" t="s">
        <v>2627</v>
      </c>
      <c r="J172" s="186">
        <v>0</v>
      </c>
      <c r="K172" s="186" t="s">
        <v>2628</v>
      </c>
      <c r="L172" s="256">
        <v>138</v>
      </c>
      <c r="M172" s="256">
        <v>0</v>
      </c>
      <c r="N172" s="256">
        <v>1</v>
      </c>
      <c r="O172" s="256">
        <v>16</v>
      </c>
    </row>
    <row r="173" spans="1:18" s="69" customFormat="1" ht="106">
      <c r="A173" s="256" t="s">
        <v>2618</v>
      </c>
      <c r="B173" s="256" t="s">
        <v>45</v>
      </c>
      <c r="C173" s="256" t="s">
        <v>46</v>
      </c>
      <c r="D173" s="186" t="s">
        <v>4445</v>
      </c>
      <c r="E173" s="187">
        <f t="shared" si="2"/>
        <v>115</v>
      </c>
      <c r="F173" s="256">
        <v>5.3440467925325299E-6</v>
      </c>
      <c r="G173" s="278">
        <v>1</v>
      </c>
      <c r="H173" s="279">
        <v>43062</v>
      </c>
      <c r="I173" s="186" t="s">
        <v>4446</v>
      </c>
      <c r="J173" s="186">
        <v>0</v>
      </c>
      <c r="K173" s="186" t="s">
        <v>2631</v>
      </c>
      <c r="L173" s="256">
        <v>154</v>
      </c>
      <c r="M173" s="256">
        <v>0</v>
      </c>
      <c r="N173" s="256">
        <v>1</v>
      </c>
      <c r="O173" s="256">
        <v>1</v>
      </c>
    </row>
    <row r="174" spans="1:18" s="69" customFormat="1" ht="121">
      <c r="A174" s="256" t="s">
        <v>2618</v>
      </c>
      <c r="B174" s="256" t="s">
        <v>45</v>
      </c>
      <c r="C174" s="256" t="s">
        <v>46</v>
      </c>
      <c r="D174" s="186" t="s">
        <v>2632</v>
      </c>
      <c r="E174" s="187">
        <f t="shared" si="2"/>
        <v>79</v>
      </c>
      <c r="F174" s="256">
        <v>5.3716963407198799E-3</v>
      </c>
      <c r="G174" s="278">
        <v>1</v>
      </c>
      <c r="H174" s="285">
        <v>42868</v>
      </c>
      <c r="I174" s="186" t="s">
        <v>2633</v>
      </c>
      <c r="J174" s="186">
        <v>0</v>
      </c>
      <c r="K174" s="186" t="s">
        <v>2634</v>
      </c>
      <c r="L174" s="256">
        <v>180</v>
      </c>
      <c r="M174" s="256">
        <v>0</v>
      </c>
      <c r="N174" s="256">
        <v>3</v>
      </c>
      <c r="O174" s="256">
        <v>20</v>
      </c>
    </row>
    <row r="175" spans="1:18" s="69" customFormat="1" ht="91">
      <c r="A175" s="256" t="s">
        <v>2618</v>
      </c>
      <c r="B175" s="256" t="s">
        <v>45</v>
      </c>
      <c r="C175" s="256" t="s">
        <v>848</v>
      </c>
      <c r="D175" s="186" t="s">
        <v>2635</v>
      </c>
      <c r="E175" s="187">
        <f t="shared" si="2"/>
        <v>7</v>
      </c>
      <c r="F175" s="256">
        <v>0.53775071800738705</v>
      </c>
      <c r="G175" s="278">
        <v>1</v>
      </c>
      <c r="H175" s="279">
        <v>42443</v>
      </c>
      <c r="I175" s="258" t="s">
        <v>2636</v>
      </c>
      <c r="J175" s="258">
        <v>0</v>
      </c>
      <c r="K175" s="186" t="s">
        <v>2637</v>
      </c>
      <c r="L175" s="256">
        <v>119</v>
      </c>
      <c r="M175" s="256">
        <v>0</v>
      </c>
      <c r="N175" s="256">
        <v>1</v>
      </c>
      <c r="O175" s="256">
        <v>10</v>
      </c>
    </row>
  </sheetData>
  <autoFilter ref="A1:O175" xr:uid="{00000000-0009-0000-0000-000003000000}"/>
  <phoneticPr fontId="16" type="noConversion"/>
  <pageMargins left="0.75" right="0.75" top="1" bottom="1" header="0.5" footer="0.5"/>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R223"/>
  <sheetViews>
    <sheetView workbookViewId="0">
      <selection activeCell="F165" sqref="A1:R223"/>
    </sheetView>
  </sheetViews>
  <sheetFormatPr baseColWidth="10" defaultColWidth="8.6640625" defaultRowHeight="15"/>
  <cols>
    <col min="2" max="3" width="9" customWidth="1"/>
    <col min="4" max="4" width="10.83203125" style="1" customWidth="1"/>
    <col min="5" max="6" width="10.83203125" customWidth="1"/>
    <col min="7" max="7" width="10.83203125" style="259" customWidth="1"/>
    <col min="8" max="8" width="10.83203125" customWidth="1"/>
    <col min="9" max="9" width="55.5" customWidth="1"/>
    <col min="10" max="10" width="13.5" style="259" customWidth="1"/>
    <col min="11" max="11" width="42.83203125" customWidth="1"/>
    <col min="12" max="12" width="9" customWidth="1"/>
  </cols>
  <sheetData>
    <row r="1" spans="1:18" s="69" customFormat="1" ht="45">
      <c r="A1" s="181" t="s">
        <v>1</v>
      </c>
      <c r="B1" s="254" t="s">
        <v>2</v>
      </c>
      <c r="C1" s="254" t="s">
        <v>3</v>
      </c>
      <c r="D1" s="254" t="s">
        <v>4</v>
      </c>
      <c r="E1" s="146" t="s">
        <v>5</v>
      </c>
      <c r="F1" s="254" t="s">
        <v>4342</v>
      </c>
      <c r="G1" s="260" t="s">
        <v>11</v>
      </c>
      <c r="H1" s="255" t="s">
        <v>12</v>
      </c>
      <c r="I1" s="254" t="s">
        <v>18</v>
      </c>
      <c r="J1" s="260" t="s">
        <v>4343</v>
      </c>
      <c r="K1" s="181" t="s">
        <v>19</v>
      </c>
      <c r="L1" s="256" t="s">
        <v>20</v>
      </c>
      <c r="M1" s="181" t="s">
        <v>21</v>
      </c>
      <c r="N1" s="181" t="s">
        <v>4344</v>
      </c>
      <c r="O1" s="181" t="s">
        <v>22</v>
      </c>
      <c r="P1" s="136" t="s">
        <v>23</v>
      </c>
    </row>
    <row r="2" spans="1:18" s="69" customFormat="1" ht="60" hidden="1">
      <c r="A2" s="256" t="s">
        <v>2638</v>
      </c>
      <c r="B2" s="254" t="s">
        <v>45</v>
      </c>
      <c r="C2" s="254" t="s">
        <v>80</v>
      </c>
      <c r="D2" s="261" t="s">
        <v>2639</v>
      </c>
      <c r="E2" s="146">
        <f>LEN(I2)</f>
        <v>80</v>
      </c>
      <c r="F2" s="254"/>
      <c r="G2" s="262">
        <v>1</v>
      </c>
      <c r="H2" s="263">
        <v>44055</v>
      </c>
      <c r="I2" s="254" t="s">
        <v>2640</v>
      </c>
      <c r="J2" s="269">
        <v>0</v>
      </c>
      <c r="K2" s="261" t="s">
        <v>2641</v>
      </c>
      <c r="L2" s="256">
        <f>LEN(K2)</f>
        <v>71</v>
      </c>
      <c r="M2" s="181">
        <v>0</v>
      </c>
      <c r="N2" s="181">
        <v>1</v>
      </c>
      <c r="O2" s="181">
        <v>5</v>
      </c>
      <c r="P2" s="69">
        <f>AVERAGE(M2:M42)</f>
        <v>0.53658536585365857</v>
      </c>
      <c r="Q2" s="69">
        <f>AVERAGE(N2:N42)</f>
        <v>1.0731707317073171</v>
      </c>
      <c r="R2" s="69">
        <f>AVERAGE(O2:O42)</f>
        <v>8.3658536585365848</v>
      </c>
    </row>
    <row r="3" spans="1:18" s="69" customFormat="1" ht="45" hidden="1">
      <c r="A3" s="256" t="s">
        <v>2638</v>
      </c>
      <c r="B3" s="254" t="s">
        <v>45</v>
      </c>
      <c r="C3" s="254" t="s">
        <v>80</v>
      </c>
      <c r="D3" s="261" t="s">
        <v>2639</v>
      </c>
      <c r="E3" s="146">
        <f t="shared" ref="E3:E66" si="0">LEN(I3)</f>
        <v>41</v>
      </c>
      <c r="F3" s="254"/>
      <c r="G3" s="262">
        <v>1</v>
      </c>
      <c r="H3" s="263">
        <v>44043</v>
      </c>
      <c r="I3" s="254" t="s">
        <v>2642</v>
      </c>
      <c r="J3" s="269">
        <v>0</v>
      </c>
      <c r="K3" s="261" t="s">
        <v>2643</v>
      </c>
      <c r="L3" s="256">
        <f t="shared" ref="L3:L66" si="1">LEN(K3)</f>
        <v>51</v>
      </c>
      <c r="M3" s="181">
        <v>0</v>
      </c>
      <c r="N3" s="181">
        <v>1</v>
      </c>
      <c r="O3" s="181">
        <v>3</v>
      </c>
      <c r="P3" s="136">
        <f>AVERAGE(M2:M223)</f>
        <v>0.3963963963963964</v>
      </c>
      <c r="Q3" s="69">
        <f>AVERAGE(N2:N223)</f>
        <v>1.2837837837837838</v>
      </c>
      <c r="R3" s="69">
        <f>AVERAGE(O2:O223)</f>
        <v>7.9369369369369371</v>
      </c>
    </row>
    <row r="4" spans="1:18" s="69" customFormat="1" ht="75" hidden="1">
      <c r="A4" s="256" t="s">
        <v>2638</v>
      </c>
      <c r="B4" s="254" t="s">
        <v>45</v>
      </c>
      <c r="C4" s="254" t="s">
        <v>80</v>
      </c>
      <c r="D4" s="254" t="s">
        <v>2644</v>
      </c>
      <c r="E4" s="146">
        <f t="shared" si="0"/>
        <v>53</v>
      </c>
      <c r="F4" s="254"/>
      <c r="G4" s="260">
        <v>1</v>
      </c>
      <c r="H4" s="263">
        <v>44042</v>
      </c>
      <c r="I4" s="261" t="s">
        <v>2645</v>
      </c>
      <c r="J4" s="260">
        <v>0</v>
      </c>
      <c r="K4" s="261" t="s">
        <v>2643</v>
      </c>
      <c r="L4" s="256">
        <f t="shared" si="1"/>
        <v>51</v>
      </c>
      <c r="M4" s="181">
        <v>0</v>
      </c>
      <c r="N4" s="181">
        <v>1</v>
      </c>
      <c r="O4" s="181">
        <v>4</v>
      </c>
      <c r="P4" s="136"/>
    </row>
    <row r="5" spans="1:18" s="69" customFormat="1" ht="45" hidden="1">
      <c r="A5" s="256" t="s">
        <v>2638</v>
      </c>
      <c r="B5" s="254" t="s">
        <v>45</v>
      </c>
      <c r="C5" s="254" t="s">
        <v>80</v>
      </c>
      <c r="D5" s="254" t="s">
        <v>2646</v>
      </c>
      <c r="E5" s="146">
        <f t="shared" si="0"/>
        <v>37</v>
      </c>
      <c r="F5" s="254"/>
      <c r="G5" s="260">
        <v>1</v>
      </c>
      <c r="H5" s="264">
        <v>44034</v>
      </c>
      <c r="I5" s="261" t="s">
        <v>2647</v>
      </c>
      <c r="J5" s="260">
        <v>0</v>
      </c>
      <c r="K5" s="261" t="s">
        <v>2643</v>
      </c>
      <c r="L5" s="256">
        <f t="shared" si="1"/>
        <v>51</v>
      </c>
      <c r="M5" s="181">
        <v>0</v>
      </c>
      <c r="N5" s="181">
        <v>1</v>
      </c>
      <c r="O5" s="181">
        <v>13</v>
      </c>
      <c r="P5" s="136"/>
    </row>
    <row r="6" spans="1:18" s="69" customFormat="1" ht="45" hidden="1">
      <c r="A6" s="256" t="s">
        <v>2638</v>
      </c>
      <c r="B6" s="254" t="s">
        <v>45</v>
      </c>
      <c r="C6" s="254" t="s">
        <v>80</v>
      </c>
      <c r="D6" s="254" t="s">
        <v>2648</v>
      </c>
      <c r="E6" s="146">
        <f t="shared" si="0"/>
        <v>40</v>
      </c>
      <c r="F6" s="254"/>
      <c r="G6" s="260">
        <v>0</v>
      </c>
      <c r="H6" s="263">
        <v>44032</v>
      </c>
      <c r="I6" s="261" t="s">
        <v>2649</v>
      </c>
      <c r="J6" s="260">
        <v>0</v>
      </c>
      <c r="K6" s="261" t="s">
        <v>2650</v>
      </c>
      <c r="L6" s="256">
        <f t="shared" si="1"/>
        <v>51</v>
      </c>
      <c r="M6" s="181">
        <v>3</v>
      </c>
      <c r="N6" s="181">
        <v>1</v>
      </c>
      <c r="O6" s="181">
        <v>11</v>
      </c>
      <c r="P6" s="136"/>
    </row>
    <row r="7" spans="1:18" s="69" customFormat="1" ht="105" hidden="1">
      <c r="A7" s="256" t="s">
        <v>2638</v>
      </c>
      <c r="B7" s="254" t="s">
        <v>45</v>
      </c>
      <c r="C7" s="254" t="s">
        <v>46</v>
      </c>
      <c r="D7" s="254" t="s">
        <v>2651</v>
      </c>
      <c r="E7" s="146">
        <f t="shared" si="0"/>
        <v>200</v>
      </c>
      <c r="F7" s="254"/>
      <c r="G7" s="260">
        <v>1</v>
      </c>
      <c r="H7" s="263">
        <v>44018</v>
      </c>
      <c r="I7" s="261" t="s">
        <v>2652</v>
      </c>
      <c r="J7" s="260">
        <v>0</v>
      </c>
      <c r="K7" s="261" t="s">
        <v>2653</v>
      </c>
      <c r="L7" s="256">
        <f t="shared" si="1"/>
        <v>100</v>
      </c>
      <c r="M7" s="181">
        <v>0</v>
      </c>
      <c r="N7" s="181">
        <v>1</v>
      </c>
      <c r="O7" s="181">
        <v>1</v>
      </c>
      <c r="P7" s="136"/>
    </row>
    <row r="8" spans="1:18" s="69" customFormat="1" ht="60" hidden="1">
      <c r="A8" s="256" t="s">
        <v>2638</v>
      </c>
      <c r="B8" s="254" t="s">
        <v>45</v>
      </c>
      <c r="C8" s="254" t="s">
        <v>80</v>
      </c>
      <c r="D8" s="261" t="s">
        <v>2646</v>
      </c>
      <c r="E8" s="146">
        <f t="shared" si="0"/>
        <v>50</v>
      </c>
      <c r="F8" s="254"/>
      <c r="G8" s="260">
        <v>1</v>
      </c>
      <c r="H8" s="263">
        <v>44007</v>
      </c>
      <c r="I8" s="261" t="s">
        <v>2654</v>
      </c>
      <c r="J8" s="260">
        <v>0</v>
      </c>
      <c r="K8" s="261" t="s">
        <v>2655</v>
      </c>
      <c r="L8" s="256">
        <f t="shared" si="1"/>
        <v>73</v>
      </c>
      <c r="M8" s="181">
        <v>0</v>
      </c>
      <c r="N8" s="181">
        <v>1</v>
      </c>
      <c r="O8" s="181">
        <v>4</v>
      </c>
      <c r="P8" s="136"/>
    </row>
    <row r="9" spans="1:18" s="69" customFormat="1" ht="60" hidden="1">
      <c r="A9" s="256" t="s">
        <v>2638</v>
      </c>
      <c r="B9" s="254" t="s">
        <v>45</v>
      </c>
      <c r="C9" s="254" t="s">
        <v>80</v>
      </c>
      <c r="D9" s="265" t="s">
        <v>2656</v>
      </c>
      <c r="E9" s="146">
        <f t="shared" si="0"/>
        <v>41</v>
      </c>
      <c r="F9" s="254"/>
      <c r="G9" s="260">
        <v>1</v>
      </c>
      <c r="H9" s="263">
        <v>44007</v>
      </c>
      <c r="I9" s="261" t="s">
        <v>2657</v>
      </c>
      <c r="J9" s="260">
        <v>0</v>
      </c>
      <c r="K9" s="261" t="s">
        <v>2655</v>
      </c>
      <c r="L9" s="256">
        <f t="shared" si="1"/>
        <v>73</v>
      </c>
      <c r="M9" s="181">
        <v>0</v>
      </c>
      <c r="N9" s="181">
        <v>1</v>
      </c>
      <c r="O9" s="181">
        <v>4</v>
      </c>
      <c r="P9" s="136"/>
    </row>
    <row r="10" spans="1:18" s="69" customFormat="1" ht="60" hidden="1">
      <c r="A10" s="256" t="s">
        <v>2638</v>
      </c>
      <c r="B10" s="254" t="s">
        <v>45</v>
      </c>
      <c r="C10" s="254" t="s">
        <v>46</v>
      </c>
      <c r="D10" s="261" t="s">
        <v>2658</v>
      </c>
      <c r="E10" s="146">
        <f t="shared" si="0"/>
        <v>107</v>
      </c>
      <c r="F10" s="254"/>
      <c r="G10" s="260">
        <v>1</v>
      </c>
      <c r="H10" s="264">
        <v>43997</v>
      </c>
      <c r="I10" s="261" t="s">
        <v>2659</v>
      </c>
      <c r="J10" s="260">
        <v>0</v>
      </c>
      <c r="K10" s="261" t="s">
        <v>2660</v>
      </c>
      <c r="L10" s="256">
        <f t="shared" si="1"/>
        <v>63</v>
      </c>
      <c r="M10" s="181">
        <v>0</v>
      </c>
      <c r="N10" s="181">
        <v>1</v>
      </c>
      <c r="O10" s="181">
        <v>1</v>
      </c>
      <c r="P10" s="136"/>
    </row>
    <row r="11" spans="1:18" s="69" customFormat="1" ht="120" hidden="1">
      <c r="A11" s="256" t="s">
        <v>2638</v>
      </c>
      <c r="B11" s="254" t="s">
        <v>45</v>
      </c>
      <c r="C11" s="254" t="s">
        <v>46</v>
      </c>
      <c r="D11" s="261" t="s">
        <v>2658</v>
      </c>
      <c r="E11" s="146">
        <f t="shared" si="0"/>
        <v>213</v>
      </c>
      <c r="F11" s="254"/>
      <c r="G11" s="260">
        <v>1</v>
      </c>
      <c r="H11" s="264">
        <v>43977</v>
      </c>
      <c r="I11" s="261" t="s">
        <v>2661</v>
      </c>
      <c r="J11" s="260">
        <v>0</v>
      </c>
      <c r="K11" s="261" t="s">
        <v>2662</v>
      </c>
      <c r="L11" s="256">
        <f t="shared" si="1"/>
        <v>35</v>
      </c>
      <c r="M11" s="181">
        <v>0</v>
      </c>
      <c r="N11" s="181">
        <v>1</v>
      </c>
      <c r="O11" s="181">
        <v>2</v>
      </c>
      <c r="P11" s="136"/>
    </row>
    <row r="12" spans="1:18" s="69" customFormat="1" ht="60" hidden="1">
      <c r="A12" s="256" t="s">
        <v>2638</v>
      </c>
      <c r="B12" s="254" t="s">
        <v>45</v>
      </c>
      <c r="C12" s="254" t="s">
        <v>80</v>
      </c>
      <c r="D12" s="265" t="s">
        <v>2648</v>
      </c>
      <c r="E12" s="146">
        <f t="shared" si="0"/>
        <v>94</v>
      </c>
      <c r="F12" s="254"/>
      <c r="G12" s="260">
        <v>1</v>
      </c>
      <c r="H12" s="264">
        <v>43965</v>
      </c>
      <c r="I12" s="261" t="s">
        <v>2663</v>
      </c>
      <c r="J12" s="260">
        <v>0</v>
      </c>
      <c r="K12" s="261" t="s">
        <v>2664</v>
      </c>
      <c r="L12" s="256">
        <f t="shared" si="1"/>
        <v>55</v>
      </c>
      <c r="M12" s="181">
        <v>0</v>
      </c>
      <c r="N12" s="181">
        <v>1</v>
      </c>
      <c r="O12" s="181">
        <v>4</v>
      </c>
      <c r="P12" s="136"/>
    </row>
    <row r="13" spans="1:18" s="69" customFormat="1" ht="60" hidden="1">
      <c r="A13" s="256" t="s">
        <v>2638</v>
      </c>
      <c r="B13" s="254" t="s">
        <v>45</v>
      </c>
      <c r="C13" s="254" t="s">
        <v>80</v>
      </c>
      <c r="D13" s="261" t="s">
        <v>2665</v>
      </c>
      <c r="E13" s="146">
        <f t="shared" si="0"/>
        <v>109</v>
      </c>
      <c r="F13" s="254"/>
      <c r="G13" s="260">
        <v>1</v>
      </c>
      <c r="H13" s="263">
        <v>43949</v>
      </c>
      <c r="I13" s="261" t="s">
        <v>2666</v>
      </c>
      <c r="J13" s="260">
        <v>0</v>
      </c>
      <c r="K13" s="261" t="s">
        <v>2667</v>
      </c>
      <c r="L13" s="256">
        <f t="shared" si="1"/>
        <v>78</v>
      </c>
      <c r="M13" s="181">
        <v>0</v>
      </c>
      <c r="N13" s="181">
        <v>1</v>
      </c>
      <c r="O13" s="181">
        <v>1</v>
      </c>
      <c r="P13" s="136"/>
    </row>
    <row r="14" spans="1:18" s="69" customFormat="1" ht="90" hidden="1">
      <c r="A14" s="256" t="s">
        <v>2638</v>
      </c>
      <c r="B14" s="256" t="s">
        <v>119</v>
      </c>
      <c r="C14" s="256" t="s">
        <v>46</v>
      </c>
      <c r="D14" s="266" t="s">
        <v>2668</v>
      </c>
      <c r="E14" s="146">
        <f t="shared" si="0"/>
        <v>148</v>
      </c>
      <c r="F14" s="256">
        <v>0.99999999000627704</v>
      </c>
      <c r="G14" s="262">
        <v>1</v>
      </c>
      <c r="H14" s="267">
        <v>43795</v>
      </c>
      <c r="I14" s="266" t="s">
        <v>2669</v>
      </c>
      <c r="J14" s="270">
        <v>0</v>
      </c>
      <c r="K14" s="271" t="s">
        <v>2670</v>
      </c>
      <c r="L14" s="256">
        <f t="shared" si="1"/>
        <v>86</v>
      </c>
      <c r="M14" s="256">
        <v>1</v>
      </c>
      <c r="N14" s="256">
        <v>1</v>
      </c>
      <c r="O14" s="256">
        <v>9</v>
      </c>
    </row>
    <row r="15" spans="1:18" s="69" customFormat="1" ht="90" hidden="1">
      <c r="A15" s="256" t="s">
        <v>2638</v>
      </c>
      <c r="B15" s="256" t="s">
        <v>45</v>
      </c>
      <c r="C15" s="256" t="s">
        <v>80</v>
      </c>
      <c r="D15" s="266" t="s">
        <v>364</v>
      </c>
      <c r="E15" s="146">
        <f t="shared" si="0"/>
        <v>65</v>
      </c>
      <c r="F15" s="256">
        <v>5.6789271902457595E-4</v>
      </c>
      <c r="G15" s="262">
        <v>1</v>
      </c>
      <c r="H15" s="267">
        <v>43773</v>
      </c>
      <c r="I15" s="266" t="s">
        <v>2671</v>
      </c>
      <c r="J15" s="270">
        <v>0</v>
      </c>
      <c r="K15" s="271" t="s">
        <v>2672</v>
      </c>
      <c r="L15" s="256">
        <f t="shared" si="1"/>
        <v>136</v>
      </c>
      <c r="M15" s="256">
        <v>0</v>
      </c>
      <c r="N15" s="256">
        <v>1</v>
      </c>
      <c r="O15" s="256">
        <v>2</v>
      </c>
      <c r="P15" s="69">
        <f>AVERAGE(O14:O42)</f>
        <v>10</v>
      </c>
      <c r="Q15" s="69">
        <f>AVERAGE(O14:O223)</f>
        <v>8.1380952380952376</v>
      </c>
    </row>
    <row r="16" spans="1:18" s="69" customFormat="1" ht="120" hidden="1">
      <c r="A16" s="256" t="s">
        <v>2638</v>
      </c>
      <c r="B16" s="256" t="s">
        <v>45</v>
      </c>
      <c r="C16" s="256" t="s">
        <v>46</v>
      </c>
      <c r="D16" s="266" t="s">
        <v>2673</v>
      </c>
      <c r="E16" s="146">
        <f t="shared" si="0"/>
        <v>218</v>
      </c>
      <c r="F16" s="256">
        <v>1.7178303224341101E-9</v>
      </c>
      <c r="G16" s="262">
        <v>1</v>
      </c>
      <c r="H16" s="267">
        <v>43762</v>
      </c>
      <c r="I16" s="266" t="s">
        <v>2674</v>
      </c>
      <c r="J16" s="270">
        <v>1</v>
      </c>
      <c r="K16" s="271" t="s">
        <v>2675</v>
      </c>
      <c r="L16" s="256">
        <f t="shared" si="1"/>
        <v>77</v>
      </c>
      <c r="M16" s="256">
        <v>0</v>
      </c>
      <c r="N16" s="256">
        <v>2</v>
      </c>
      <c r="O16" s="256">
        <v>4</v>
      </c>
    </row>
    <row r="17" spans="1:15" s="69" customFormat="1" ht="90" hidden="1">
      <c r="A17" s="256" t="s">
        <v>2638</v>
      </c>
      <c r="B17" s="256" t="s">
        <v>45</v>
      </c>
      <c r="C17" s="256" t="s">
        <v>221</v>
      </c>
      <c r="D17" s="266" t="s">
        <v>2676</v>
      </c>
      <c r="E17" s="146">
        <f t="shared" si="0"/>
        <v>50</v>
      </c>
      <c r="F17" s="256">
        <v>7.4870103971591204E-2</v>
      </c>
      <c r="G17" s="262">
        <v>1</v>
      </c>
      <c r="H17" s="267">
        <v>43715</v>
      </c>
      <c r="I17" s="266" t="s">
        <v>2677</v>
      </c>
      <c r="J17" s="270">
        <v>1</v>
      </c>
      <c r="K17" s="271" t="s">
        <v>2678</v>
      </c>
      <c r="L17" s="256">
        <f t="shared" si="1"/>
        <v>117</v>
      </c>
      <c r="M17" s="256">
        <v>0</v>
      </c>
      <c r="N17" s="256">
        <v>1</v>
      </c>
      <c r="O17" s="256">
        <v>3</v>
      </c>
    </row>
    <row r="18" spans="1:15" s="69" customFormat="1" ht="120" hidden="1">
      <c r="A18" s="256" t="s">
        <v>2638</v>
      </c>
      <c r="B18" s="256" t="s">
        <v>45</v>
      </c>
      <c r="C18" s="256" t="s">
        <v>46</v>
      </c>
      <c r="D18" s="266" t="s">
        <v>2679</v>
      </c>
      <c r="E18" s="146">
        <f t="shared" si="0"/>
        <v>156</v>
      </c>
      <c r="F18" s="256">
        <v>3.4592434586922001E-5</v>
      </c>
      <c r="G18" s="262">
        <v>1</v>
      </c>
      <c r="H18" s="267">
        <v>43669</v>
      </c>
      <c r="I18" s="266" t="s">
        <v>2680</v>
      </c>
      <c r="J18" s="270">
        <v>0</v>
      </c>
      <c r="K18" s="271" t="s">
        <v>2681</v>
      </c>
      <c r="L18" s="256">
        <f t="shared" si="1"/>
        <v>79</v>
      </c>
      <c r="M18" s="256">
        <v>0</v>
      </c>
      <c r="N18" s="256">
        <v>2</v>
      </c>
      <c r="O18" s="256">
        <v>13</v>
      </c>
    </row>
    <row r="19" spans="1:15" s="69" customFormat="1" ht="90" hidden="1">
      <c r="A19" s="256" t="s">
        <v>2638</v>
      </c>
      <c r="B19" s="256" t="s">
        <v>45</v>
      </c>
      <c r="C19" s="256" t="s">
        <v>221</v>
      </c>
      <c r="D19" s="266" t="s">
        <v>2676</v>
      </c>
      <c r="E19" s="146">
        <f t="shared" si="0"/>
        <v>8</v>
      </c>
      <c r="F19" s="256">
        <v>0.44608263319172198</v>
      </c>
      <c r="G19" s="262">
        <v>1</v>
      </c>
      <c r="H19" s="267">
        <v>43655</v>
      </c>
      <c r="I19" s="272" t="s">
        <v>2676</v>
      </c>
      <c r="J19" s="273">
        <v>1</v>
      </c>
      <c r="K19" s="271" t="s">
        <v>2682</v>
      </c>
      <c r="L19" s="256">
        <f t="shared" si="1"/>
        <v>118</v>
      </c>
      <c r="M19" s="256">
        <v>3</v>
      </c>
      <c r="N19" s="256">
        <v>1</v>
      </c>
      <c r="O19" s="256">
        <v>28</v>
      </c>
    </row>
    <row r="20" spans="1:15" s="69" customFormat="1" ht="165" hidden="1">
      <c r="A20" s="256" t="s">
        <v>2638</v>
      </c>
      <c r="B20" s="256" t="s">
        <v>45</v>
      </c>
      <c r="C20" s="256" t="s">
        <v>221</v>
      </c>
      <c r="D20" s="266" t="s">
        <v>2683</v>
      </c>
      <c r="E20" s="146">
        <f t="shared" si="0"/>
        <v>215</v>
      </c>
      <c r="F20" s="256">
        <v>9.5501384578256006E-13</v>
      </c>
      <c r="G20" s="262">
        <v>1</v>
      </c>
      <c r="H20" s="267">
        <v>43651</v>
      </c>
      <c r="I20" s="181" t="s">
        <v>2684</v>
      </c>
      <c r="J20" s="262">
        <v>1</v>
      </c>
      <c r="K20" s="271" t="s">
        <v>2685</v>
      </c>
      <c r="L20" s="256">
        <f t="shared" si="1"/>
        <v>228</v>
      </c>
      <c r="M20" s="256">
        <v>0</v>
      </c>
      <c r="N20" s="256">
        <v>1</v>
      </c>
      <c r="O20" s="256">
        <v>4</v>
      </c>
    </row>
    <row r="21" spans="1:15" s="69" customFormat="1" ht="180" hidden="1">
      <c r="A21" s="256" t="s">
        <v>2638</v>
      </c>
      <c r="B21" s="256" t="s">
        <v>119</v>
      </c>
      <c r="C21" s="256" t="s">
        <v>80</v>
      </c>
      <c r="D21" s="266" t="s">
        <v>2686</v>
      </c>
      <c r="E21" s="146">
        <f t="shared" si="0"/>
        <v>57</v>
      </c>
      <c r="F21" s="256">
        <v>1.04823463817683E-4</v>
      </c>
      <c r="G21" s="262">
        <v>1</v>
      </c>
      <c r="H21" s="267">
        <v>43645</v>
      </c>
      <c r="I21" s="266" t="s">
        <v>2687</v>
      </c>
      <c r="J21" s="270">
        <v>0</v>
      </c>
      <c r="K21" s="271" t="s">
        <v>2688</v>
      </c>
      <c r="L21" s="256">
        <f t="shared" si="1"/>
        <v>246</v>
      </c>
      <c r="M21" s="256">
        <v>1</v>
      </c>
      <c r="N21" s="256">
        <v>1</v>
      </c>
      <c r="O21" s="256">
        <v>6</v>
      </c>
    </row>
    <row r="22" spans="1:15" s="69" customFormat="1" ht="75" hidden="1">
      <c r="A22" s="256" t="s">
        <v>2638</v>
      </c>
      <c r="B22" s="256" t="s">
        <v>119</v>
      </c>
      <c r="C22" s="256" t="s">
        <v>46</v>
      </c>
      <c r="D22" s="266" t="s">
        <v>2689</v>
      </c>
      <c r="E22" s="146">
        <f t="shared" si="0"/>
        <v>138</v>
      </c>
      <c r="F22" s="256">
        <v>0.95010287859146003</v>
      </c>
      <c r="G22" s="262">
        <v>1</v>
      </c>
      <c r="H22" s="267">
        <v>43545</v>
      </c>
      <c r="I22" s="271" t="s">
        <v>2690</v>
      </c>
      <c r="J22" s="274">
        <v>1</v>
      </c>
      <c r="K22" s="271" t="s">
        <v>2691</v>
      </c>
      <c r="L22" s="256">
        <f t="shared" si="1"/>
        <v>87</v>
      </c>
      <c r="M22" s="256">
        <v>0</v>
      </c>
      <c r="N22" s="256">
        <v>1</v>
      </c>
      <c r="O22" s="256">
        <v>7</v>
      </c>
    </row>
    <row r="23" spans="1:15" s="69" customFormat="1" ht="240" hidden="1">
      <c r="A23" s="256" t="s">
        <v>2638</v>
      </c>
      <c r="B23" s="256" t="s">
        <v>45</v>
      </c>
      <c r="C23" s="256" t="s">
        <v>46</v>
      </c>
      <c r="D23" s="266" t="s">
        <v>2692</v>
      </c>
      <c r="E23" s="146">
        <f t="shared" si="0"/>
        <v>384</v>
      </c>
      <c r="F23" s="256">
        <v>0.99997070857248604</v>
      </c>
      <c r="G23" s="262">
        <v>1</v>
      </c>
      <c r="H23" s="267">
        <v>43353</v>
      </c>
      <c r="I23" s="181" t="s">
        <v>4447</v>
      </c>
      <c r="J23" s="262">
        <v>0</v>
      </c>
      <c r="K23" s="271" t="s">
        <v>2694</v>
      </c>
      <c r="L23" s="256">
        <f t="shared" si="1"/>
        <v>85</v>
      </c>
      <c r="M23" s="256">
        <v>0</v>
      </c>
      <c r="N23" s="256">
        <v>1</v>
      </c>
      <c r="O23" s="256">
        <v>11</v>
      </c>
    </row>
    <row r="24" spans="1:15" s="69" customFormat="1" ht="195" hidden="1">
      <c r="A24" s="256" t="s">
        <v>2638</v>
      </c>
      <c r="B24" s="256" t="s">
        <v>45</v>
      </c>
      <c r="C24" s="256" t="s">
        <v>46</v>
      </c>
      <c r="D24" s="266" t="s">
        <v>2695</v>
      </c>
      <c r="E24" s="146">
        <f t="shared" si="0"/>
        <v>312</v>
      </c>
      <c r="F24" s="256">
        <v>0.98900321811355896</v>
      </c>
      <c r="G24" s="262">
        <v>1</v>
      </c>
      <c r="H24" s="267">
        <v>43335</v>
      </c>
      <c r="I24" s="181" t="s">
        <v>2696</v>
      </c>
      <c r="J24" s="262">
        <v>0</v>
      </c>
      <c r="K24" s="271" t="s">
        <v>2697</v>
      </c>
      <c r="L24" s="256">
        <f t="shared" si="1"/>
        <v>49</v>
      </c>
      <c r="M24" s="256">
        <v>0</v>
      </c>
      <c r="N24" s="256">
        <v>1</v>
      </c>
      <c r="O24" s="256">
        <v>11</v>
      </c>
    </row>
    <row r="25" spans="1:15" s="69" customFormat="1" ht="60" hidden="1">
      <c r="A25" s="256" t="s">
        <v>2638</v>
      </c>
      <c r="B25" s="256" t="s">
        <v>45</v>
      </c>
      <c r="C25" s="256" t="s">
        <v>46</v>
      </c>
      <c r="D25" s="266" t="s">
        <v>2698</v>
      </c>
      <c r="E25" s="146">
        <f t="shared" si="0"/>
        <v>91</v>
      </c>
      <c r="F25" s="256">
        <v>1.6639809158336401E-6</v>
      </c>
      <c r="G25" s="262">
        <v>1</v>
      </c>
      <c r="H25" s="267">
        <v>43313</v>
      </c>
      <c r="I25" s="266" t="s">
        <v>4448</v>
      </c>
      <c r="J25" s="270">
        <v>0</v>
      </c>
      <c r="K25" s="275" t="s">
        <v>2700</v>
      </c>
      <c r="L25" s="256">
        <f t="shared" si="1"/>
        <v>16</v>
      </c>
      <c r="M25" s="256">
        <v>0</v>
      </c>
      <c r="N25" s="256">
        <v>1</v>
      </c>
      <c r="O25" s="256">
        <v>1</v>
      </c>
    </row>
    <row r="26" spans="1:15" s="69" customFormat="1" ht="60" hidden="1">
      <c r="A26" s="256" t="s">
        <v>2638</v>
      </c>
      <c r="B26" s="256" t="s">
        <v>45</v>
      </c>
      <c r="C26" s="256" t="s">
        <v>46</v>
      </c>
      <c r="D26" s="266" t="s">
        <v>2701</v>
      </c>
      <c r="E26" s="146">
        <f t="shared" si="0"/>
        <v>90</v>
      </c>
      <c r="F26" s="256">
        <v>0.83901802142625903</v>
      </c>
      <c r="G26" s="262">
        <v>1</v>
      </c>
      <c r="H26" s="267">
        <v>43302</v>
      </c>
      <c r="I26" s="266" t="s">
        <v>2702</v>
      </c>
      <c r="J26" s="270">
        <v>0</v>
      </c>
      <c r="K26" s="271" t="s">
        <v>2703</v>
      </c>
      <c r="L26" s="256">
        <f t="shared" si="1"/>
        <v>76</v>
      </c>
      <c r="M26" s="256">
        <v>1</v>
      </c>
      <c r="N26" s="256">
        <v>1</v>
      </c>
      <c r="O26" s="256">
        <v>18</v>
      </c>
    </row>
    <row r="27" spans="1:15" s="69" customFormat="1" ht="255" hidden="1">
      <c r="A27" s="256" t="s">
        <v>2638</v>
      </c>
      <c r="B27" s="256" t="s">
        <v>45</v>
      </c>
      <c r="C27" s="256" t="s">
        <v>80</v>
      </c>
      <c r="D27" s="266" t="s">
        <v>2704</v>
      </c>
      <c r="E27" s="146">
        <f t="shared" si="0"/>
        <v>146</v>
      </c>
      <c r="F27" s="256">
        <v>2.2993526655212801E-4</v>
      </c>
      <c r="G27" s="262">
        <v>1</v>
      </c>
      <c r="H27" s="267">
        <v>43227</v>
      </c>
      <c r="I27" s="266" t="s">
        <v>2705</v>
      </c>
      <c r="J27" s="270">
        <v>0</v>
      </c>
      <c r="K27" s="271" t="s">
        <v>4449</v>
      </c>
      <c r="L27" s="256">
        <f t="shared" si="1"/>
        <v>384</v>
      </c>
      <c r="M27" s="256">
        <v>3</v>
      </c>
      <c r="N27" s="256">
        <v>1</v>
      </c>
      <c r="O27" s="256">
        <v>30</v>
      </c>
    </row>
    <row r="28" spans="1:15" s="69" customFormat="1" ht="150" hidden="1">
      <c r="A28" s="256" t="s">
        <v>2638</v>
      </c>
      <c r="B28" s="256" t="s">
        <v>45</v>
      </c>
      <c r="C28" s="256" t="s">
        <v>46</v>
      </c>
      <c r="D28" s="266" t="s">
        <v>2707</v>
      </c>
      <c r="E28" s="146">
        <f t="shared" si="0"/>
        <v>198</v>
      </c>
      <c r="F28" s="256">
        <v>1.3211371804332401E-2</v>
      </c>
      <c r="G28" s="262">
        <v>1</v>
      </c>
      <c r="H28" s="267">
        <v>43222</v>
      </c>
      <c r="I28" s="181" t="s">
        <v>4450</v>
      </c>
      <c r="J28" s="262">
        <v>0</v>
      </c>
      <c r="K28" s="271" t="s">
        <v>2709</v>
      </c>
      <c r="L28" s="256">
        <f t="shared" si="1"/>
        <v>67</v>
      </c>
      <c r="M28" s="256">
        <v>1</v>
      </c>
      <c r="N28" s="256">
        <v>1</v>
      </c>
      <c r="O28" s="256">
        <v>13</v>
      </c>
    </row>
    <row r="29" spans="1:15" s="69" customFormat="1" ht="285" hidden="1">
      <c r="A29" s="256" t="s">
        <v>2638</v>
      </c>
      <c r="B29" s="256" t="s">
        <v>45</v>
      </c>
      <c r="C29" s="256" t="s">
        <v>46</v>
      </c>
      <c r="D29" s="266" t="s">
        <v>2710</v>
      </c>
      <c r="E29" s="146">
        <f t="shared" si="0"/>
        <v>497</v>
      </c>
      <c r="F29" s="256">
        <v>3.7971120248092602E-3</v>
      </c>
      <c r="G29" s="262">
        <v>1</v>
      </c>
      <c r="H29" s="267">
        <v>43219</v>
      </c>
      <c r="I29" s="181" t="s">
        <v>4451</v>
      </c>
      <c r="J29" s="262">
        <v>0</v>
      </c>
      <c r="K29" s="271" t="s">
        <v>2712</v>
      </c>
      <c r="L29" s="256">
        <f t="shared" si="1"/>
        <v>298</v>
      </c>
      <c r="M29" s="256">
        <v>0</v>
      </c>
      <c r="N29" s="256">
        <v>2</v>
      </c>
      <c r="O29" s="256">
        <v>4</v>
      </c>
    </row>
    <row r="30" spans="1:15" s="69" customFormat="1" ht="75" hidden="1">
      <c r="A30" s="256" t="s">
        <v>2638</v>
      </c>
      <c r="B30" s="256" t="s">
        <v>45</v>
      </c>
      <c r="C30" s="256" t="s">
        <v>46</v>
      </c>
      <c r="D30" s="266" t="s">
        <v>2713</v>
      </c>
      <c r="E30" s="146">
        <f t="shared" si="0"/>
        <v>138</v>
      </c>
      <c r="F30" s="256">
        <v>0.39086632969851898</v>
      </c>
      <c r="G30" s="262">
        <v>1</v>
      </c>
      <c r="H30" s="267">
        <v>43123</v>
      </c>
      <c r="I30" s="271" t="s">
        <v>2714</v>
      </c>
      <c r="J30" s="274">
        <v>1</v>
      </c>
      <c r="K30" s="271" t="s">
        <v>2715</v>
      </c>
      <c r="L30" s="256">
        <f t="shared" si="1"/>
        <v>95</v>
      </c>
      <c r="M30" s="256">
        <v>1</v>
      </c>
      <c r="N30" s="256">
        <v>1</v>
      </c>
      <c r="O30" s="256">
        <v>8</v>
      </c>
    </row>
    <row r="31" spans="1:15" s="69" customFormat="1" ht="75" hidden="1">
      <c r="A31" s="256" t="s">
        <v>2638</v>
      </c>
      <c r="B31" s="256" t="s">
        <v>45</v>
      </c>
      <c r="C31" s="256" t="s">
        <v>80</v>
      </c>
      <c r="D31" s="266" t="s">
        <v>2716</v>
      </c>
      <c r="E31" s="146">
        <f t="shared" si="0"/>
        <v>126</v>
      </c>
      <c r="F31" s="256">
        <v>0.73286458000747601</v>
      </c>
      <c r="G31" s="262">
        <v>1</v>
      </c>
      <c r="H31" s="267">
        <v>43104</v>
      </c>
      <c r="I31" s="266" t="s">
        <v>2717</v>
      </c>
      <c r="J31" s="270">
        <v>1</v>
      </c>
      <c r="K31" s="271" t="s">
        <v>2718</v>
      </c>
      <c r="L31" s="256">
        <f t="shared" si="1"/>
        <v>61</v>
      </c>
      <c r="M31" s="256">
        <v>1</v>
      </c>
      <c r="N31" s="256">
        <v>1</v>
      </c>
      <c r="O31" s="256">
        <v>14</v>
      </c>
    </row>
    <row r="32" spans="1:15" s="69" customFormat="1" ht="90" hidden="1">
      <c r="A32" s="256" t="s">
        <v>2638</v>
      </c>
      <c r="B32" s="256" t="s">
        <v>45</v>
      </c>
      <c r="C32" s="256" t="s">
        <v>80</v>
      </c>
      <c r="D32" s="266" t="s">
        <v>2719</v>
      </c>
      <c r="E32" s="146">
        <f t="shared" si="0"/>
        <v>66</v>
      </c>
      <c r="F32" s="256">
        <v>0.69359931277544395</v>
      </c>
      <c r="G32" s="262">
        <v>1</v>
      </c>
      <c r="H32" s="267">
        <v>43081</v>
      </c>
      <c r="I32" s="266" t="s">
        <v>2720</v>
      </c>
      <c r="J32" s="270">
        <v>1</v>
      </c>
      <c r="K32" s="271" t="s">
        <v>2721</v>
      </c>
      <c r="L32" s="256">
        <f t="shared" si="1"/>
        <v>123</v>
      </c>
      <c r="M32" s="256">
        <v>1</v>
      </c>
      <c r="N32" s="256">
        <v>1</v>
      </c>
      <c r="O32" s="256">
        <v>14</v>
      </c>
    </row>
    <row r="33" spans="1:18" s="69" customFormat="1" ht="270" hidden="1">
      <c r="A33" s="256" t="s">
        <v>2638</v>
      </c>
      <c r="B33" s="256" t="s">
        <v>45</v>
      </c>
      <c r="C33" s="256" t="s">
        <v>80</v>
      </c>
      <c r="D33" s="266" t="s">
        <v>2722</v>
      </c>
      <c r="E33" s="146">
        <f t="shared" si="0"/>
        <v>176</v>
      </c>
      <c r="F33" s="256">
        <v>2.8408126772976099E-2</v>
      </c>
      <c r="G33" s="262">
        <v>1</v>
      </c>
      <c r="H33" s="267">
        <v>43073</v>
      </c>
      <c r="I33" s="266" t="s">
        <v>2723</v>
      </c>
      <c r="J33" s="270">
        <v>0</v>
      </c>
      <c r="K33" s="181" t="s">
        <v>4452</v>
      </c>
      <c r="L33" s="256">
        <f t="shared" si="1"/>
        <v>344</v>
      </c>
      <c r="M33" s="256">
        <v>1</v>
      </c>
      <c r="N33" s="256">
        <v>1</v>
      </c>
      <c r="O33" s="256">
        <v>17</v>
      </c>
    </row>
    <row r="34" spans="1:18" s="69" customFormat="1" ht="60" hidden="1">
      <c r="A34" s="256" t="s">
        <v>2638</v>
      </c>
      <c r="B34" s="256" t="s">
        <v>45</v>
      </c>
      <c r="C34" s="256" t="s">
        <v>80</v>
      </c>
      <c r="D34" s="266" t="s">
        <v>2725</v>
      </c>
      <c r="E34" s="146">
        <f t="shared" si="0"/>
        <v>69</v>
      </c>
      <c r="F34" s="256">
        <v>0.73962881123220803</v>
      </c>
      <c r="G34" s="262">
        <v>1</v>
      </c>
      <c r="H34" s="267">
        <v>43068</v>
      </c>
      <c r="I34" s="266" t="s">
        <v>2726</v>
      </c>
      <c r="J34" s="270">
        <v>0</v>
      </c>
      <c r="K34" s="271" t="s">
        <v>2727</v>
      </c>
      <c r="L34" s="256">
        <f t="shared" si="1"/>
        <v>72</v>
      </c>
      <c r="M34" s="256">
        <v>1</v>
      </c>
      <c r="N34" s="256">
        <v>1</v>
      </c>
      <c r="O34" s="256">
        <v>5</v>
      </c>
    </row>
    <row r="35" spans="1:18" s="69" customFormat="1" ht="225" hidden="1">
      <c r="A35" s="256" t="s">
        <v>2638</v>
      </c>
      <c r="B35" s="256" t="s">
        <v>45</v>
      </c>
      <c r="C35" s="256" t="s">
        <v>46</v>
      </c>
      <c r="D35" s="266" t="s">
        <v>2728</v>
      </c>
      <c r="E35" s="146">
        <f t="shared" si="0"/>
        <v>203</v>
      </c>
      <c r="F35" s="256">
        <v>1.8912112114057901E-3</v>
      </c>
      <c r="G35" s="262">
        <v>1</v>
      </c>
      <c r="H35" s="267">
        <v>43034</v>
      </c>
      <c r="I35" s="266" t="s">
        <v>2729</v>
      </c>
      <c r="J35" s="270">
        <v>0</v>
      </c>
      <c r="K35" s="271" t="s">
        <v>4453</v>
      </c>
      <c r="L35" s="256">
        <f t="shared" si="1"/>
        <v>286</v>
      </c>
      <c r="M35" s="256">
        <v>1</v>
      </c>
      <c r="N35" s="256">
        <v>1</v>
      </c>
      <c r="O35" s="256">
        <v>14</v>
      </c>
    </row>
    <row r="36" spans="1:18" s="69" customFormat="1" ht="180" hidden="1">
      <c r="A36" s="256" t="s">
        <v>2638</v>
      </c>
      <c r="B36" s="256" t="s">
        <v>45</v>
      </c>
      <c r="C36" s="256" t="s">
        <v>46</v>
      </c>
      <c r="D36" s="266" t="s">
        <v>2731</v>
      </c>
      <c r="E36" s="146">
        <f t="shared" si="0"/>
        <v>187</v>
      </c>
      <c r="F36" s="256">
        <v>2.5663248148563001E-3</v>
      </c>
      <c r="G36" s="262">
        <v>1</v>
      </c>
      <c r="H36" s="267">
        <v>43034</v>
      </c>
      <c r="I36" s="266" t="s">
        <v>2732</v>
      </c>
      <c r="J36" s="270">
        <v>0</v>
      </c>
      <c r="K36" s="271" t="s">
        <v>2733</v>
      </c>
      <c r="L36" s="256">
        <f t="shared" si="1"/>
        <v>212</v>
      </c>
      <c r="M36" s="256">
        <v>1</v>
      </c>
      <c r="N36" s="256">
        <v>1</v>
      </c>
      <c r="O36" s="256">
        <v>19</v>
      </c>
    </row>
    <row r="37" spans="1:18" s="69" customFormat="1" ht="255" hidden="1">
      <c r="A37" s="256" t="s">
        <v>2638</v>
      </c>
      <c r="B37" s="256" t="s">
        <v>45</v>
      </c>
      <c r="C37" s="256" t="s">
        <v>80</v>
      </c>
      <c r="D37" s="266" t="s">
        <v>2734</v>
      </c>
      <c r="E37" s="146">
        <f t="shared" si="0"/>
        <v>145</v>
      </c>
      <c r="F37" s="256">
        <v>2.9716376026556199E-9</v>
      </c>
      <c r="G37" s="262">
        <v>1</v>
      </c>
      <c r="H37" s="267">
        <v>43032</v>
      </c>
      <c r="I37" s="266" t="s">
        <v>2735</v>
      </c>
      <c r="J37" s="270">
        <v>0</v>
      </c>
      <c r="K37" s="181" t="s">
        <v>2736</v>
      </c>
      <c r="L37" s="256">
        <f t="shared" si="1"/>
        <v>321</v>
      </c>
      <c r="M37" s="256">
        <v>1</v>
      </c>
      <c r="N37" s="256">
        <v>1</v>
      </c>
      <c r="O37" s="256">
        <v>8</v>
      </c>
    </row>
    <row r="38" spans="1:18" s="69" customFormat="1" ht="240" hidden="1">
      <c r="A38" s="256" t="s">
        <v>2638</v>
      </c>
      <c r="B38" s="256" t="s">
        <v>45</v>
      </c>
      <c r="C38" s="256" t="s">
        <v>46</v>
      </c>
      <c r="D38" s="266" t="s">
        <v>2737</v>
      </c>
      <c r="E38" s="146">
        <f t="shared" si="0"/>
        <v>276</v>
      </c>
      <c r="F38" s="256">
        <v>7.5909933666684603E-6</v>
      </c>
      <c r="G38" s="262">
        <v>1</v>
      </c>
      <c r="H38" s="267">
        <v>43028</v>
      </c>
      <c r="I38" s="181" t="s">
        <v>4454</v>
      </c>
      <c r="J38" s="262">
        <v>0</v>
      </c>
      <c r="K38" s="276" t="s">
        <v>2739</v>
      </c>
      <c r="L38" s="256">
        <f t="shared" si="1"/>
        <v>320</v>
      </c>
      <c r="M38" s="256">
        <v>0</v>
      </c>
      <c r="N38" s="256">
        <v>1</v>
      </c>
      <c r="O38" s="256">
        <v>12</v>
      </c>
    </row>
    <row r="39" spans="1:18" s="69" customFormat="1" ht="135" hidden="1">
      <c r="A39" s="256" t="s">
        <v>2638</v>
      </c>
      <c r="B39" s="256" t="s">
        <v>45</v>
      </c>
      <c r="C39" s="256" t="s">
        <v>46</v>
      </c>
      <c r="D39" s="266" t="s">
        <v>2740</v>
      </c>
      <c r="E39" s="146">
        <f t="shared" si="0"/>
        <v>181</v>
      </c>
      <c r="F39" s="256">
        <v>5.3893142548666596E-7</v>
      </c>
      <c r="G39" s="262">
        <v>1</v>
      </c>
      <c r="H39" s="267">
        <v>43017</v>
      </c>
      <c r="I39" s="266" t="s">
        <v>2741</v>
      </c>
      <c r="J39" s="270">
        <v>0</v>
      </c>
      <c r="K39" s="271" t="s">
        <v>2742</v>
      </c>
      <c r="L39" s="256">
        <f t="shared" si="1"/>
        <v>155</v>
      </c>
      <c r="M39" s="256">
        <v>0</v>
      </c>
      <c r="N39" s="256">
        <v>1</v>
      </c>
      <c r="O39" s="256">
        <v>2</v>
      </c>
    </row>
    <row r="40" spans="1:18" s="69" customFormat="1" ht="120" hidden="1">
      <c r="A40" s="256" t="s">
        <v>2638</v>
      </c>
      <c r="B40" s="256" t="s">
        <v>45</v>
      </c>
      <c r="C40" s="256" t="s">
        <v>80</v>
      </c>
      <c r="D40" s="266" t="s">
        <v>2743</v>
      </c>
      <c r="E40" s="146">
        <f t="shared" si="0"/>
        <v>61</v>
      </c>
      <c r="F40" s="256">
        <v>0.78979780581667203</v>
      </c>
      <c r="G40" s="262">
        <v>1</v>
      </c>
      <c r="H40" s="267">
        <v>42996</v>
      </c>
      <c r="I40" s="266" t="s">
        <v>2744</v>
      </c>
      <c r="J40" s="270">
        <v>0</v>
      </c>
      <c r="K40" s="271" t="s">
        <v>2745</v>
      </c>
      <c r="L40" s="256">
        <f t="shared" si="1"/>
        <v>167</v>
      </c>
      <c r="M40" s="256">
        <v>1</v>
      </c>
      <c r="N40" s="256">
        <v>1</v>
      </c>
      <c r="O40" s="256">
        <v>3</v>
      </c>
    </row>
    <row r="41" spans="1:18" s="69" customFormat="1" ht="75" hidden="1">
      <c r="A41" s="256" t="s">
        <v>2638</v>
      </c>
      <c r="B41" s="256" t="s">
        <v>45</v>
      </c>
      <c r="C41" s="256" t="s">
        <v>46</v>
      </c>
      <c r="D41" s="266" t="s">
        <v>2746</v>
      </c>
      <c r="E41" s="146">
        <f t="shared" si="0"/>
        <v>135</v>
      </c>
      <c r="F41" s="256">
        <v>3.2509518765877498E-7</v>
      </c>
      <c r="G41" s="262">
        <v>0</v>
      </c>
      <c r="H41" s="267">
        <v>42431</v>
      </c>
      <c r="I41" s="271" t="s">
        <v>2747</v>
      </c>
      <c r="J41" s="274">
        <v>0</v>
      </c>
      <c r="K41" s="271" t="s">
        <v>2748</v>
      </c>
      <c r="L41" s="256">
        <f t="shared" si="1"/>
        <v>74</v>
      </c>
      <c r="M41" s="256">
        <v>0</v>
      </c>
      <c r="N41" s="256">
        <v>1</v>
      </c>
      <c r="O41" s="256">
        <v>5</v>
      </c>
    </row>
    <row r="42" spans="1:18" s="69" customFormat="1" ht="90" hidden="1">
      <c r="A42" s="256" t="s">
        <v>2638</v>
      </c>
      <c r="B42" s="256" t="s">
        <v>45</v>
      </c>
      <c r="C42" s="256" t="s">
        <v>46</v>
      </c>
      <c r="D42" s="266" t="s">
        <v>2749</v>
      </c>
      <c r="E42" s="146">
        <f t="shared" si="0"/>
        <v>107</v>
      </c>
      <c r="F42" s="256">
        <v>1.49502469652951E-5</v>
      </c>
      <c r="G42" s="262">
        <v>1</v>
      </c>
      <c r="H42" s="267">
        <v>42691</v>
      </c>
      <c r="I42" s="266" t="s">
        <v>2750</v>
      </c>
      <c r="J42" s="270">
        <v>0</v>
      </c>
      <c r="K42" s="271" t="s">
        <v>2751</v>
      </c>
      <c r="L42" s="256">
        <f t="shared" si="1"/>
        <v>78</v>
      </c>
      <c r="M42" s="256">
        <v>0</v>
      </c>
      <c r="N42" s="256">
        <v>1</v>
      </c>
      <c r="O42" s="256">
        <v>5</v>
      </c>
    </row>
    <row r="43" spans="1:18" s="69" customFormat="1" ht="195" hidden="1">
      <c r="A43" s="256" t="s">
        <v>2752</v>
      </c>
      <c r="B43" s="256" t="s">
        <v>45</v>
      </c>
      <c r="C43" s="256" t="s">
        <v>46</v>
      </c>
      <c r="D43" s="261" t="s">
        <v>2753</v>
      </c>
      <c r="E43" s="146">
        <f t="shared" si="0"/>
        <v>56</v>
      </c>
      <c r="F43" s="256"/>
      <c r="G43" s="262">
        <v>0</v>
      </c>
      <c r="H43" s="263">
        <v>44129</v>
      </c>
      <c r="I43" s="261" t="s">
        <v>2754</v>
      </c>
      <c r="J43" s="270">
        <v>1</v>
      </c>
      <c r="K43" s="137" t="s">
        <v>2755</v>
      </c>
      <c r="L43" s="256">
        <f t="shared" si="1"/>
        <v>280</v>
      </c>
      <c r="M43" s="256">
        <v>2</v>
      </c>
      <c r="N43" s="256">
        <v>2</v>
      </c>
      <c r="O43" s="256">
        <v>8</v>
      </c>
      <c r="P43" s="69">
        <f>AVERAGE(M43:M72)</f>
        <v>0.36666666666666664</v>
      </c>
      <c r="Q43" s="69">
        <f>AVERAGE(N43:N72)</f>
        <v>1.1000000000000001</v>
      </c>
      <c r="R43" s="69">
        <f>AVERAGE(O43:O72)</f>
        <v>5.6</v>
      </c>
    </row>
    <row r="44" spans="1:18" s="69" customFormat="1" ht="60" hidden="1">
      <c r="A44" s="256" t="s">
        <v>2752</v>
      </c>
      <c r="B44" s="256" t="s">
        <v>45</v>
      </c>
      <c r="C44" s="256" t="s">
        <v>80</v>
      </c>
      <c r="D44" s="261" t="s">
        <v>2756</v>
      </c>
      <c r="E44" s="146">
        <f t="shared" si="0"/>
        <v>49</v>
      </c>
      <c r="F44" s="256"/>
      <c r="G44" s="262">
        <v>1</v>
      </c>
      <c r="H44" s="267">
        <v>44124</v>
      </c>
      <c r="I44" s="261" t="s">
        <v>2757</v>
      </c>
      <c r="J44" s="270">
        <v>1</v>
      </c>
      <c r="K44" s="261" t="s">
        <v>2758</v>
      </c>
      <c r="L44" s="256">
        <f t="shared" si="1"/>
        <v>29</v>
      </c>
      <c r="M44" s="256">
        <v>0</v>
      </c>
      <c r="N44" s="256">
        <v>1</v>
      </c>
      <c r="O44" s="256">
        <v>2</v>
      </c>
    </row>
    <row r="45" spans="1:18" s="69" customFormat="1" ht="60" hidden="1">
      <c r="A45" s="256" t="s">
        <v>2752</v>
      </c>
      <c r="B45" s="256" t="s">
        <v>45</v>
      </c>
      <c r="C45" s="256" t="s">
        <v>221</v>
      </c>
      <c r="D45" s="266" t="s">
        <v>2759</v>
      </c>
      <c r="E45" s="146">
        <f t="shared" si="0"/>
        <v>86</v>
      </c>
      <c r="F45" s="256"/>
      <c r="G45" s="262">
        <v>1</v>
      </c>
      <c r="H45" s="263">
        <v>44046</v>
      </c>
      <c r="I45" s="266" t="s">
        <v>2760</v>
      </c>
      <c r="J45" s="270">
        <v>1</v>
      </c>
      <c r="K45" s="261" t="s">
        <v>2761</v>
      </c>
      <c r="L45" s="256">
        <f t="shared" si="1"/>
        <v>68</v>
      </c>
      <c r="M45" s="256">
        <v>0</v>
      </c>
      <c r="N45" s="256">
        <v>1</v>
      </c>
      <c r="O45" s="256">
        <v>2</v>
      </c>
    </row>
    <row r="46" spans="1:18" s="69" customFormat="1" ht="165" hidden="1">
      <c r="A46" s="256" t="s">
        <v>2752</v>
      </c>
      <c r="B46" s="256" t="s">
        <v>45</v>
      </c>
      <c r="C46" s="256" t="s">
        <v>80</v>
      </c>
      <c r="D46" s="266" t="s">
        <v>2762</v>
      </c>
      <c r="E46" s="146">
        <f t="shared" si="0"/>
        <v>64</v>
      </c>
      <c r="F46" s="256">
        <v>0.89432376864489904</v>
      </c>
      <c r="G46" s="181">
        <v>1</v>
      </c>
      <c r="H46" s="267">
        <v>44022</v>
      </c>
      <c r="I46" s="266" t="s">
        <v>2763</v>
      </c>
      <c r="J46" s="266">
        <v>0</v>
      </c>
      <c r="K46" s="271" t="s">
        <v>2764</v>
      </c>
      <c r="L46" s="256">
        <f t="shared" si="1"/>
        <v>233</v>
      </c>
      <c r="M46" s="256">
        <v>0</v>
      </c>
      <c r="N46" s="256">
        <v>1</v>
      </c>
      <c r="O46" s="256">
        <v>5</v>
      </c>
    </row>
    <row r="47" spans="1:18" s="69" customFormat="1" ht="60" hidden="1">
      <c r="A47" s="256" t="s">
        <v>2752</v>
      </c>
      <c r="B47" s="256" t="s">
        <v>45</v>
      </c>
      <c r="C47" s="256" t="s">
        <v>221</v>
      </c>
      <c r="D47" s="266" t="s">
        <v>2765</v>
      </c>
      <c r="E47" s="146">
        <f t="shared" si="0"/>
        <v>21</v>
      </c>
      <c r="F47" s="256">
        <v>5.9463634571912102E-2</v>
      </c>
      <c r="G47" s="181">
        <v>1</v>
      </c>
      <c r="H47" s="267">
        <v>43786</v>
      </c>
      <c r="I47" s="272" t="s">
        <v>2766</v>
      </c>
      <c r="J47" s="272">
        <v>0</v>
      </c>
      <c r="K47" s="271" t="s">
        <v>2767</v>
      </c>
      <c r="L47" s="256">
        <f t="shared" si="1"/>
        <v>78</v>
      </c>
      <c r="M47" s="256">
        <v>0</v>
      </c>
      <c r="N47" s="256">
        <v>1</v>
      </c>
      <c r="O47" s="256">
        <v>11</v>
      </c>
    </row>
    <row r="48" spans="1:18" s="69" customFormat="1" ht="60" hidden="1">
      <c r="A48" s="256" t="s">
        <v>2752</v>
      </c>
      <c r="B48" s="256" t="s">
        <v>45</v>
      </c>
      <c r="C48" s="256" t="s">
        <v>46</v>
      </c>
      <c r="D48" s="266" t="s">
        <v>2768</v>
      </c>
      <c r="E48" s="146">
        <f t="shared" si="0"/>
        <v>70</v>
      </c>
      <c r="F48" s="256">
        <v>0.11786712755224101</v>
      </c>
      <c r="G48" s="181">
        <v>1</v>
      </c>
      <c r="H48" s="267">
        <v>43626</v>
      </c>
      <c r="I48" s="266" t="s">
        <v>2769</v>
      </c>
      <c r="J48" s="266">
        <v>1</v>
      </c>
      <c r="K48" s="271" t="s">
        <v>2770</v>
      </c>
      <c r="L48" s="256">
        <f t="shared" si="1"/>
        <v>77</v>
      </c>
      <c r="M48" s="256">
        <v>0</v>
      </c>
      <c r="N48" s="256">
        <v>1</v>
      </c>
      <c r="O48" s="256">
        <v>3</v>
      </c>
    </row>
    <row r="49" spans="1:15" s="69" customFormat="1" ht="105" hidden="1">
      <c r="A49" s="256" t="s">
        <v>2752</v>
      </c>
      <c r="B49" s="256" t="s">
        <v>45</v>
      </c>
      <c r="C49" s="256" t="s">
        <v>46</v>
      </c>
      <c r="D49" s="266" t="s">
        <v>2771</v>
      </c>
      <c r="E49" s="146">
        <f t="shared" si="0"/>
        <v>111</v>
      </c>
      <c r="F49" s="256">
        <v>4.6715335083480402E-3</v>
      </c>
      <c r="G49" s="181">
        <v>1</v>
      </c>
      <c r="H49" s="267">
        <v>43546</v>
      </c>
      <c r="I49" s="266" t="s">
        <v>2772</v>
      </c>
      <c r="J49" s="266">
        <v>0</v>
      </c>
      <c r="K49" s="271" t="s">
        <v>2773</v>
      </c>
      <c r="L49" s="256">
        <f t="shared" si="1"/>
        <v>149</v>
      </c>
      <c r="M49" s="256">
        <v>0</v>
      </c>
      <c r="N49" s="256">
        <v>1</v>
      </c>
      <c r="O49" s="256">
        <v>4</v>
      </c>
    </row>
    <row r="50" spans="1:15" s="69" customFormat="1" ht="90" hidden="1">
      <c r="A50" s="256" t="s">
        <v>2752</v>
      </c>
      <c r="B50" s="256" t="s">
        <v>45</v>
      </c>
      <c r="C50" s="256" t="s">
        <v>80</v>
      </c>
      <c r="D50" s="266" t="s">
        <v>180</v>
      </c>
      <c r="E50" s="146">
        <f t="shared" si="0"/>
        <v>40</v>
      </c>
      <c r="F50" s="256">
        <v>0.37022461655952899</v>
      </c>
      <c r="G50" s="181">
        <v>1</v>
      </c>
      <c r="H50" s="267">
        <v>43404</v>
      </c>
      <c r="I50" s="266" t="s">
        <v>2774</v>
      </c>
      <c r="J50" s="266">
        <v>0</v>
      </c>
      <c r="K50" s="271" t="s">
        <v>2775</v>
      </c>
      <c r="L50" s="256">
        <f t="shared" si="1"/>
        <v>116</v>
      </c>
      <c r="M50" s="256">
        <v>0</v>
      </c>
      <c r="N50" s="256">
        <v>1</v>
      </c>
      <c r="O50" s="256">
        <v>2</v>
      </c>
    </row>
    <row r="51" spans="1:15" s="69" customFormat="1" ht="60" hidden="1">
      <c r="A51" s="256" t="s">
        <v>2752</v>
      </c>
      <c r="B51" s="256" t="s">
        <v>45</v>
      </c>
      <c r="C51" s="256" t="s">
        <v>80</v>
      </c>
      <c r="D51" s="266" t="s">
        <v>2776</v>
      </c>
      <c r="E51" s="146">
        <f t="shared" si="0"/>
        <v>108</v>
      </c>
      <c r="F51" s="256">
        <v>1.7409181551964999E-3</v>
      </c>
      <c r="G51" s="181">
        <v>1</v>
      </c>
      <c r="H51" s="267">
        <v>43394</v>
      </c>
      <c r="I51" s="266" t="s">
        <v>2777</v>
      </c>
      <c r="J51" s="266">
        <v>0</v>
      </c>
      <c r="K51" s="271" t="s">
        <v>2778</v>
      </c>
      <c r="L51" s="256">
        <f t="shared" si="1"/>
        <v>70</v>
      </c>
      <c r="M51" s="256">
        <v>0</v>
      </c>
      <c r="N51" s="256">
        <v>1</v>
      </c>
      <c r="O51" s="256">
        <v>3</v>
      </c>
    </row>
    <row r="52" spans="1:15" s="69" customFormat="1" ht="45" hidden="1">
      <c r="A52" s="256" t="s">
        <v>2752</v>
      </c>
      <c r="B52" s="256" t="s">
        <v>45</v>
      </c>
      <c r="C52" s="256" t="s">
        <v>80</v>
      </c>
      <c r="D52" s="266" t="s">
        <v>2779</v>
      </c>
      <c r="E52" s="146">
        <f t="shared" si="0"/>
        <v>77</v>
      </c>
      <c r="F52" s="256">
        <v>0.89108990029173896</v>
      </c>
      <c r="G52" s="181">
        <v>1</v>
      </c>
      <c r="H52" s="267">
        <v>43383</v>
      </c>
      <c r="I52" s="266" t="s">
        <v>2780</v>
      </c>
      <c r="J52" s="266">
        <v>0</v>
      </c>
      <c r="K52" s="271" t="s">
        <v>2781</v>
      </c>
      <c r="L52" s="256">
        <f t="shared" si="1"/>
        <v>28</v>
      </c>
      <c r="M52" s="256">
        <v>1</v>
      </c>
      <c r="N52" s="256">
        <v>1</v>
      </c>
      <c r="O52" s="256">
        <v>16</v>
      </c>
    </row>
    <row r="53" spans="1:15" s="69" customFormat="1" ht="75" hidden="1">
      <c r="A53" s="256" t="s">
        <v>2752</v>
      </c>
      <c r="B53" s="256" t="s">
        <v>45</v>
      </c>
      <c r="C53" s="256" t="s">
        <v>80</v>
      </c>
      <c r="D53" s="266" t="s">
        <v>159</v>
      </c>
      <c r="E53" s="146">
        <f t="shared" si="0"/>
        <v>95</v>
      </c>
      <c r="F53" s="256">
        <v>9.2186417558059997E-4</v>
      </c>
      <c r="G53" s="181">
        <v>1</v>
      </c>
      <c r="H53" s="267">
        <v>43349</v>
      </c>
      <c r="I53" s="266" t="s">
        <v>2782</v>
      </c>
      <c r="J53" s="266">
        <v>0</v>
      </c>
      <c r="K53" s="271" t="s">
        <v>2783</v>
      </c>
      <c r="L53" s="256">
        <f t="shared" si="1"/>
        <v>110</v>
      </c>
      <c r="M53" s="256">
        <v>0</v>
      </c>
      <c r="N53" s="256">
        <v>1</v>
      </c>
      <c r="O53" s="256">
        <v>4</v>
      </c>
    </row>
    <row r="54" spans="1:15" s="69" customFormat="1" ht="90" hidden="1">
      <c r="A54" s="256" t="s">
        <v>2752</v>
      </c>
      <c r="B54" s="256" t="s">
        <v>45</v>
      </c>
      <c r="C54" s="256" t="s">
        <v>80</v>
      </c>
      <c r="D54" s="266" t="s">
        <v>180</v>
      </c>
      <c r="E54" s="146">
        <f t="shared" si="0"/>
        <v>74</v>
      </c>
      <c r="F54" s="256">
        <v>9.3429830116697999E-4</v>
      </c>
      <c r="G54" s="181">
        <v>1</v>
      </c>
      <c r="H54" s="267">
        <v>43300</v>
      </c>
      <c r="I54" s="266" t="s">
        <v>2784</v>
      </c>
      <c r="J54" s="266">
        <v>0</v>
      </c>
      <c r="K54" s="271" t="s">
        <v>2785</v>
      </c>
      <c r="L54" s="256">
        <f t="shared" si="1"/>
        <v>119</v>
      </c>
      <c r="M54" s="256">
        <v>0</v>
      </c>
      <c r="N54" s="256">
        <v>1</v>
      </c>
      <c r="O54" s="256">
        <v>4</v>
      </c>
    </row>
    <row r="55" spans="1:15" s="69" customFormat="1" ht="90" hidden="1">
      <c r="A55" s="256" t="s">
        <v>2752</v>
      </c>
      <c r="B55" s="256" t="s">
        <v>45</v>
      </c>
      <c r="C55" s="256" t="s">
        <v>80</v>
      </c>
      <c r="D55" s="266" t="s">
        <v>159</v>
      </c>
      <c r="E55" s="146">
        <f t="shared" si="0"/>
        <v>76</v>
      </c>
      <c r="F55" s="256">
        <v>7.2641007165959295E-2</v>
      </c>
      <c r="G55" s="181">
        <v>1</v>
      </c>
      <c r="H55" s="268">
        <v>43300</v>
      </c>
      <c r="I55" s="266" t="s">
        <v>2786</v>
      </c>
      <c r="J55" s="266">
        <v>0</v>
      </c>
      <c r="K55" s="271" t="s">
        <v>2787</v>
      </c>
      <c r="L55" s="256">
        <f t="shared" si="1"/>
        <v>122</v>
      </c>
      <c r="M55" s="256">
        <v>0</v>
      </c>
      <c r="N55" s="256">
        <v>1</v>
      </c>
      <c r="O55" s="256">
        <v>13</v>
      </c>
    </row>
    <row r="56" spans="1:15" s="69" customFormat="1" ht="90" hidden="1">
      <c r="A56" s="256" t="s">
        <v>2752</v>
      </c>
      <c r="B56" s="256" t="s">
        <v>45</v>
      </c>
      <c r="C56" s="256" t="s">
        <v>46</v>
      </c>
      <c r="D56" s="266" t="s">
        <v>2788</v>
      </c>
      <c r="E56" s="146">
        <f t="shared" si="0"/>
        <v>153</v>
      </c>
      <c r="F56" s="256">
        <v>1.2631772074171399E-2</v>
      </c>
      <c r="G56" s="181">
        <v>0</v>
      </c>
      <c r="H56" s="267">
        <v>43270</v>
      </c>
      <c r="I56" s="266" t="s">
        <v>2789</v>
      </c>
      <c r="J56" s="266">
        <v>1</v>
      </c>
      <c r="K56" s="271" t="s">
        <v>2790</v>
      </c>
      <c r="L56" s="256">
        <f t="shared" si="1"/>
        <v>91</v>
      </c>
      <c r="M56" s="256">
        <v>1</v>
      </c>
      <c r="N56" s="256">
        <v>1</v>
      </c>
      <c r="O56" s="256">
        <v>7</v>
      </c>
    </row>
    <row r="57" spans="1:15" s="69" customFormat="1" ht="105" hidden="1">
      <c r="A57" s="256" t="s">
        <v>2752</v>
      </c>
      <c r="B57" s="256" t="s">
        <v>45</v>
      </c>
      <c r="C57" s="256" t="s">
        <v>80</v>
      </c>
      <c r="D57" s="266" t="s">
        <v>200</v>
      </c>
      <c r="E57" s="146">
        <f t="shared" si="0"/>
        <v>86</v>
      </c>
      <c r="F57" s="256">
        <v>4.0036647110674201E-2</v>
      </c>
      <c r="G57" s="181">
        <v>1</v>
      </c>
      <c r="H57" s="267">
        <v>43226</v>
      </c>
      <c r="I57" s="266" t="s">
        <v>2791</v>
      </c>
      <c r="J57" s="266">
        <v>0</v>
      </c>
      <c r="K57" s="271" t="s">
        <v>2792</v>
      </c>
      <c r="L57" s="256">
        <f t="shared" si="1"/>
        <v>138</v>
      </c>
      <c r="M57" s="256">
        <v>0</v>
      </c>
      <c r="N57" s="256">
        <v>1</v>
      </c>
      <c r="O57" s="256">
        <v>2</v>
      </c>
    </row>
    <row r="58" spans="1:15" s="69" customFormat="1" ht="75" hidden="1">
      <c r="A58" s="256" t="s">
        <v>2752</v>
      </c>
      <c r="B58" s="256" t="s">
        <v>45</v>
      </c>
      <c r="C58" s="256" t="s">
        <v>80</v>
      </c>
      <c r="D58" s="266" t="s">
        <v>305</v>
      </c>
      <c r="E58" s="146">
        <f t="shared" si="0"/>
        <v>52</v>
      </c>
      <c r="F58" s="256">
        <v>0.194682966320847</v>
      </c>
      <c r="G58" s="181">
        <v>1</v>
      </c>
      <c r="H58" s="267">
        <v>43202</v>
      </c>
      <c r="I58" s="266" t="s">
        <v>2793</v>
      </c>
      <c r="J58" s="266">
        <v>0</v>
      </c>
      <c r="K58" s="271" t="s">
        <v>2794</v>
      </c>
      <c r="L58" s="256">
        <f t="shared" si="1"/>
        <v>101</v>
      </c>
      <c r="M58" s="256">
        <v>0</v>
      </c>
      <c r="N58" s="256">
        <v>1</v>
      </c>
      <c r="O58" s="256">
        <v>1</v>
      </c>
    </row>
    <row r="59" spans="1:15" s="69" customFormat="1" ht="120" hidden="1">
      <c r="A59" s="256" t="s">
        <v>2752</v>
      </c>
      <c r="B59" s="256" t="s">
        <v>45</v>
      </c>
      <c r="C59" s="256" t="s">
        <v>80</v>
      </c>
      <c r="D59" s="266" t="s">
        <v>159</v>
      </c>
      <c r="E59" s="146">
        <f t="shared" si="0"/>
        <v>70</v>
      </c>
      <c r="F59" s="256">
        <v>5.8914939542187305E-4</v>
      </c>
      <c r="G59" s="181">
        <v>1</v>
      </c>
      <c r="H59" s="267">
        <v>43195</v>
      </c>
      <c r="I59" s="266" t="s">
        <v>2795</v>
      </c>
      <c r="J59" s="266">
        <v>0</v>
      </c>
      <c r="K59" s="271" t="s">
        <v>2796</v>
      </c>
      <c r="L59" s="256">
        <f t="shared" si="1"/>
        <v>157</v>
      </c>
      <c r="M59" s="256">
        <v>0</v>
      </c>
      <c r="N59" s="256">
        <v>1</v>
      </c>
      <c r="O59" s="256">
        <v>4</v>
      </c>
    </row>
    <row r="60" spans="1:15" s="69" customFormat="1" ht="45" hidden="1">
      <c r="A60" s="256" t="s">
        <v>2752</v>
      </c>
      <c r="B60" s="256" t="s">
        <v>59</v>
      </c>
      <c r="C60" s="256" t="s">
        <v>46</v>
      </c>
      <c r="D60" s="266" t="s">
        <v>2797</v>
      </c>
      <c r="E60" s="146">
        <f t="shared" si="0"/>
        <v>63</v>
      </c>
      <c r="F60" s="256">
        <v>0.99074217132935705</v>
      </c>
      <c r="G60" s="181">
        <v>1</v>
      </c>
      <c r="H60" s="267">
        <v>43163</v>
      </c>
      <c r="I60" s="266" t="s">
        <v>2798</v>
      </c>
      <c r="J60" s="266">
        <v>1</v>
      </c>
      <c r="K60" s="271" t="s">
        <v>2799</v>
      </c>
      <c r="L60" s="256">
        <f t="shared" si="1"/>
        <v>42</v>
      </c>
      <c r="M60" s="256">
        <v>1</v>
      </c>
      <c r="N60" s="256">
        <v>1</v>
      </c>
      <c r="O60" s="256">
        <v>3</v>
      </c>
    </row>
    <row r="61" spans="1:15" s="69" customFormat="1" ht="90" hidden="1">
      <c r="A61" s="256" t="s">
        <v>2752</v>
      </c>
      <c r="B61" s="256" t="s">
        <v>45</v>
      </c>
      <c r="C61" s="256" t="s">
        <v>80</v>
      </c>
      <c r="D61" s="266" t="s">
        <v>359</v>
      </c>
      <c r="E61" s="146">
        <f t="shared" si="0"/>
        <v>57</v>
      </c>
      <c r="F61" s="256">
        <v>0.84128305426504701</v>
      </c>
      <c r="G61" s="181">
        <v>1</v>
      </c>
      <c r="H61" s="267">
        <v>43053</v>
      </c>
      <c r="I61" s="266" t="s">
        <v>2800</v>
      </c>
      <c r="J61" s="266">
        <v>0</v>
      </c>
      <c r="K61" s="271" t="s">
        <v>2801</v>
      </c>
      <c r="L61" s="256">
        <f t="shared" si="1"/>
        <v>118</v>
      </c>
      <c r="M61" s="256">
        <v>0</v>
      </c>
      <c r="N61" s="256">
        <v>1</v>
      </c>
      <c r="O61" s="256">
        <v>3</v>
      </c>
    </row>
    <row r="62" spans="1:15" s="69" customFormat="1" ht="105" hidden="1">
      <c r="A62" s="256" t="s">
        <v>2752</v>
      </c>
      <c r="B62" s="256" t="s">
        <v>45</v>
      </c>
      <c r="C62" s="256" t="s">
        <v>46</v>
      </c>
      <c r="D62" s="266" t="s">
        <v>2802</v>
      </c>
      <c r="E62" s="146">
        <f t="shared" si="0"/>
        <v>140</v>
      </c>
      <c r="F62" s="256">
        <v>3.6089123599625201E-4</v>
      </c>
      <c r="G62" s="181">
        <v>1</v>
      </c>
      <c r="H62" s="267">
        <v>43017</v>
      </c>
      <c r="I62" s="271" t="s">
        <v>2803</v>
      </c>
      <c r="J62" s="271">
        <v>0</v>
      </c>
      <c r="K62" s="271" t="s">
        <v>2804</v>
      </c>
      <c r="L62" s="256">
        <f t="shared" si="1"/>
        <v>48</v>
      </c>
      <c r="M62" s="256">
        <v>0</v>
      </c>
      <c r="N62" s="256">
        <v>1</v>
      </c>
      <c r="O62" s="256">
        <v>2</v>
      </c>
    </row>
    <row r="63" spans="1:15" s="69" customFormat="1" ht="90" hidden="1">
      <c r="A63" s="256" t="s">
        <v>2752</v>
      </c>
      <c r="B63" s="256" t="s">
        <v>45</v>
      </c>
      <c r="C63" s="256" t="s">
        <v>46</v>
      </c>
      <c r="D63" s="266" t="s">
        <v>2805</v>
      </c>
      <c r="E63" s="146">
        <f t="shared" si="0"/>
        <v>152</v>
      </c>
      <c r="F63" s="256">
        <v>7.5003266819528794E-8</v>
      </c>
      <c r="G63" s="181">
        <v>1</v>
      </c>
      <c r="H63" s="267">
        <v>43017</v>
      </c>
      <c r="I63" s="271" t="s">
        <v>2806</v>
      </c>
      <c r="J63" s="271">
        <v>0</v>
      </c>
      <c r="K63" s="271" t="s">
        <v>2804</v>
      </c>
      <c r="L63" s="256">
        <f t="shared" si="1"/>
        <v>48</v>
      </c>
      <c r="M63" s="256">
        <v>0</v>
      </c>
      <c r="N63" s="256">
        <v>1</v>
      </c>
      <c r="O63" s="256">
        <v>14</v>
      </c>
    </row>
    <row r="64" spans="1:15" s="69" customFormat="1" ht="105" hidden="1">
      <c r="A64" s="256" t="s">
        <v>2752</v>
      </c>
      <c r="B64" s="256" t="s">
        <v>59</v>
      </c>
      <c r="C64" s="256" t="s">
        <v>80</v>
      </c>
      <c r="D64" s="266" t="s">
        <v>2807</v>
      </c>
      <c r="E64" s="146">
        <f t="shared" si="0"/>
        <v>35</v>
      </c>
      <c r="F64" s="256">
        <v>0.856528746021467</v>
      </c>
      <c r="G64" s="181">
        <v>1</v>
      </c>
      <c r="H64" s="267">
        <v>42952</v>
      </c>
      <c r="I64" s="266" t="s">
        <v>2808</v>
      </c>
      <c r="J64" s="266">
        <v>0</v>
      </c>
      <c r="K64" s="271" t="s">
        <v>2809</v>
      </c>
      <c r="L64" s="256">
        <f t="shared" si="1"/>
        <v>52</v>
      </c>
      <c r="M64" s="256">
        <v>1</v>
      </c>
      <c r="N64" s="256">
        <v>1</v>
      </c>
      <c r="O64" s="256">
        <v>4</v>
      </c>
    </row>
    <row r="65" spans="1:18" s="69" customFormat="1" ht="60" hidden="1">
      <c r="A65" s="256" t="s">
        <v>2752</v>
      </c>
      <c r="B65" s="256" t="s">
        <v>59</v>
      </c>
      <c r="C65" s="256" t="s">
        <v>80</v>
      </c>
      <c r="D65" s="266" t="s">
        <v>2810</v>
      </c>
      <c r="E65" s="146">
        <f t="shared" si="0"/>
        <v>74</v>
      </c>
      <c r="F65" s="256">
        <v>0.97422159242532602</v>
      </c>
      <c r="G65" s="181">
        <v>1</v>
      </c>
      <c r="H65" s="267">
        <v>42917</v>
      </c>
      <c r="I65" s="266" t="s">
        <v>2811</v>
      </c>
      <c r="J65" s="266">
        <v>0</v>
      </c>
      <c r="K65" s="271" t="s">
        <v>2812</v>
      </c>
      <c r="L65" s="256">
        <f t="shared" si="1"/>
        <v>57</v>
      </c>
      <c r="M65" s="256">
        <v>1</v>
      </c>
      <c r="N65" s="256">
        <v>1</v>
      </c>
      <c r="O65" s="256">
        <v>3</v>
      </c>
    </row>
    <row r="66" spans="1:18" s="69" customFormat="1" ht="45" hidden="1">
      <c r="A66" s="256" t="s">
        <v>2752</v>
      </c>
      <c r="B66" s="256" t="s">
        <v>59</v>
      </c>
      <c r="C66" s="256" t="s">
        <v>46</v>
      </c>
      <c r="D66" s="266" t="s">
        <v>2813</v>
      </c>
      <c r="E66" s="146">
        <f t="shared" si="0"/>
        <v>71</v>
      </c>
      <c r="F66" s="256">
        <v>4.6935294181839103E-3</v>
      </c>
      <c r="G66" s="181">
        <v>1</v>
      </c>
      <c r="H66" s="267">
        <v>42890</v>
      </c>
      <c r="I66" s="266" t="s">
        <v>2814</v>
      </c>
      <c r="J66" s="266">
        <v>0</v>
      </c>
      <c r="K66" s="271" t="s">
        <v>2815</v>
      </c>
      <c r="L66" s="256">
        <f t="shared" si="1"/>
        <v>37</v>
      </c>
      <c r="M66" s="256">
        <v>0</v>
      </c>
      <c r="N66" s="256">
        <v>1</v>
      </c>
      <c r="O66" s="256">
        <v>8</v>
      </c>
    </row>
    <row r="67" spans="1:18" s="69" customFormat="1" ht="120" hidden="1">
      <c r="A67" s="256" t="s">
        <v>2752</v>
      </c>
      <c r="B67" s="256" t="s">
        <v>45</v>
      </c>
      <c r="C67" s="256" t="s">
        <v>80</v>
      </c>
      <c r="D67" s="266" t="s">
        <v>2816</v>
      </c>
      <c r="E67" s="146">
        <f t="shared" ref="E67:E130" si="2">LEN(I67)</f>
        <v>23</v>
      </c>
      <c r="F67" s="256">
        <v>2.3554953001171299E-2</v>
      </c>
      <c r="G67" s="181">
        <v>1</v>
      </c>
      <c r="H67" s="267">
        <v>42663</v>
      </c>
      <c r="I67" s="266" t="s">
        <v>2816</v>
      </c>
      <c r="J67" s="266">
        <v>0</v>
      </c>
      <c r="K67" s="271" t="s">
        <v>2817</v>
      </c>
      <c r="L67" s="256">
        <f t="shared" ref="L67:L130" si="3">LEN(K67)</f>
        <v>158</v>
      </c>
      <c r="M67" s="256">
        <v>1</v>
      </c>
      <c r="N67" s="256">
        <v>3</v>
      </c>
      <c r="O67" s="256">
        <v>15</v>
      </c>
    </row>
    <row r="68" spans="1:18" s="69" customFormat="1" ht="195" hidden="1">
      <c r="A68" s="256" t="s">
        <v>2752</v>
      </c>
      <c r="B68" s="256" t="s">
        <v>45</v>
      </c>
      <c r="C68" s="256" t="s">
        <v>46</v>
      </c>
      <c r="D68" s="266" t="s">
        <v>2818</v>
      </c>
      <c r="E68" s="146">
        <f t="shared" si="2"/>
        <v>297</v>
      </c>
      <c r="F68" s="256">
        <v>2.3486834288544201E-7</v>
      </c>
      <c r="G68" s="181">
        <v>0</v>
      </c>
      <c r="H68" s="267">
        <v>42535</v>
      </c>
      <c r="I68" s="181" t="s">
        <v>4455</v>
      </c>
      <c r="J68" s="181">
        <v>0</v>
      </c>
      <c r="K68" s="271" t="s">
        <v>2820</v>
      </c>
      <c r="L68" s="256">
        <f t="shared" si="3"/>
        <v>111</v>
      </c>
      <c r="M68" s="256">
        <v>0</v>
      </c>
      <c r="N68" s="256">
        <v>1</v>
      </c>
      <c r="O68" s="256">
        <v>1</v>
      </c>
    </row>
    <row r="69" spans="1:18" s="69" customFormat="1" ht="90" hidden="1">
      <c r="A69" s="256" t="s">
        <v>2752</v>
      </c>
      <c r="B69" s="256" t="s">
        <v>59</v>
      </c>
      <c r="C69" s="256" t="s">
        <v>46</v>
      </c>
      <c r="D69" s="266" t="s">
        <v>2821</v>
      </c>
      <c r="E69" s="146">
        <f t="shared" si="2"/>
        <v>18</v>
      </c>
      <c r="F69" s="256">
        <v>0.97030213833491796</v>
      </c>
      <c r="G69" s="181">
        <v>1</v>
      </c>
      <c r="H69" s="267">
        <v>42503</v>
      </c>
      <c r="I69" s="272" t="s">
        <v>2822</v>
      </c>
      <c r="J69" s="272">
        <v>1</v>
      </c>
      <c r="K69" s="181" t="s">
        <v>2823</v>
      </c>
      <c r="L69" s="256">
        <f t="shared" si="3"/>
        <v>75</v>
      </c>
      <c r="M69" s="256">
        <v>1</v>
      </c>
      <c r="N69" s="256">
        <v>1</v>
      </c>
      <c r="O69" s="256">
        <v>10</v>
      </c>
    </row>
    <row r="70" spans="1:18" s="69" customFormat="1" ht="90" hidden="1">
      <c r="A70" s="256" t="s">
        <v>2752</v>
      </c>
      <c r="B70" s="256" t="s">
        <v>59</v>
      </c>
      <c r="C70" s="256" t="s">
        <v>46</v>
      </c>
      <c r="D70" s="266" t="s">
        <v>2824</v>
      </c>
      <c r="E70" s="146">
        <f t="shared" si="2"/>
        <v>37</v>
      </c>
      <c r="F70" s="256">
        <v>0.48747804670707201</v>
      </c>
      <c r="G70" s="181">
        <v>1</v>
      </c>
      <c r="H70" s="267">
        <v>42503</v>
      </c>
      <c r="I70" s="266" t="s">
        <v>2825</v>
      </c>
      <c r="J70" s="266">
        <v>1</v>
      </c>
      <c r="K70" s="271" t="s">
        <v>2826</v>
      </c>
      <c r="L70" s="256">
        <f t="shared" si="3"/>
        <v>113</v>
      </c>
      <c r="M70" s="256">
        <v>0</v>
      </c>
      <c r="N70" s="256">
        <v>1</v>
      </c>
      <c r="O70" s="256">
        <v>4</v>
      </c>
    </row>
    <row r="71" spans="1:18" s="69" customFormat="1" ht="90" hidden="1">
      <c r="A71" s="256" t="s">
        <v>2752</v>
      </c>
      <c r="B71" s="256" t="s">
        <v>59</v>
      </c>
      <c r="C71" s="256" t="s">
        <v>80</v>
      </c>
      <c r="D71" s="266" t="s">
        <v>2827</v>
      </c>
      <c r="E71" s="146">
        <f t="shared" si="2"/>
        <v>46</v>
      </c>
      <c r="F71" s="256">
        <v>0.18513862865216599</v>
      </c>
      <c r="G71" s="181">
        <v>1</v>
      </c>
      <c r="H71" s="267">
        <v>42497</v>
      </c>
      <c r="I71" s="266" t="s">
        <v>2828</v>
      </c>
      <c r="J71" s="266">
        <v>1</v>
      </c>
      <c r="K71" s="271" t="s">
        <v>2829</v>
      </c>
      <c r="L71" s="256">
        <f t="shared" si="3"/>
        <v>112</v>
      </c>
      <c r="M71" s="256">
        <v>1</v>
      </c>
      <c r="N71" s="256">
        <v>1</v>
      </c>
      <c r="O71" s="256">
        <v>4</v>
      </c>
    </row>
    <row r="72" spans="1:18" s="69" customFormat="1" ht="105" hidden="1">
      <c r="A72" s="256" t="s">
        <v>2752</v>
      </c>
      <c r="B72" s="256" t="s">
        <v>45</v>
      </c>
      <c r="C72" s="256" t="s">
        <v>46</v>
      </c>
      <c r="D72" s="266" t="s">
        <v>2830</v>
      </c>
      <c r="E72" s="146">
        <f t="shared" si="2"/>
        <v>183</v>
      </c>
      <c r="F72" s="256">
        <v>0.99876149208204601</v>
      </c>
      <c r="G72" s="181">
        <v>1</v>
      </c>
      <c r="H72" s="267">
        <v>42472</v>
      </c>
      <c r="I72" s="266" t="s">
        <v>2831</v>
      </c>
      <c r="J72" s="266">
        <v>0</v>
      </c>
      <c r="K72" s="271" t="s">
        <v>2832</v>
      </c>
      <c r="L72" s="256">
        <f t="shared" si="3"/>
        <v>119</v>
      </c>
      <c r="M72" s="256">
        <v>1</v>
      </c>
      <c r="N72" s="256">
        <v>1</v>
      </c>
      <c r="O72" s="256">
        <v>6</v>
      </c>
    </row>
    <row r="73" spans="1:18" s="69" customFormat="1" ht="75" hidden="1">
      <c r="A73" s="256" t="s">
        <v>2833</v>
      </c>
      <c r="B73" s="256" t="s">
        <v>45</v>
      </c>
      <c r="C73" s="256" t="s">
        <v>80</v>
      </c>
      <c r="D73" s="266" t="s">
        <v>2834</v>
      </c>
      <c r="E73" s="146">
        <f t="shared" si="2"/>
        <v>29</v>
      </c>
      <c r="F73" s="256">
        <v>5.6848790564623098E-4</v>
      </c>
      <c r="G73" s="181">
        <v>1</v>
      </c>
      <c r="H73" s="267">
        <v>43980</v>
      </c>
      <c r="I73" s="266" t="s">
        <v>2835</v>
      </c>
      <c r="J73" s="266">
        <v>0</v>
      </c>
      <c r="K73" s="271" t="s">
        <v>2836</v>
      </c>
      <c r="L73" s="256">
        <f t="shared" si="3"/>
        <v>108</v>
      </c>
      <c r="M73" s="256">
        <v>0</v>
      </c>
      <c r="N73" s="256">
        <v>1</v>
      </c>
      <c r="O73" s="256">
        <v>3</v>
      </c>
      <c r="P73" s="69">
        <f>AVERAGE(M73:M101)</f>
        <v>0.7931034482758621</v>
      </c>
      <c r="Q73" s="69">
        <f>AVERAGE(N73:N101)</f>
        <v>1.1379310344827587</v>
      </c>
      <c r="R73" s="69">
        <f>AVERAGE(O73:O101)</f>
        <v>7.931034482758621</v>
      </c>
    </row>
    <row r="74" spans="1:18" s="69" customFormat="1" ht="75" hidden="1">
      <c r="A74" s="256" t="s">
        <v>2833</v>
      </c>
      <c r="B74" s="256" t="s">
        <v>45</v>
      </c>
      <c r="C74" s="256" t="s">
        <v>221</v>
      </c>
      <c r="D74" s="266" t="s">
        <v>2837</v>
      </c>
      <c r="E74" s="146">
        <f t="shared" si="2"/>
        <v>62</v>
      </c>
      <c r="F74" s="256">
        <v>0.18509786590835201</v>
      </c>
      <c r="G74" s="181">
        <v>1</v>
      </c>
      <c r="H74" s="267">
        <v>43971</v>
      </c>
      <c r="I74" s="266" t="s">
        <v>2838</v>
      </c>
      <c r="J74" s="266">
        <v>1</v>
      </c>
      <c r="K74" s="271" t="s">
        <v>2839</v>
      </c>
      <c r="L74" s="256">
        <f t="shared" si="3"/>
        <v>99</v>
      </c>
      <c r="M74" s="256">
        <v>0</v>
      </c>
      <c r="N74" s="256">
        <v>1</v>
      </c>
      <c r="O74" s="256">
        <v>12</v>
      </c>
    </row>
    <row r="75" spans="1:18" s="69" customFormat="1" ht="45" hidden="1">
      <c r="A75" s="256" t="s">
        <v>2833</v>
      </c>
      <c r="B75" s="256" t="s">
        <v>45</v>
      </c>
      <c r="C75" s="256" t="s">
        <v>80</v>
      </c>
      <c r="D75" s="266" t="s">
        <v>2840</v>
      </c>
      <c r="E75" s="146">
        <f t="shared" si="2"/>
        <v>68</v>
      </c>
      <c r="F75" s="256">
        <v>3.0360972348841798E-4</v>
      </c>
      <c r="G75" s="181">
        <v>1</v>
      </c>
      <c r="H75" s="267">
        <v>43910</v>
      </c>
      <c r="I75" s="266" t="s">
        <v>2841</v>
      </c>
      <c r="J75" s="266">
        <v>0</v>
      </c>
      <c r="K75" s="271" t="s">
        <v>2842</v>
      </c>
      <c r="L75" s="256">
        <f t="shared" si="3"/>
        <v>43</v>
      </c>
      <c r="M75" s="256">
        <v>0</v>
      </c>
      <c r="N75" s="256">
        <v>1</v>
      </c>
      <c r="O75" s="256">
        <v>3</v>
      </c>
    </row>
    <row r="76" spans="1:18" s="69" customFormat="1" ht="60" hidden="1">
      <c r="A76" s="256" t="s">
        <v>2833</v>
      </c>
      <c r="B76" s="256" t="s">
        <v>45</v>
      </c>
      <c r="C76" s="256" t="s">
        <v>664</v>
      </c>
      <c r="D76" s="266" t="s">
        <v>2843</v>
      </c>
      <c r="E76" s="146">
        <f t="shared" si="2"/>
        <v>92</v>
      </c>
      <c r="F76" s="256">
        <v>0.26850465346966301</v>
      </c>
      <c r="G76" s="181">
        <v>1</v>
      </c>
      <c r="H76" s="267">
        <v>43763</v>
      </c>
      <c r="I76" s="266" t="s">
        <v>2844</v>
      </c>
      <c r="J76" s="266">
        <v>1</v>
      </c>
      <c r="K76" s="271" t="s">
        <v>2845</v>
      </c>
      <c r="L76" s="256">
        <f t="shared" si="3"/>
        <v>66</v>
      </c>
      <c r="M76" s="256">
        <v>3</v>
      </c>
      <c r="N76" s="256">
        <v>1</v>
      </c>
      <c r="O76" s="256">
        <v>4</v>
      </c>
    </row>
    <row r="77" spans="1:18" s="69" customFormat="1" ht="90" hidden="1">
      <c r="A77" s="256" t="s">
        <v>2833</v>
      </c>
      <c r="B77" s="256" t="s">
        <v>45</v>
      </c>
      <c r="C77" s="256" t="s">
        <v>664</v>
      </c>
      <c r="D77" s="266" t="s">
        <v>2846</v>
      </c>
      <c r="E77" s="146">
        <f t="shared" si="2"/>
        <v>119</v>
      </c>
      <c r="F77" s="256">
        <v>7.8836201895283398E-2</v>
      </c>
      <c r="G77" s="181">
        <v>1</v>
      </c>
      <c r="H77" s="267">
        <v>43762</v>
      </c>
      <c r="I77" s="266" t="s">
        <v>2847</v>
      </c>
      <c r="J77" s="266">
        <v>1</v>
      </c>
      <c r="K77" s="271" t="s">
        <v>2848</v>
      </c>
      <c r="L77" s="256">
        <f t="shared" si="3"/>
        <v>118</v>
      </c>
      <c r="M77" s="256">
        <v>5</v>
      </c>
      <c r="N77" s="256">
        <v>1</v>
      </c>
      <c r="O77" s="256">
        <v>27</v>
      </c>
    </row>
    <row r="78" spans="1:18" s="69" customFormat="1" ht="60" hidden="1">
      <c r="A78" s="256" t="s">
        <v>2833</v>
      </c>
      <c r="B78" s="256" t="s">
        <v>45</v>
      </c>
      <c r="C78" s="256" t="s">
        <v>80</v>
      </c>
      <c r="D78" s="266" t="s">
        <v>2849</v>
      </c>
      <c r="E78" s="146">
        <f t="shared" si="2"/>
        <v>30</v>
      </c>
      <c r="F78" s="256">
        <v>7.8641115867361699E-4</v>
      </c>
      <c r="G78" s="181">
        <v>1</v>
      </c>
      <c r="H78" s="267">
        <v>43731</v>
      </c>
      <c r="I78" s="266" t="s">
        <v>2850</v>
      </c>
      <c r="J78" s="266">
        <v>0</v>
      </c>
      <c r="K78" s="271" t="s">
        <v>2851</v>
      </c>
      <c r="L78" s="256">
        <f t="shared" si="3"/>
        <v>84</v>
      </c>
      <c r="M78" s="256">
        <v>2</v>
      </c>
      <c r="N78" s="256">
        <v>1</v>
      </c>
      <c r="O78" s="256">
        <v>7</v>
      </c>
    </row>
    <row r="79" spans="1:18" s="69" customFormat="1" ht="45" hidden="1">
      <c r="A79" s="256" t="s">
        <v>2833</v>
      </c>
      <c r="B79" s="256" t="s">
        <v>59</v>
      </c>
      <c r="C79" s="256" t="s">
        <v>664</v>
      </c>
      <c r="D79" s="266" t="s">
        <v>2852</v>
      </c>
      <c r="E79" s="146">
        <f t="shared" si="2"/>
        <v>48</v>
      </c>
      <c r="F79" s="256">
        <v>0.99975104302175999</v>
      </c>
      <c r="G79" s="181">
        <v>1</v>
      </c>
      <c r="H79" s="267">
        <v>43718</v>
      </c>
      <c r="I79" s="266" t="s">
        <v>2853</v>
      </c>
      <c r="J79" s="266">
        <v>0</v>
      </c>
      <c r="K79" s="271" t="s">
        <v>2854</v>
      </c>
      <c r="L79" s="256">
        <f t="shared" si="3"/>
        <v>15</v>
      </c>
      <c r="M79" s="256">
        <v>0</v>
      </c>
      <c r="N79" s="256">
        <v>1</v>
      </c>
      <c r="O79" s="256">
        <v>2</v>
      </c>
    </row>
    <row r="80" spans="1:18" s="69" customFormat="1" ht="135" hidden="1">
      <c r="A80" s="256" t="s">
        <v>2833</v>
      </c>
      <c r="B80" s="256" t="s">
        <v>45</v>
      </c>
      <c r="C80" s="256" t="s">
        <v>664</v>
      </c>
      <c r="D80" s="266" t="s">
        <v>2855</v>
      </c>
      <c r="E80" s="146">
        <f t="shared" si="2"/>
        <v>67</v>
      </c>
      <c r="F80" s="256">
        <v>2.23772089671515E-3</v>
      </c>
      <c r="G80" s="181">
        <v>1</v>
      </c>
      <c r="H80" s="267">
        <v>43717</v>
      </c>
      <c r="I80" s="266" t="s">
        <v>4456</v>
      </c>
      <c r="J80" s="266">
        <v>1</v>
      </c>
      <c r="K80" s="271" t="s">
        <v>2857</v>
      </c>
      <c r="L80" s="256">
        <f t="shared" si="3"/>
        <v>140</v>
      </c>
      <c r="M80" s="256">
        <v>1</v>
      </c>
      <c r="N80" s="256">
        <v>1</v>
      </c>
      <c r="O80" s="256">
        <v>8</v>
      </c>
    </row>
    <row r="81" spans="1:15" s="69" customFormat="1" ht="30" hidden="1">
      <c r="A81" s="256" t="s">
        <v>2833</v>
      </c>
      <c r="B81" s="256" t="s">
        <v>45</v>
      </c>
      <c r="C81" s="256" t="s">
        <v>80</v>
      </c>
      <c r="D81" s="266" t="s">
        <v>2858</v>
      </c>
      <c r="E81" s="146">
        <f t="shared" si="2"/>
        <v>35</v>
      </c>
      <c r="F81" s="256">
        <v>6.3050371562455396E-2</v>
      </c>
      <c r="G81" s="181">
        <v>1</v>
      </c>
      <c r="H81" s="267">
        <v>43710</v>
      </c>
      <c r="I81" s="266" t="s">
        <v>2859</v>
      </c>
      <c r="J81" s="266">
        <v>1</v>
      </c>
      <c r="K81" s="271" t="s">
        <v>2860</v>
      </c>
      <c r="L81" s="256">
        <f t="shared" si="3"/>
        <v>44</v>
      </c>
      <c r="M81" s="256">
        <v>2</v>
      </c>
      <c r="N81" s="256">
        <v>1</v>
      </c>
      <c r="O81" s="256">
        <v>9</v>
      </c>
    </row>
    <row r="82" spans="1:15" s="69" customFormat="1" ht="90" hidden="1">
      <c r="A82" s="256" t="s">
        <v>2833</v>
      </c>
      <c r="B82" s="256" t="s">
        <v>45</v>
      </c>
      <c r="C82" s="256" t="s">
        <v>664</v>
      </c>
      <c r="D82" s="266" t="s">
        <v>2861</v>
      </c>
      <c r="E82" s="146">
        <f t="shared" si="2"/>
        <v>26</v>
      </c>
      <c r="F82" s="256">
        <v>1.8228981751194501E-2</v>
      </c>
      <c r="G82" s="181">
        <v>1</v>
      </c>
      <c r="H82" s="267">
        <v>43704</v>
      </c>
      <c r="I82" s="266" t="s">
        <v>2862</v>
      </c>
      <c r="J82" s="266">
        <v>1</v>
      </c>
      <c r="K82" s="271" t="s">
        <v>2863</v>
      </c>
      <c r="L82" s="256">
        <f t="shared" si="3"/>
        <v>133</v>
      </c>
      <c r="M82" s="256">
        <v>1</v>
      </c>
      <c r="N82" s="256">
        <v>1</v>
      </c>
      <c r="O82" s="256">
        <v>9</v>
      </c>
    </row>
    <row r="83" spans="1:15" s="69" customFormat="1" ht="120" hidden="1">
      <c r="A83" s="256" t="s">
        <v>2833</v>
      </c>
      <c r="B83" s="256" t="s">
        <v>45</v>
      </c>
      <c r="C83" s="256" t="s">
        <v>664</v>
      </c>
      <c r="D83" s="266" t="s">
        <v>2864</v>
      </c>
      <c r="E83" s="146">
        <f t="shared" si="2"/>
        <v>49</v>
      </c>
      <c r="F83" s="256">
        <v>6.3250133324125298E-3</v>
      </c>
      <c r="G83" s="181">
        <v>1</v>
      </c>
      <c r="H83" s="267">
        <v>43702</v>
      </c>
      <c r="I83" s="266" t="s">
        <v>2865</v>
      </c>
      <c r="J83" s="266">
        <v>1</v>
      </c>
      <c r="K83" s="271" t="s">
        <v>2866</v>
      </c>
      <c r="L83" s="256">
        <f t="shared" si="3"/>
        <v>162</v>
      </c>
      <c r="M83" s="256">
        <v>2</v>
      </c>
      <c r="N83" s="256">
        <v>1</v>
      </c>
      <c r="O83" s="256">
        <v>10</v>
      </c>
    </row>
    <row r="84" spans="1:15" s="69" customFormat="1" ht="75" hidden="1">
      <c r="A84" s="256" t="s">
        <v>2833</v>
      </c>
      <c r="B84" s="256" t="s">
        <v>45</v>
      </c>
      <c r="C84" s="256" t="s">
        <v>221</v>
      </c>
      <c r="D84" s="266" t="s">
        <v>2867</v>
      </c>
      <c r="E84" s="146">
        <f t="shared" si="2"/>
        <v>23</v>
      </c>
      <c r="F84" s="256">
        <v>2.22761417909936E-2</v>
      </c>
      <c r="G84" s="181">
        <v>1</v>
      </c>
      <c r="H84" s="267">
        <v>43694</v>
      </c>
      <c r="I84" s="266" t="s">
        <v>2868</v>
      </c>
      <c r="J84" s="266">
        <v>1</v>
      </c>
      <c r="K84" s="271" t="s">
        <v>2869</v>
      </c>
      <c r="L84" s="256">
        <f t="shared" si="3"/>
        <v>98</v>
      </c>
      <c r="M84" s="256">
        <v>0</v>
      </c>
      <c r="N84" s="256">
        <v>1</v>
      </c>
      <c r="O84" s="256">
        <v>4</v>
      </c>
    </row>
    <row r="85" spans="1:15" s="69" customFormat="1" ht="45" hidden="1">
      <c r="A85" s="256" t="s">
        <v>2833</v>
      </c>
      <c r="B85" s="256" t="s">
        <v>59</v>
      </c>
      <c r="C85" s="256" t="s">
        <v>664</v>
      </c>
      <c r="D85" s="266" t="s">
        <v>2870</v>
      </c>
      <c r="E85" s="146">
        <f t="shared" si="2"/>
        <v>34</v>
      </c>
      <c r="F85" s="256">
        <v>8.4715903479700302E-2</v>
      </c>
      <c r="G85" s="181">
        <v>1</v>
      </c>
      <c r="H85" s="268">
        <v>43619</v>
      </c>
      <c r="I85" s="266" t="s">
        <v>2871</v>
      </c>
      <c r="J85" s="266">
        <v>0</v>
      </c>
      <c r="K85" s="271" t="s">
        <v>2872</v>
      </c>
      <c r="L85" s="256">
        <f t="shared" si="3"/>
        <v>38</v>
      </c>
      <c r="M85" s="256">
        <v>0</v>
      </c>
      <c r="N85" s="256">
        <v>1</v>
      </c>
      <c r="O85" s="256">
        <v>2</v>
      </c>
    </row>
    <row r="86" spans="1:15" s="69" customFormat="1" ht="90" hidden="1">
      <c r="A86" s="256" t="s">
        <v>2833</v>
      </c>
      <c r="B86" s="256" t="s">
        <v>59</v>
      </c>
      <c r="C86" s="256" t="s">
        <v>664</v>
      </c>
      <c r="D86" s="266" t="s">
        <v>2873</v>
      </c>
      <c r="E86" s="146">
        <f t="shared" si="2"/>
        <v>150</v>
      </c>
      <c r="F86" s="256">
        <v>0.99999999802346096</v>
      </c>
      <c r="G86" s="181">
        <v>1</v>
      </c>
      <c r="H86" s="267">
        <v>43567</v>
      </c>
      <c r="I86" s="266" t="s">
        <v>2874</v>
      </c>
      <c r="J86" s="266">
        <v>0</v>
      </c>
      <c r="K86" s="271" t="s">
        <v>2875</v>
      </c>
      <c r="L86" s="256">
        <f t="shared" si="3"/>
        <v>44</v>
      </c>
      <c r="M86" s="256">
        <v>0</v>
      </c>
      <c r="N86" s="256">
        <v>1</v>
      </c>
      <c r="O86" s="256">
        <v>4</v>
      </c>
    </row>
    <row r="87" spans="1:15" s="69" customFormat="1" ht="60" hidden="1">
      <c r="A87" s="256" t="s">
        <v>2833</v>
      </c>
      <c r="B87" s="256" t="s">
        <v>59</v>
      </c>
      <c r="C87" s="256" t="s">
        <v>664</v>
      </c>
      <c r="D87" s="266" t="s">
        <v>2876</v>
      </c>
      <c r="E87" s="146">
        <f t="shared" si="2"/>
        <v>93</v>
      </c>
      <c r="F87" s="256">
        <v>0.99018486427485597</v>
      </c>
      <c r="G87" s="181">
        <v>1</v>
      </c>
      <c r="H87" s="267">
        <v>43559</v>
      </c>
      <c r="I87" s="266" t="s">
        <v>2877</v>
      </c>
      <c r="J87" s="266">
        <v>0</v>
      </c>
      <c r="K87" s="271" t="s">
        <v>2875</v>
      </c>
      <c r="L87" s="256">
        <f t="shared" si="3"/>
        <v>44</v>
      </c>
      <c r="M87" s="256">
        <v>1</v>
      </c>
      <c r="N87" s="256">
        <v>2</v>
      </c>
      <c r="O87" s="256">
        <v>11</v>
      </c>
    </row>
    <row r="88" spans="1:15" s="69" customFormat="1" ht="60" hidden="1">
      <c r="A88" s="256" t="s">
        <v>2833</v>
      </c>
      <c r="B88" s="256" t="s">
        <v>59</v>
      </c>
      <c r="C88" s="256" t="s">
        <v>80</v>
      </c>
      <c r="D88" s="266" t="s">
        <v>2878</v>
      </c>
      <c r="E88" s="146">
        <f t="shared" si="2"/>
        <v>52</v>
      </c>
      <c r="F88" s="256">
        <v>9.4453757869791502E-2</v>
      </c>
      <c r="G88" s="181">
        <v>1</v>
      </c>
      <c r="H88" s="267">
        <v>43448</v>
      </c>
      <c r="I88" s="266" t="s">
        <v>2879</v>
      </c>
      <c r="J88" s="266">
        <v>0</v>
      </c>
      <c r="K88" s="271" t="s">
        <v>2880</v>
      </c>
      <c r="L88" s="256">
        <f t="shared" si="3"/>
        <v>71</v>
      </c>
      <c r="M88" s="256">
        <v>0</v>
      </c>
      <c r="N88" s="256">
        <v>1</v>
      </c>
      <c r="O88" s="256">
        <v>5</v>
      </c>
    </row>
    <row r="89" spans="1:15" s="69" customFormat="1" ht="60" hidden="1">
      <c r="A89" s="256" t="s">
        <v>2833</v>
      </c>
      <c r="B89" s="256" t="s">
        <v>59</v>
      </c>
      <c r="C89" s="256" t="s">
        <v>664</v>
      </c>
      <c r="D89" s="266" t="s">
        <v>2881</v>
      </c>
      <c r="E89" s="146">
        <f t="shared" si="2"/>
        <v>20</v>
      </c>
      <c r="F89" s="256">
        <v>0.47274916340339002</v>
      </c>
      <c r="G89" s="181">
        <v>1</v>
      </c>
      <c r="H89" s="267">
        <v>43402</v>
      </c>
      <c r="I89" s="272" t="s">
        <v>2881</v>
      </c>
      <c r="J89" s="272">
        <v>0</v>
      </c>
      <c r="K89" s="271" t="s">
        <v>2882</v>
      </c>
      <c r="L89" s="256">
        <f t="shared" si="3"/>
        <v>28</v>
      </c>
      <c r="M89" s="256">
        <v>0</v>
      </c>
      <c r="N89" s="256">
        <v>1</v>
      </c>
      <c r="O89" s="256">
        <v>2</v>
      </c>
    </row>
    <row r="90" spans="1:15" s="69" customFormat="1" ht="90" hidden="1">
      <c r="A90" s="256" t="s">
        <v>2833</v>
      </c>
      <c r="B90" s="256" t="s">
        <v>45</v>
      </c>
      <c r="C90" s="256" t="s">
        <v>80</v>
      </c>
      <c r="D90" s="266" t="s">
        <v>159</v>
      </c>
      <c r="E90" s="146">
        <f t="shared" si="2"/>
        <v>53</v>
      </c>
      <c r="F90" s="256">
        <v>3.41257574240241E-2</v>
      </c>
      <c r="G90" s="181">
        <v>1</v>
      </c>
      <c r="H90" s="267">
        <v>43388</v>
      </c>
      <c r="I90" s="266" t="s">
        <v>2883</v>
      </c>
      <c r="J90" s="266">
        <v>0</v>
      </c>
      <c r="K90" s="271" t="s">
        <v>2884</v>
      </c>
      <c r="L90" s="256">
        <f t="shared" si="3"/>
        <v>115</v>
      </c>
      <c r="M90" s="256">
        <v>0</v>
      </c>
      <c r="N90" s="256">
        <v>1</v>
      </c>
      <c r="O90" s="256">
        <v>2</v>
      </c>
    </row>
    <row r="91" spans="1:15" s="69" customFormat="1" ht="75" hidden="1">
      <c r="A91" s="256" t="s">
        <v>2833</v>
      </c>
      <c r="B91" s="256" t="s">
        <v>59</v>
      </c>
      <c r="C91" s="256" t="s">
        <v>664</v>
      </c>
      <c r="D91" s="266" t="s">
        <v>2885</v>
      </c>
      <c r="E91" s="146">
        <f t="shared" si="2"/>
        <v>42</v>
      </c>
      <c r="F91" s="256">
        <v>0.32090563244513298</v>
      </c>
      <c r="G91" s="181">
        <v>1</v>
      </c>
      <c r="H91" s="267">
        <v>43290</v>
      </c>
      <c r="I91" s="266" t="s">
        <v>2886</v>
      </c>
      <c r="J91" s="266">
        <v>0</v>
      </c>
      <c r="K91" s="271" t="s">
        <v>2887</v>
      </c>
      <c r="L91" s="256">
        <f t="shared" si="3"/>
        <v>103</v>
      </c>
      <c r="M91" s="256">
        <v>0</v>
      </c>
      <c r="N91" s="256">
        <v>1</v>
      </c>
      <c r="O91" s="256">
        <v>2</v>
      </c>
    </row>
    <row r="92" spans="1:15" s="69" customFormat="1" ht="45" hidden="1">
      <c r="A92" s="256" t="s">
        <v>2833</v>
      </c>
      <c r="B92" s="256" t="s">
        <v>45</v>
      </c>
      <c r="C92" s="256" t="s">
        <v>664</v>
      </c>
      <c r="D92" s="266" t="s">
        <v>2888</v>
      </c>
      <c r="E92" s="146">
        <f t="shared" si="2"/>
        <v>68</v>
      </c>
      <c r="F92" s="256">
        <v>0.764518163968544</v>
      </c>
      <c r="G92" s="181">
        <v>1</v>
      </c>
      <c r="H92" s="267">
        <v>43271</v>
      </c>
      <c r="I92" s="266" t="s">
        <v>2889</v>
      </c>
      <c r="J92" s="266">
        <v>0</v>
      </c>
      <c r="K92" s="271" t="s">
        <v>2890</v>
      </c>
      <c r="L92" s="256">
        <f t="shared" si="3"/>
        <v>41</v>
      </c>
      <c r="M92" s="256">
        <v>1</v>
      </c>
      <c r="N92" s="256">
        <v>1</v>
      </c>
      <c r="O92" s="256">
        <v>5</v>
      </c>
    </row>
    <row r="93" spans="1:15" s="69" customFormat="1" ht="90" hidden="1">
      <c r="A93" s="256" t="s">
        <v>2833</v>
      </c>
      <c r="B93" s="256" t="s">
        <v>45</v>
      </c>
      <c r="C93" s="256" t="s">
        <v>80</v>
      </c>
      <c r="D93" s="266" t="s">
        <v>2891</v>
      </c>
      <c r="E93" s="146">
        <f t="shared" si="2"/>
        <v>47</v>
      </c>
      <c r="F93" s="256">
        <v>5.6771847891543298E-2</v>
      </c>
      <c r="G93" s="181">
        <v>1</v>
      </c>
      <c r="H93" s="267">
        <v>43225</v>
      </c>
      <c r="I93" s="266" t="s">
        <v>2892</v>
      </c>
      <c r="J93" s="266">
        <v>0</v>
      </c>
      <c r="K93" s="271" t="s">
        <v>2893</v>
      </c>
      <c r="L93" s="256">
        <f t="shared" si="3"/>
        <v>116</v>
      </c>
      <c r="M93" s="256">
        <v>0</v>
      </c>
      <c r="N93" s="256">
        <v>1</v>
      </c>
      <c r="O93" s="256">
        <v>3</v>
      </c>
    </row>
    <row r="94" spans="1:15" s="69" customFormat="1" ht="105" hidden="1">
      <c r="A94" s="256" t="s">
        <v>2833</v>
      </c>
      <c r="B94" s="256" t="s">
        <v>45</v>
      </c>
      <c r="C94" s="256" t="s">
        <v>46</v>
      </c>
      <c r="D94" s="266" t="s">
        <v>2894</v>
      </c>
      <c r="E94" s="146">
        <f t="shared" si="2"/>
        <v>46</v>
      </c>
      <c r="F94" s="256">
        <v>5.4771138189166901E-3</v>
      </c>
      <c r="G94" s="181">
        <v>0</v>
      </c>
      <c r="H94" s="267">
        <v>43135</v>
      </c>
      <c r="I94" s="266" t="s">
        <v>2895</v>
      </c>
      <c r="J94" s="266">
        <v>0</v>
      </c>
      <c r="K94" s="271" t="s">
        <v>2896</v>
      </c>
      <c r="L94" s="256">
        <f t="shared" si="3"/>
        <v>145</v>
      </c>
      <c r="M94" s="256">
        <v>1</v>
      </c>
      <c r="N94" s="256">
        <v>1</v>
      </c>
      <c r="O94" s="256">
        <v>4</v>
      </c>
    </row>
    <row r="95" spans="1:15" s="69" customFormat="1" ht="90" hidden="1">
      <c r="A95" s="256" t="s">
        <v>2833</v>
      </c>
      <c r="B95" s="256" t="s">
        <v>45</v>
      </c>
      <c r="C95" s="256" t="s">
        <v>46</v>
      </c>
      <c r="D95" s="266" t="s">
        <v>2897</v>
      </c>
      <c r="E95" s="146">
        <f t="shared" si="2"/>
        <v>87</v>
      </c>
      <c r="F95" s="256">
        <v>7.0515405203241998E-4</v>
      </c>
      <c r="G95" s="181">
        <v>0</v>
      </c>
      <c r="H95" s="267">
        <v>43104</v>
      </c>
      <c r="I95" s="181" t="s">
        <v>2898</v>
      </c>
      <c r="J95" s="181">
        <v>0</v>
      </c>
      <c r="K95" s="271" t="s">
        <v>2899</v>
      </c>
      <c r="L95" s="256">
        <f t="shared" si="3"/>
        <v>134</v>
      </c>
      <c r="M95" s="256">
        <v>1</v>
      </c>
      <c r="N95" s="256">
        <v>1</v>
      </c>
      <c r="O95" s="256">
        <v>25</v>
      </c>
    </row>
    <row r="96" spans="1:15" s="69" customFormat="1" ht="45" hidden="1">
      <c r="A96" s="256" t="s">
        <v>2833</v>
      </c>
      <c r="B96" s="256" t="s">
        <v>45</v>
      </c>
      <c r="C96" s="256" t="s">
        <v>80</v>
      </c>
      <c r="D96" s="266" t="s">
        <v>2900</v>
      </c>
      <c r="E96" s="146">
        <f t="shared" si="2"/>
        <v>57</v>
      </c>
      <c r="F96" s="256">
        <v>0.42395418811344998</v>
      </c>
      <c r="G96" s="181">
        <v>1</v>
      </c>
      <c r="H96" s="267">
        <v>43063</v>
      </c>
      <c r="I96" s="266" t="s">
        <v>2901</v>
      </c>
      <c r="J96" s="266">
        <v>1</v>
      </c>
      <c r="K96" s="271" t="s">
        <v>2902</v>
      </c>
      <c r="L96" s="256">
        <f t="shared" si="3"/>
        <v>52</v>
      </c>
      <c r="M96" s="256">
        <v>0</v>
      </c>
      <c r="N96" s="256">
        <v>1</v>
      </c>
      <c r="O96" s="256">
        <v>4</v>
      </c>
    </row>
    <row r="97" spans="1:18" s="69" customFormat="1" ht="135" hidden="1">
      <c r="A97" s="256" t="s">
        <v>2833</v>
      </c>
      <c r="B97" s="256" t="s">
        <v>45</v>
      </c>
      <c r="C97" s="256" t="s">
        <v>80</v>
      </c>
      <c r="D97" s="266" t="s">
        <v>2903</v>
      </c>
      <c r="E97" s="146">
        <f t="shared" si="2"/>
        <v>62</v>
      </c>
      <c r="F97" s="256">
        <v>3.5769177377277298E-3</v>
      </c>
      <c r="G97" s="181">
        <v>1</v>
      </c>
      <c r="H97" s="267">
        <v>43025</v>
      </c>
      <c r="I97" s="266" t="s">
        <v>2904</v>
      </c>
      <c r="J97" s="266">
        <v>0</v>
      </c>
      <c r="K97" s="271" t="s">
        <v>2905</v>
      </c>
      <c r="L97" s="256">
        <f t="shared" si="3"/>
        <v>198</v>
      </c>
      <c r="M97" s="256">
        <v>0</v>
      </c>
      <c r="N97" s="256">
        <v>1</v>
      </c>
      <c r="O97" s="256">
        <v>3</v>
      </c>
    </row>
    <row r="98" spans="1:18" s="69" customFormat="1" ht="30" hidden="1">
      <c r="A98" s="256" t="s">
        <v>2833</v>
      </c>
      <c r="B98" s="256" t="s">
        <v>59</v>
      </c>
      <c r="C98" s="256" t="s">
        <v>46</v>
      </c>
      <c r="D98" s="266" t="s">
        <v>2833</v>
      </c>
      <c r="E98" s="146">
        <f t="shared" si="2"/>
        <v>28</v>
      </c>
      <c r="F98" s="256">
        <v>0.61105378816073097</v>
      </c>
      <c r="G98" s="181">
        <v>1</v>
      </c>
      <c r="H98" s="267">
        <v>42969</v>
      </c>
      <c r="I98" s="266" t="s">
        <v>2906</v>
      </c>
      <c r="J98" s="266">
        <v>0</v>
      </c>
      <c r="K98" s="271" t="s">
        <v>2907</v>
      </c>
      <c r="L98" s="256">
        <f t="shared" si="3"/>
        <v>45</v>
      </c>
      <c r="M98" s="256">
        <v>1</v>
      </c>
      <c r="N98" s="256">
        <v>2</v>
      </c>
      <c r="O98" s="256">
        <v>2</v>
      </c>
    </row>
    <row r="99" spans="1:18" s="69" customFormat="1" ht="60" hidden="1">
      <c r="A99" s="256" t="s">
        <v>2833</v>
      </c>
      <c r="B99" s="256" t="s">
        <v>59</v>
      </c>
      <c r="C99" s="256" t="s">
        <v>46</v>
      </c>
      <c r="D99" s="266" t="s">
        <v>59</v>
      </c>
      <c r="E99" s="146">
        <f t="shared" si="2"/>
        <v>82</v>
      </c>
      <c r="F99" s="256">
        <v>0.552240523696369</v>
      </c>
      <c r="G99" s="181">
        <v>0</v>
      </c>
      <c r="H99" s="267">
        <v>42865</v>
      </c>
      <c r="I99" s="181" t="s">
        <v>2908</v>
      </c>
      <c r="J99" s="181">
        <v>0</v>
      </c>
      <c r="K99" s="271" t="s">
        <v>2909</v>
      </c>
      <c r="L99" s="256">
        <f t="shared" si="3"/>
        <v>30</v>
      </c>
      <c r="M99" s="256">
        <v>1</v>
      </c>
      <c r="N99" s="256">
        <v>2</v>
      </c>
      <c r="O99" s="256">
        <v>13</v>
      </c>
    </row>
    <row r="100" spans="1:18" s="69" customFormat="1" ht="60" hidden="1">
      <c r="A100" s="256" t="s">
        <v>2833</v>
      </c>
      <c r="B100" s="256" t="s">
        <v>45</v>
      </c>
      <c r="C100" s="256" t="s">
        <v>80</v>
      </c>
      <c r="D100" s="266" t="s">
        <v>2910</v>
      </c>
      <c r="E100" s="146">
        <f t="shared" si="2"/>
        <v>84</v>
      </c>
      <c r="F100" s="256">
        <v>0.81995519473397704</v>
      </c>
      <c r="G100" s="181">
        <v>1</v>
      </c>
      <c r="H100" s="267">
        <v>42719</v>
      </c>
      <c r="I100" s="266" t="s">
        <v>2911</v>
      </c>
      <c r="J100" s="266">
        <v>1</v>
      </c>
      <c r="K100" s="271" t="s">
        <v>2912</v>
      </c>
      <c r="L100" s="256">
        <f t="shared" si="3"/>
        <v>81</v>
      </c>
      <c r="M100" s="256">
        <v>1</v>
      </c>
      <c r="N100" s="256">
        <v>2</v>
      </c>
      <c r="O100" s="256">
        <v>27</v>
      </c>
    </row>
    <row r="101" spans="1:18" s="69" customFormat="1" ht="75" hidden="1">
      <c r="A101" s="256" t="s">
        <v>2833</v>
      </c>
      <c r="B101" s="256" t="s">
        <v>45</v>
      </c>
      <c r="C101" s="256" t="s">
        <v>46</v>
      </c>
      <c r="D101" s="266" t="s">
        <v>2913</v>
      </c>
      <c r="E101" s="146">
        <f t="shared" si="2"/>
        <v>127</v>
      </c>
      <c r="F101" s="256">
        <v>4.2833656597379699E-3</v>
      </c>
      <c r="G101" s="181">
        <v>1</v>
      </c>
      <c r="H101" s="267">
        <v>42461</v>
      </c>
      <c r="I101" s="266" t="s">
        <v>2914</v>
      </c>
      <c r="J101" s="266">
        <v>0</v>
      </c>
      <c r="K101" s="271" t="s">
        <v>2915</v>
      </c>
      <c r="L101" s="256">
        <f t="shared" si="3"/>
        <v>47</v>
      </c>
      <c r="M101" s="256">
        <v>0</v>
      </c>
      <c r="N101" s="256">
        <v>1</v>
      </c>
      <c r="O101" s="256">
        <v>18</v>
      </c>
    </row>
    <row r="102" spans="1:18" s="69" customFormat="1" ht="60" hidden="1">
      <c r="A102" s="256" t="s">
        <v>2916</v>
      </c>
      <c r="B102" s="256" t="s">
        <v>45</v>
      </c>
      <c r="C102" s="256" t="s">
        <v>80</v>
      </c>
      <c r="D102" s="261" t="s">
        <v>2917</v>
      </c>
      <c r="E102" s="146">
        <f t="shared" si="2"/>
        <v>61</v>
      </c>
      <c r="F102" s="256"/>
      <c r="G102" s="181">
        <v>1</v>
      </c>
      <c r="H102" s="263">
        <v>44115</v>
      </c>
      <c r="I102" s="261" t="s">
        <v>2918</v>
      </c>
      <c r="J102" s="266">
        <v>1</v>
      </c>
      <c r="K102" s="261" t="s">
        <v>2919</v>
      </c>
      <c r="L102" s="256">
        <f t="shared" si="3"/>
        <v>82</v>
      </c>
      <c r="M102" s="256">
        <v>0</v>
      </c>
      <c r="N102" s="256">
        <v>1</v>
      </c>
      <c r="O102" s="256">
        <v>1</v>
      </c>
      <c r="P102" s="69">
        <f>AVERAGE(M102:M109)</f>
        <v>0.375</v>
      </c>
      <c r="Q102" s="69">
        <f>AVERAGE(N102:N109)</f>
        <v>1.125</v>
      </c>
      <c r="R102" s="69">
        <f>AVERAGE(O102:O109)</f>
        <v>5.5</v>
      </c>
    </row>
    <row r="103" spans="1:18" s="69" customFormat="1" ht="90" hidden="1">
      <c r="A103" s="256" t="s">
        <v>2916</v>
      </c>
      <c r="B103" s="256" t="s">
        <v>45</v>
      </c>
      <c r="C103" s="256" t="s">
        <v>664</v>
      </c>
      <c r="D103" s="266" t="s">
        <v>2920</v>
      </c>
      <c r="E103" s="146">
        <f t="shared" si="2"/>
        <v>65</v>
      </c>
      <c r="F103" s="256">
        <v>1.44945071578473E-6</v>
      </c>
      <c r="G103" s="181">
        <v>1</v>
      </c>
      <c r="H103" s="267">
        <v>43949</v>
      </c>
      <c r="I103" s="266" t="s">
        <v>2921</v>
      </c>
      <c r="J103" s="266">
        <v>0</v>
      </c>
      <c r="K103" s="271" t="s">
        <v>2922</v>
      </c>
      <c r="L103" s="256">
        <f t="shared" si="3"/>
        <v>125</v>
      </c>
      <c r="M103" s="256">
        <v>0</v>
      </c>
      <c r="N103" s="256">
        <v>1</v>
      </c>
      <c r="O103" s="256">
        <v>0</v>
      </c>
    </row>
    <row r="104" spans="1:18" s="69" customFormat="1" ht="60" hidden="1">
      <c r="A104" s="256" t="s">
        <v>2916</v>
      </c>
      <c r="B104" s="256" t="s">
        <v>45</v>
      </c>
      <c r="C104" s="256" t="s">
        <v>221</v>
      </c>
      <c r="D104" s="266" t="s">
        <v>2765</v>
      </c>
      <c r="E104" s="146">
        <f t="shared" si="2"/>
        <v>21</v>
      </c>
      <c r="F104" s="256">
        <v>5.9463634571912102E-2</v>
      </c>
      <c r="G104" s="181">
        <v>1</v>
      </c>
      <c r="H104" s="267">
        <v>43786</v>
      </c>
      <c r="I104" s="272" t="s">
        <v>2766</v>
      </c>
      <c r="J104" s="272">
        <v>0</v>
      </c>
      <c r="K104" s="271" t="s">
        <v>2767</v>
      </c>
      <c r="L104" s="256">
        <f t="shared" si="3"/>
        <v>78</v>
      </c>
      <c r="M104" s="256">
        <v>1</v>
      </c>
      <c r="N104" s="256">
        <v>1</v>
      </c>
      <c r="O104" s="256">
        <v>11</v>
      </c>
    </row>
    <row r="105" spans="1:18" s="69" customFormat="1" ht="75" hidden="1">
      <c r="A105" s="256" t="s">
        <v>2916</v>
      </c>
      <c r="B105" s="256" t="s">
        <v>45</v>
      </c>
      <c r="C105" s="256" t="s">
        <v>46</v>
      </c>
      <c r="D105" s="266" t="s">
        <v>2923</v>
      </c>
      <c r="E105" s="146">
        <f t="shared" si="2"/>
        <v>77</v>
      </c>
      <c r="F105" s="256">
        <v>8.6684041002744704E-3</v>
      </c>
      <c r="G105" s="181">
        <v>1</v>
      </c>
      <c r="H105" s="267">
        <v>43537</v>
      </c>
      <c r="I105" s="266" t="s">
        <v>2924</v>
      </c>
      <c r="J105" s="266">
        <v>0</v>
      </c>
      <c r="K105" s="271" t="s">
        <v>2925</v>
      </c>
      <c r="L105" s="256">
        <f t="shared" si="3"/>
        <v>94</v>
      </c>
      <c r="M105" s="256">
        <v>1</v>
      </c>
      <c r="N105" s="256">
        <v>1</v>
      </c>
      <c r="O105" s="256">
        <v>15</v>
      </c>
    </row>
    <row r="106" spans="1:18" s="69" customFormat="1" ht="75" hidden="1">
      <c r="A106" s="256" t="s">
        <v>2916</v>
      </c>
      <c r="B106" s="256" t="s">
        <v>45</v>
      </c>
      <c r="C106" s="256" t="s">
        <v>46</v>
      </c>
      <c r="D106" s="266" t="s">
        <v>2926</v>
      </c>
      <c r="E106" s="146">
        <f t="shared" si="2"/>
        <v>77</v>
      </c>
      <c r="F106" s="256">
        <v>0.891465812362911</v>
      </c>
      <c r="G106" s="181">
        <v>1</v>
      </c>
      <c r="H106" s="267">
        <v>43123</v>
      </c>
      <c r="I106" s="266" t="s">
        <v>2927</v>
      </c>
      <c r="J106" s="266">
        <v>0</v>
      </c>
      <c r="K106" s="271" t="s">
        <v>2928</v>
      </c>
      <c r="L106" s="256">
        <f t="shared" si="3"/>
        <v>94</v>
      </c>
      <c r="M106" s="256">
        <v>0</v>
      </c>
      <c r="N106" s="256">
        <v>2</v>
      </c>
      <c r="O106" s="256">
        <v>8</v>
      </c>
    </row>
    <row r="107" spans="1:18" s="69" customFormat="1" ht="165" hidden="1">
      <c r="A107" s="256" t="s">
        <v>2916</v>
      </c>
      <c r="B107" s="256" t="s">
        <v>59</v>
      </c>
      <c r="C107" s="256" t="s">
        <v>46</v>
      </c>
      <c r="D107" s="266" t="s">
        <v>2929</v>
      </c>
      <c r="E107" s="146">
        <f t="shared" si="2"/>
        <v>276</v>
      </c>
      <c r="F107" s="256">
        <v>4.4408920985006301E-16</v>
      </c>
      <c r="G107" s="181">
        <v>1</v>
      </c>
      <c r="H107" s="267">
        <v>42651</v>
      </c>
      <c r="I107" s="271" t="s">
        <v>2930</v>
      </c>
      <c r="J107" s="271">
        <v>0</v>
      </c>
      <c r="K107" s="181" t="s">
        <v>4457</v>
      </c>
      <c r="L107" s="256">
        <f t="shared" si="3"/>
        <v>207</v>
      </c>
      <c r="M107" s="256">
        <v>0</v>
      </c>
      <c r="N107" s="256">
        <v>1</v>
      </c>
      <c r="O107" s="256">
        <v>1</v>
      </c>
    </row>
    <row r="108" spans="1:18" s="69" customFormat="1" ht="150" hidden="1">
      <c r="A108" s="256" t="s">
        <v>2916</v>
      </c>
      <c r="B108" s="256" t="s">
        <v>45</v>
      </c>
      <c r="C108" s="256" t="s">
        <v>46</v>
      </c>
      <c r="D108" s="266" t="s">
        <v>2932</v>
      </c>
      <c r="E108" s="146">
        <f t="shared" si="2"/>
        <v>194</v>
      </c>
      <c r="F108" s="256">
        <v>3.1086244689504399E-15</v>
      </c>
      <c r="G108" s="181">
        <v>1</v>
      </c>
      <c r="H108" s="267">
        <v>42631</v>
      </c>
      <c r="I108" s="266" t="s">
        <v>2933</v>
      </c>
      <c r="J108" s="266">
        <v>0</v>
      </c>
      <c r="K108" s="181" t="s">
        <v>4458</v>
      </c>
      <c r="L108" s="256">
        <f t="shared" si="3"/>
        <v>175</v>
      </c>
      <c r="M108" s="256">
        <v>1</v>
      </c>
      <c r="N108" s="256">
        <v>1</v>
      </c>
      <c r="O108" s="256">
        <v>5</v>
      </c>
    </row>
    <row r="109" spans="1:18" s="69" customFormat="1" ht="120" hidden="1">
      <c r="A109" s="256" t="s">
        <v>2916</v>
      </c>
      <c r="B109" s="256" t="s">
        <v>45</v>
      </c>
      <c r="C109" s="256" t="s">
        <v>46</v>
      </c>
      <c r="D109" s="266" t="s">
        <v>2935</v>
      </c>
      <c r="E109" s="146">
        <f t="shared" si="2"/>
        <v>83</v>
      </c>
      <c r="F109" s="256">
        <v>4.0969897509013398E-6</v>
      </c>
      <c r="G109" s="181">
        <v>1</v>
      </c>
      <c r="H109" s="267">
        <v>42514</v>
      </c>
      <c r="I109" s="266" t="s">
        <v>2936</v>
      </c>
      <c r="J109" s="266">
        <v>0</v>
      </c>
      <c r="K109" s="271" t="s">
        <v>2937</v>
      </c>
      <c r="L109" s="256">
        <f t="shared" si="3"/>
        <v>162</v>
      </c>
      <c r="M109" s="256">
        <v>0</v>
      </c>
      <c r="N109" s="256">
        <v>1</v>
      </c>
      <c r="O109" s="256">
        <v>3</v>
      </c>
    </row>
    <row r="110" spans="1:18" s="69" customFormat="1" ht="105" hidden="1">
      <c r="A110" s="256" t="s">
        <v>2938</v>
      </c>
      <c r="B110" s="256" t="s">
        <v>45</v>
      </c>
      <c r="C110" s="256" t="s">
        <v>46</v>
      </c>
      <c r="D110" s="266" t="s">
        <v>2939</v>
      </c>
      <c r="E110" s="146">
        <f t="shared" si="2"/>
        <v>147</v>
      </c>
      <c r="F110" s="256">
        <v>1.3939377314561301E-3</v>
      </c>
      <c r="G110" s="181">
        <v>1</v>
      </c>
      <c r="H110" s="267">
        <v>43751</v>
      </c>
      <c r="I110" s="266" t="s">
        <v>2940</v>
      </c>
      <c r="J110" s="266">
        <v>0</v>
      </c>
      <c r="K110" s="271" t="s">
        <v>2941</v>
      </c>
      <c r="L110" s="256">
        <f t="shared" si="3"/>
        <v>104</v>
      </c>
      <c r="M110" s="256">
        <v>0</v>
      </c>
      <c r="N110" s="256">
        <v>1</v>
      </c>
      <c r="O110" s="256">
        <v>2</v>
      </c>
      <c r="P110" s="69">
        <f>AVERAGE(M110:M112)</f>
        <v>0</v>
      </c>
      <c r="Q110" s="69">
        <f>AVERAGE(N110:N112)</f>
        <v>1</v>
      </c>
      <c r="R110" s="69">
        <f>AVERAGE(O110:O112)</f>
        <v>2</v>
      </c>
    </row>
    <row r="111" spans="1:18" s="69" customFormat="1" ht="60" hidden="1">
      <c r="A111" s="256" t="s">
        <v>2938</v>
      </c>
      <c r="B111" s="256" t="s">
        <v>45</v>
      </c>
      <c r="C111" s="256" t="s">
        <v>46</v>
      </c>
      <c r="D111" s="266" t="s">
        <v>2942</v>
      </c>
      <c r="E111" s="146">
        <f t="shared" si="2"/>
        <v>52</v>
      </c>
      <c r="F111" s="256">
        <v>6.2920314853396296E-3</v>
      </c>
      <c r="G111" s="181">
        <v>0</v>
      </c>
      <c r="H111" s="267">
        <v>43705</v>
      </c>
      <c r="I111" s="266" t="s">
        <v>2943</v>
      </c>
      <c r="J111" s="266">
        <v>0</v>
      </c>
      <c r="K111" s="271" t="s">
        <v>2944</v>
      </c>
      <c r="L111" s="256">
        <f t="shared" si="3"/>
        <v>79</v>
      </c>
      <c r="M111" s="256">
        <v>0</v>
      </c>
      <c r="N111" s="256">
        <v>1</v>
      </c>
      <c r="O111" s="256">
        <v>2</v>
      </c>
    </row>
    <row r="112" spans="1:18" s="69" customFormat="1" ht="45" hidden="1">
      <c r="A112" s="256" t="s">
        <v>2938</v>
      </c>
      <c r="B112" s="256" t="s">
        <v>45</v>
      </c>
      <c r="C112" s="256" t="s">
        <v>46</v>
      </c>
      <c r="D112" s="266" t="s">
        <v>2945</v>
      </c>
      <c r="E112" s="146">
        <f t="shared" si="2"/>
        <v>69</v>
      </c>
      <c r="F112" s="256">
        <v>0.998077730613942</v>
      </c>
      <c r="G112" s="181">
        <v>1</v>
      </c>
      <c r="H112" s="267">
        <v>43082</v>
      </c>
      <c r="I112" s="266" t="s">
        <v>2946</v>
      </c>
      <c r="J112" s="266">
        <v>1</v>
      </c>
      <c r="K112" s="271" t="s">
        <v>2947</v>
      </c>
      <c r="L112" s="256">
        <f t="shared" si="3"/>
        <v>53</v>
      </c>
      <c r="M112" s="256">
        <v>0</v>
      </c>
      <c r="N112" s="256">
        <v>1</v>
      </c>
      <c r="O112" s="256">
        <v>2</v>
      </c>
    </row>
    <row r="113" spans="1:18" s="69" customFormat="1" ht="105" hidden="1">
      <c r="A113" s="256" t="s">
        <v>2948</v>
      </c>
      <c r="B113" s="256" t="s">
        <v>45</v>
      </c>
      <c r="C113" s="256" t="s">
        <v>80</v>
      </c>
      <c r="D113" s="266" t="s">
        <v>2949</v>
      </c>
      <c r="E113" s="146">
        <f t="shared" si="2"/>
        <v>94</v>
      </c>
      <c r="F113" s="256"/>
      <c r="G113" s="181">
        <v>1</v>
      </c>
      <c r="H113" s="263">
        <v>44150</v>
      </c>
      <c r="I113" s="261" t="s">
        <v>2950</v>
      </c>
      <c r="J113" s="266">
        <v>1</v>
      </c>
      <c r="K113" s="261" t="s">
        <v>2951</v>
      </c>
      <c r="L113" s="256">
        <f t="shared" si="3"/>
        <v>149</v>
      </c>
      <c r="M113" s="256">
        <v>2</v>
      </c>
      <c r="N113" s="256">
        <v>1</v>
      </c>
      <c r="O113" s="256">
        <v>26</v>
      </c>
      <c r="P113" s="69">
        <f>AVERAGE(M113:M133)</f>
        <v>0.52380952380952384</v>
      </c>
      <c r="Q113" s="69">
        <f>AVERAGE(N113:N133)</f>
        <v>1.0476190476190477</v>
      </c>
      <c r="R113" s="69">
        <f>AVERAGE(O113:O133)</f>
        <v>8.1428571428571423</v>
      </c>
    </row>
    <row r="114" spans="1:18" s="69" customFormat="1" ht="60" hidden="1">
      <c r="A114" s="256" t="s">
        <v>2948</v>
      </c>
      <c r="B114" s="256" t="s">
        <v>45</v>
      </c>
      <c r="C114" s="256" t="s">
        <v>46</v>
      </c>
      <c r="D114" s="266" t="s">
        <v>2952</v>
      </c>
      <c r="E114" s="146">
        <f t="shared" si="2"/>
        <v>17</v>
      </c>
      <c r="F114" s="256">
        <v>8.9160695229446404E-2</v>
      </c>
      <c r="G114" s="181">
        <v>0</v>
      </c>
      <c r="H114" s="267">
        <v>44002</v>
      </c>
      <c r="I114" s="272" t="s">
        <v>2953</v>
      </c>
      <c r="J114" s="272">
        <v>1</v>
      </c>
      <c r="K114" s="271" t="s">
        <v>2954</v>
      </c>
      <c r="L114" s="256">
        <f t="shared" si="3"/>
        <v>80</v>
      </c>
      <c r="M114" s="256">
        <v>0</v>
      </c>
      <c r="N114" s="256">
        <v>1</v>
      </c>
      <c r="O114" s="256">
        <v>3</v>
      </c>
    </row>
    <row r="115" spans="1:18" s="69" customFormat="1" ht="45" hidden="1">
      <c r="A115" s="256" t="s">
        <v>2948</v>
      </c>
      <c r="B115" s="256" t="s">
        <v>45</v>
      </c>
      <c r="C115" s="256" t="s">
        <v>80</v>
      </c>
      <c r="D115" s="266" t="s">
        <v>2900</v>
      </c>
      <c r="E115" s="146">
        <f t="shared" si="2"/>
        <v>48</v>
      </c>
      <c r="F115" s="256">
        <v>0.80313169648657401</v>
      </c>
      <c r="G115" s="181">
        <v>1</v>
      </c>
      <c r="H115" s="267">
        <v>43798</v>
      </c>
      <c r="I115" s="266" t="s">
        <v>2955</v>
      </c>
      <c r="J115" s="266">
        <v>1</v>
      </c>
      <c r="K115" s="271" t="s">
        <v>2956</v>
      </c>
      <c r="L115" s="256">
        <f t="shared" si="3"/>
        <v>58</v>
      </c>
      <c r="M115" s="256">
        <v>0</v>
      </c>
      <c r="N115" s="256">
        <v>1</v>
      </c>
      <c r="O115" s="256">
        <v>4</v>
      </c>
    </row>
    <row r="116" spans="1:18" s="69" customFormat="1" ht="60" hidden="1">
      <c r="A116" s="256" t="s">
        <v>2948</v>
      </c>
      <c r="B116" s="256" t="s">
        <v>45</v>
      </c>
      <c r="C116" s="256" t="s">
        <v>80</v>
      </c>
      <c r="D116" s="266" t="s">
        <v>2957</v>
      </c>
      <c r="E116" s="146">
        <f t="shared" si="2"/>
        <v>74</v>
      </c>
      <c r="F116" s="256">
        <v>6.6393970703515501E-6</v>
      </c>
      <c r="G116" s="181">
        <v>1</v>
      </c>
      <c r="H116" s="267">
        <v>43699</v>
      </c>
      <c r="I116" s="266" t="s">
        <v>2958</v>
      </c>
      <c r="J116" s="266">
        <v>0</v>
      </c>
      <c r="K116" s="271" t="s">
        <v>2959</v>
      </c>
      <c r="L116" s="256">
        <f t="shared" si="3"/>
        <v>85</v>
      </c>
      <c r="M116" s="256">
        <v>0</v>
      </c>
      <c r="N116" s="256">
        <v>1</v>
      </c>
      <c r="O116" s="256">
        <v>5</v>
      </c>
    </row>
    <row r="117" spans="1:18" s="69" customFormat="1" ht="195" hidden="1">
      <c r="A117" s="256" t="s">
        <v>2948</v>
      </c>
      <c r="B117" s="256" t="s">
        <v>45</v>
      </c>
      <c r="C117" s="256" t="s">
        <v>80</v>
      </c>
      <c r="D117" s="266" t="s">
        <v>159</v>
      </c>
      <c r="E117" s="146">
        <f t="shared" si="2"/>
        <v>106</v>
      </c>
      <c r="F117" s="256">
        <v>0.140233174992106</v>
      </c>
      <c r="G117" s="181">
        <v>1</v>
      </c>
      <c r="H117" s="267">
        <v>43441</v>
      </c>
      <c r="I117" s="266" t="s">
        <v>2960</v>
      </c>
      <c r="J117" s="266">
        <v>0</v>
      </c>
      <c r="K117" s="271" t="s">
        <v>2961</v>
      </c>
      <c r="L117" s="256">
        <f t="shared" si="3"/>
        <v>274</v>
      </c>
      <c r="M117" s="256">
        <v>0</v>
      </c>
      <c r="N117" s="256">
        <v>1</v>
      </c>
      <c r="O117" s="256">
        <v>4</v>
      </c>
    </row>
    <row r="118" spans="1:18" s="69" customFormat="1" ht="60" hidden="1">
      <c r="A118" s="256" t="s">
        <v>2948</v>
      </c>
      <c r="B118" s="256" t="s">
        <v>45</v>
      </c>
      <c r="C118" s="256" t="s">
        <v>80</v>
      </c>
      <c r="D118" s="266" t="s">
        <v>2036</v>
      </c>
      <c r="E118" s="146">
        <f t="shared" si="2"/>
        <v>66</v>
      </c>
      <c r="F118" s="256">
        <v>1.1455969015834501E-3</v>
      </c>
      <c r="G118" s="181">
        <v>1</v>
      </c>
      <c r="H118" s="267">
        <v>43368</v>
      </c>
      <c r="I118" s="266" t="s">
        <v>2962</v>
      </c>
      <c r="J118" s="266">
        <v>0</v>
      </c>
      <c r="K118" s="271" t="s">
        <v>2963</v>
      </c>
      <c r="L118" s="256">
        <f t="shared" si="3"/>
        <v>72</v>
      </c>
      <c r="M118" s="256">
        <v>2</v>
      </c>
      <c r="N118" s="256">
        <v>1</v>
      </c>
      <c r="O118" s="256">
        <v>20</v>
      </c>
    </row>
    <row r="119" spans="1:18" s="69" customFormat="1" ht="105" hidden="1">
      <c r="A119" s="256" t="s">
        <v>2948</v>
      </c>
      <c r="B119" s="256" t="s">
        <v>45</v>
      </c>
      <c r="C119" s="256" t="s">
        <v>80</v>
      </c>
      <c r="D119" s="266" t="s">
        <v>159</v>
      </c>
      <c r="E119" s="146">
        <f t="shared" si="2"/>
        <v>71</v>
      </c>
      <c r="F119" s="256">
        <v>2.3412771933176701E-2</v>
      </c>
      <c r="G119" s="181">
        <v>1</v>
      </c>
      <c r="H119" s="267">
        <v>43359</v>
      </c>
      <c r="I119" s="266" t="s">
        <v>4459</v>
      </c>
      <c r="J119" s="266">
        <v>0</v>
      </c>
      <c r="K119" s="271" t="s">
        <v>2965</v>
      </c>
      <c r="L119" s="256">
        <f t="shared" si="3"/>
        <v>150</v>
      </c>
      <c r="M119" s="256">
        <v>2</v>
      </c>
      <c r="N119" s="256">
        <v>1</v>
      </c>
      <c r="O119" s="256">
        <v>12</v>
      </c>
    </row>
    <row r="120" spans="1:18" s="69" customFormat="1" ht="45" hidden="1">
      <c r="A120" s="256" t="s">
        <v>2948</v>
      </c>
      <c r="B120" s="256" t="s">
        <v>45</v>
      </c>
      <c r="C120" s="256" t="s">
        <v>80</v>
      </c>
      <c r="D120" s="266" t="s">
        <v>2966</v>
      </c>
      <c r="E120" s="146">
        <f t="shared" si="2"/>
        <v>85</v>
      </c>
      <c r="F120" s="256">
        <v>0.41338923121606302</v>
      </c>
      <c r="G120" s="181">
        <v>1</v>
      </c>
      <c r="H120" s="267">
        <v>43244</v>
      </c>
      <c r="I120" s="266" t="s">
        <v>2967</v>
      </c>
      <c r="J120" s="266">
        <v>1</v>
      </c>
      <c r="K120" s="271" t="s">
        <v>2968</v>
      </c>
      <c r="L120" s="256">
        <f t="shared" si="3"/>
        <v>51</v>
      </c>
      <c r="M120" s="256">
        <v>1</v>
      </c>
      <c r="N120" s="256">
        <v>2</v>
      </c>
      <c r="O120" s="256">
        <v>8</v>
      </c>
    </row>
    <row r="121" spans="1:18" s="69" customFormat="1" ht="90" hidden="1">
      <c r="A121" s="256" t="s">
        <v>2948</v>
      </c>
      <c r="B121" s="256" t="s">
        <v>45</v>
      </c>
      <c r="C121" s="256" t="s">
        <v>80</v>
      </c>
      <c r="D121" s="266" t="s">
        <v>778</v>
      </c>
      <c r="E121" s="146">
        <f t="shared" si="2"/>
        <v>51</v>
      </c>
      <c r="F121" s="256">
        <v>4.6758496046184197E-6</v>
      </c>
      <c r="G121" s="181">
        <v>1</v>
      </c>
      <c r="H121" s="267">
        <v>43232</v>
      </c>
      <c r="I121" s="266" t="s">
        <v>2969</v>
      </c>
      <c r="J121" s="266">
        <v>0</v>
      </c>
      <c r="K121" s="271" t="s">
        <v>2970</v>
      </c>
      <c r="L121" s="256">
        <f t="shared" si="3"/>
        <v>136</v>
      </c>
      <c r="M121" s="256">
        <v>0</v>
      </c>
      <c r="N121" s="256">
        <v>1</v>
      </c>
      <c r="O121" s="256">
        <v>4</v>
      </c>
    </row>
    <row r="122" spans="1:18" s="69" customFormat="1" ht="60" hidden="1">
      <c r="A122" s="256" t="s">
        <v>2948</v>
      </c>
      <c r="B122" s="256" t="s">
        <v>45</v>
      </c>
      <c r="C122" s="256" t="s">
        <v>80</v>
      </c>
      <c r="D122" s="266" t="s">
        <v>2971</v>
      </c>
      <c r="E122" s="146">
        <f t="shared" si="2"/>
        <v>67</v>
      </c>
      <c r="F122" s="256">
        <v>0.99675507470840297</v>
      </c>
      <c r="G122" s="181">
        <v>1</v>
      </c>
      <c r="H122" s="267">
        <v>43231</v>
      </c>
      <c r="I122" s="266" t="s">
        <v>2972</v>
      </c>
      <c r="J122" s="266">
        <v>0</v>
      </c>
      <c r="K122" s="271" t="s">
        <v>2973</v>
      </c>
      <c r="L122" s="256">
        <f t="shared" si="3"/>
        <v>72</v>
      </c>
      <c r="M122" s="256">
        <v>0</v>
      </c>
      <c r="N122" s="256">
        <v>1</v>
      </c>
      <c r="O122" s="256">
        <v>13</v>
      </c>
    </row>
    <row r="123" spans="1:18" s="69" customFormat="1" ht="60" hidden="1">
      <c r="A123" s="256" t="s">
        <v>2948</v>
      </c>
      <c r="B123" s="256" t="s">
        <v>45</v>
      </c>
      <c r="C123" s="256" t="s">
        <v>80</v>
      </c>
      <c r="D123" s="266" t="s">
        <v>2704</v>
      </c>
      <c r="E123" s="146">
        <f t="shared" si="2"/>
        <v>81</v>
      </c>
      <c r="F123" s="256">
        <v>6.8306767110407299E-2</v>
      </c>
      <c r="G123" s="181">
        <v>1</v>
      </c>
      <c r="H123" s="267">
        <v>43217</v>
      </c>
      <c r="I123" s="181" t="s">
        <v>2974</v>
      </c>
      <c r="J123" s="181">
        <v>0</v>
      </c>
      <c r="K123" s="271" t="s">
        <v>2975</v>
      </c>
      <c r="L123" s="256">
        <f t="shared" si="3"/>
        <v>44</v>
      </c>
      <c r="M123" s="256">
        <v>0</v>
      </c>
      <c r="N123" s="256">
        <v>1</v>
      </c>
      <c r="O123" s="256">
        <v>1</v>
      </c>
    </row>
    <row r="124" spans="1:18" s="69" customFormat="1" ht="30" hidden="1">
      <c r="A124" s="256" t="s">
        <v>2948</v>
      </c>
      <c r="B124" s="256" t="s">
        <v>45</v>
      </c>
      <c r="C124" s="256" t="s">
        <v>80</v>
      </c>
      <c r="D124" s="266" t="s">
        <v>2976</v>
      </c>
      <c r="E124" s="146">
        <f t="shared" si="2"/>
        <v>37</v>
      </c>
      <c r="F124" s="256">
        <v>2.2173270303840198E-3</v>
      </c>
      <c r="G124" s="181">
        <v>1</v>
      </c>
      <c r="H124" s="267">
        <v>43201</v>
      </c>
      <c r="I124" s="266" t="s">
        <v>2977</v>
      </c>
      <c r="J124" s="266">
        <v>0</v>
      </c>
      <c r="K124" s="271" t="s">
        <v>2978</v>
      </c>
      <c r="L124" s="256">
        <f t="shared" si="3"/>
        <v>40</v>
      </c>
      <c r="M124" s="256">
        <v>2</v>
      </c>
      <c r="N124" s="256">
        <v>1</v>
      </c>
      <c r="O124" s="256">
        <v>7</v>
      </c>
    </row>
    <row r="125" spans="1:18" s="69" customFormat="1" ht="45" hidden="1">
      <c r="A125" s="256" t="s">
        <v>2948</v>
      </c>
      <c r="B125" s="256" t="s">
        <v>45</v>
      </c>
      <c r="C125" s="256" t="s">
        <v>80</v>
      </c>
      <c r="D125" s="266" t="s">
        <v>2979</v>
      </c>
      <c r="E125" s="146">
        <f t="shared" si="2"/>
        <v>56</v>
      </c>
      <c r="F125" s="256">
        <v>7.1183322846084503E-3</v>
      </c>
      <c r="G125" s="181">
        <v>1</v>
      </c>
      <c r="H125" s="267">
        <v>43106</v>
      </c>
      <c r="I125" s="266" t="s">
        <v>2980</v>
      </c>
      <c r="J125" s="266">
        <v>0</v>
      </c>
      <c r="K125" s="271" t="s">
        <v>2981</v>
      </c>
      <c r="L125" s="256">
        <f t="shared" si="3"/>
        <v>25</v>
      </c>
      <c r="M125" s="256">
        <v>1</v>
      </c>
      <c r="N125" s="256">
        <v>1</v>
      </c>
      <c r="O125" s="256">
        <v>9</v>
      </c>
    </row>
    <row r="126" spans="1:18" s="69" customFormat="1" ht="90" hidden="1">
      <c r="A126" s="256" t="s">
        <v>2948</v>
      </c>
      <c r="B126" s="256" t="s">
        <v>45</v>
      </c>
      <c r="C126" s="256" t="s">
        <v>46</v>
      </c>
      <c r="D126" s="266" t="s">
        <v>2948</v>
      </c>
      <c r="E126" s="146">
        <f t="shared" si="2"/>
        <v>146</v>
      </c>
      <c r="F126" s="256">
        <v>1.4647184113085099E-2</v>
      </c>
      <c r="G126" s="181">
        <v>0</v>
      </c>
      <c r="H126" s="267">
        <v>43102</v>
      </c>
      <c r="I126" s="266" t="s">
        <v>2982</v>
      </c>
      <c r="J126" s="266">
        <v>0</v>
      </c>
      <c r="K126" s="271" t="s">
        <v>2983</v>
      </c>
      <c r="L126" s="256">
        <f t="shared" si="3"/>
        <v>23</v>
      </c>
      <c r="M126" s="256">
        <v>1</v>
      </c>
      <c r="N126" s="256">
        <v>1</v>
      </c>
      <c r="O126" s="256">
        <v>9</v>
      </c>
    </row>
    <row r="127" spans="1:18" s="69" customFormat="1" ht="90" hidden="1">
      <c r="A127" s="256" t="s">
        <v>2948</v>
      </c>
      <c r="B127" s="256" t="s">
        <v>45</v>
      </c>
      <c r="C127" s="256" t="s">
        <v>80</v>
      </c>
      <c r="D127" s="266" t="s">
        <v>2984</v>
      </c>
      <c r="E127" s="146">
        <f t="shared" si="2"/>
        <v>43</v>
      </c>
      <c r="F127" s="256">
        <v>2.45936624186705E-3</v>
      </c>
      <c r="G127" s="181">
        <v>1</v>
      </c>
      <c r="H127" s="267">
        <v>43050</v>
      </c>
      <c r="I127" s="266" t="s">
        <v>2985</v>
      </c>
      <c r="J127" s="266">
        <v>0</v>
      </c>
      <c r="K127" s="271" t="s">
        <v>2986</v>
      </c>
      <c r="L127" s="256">
        <f t="shared" si="3"/>
        <v>133</v>
      </c>
      <c r="M127" s="256">
        <v>0</v>
      </c>
      <c r="N127" s="256">
        <v>1</v>
      </c>
      <c r="O127" s="256">
        <v>4</v>
      </c>
    </row>
    <row r="128" spans="1:18" s="69" customFormat="1" ht="90" hidden="1">
      <c r="A128" s="256" t="s">
        <v>2948</v>
      </c>
      <c r="B128" s="256" t="s">
        <v>45</v>
      </c>
      <c r="C128" s="256" t="s">
        <v>80</v>
      </c>
      <c r="D128" s="266" t="s">
        <v>2987</v>
      </c>
      <c r="E128" s="146">
        <f t="shared" si="2"/>
        <v>46</v>
      </c>
      <c r="F128" s="256">
        <v>0.880645551501682</v>
      </c>
      <c r="G128" s="181">
        <v>1</v>
      </c>
      <c r="H128" s="267">
        <v>43046</v>
      </c>
      <c r="I128" s="266" t="s">
        <v>2988</v>
      </c>
      <c r="J128" s="266">
        <v>0</v>
      </c>
      <c r="K128" s="271" t="s">
        <v>2989</v>
      </c>
      <c r="L128" s="256">
        <f t="shared" si="3"/>
        <v>131</v>
      </c>
      <c r="M128" s="256">
        <v>0</v>
      </c>
      <c r="N128" s="256">
        <v>1</v>
      </c>
      <c r="O128" s="256">
        <v>14</v>
      </c>
    </row>
    <row r="129" spans="1:18" s="69" customFormat="1" ht="60" hidden="1">
      <c r="A129" s="256" t="s">
        <v>2948</v>
      </c>
      <c r="B129" s="256" t="s">
        <v>45</v>
      </c>
      <c r="C129" s="256" t="s">
        <v>80</v>
      </c>
      <c r="D129" s="266" t="s">
        <v>359</v>
      </c>
      <c r="E129" s="146">
        <f t="shared" si="2"/>
        <v>39</v>
      </c>
      <c r="F129" s="256">
        <v>1.2948402269623599E-3</v>
      </c>
      <c r="G129" s="181">
        <v>1</v>
      </c>
      <c r="H129" s="268">
        <v>43044</v>
      </c>
      <c r="I129" s="266" t="s">
        <v>2990</v>
      </c>
      <c r="J129" s="266">
        <v>0</v>
      </c>
      <c r="K129" s="271" t="s">
        <v>2991</v>
      </c>
      <c r="L129" s="256">
        <f t="shared" si="3"/>
        <v>91</v>
      </c>
      <c r="M129" s="256">
        <v>0</v>
      </c>
      <c r="N129" s="256">
        <v>1</v>
      </c>
      <c r="O129" s="256">
        <v>3</v>
      </c>
    </row>
    <row r="130" spans="1:18" s="69" customFormat="1" ht="75" hidden="1">
      <c r="A130" s="256" t="s">
        <v>2948</v>
      </c>
      <c r="B130" s="256" t="s">
        <v>45</v>
      </c>
      <c r="C130" s="256" t="s">
        <v>80</v>
      </c>
      <c r="D130" s="266" t="s">
        <v>359</v>
      </c>
      <c r="E130" s="146">
        <f t="shared" si="2"/>
        <v>76</v>
      </c>
      <c r="F130" s="256">
        <v>4.6732461674146002E-3</v>
      </c>
      <c r="G130" s="181">
        <v>1</v>
      </c>
      <c r="H130" s="267">
        <v>42997</v>
      </c>
      <c r="I130" s="266" t="s">
        <v>2992</v>
      </c>
      <c r="J130" s="266">
        <v>0</v>
      </c>
      <c r="K130" s="271" t="s">
        <v>2993</v>
      </c>
      <c r="L130" s="256">
        <f t="shared" si="3"/>
        <v>100</v>
      </c>
      <c r="M130" s="256">
        <v>0</v>
      </c>
      <c r="N130" s="256">
        <v>1</v>
      </c>
      <c r="O130" s="256">
        <v>3</v>
      </c>
    </row>
    <row r="131" spans="1:18" s="69" customFormat="1" ht="75" hidden="1">
      <c r="A131" s="256" t="s">
        <v>2948</v>
      </c>
      <c r="B131" s="256" t="s">
        <v>45</v>
      </c>
      <c r="C131" s="256" t="s">
        <v>80</v>
      </c>
      <c r="D131" s="266" t="s">
        <v>159</v>
      </c>
      <c r="E131" s="146">
        <f t="shared" ref="E131:E192" si="4">LEN(I131)</f>
        <v>37</v>
      </c>
      <c r="F131" s="256">
        <v>5.6210768821390401E-2</v>
      </c>
      <c r="G131" s="181">
        <v>1</v>
      </c>
      <c r="H131" s="267">
        <v>42975</v>
      </c>
      <c r="I131" s="266" t="s">
        <v>2994</v>
      </c>
      <c r="J131" s="266">
        <v>0</v>
      </c>
      <c r="K131" s="271" t="s">
        <v>2995</v>
      </c>
      <c r="L131" s="256">
        <f t="shared" ref="L131:L174" si="5">LEN(K131)</f>
        <v>106</v>
      </c>
      <c r="M131" s="256">
        <v>0</v>
      </c>
      <c r="N131" s="256">
        <v>1</v>
      </c>
      <c r="O131" s="256">
        <v>14</v>
      </c>
    </row>
    <row r="132" spans="1:18" s="69" customFormat="1" ht="90" hidden="1">
      <c r="A132" s="256" t="s">
        <v>2948</v>
      </c>
      <c r="B132" s="256" t="s">
        <v>45</v>
      </c>
      <c r="C132" s="256" t="s">
        <v>80</v>
      </c>
      <c r="D132" s="266" t="s">
        <v>2996</v>
      </c>
      <c r="E132" s="146">
        <f t="shared" si="4"/>
        <v>94</v>
      </c>
      <c r="F132" s="256">
        <v>1.3501136534414E-3</v>
      </c>
      <c r="G132" s="181">
        <v>1</v>
      </c>
      <c r="H132" s="267">
        <v>42968</v>
      </c>
      <c r="I132" s="266" t="s">
        <v>2997</v>
      </c>
      <c r="J132" s="266">
        <v>0</v>
      </c>
      <c r="K132" s="271" t="s">
        <v>2998</v>
      </c>
      <c r="L132" s="256">
        <f t="shared" si="5"/>
        <v>125</v>
      </c>
      <c r="M132" s="256">
        <v>0</v>
      </c>
      <c r="N132" s="256">
        <v>1</v>
      </c>
      <c r="O132" s="256">
        <v>3</v>
      </c>
    </row>
    <row r="133" spans="1:18" s="69" customFormat="1" ht="180" hidden="1">
      <c r="A133" s="256" t="s">
        <v>2948</v>
      </c>
      <c r="B133" s="256" t="s">
        <v>45</v>
      </c>
      <c r="C133" s="256" t="s">
        <v>46</v>
      </c>
      <c r="D133" s="266" t="s">
        <v>359</v>
      </c>
      <c r="E133" s="146">
        <f t="shared" si="4"/>
        <v>338</v>
      </c>
      <c r="F133" s="256">
        <v>0</v>
      </c>
      <c r="G133" s="181">
        <v>1</v>
      </c>
      <c r="H133" s="267">
        <v>42942</v>
      </c>
      <c r="I133" s="266" t="s">
        <v>2999</v>
      </c>
      <c r="J133" s="266">
        <v>0</v>
      </c>
      <c r="K133" s="271" t="s">
        <v>3000</v>
      </c>
      <c r="L133" s="256">
        <f t="shared" si="5"/>
        <v>169</v>
      </c>
      <c r="M133" s="256">
        <v>0</v>
      </c>
      <c r="N133" s="256">
        <v>1</v>
      </c>
      <c r="O133" s="256">
        <v>5</v>
      </c>
    </row>
    <row r="134" spans="1:18" s="69" customFormat="1" ht="135" hidden="1">
      <c r="A134" s="256" t="s">
        <v>3001</v>
      </c>
      <c r="B134" s="256" t="s">
        <v>45</v>
      </c>
      <c r="C134" s="256" t="s">
        <v>46</v>
      </c>
      <c r="D134" s="266" t="s">
        <v>3002</v>
      </c>
      <c r="E134" s="146">
        <f t="shared" si="4"/>
        <v>48</v>
      </c>
      <c r="F134" s="256">
        <v>1.1163643592974101E-3</v>
      </c>
      <c r="G134" s="181">
        <v>1</v>
      </c>
      <c r="H134" s="267">
        <v>43852</v>
      </c>
      <c r="I134" s="266" t="s">
        <v>3003</v>
      </c>
      <c r="J134" s="266">
        <v>0</v>
      </c>
      <c r="K134" s="271" t="s">
        <v>3004</v>
      </c>
      <c r="L134" s="256">
        <f t="shared" si="5"/>
        <v>205</v>
      </c>
      <c r="M134" s="256">
        <v>0</v>
      </c>
      <c r="N134" s="256">
        <v>1</v>
      </c>
      <c r="O134" s="256">
        <v>12</v>
      </c>
      <c r="P134" s="69">
        <f>AVERAGE(M134:M143)</f>
        <v>0.3</v>
      </c>
      <c r="Q134" s="69">
        <f>AVERAGE(N134:N143)</f>
        <v>1.1000000000000001</v>
      </c>
      <c r="R134" s="69">
        <f>AVERAGE(O134:O143)</f>
        <v>4.4000000000000004</v>
      </c>
    </row>
    <row r="135" spans="1:18" s="69" customFormat="1" ht="195" hidden="1">
      <c r="A135" s="256" t="s">
        <v>3001</v>
      </c>
      <c r="B135" s="256" t="s">
        <v>45</v>
      </c>
      <c r="C135" s="256" t="s">
        <v>46</v>
      </c>
      <c r="D135" s="266" t="s">
        <v>3005</v>
      </c>
      <c r="E135" s="146">
        <f t="shared" si="4"/>
        <v>19</v>
      </c>
      <c r="F135" s="256">
        <v>0.14039620717655901</v>
      </c>
      <c r="G135" s="181">
        <v>1</v>
      </c>
      <c r="H135" s="267">
        <v>43787</v>
      </c>
      <c r="I135" s="272" t="s">
        <v>3006</v>
      </c>
      <c r="J135" s="272">
        <v>0</v>
      </c>
      <c r="K135" s="271" t="s">
        <v>3007</v>
      </c>
      <c r="L135" s="256">
        <f t="shared" si="5"/>
        <v>287</v>
      </c>
      <c r="M135" s="256">
        <v>1</v>
      </c>
      <c r="N135" s="256">
        <v>2</v>
      </c>
      <c r="O135" s="256">
        <v>4</v>
      </c>
    </row>
    <row r="136" spans="1:18" s="69" customFormat="1" ht="180" hidden="1">
      <c r="A136" s="256" t="s">
        <v>3001</v>
      </c>
      <c r="B136" s="256" t="s">
        <v>45</v>
      </c>
      <c r="C136" s="256" t="s">
        <v>46</v>
      </c>
      <c r="D136" s="266" t="s">
        <v>3008</v>
      </c>
      <c r="E136" s="146">
        <f t="shared" si="4"/>
        <v>37</v>
      </c>
      <c r="F136" s="256">
        <v>1.5346387886042701E-3</v>
      </c>
      <c r="G136" s="181">
        <v>1</v>
      </c>
      <c r="H136" s="267">
        <v>43746</v>
      </c>
      <c r="I136" s="266" t="s">
        <v>3009</v>
      </c>
      <c r="J136" s="266">
        <v>0</v>
      </c>
      <c r="K136" s="271" t="s">
        <v>3010</v>
      </c>
      <c r="L136" s="256">
        <f t="shared" si="5"/>
        <v>262</v>
      </c>
      <c r="M136" s="256">
        <v>2</v>
      </c>
      <c r="N136" s="256">
        <v>1</v>
      </c>
      <c r="O136" s="256">
        <v>4</v>
      </c>
    </row>
    <row r="137" spans="1:18" s="69" customFormat="1" ht="180" hidden="1">
      <c r="A137" s="256" t="s">
        <v>3001</v>
      </c>
      <c r="B137" s="256" t="s">
        <v>45</v>
      </c>
      <c r="C137" s="256" t="s">
        <v>46</v>
      </c>
      <c r="D137" s="266" t="s">
        <v>3011</v>
      </c>
      <c r="E137" s="146">
        <f t="shared" si="4"/>
        <v>71</v>
      </c>
      <c r="F137" s="256">
        <v>0.112948351788016</v>
      </c>
      <c r="G137" s="181">
        <v>1</v>
      </c>
      <c r="H137" s="267">
        <v>43685</v>
      </c>
      <c r="I137" s="266" t="s">
        <v>3012</v>
      </c>
      <c r="J137" s="266">
        <v>0</v>
      </c>
      <c r="K137" s="271" t="s">
        <v>3013</v>
      </c>
      <c r="L137" s="256">
        <f t="shared" si="5"/>
        <v>251</v>
      </c>
      <c r="M137" s="256">
        <v>0</v>
      </c>
      <c r="N137" s="256">
        <v>1</v>
      </c>
      <c r="O137" s="256">
        <v>5</v>
      </c>
    </row>
    <row r="138" spans="1:18" s="69" customFormat="1" ht="90" hidden="1">
      <c r="A138" s="256" t="s">
        <v>3001</v>
      </c>
      <c r="B138" s="256" t="s">
        <v>45</v>
      </c>
      <c r="C138" s="256" t="s">
        <v>80</v>
      </c>
      <c r="D138" s="266" t="s">
        <v>180</v>
      </c>
      <c r="E138" s="146">
        <f t="shared" si="4"/>
        <v>39</v>
      </c>
      <c r="F138" s="256">
        <v>4.6620988993985701E-2</v>
      </c>
      <c r="G138" s="181">
        <v>1</v>
      </c>
      <c r="H138" s="267">
        <v>43638</v>
      </c>
      <c r="I138" s="266" t="s">
        <v>3014</v>
      </c>
      <c r="J138" s="266">
        <v>0</v>
      </c>
      <c r="K138" s="271" t="s">
        <v>3015</v>
      </c>
      <c r="L138" s="256">
        <f t="shared" si="5"/>
        <v>129</v>
      </c>
      <c r="M138" s="256">
        <v>0</v>
      </c>
      <c r="N138" s="256">
        <v>1</v>
      </c>
      <c r="O138" s="256">
        <v>4</v>
      </c>
    </row>
    <row r="139" spans="1:18" s="69" customFormat="1" ht="90" hidden="1">
      <c r="A139" s="256" t="s">
        <v>3001</v>
      </c>
      <c r="B139" s="256" t="s">
        <v>45</v>
      </c>
      <c r="C139" s="256" t="s">
        <v>80</v>
      </c>
      <c r="D139" s="266" t="s">
        <v>778</v>
      </c>
      <c r="E139" s="146">
        <f t="shared" si="4"/>
        <v>46</v>
      </c>
      <c r="F139" s="256">
        <v>2.8220003137282599E-2</v>
      </c>
      <c r="G139" s="181">
        <v>1</v>
      </c>
      <c r="H139" s="267">
        <v>43408</v>
      </c>
      <c r="I139" s="266" t="s">
        <v>3016</v>
      </c>
      <c r="J139" s="266">
        <v>0</v>
      </c>
      <c r="K139" s="271" t="s">
        <v>3017</v>
      </c>
      <c r="L139" s="256">
        <f t="shared" si="5"/>
        <v>126</v>
      </c>
      <c r="M139" s="256">
        <v>0</v>
      </c>
      <c r="N139" s="256">
        <v>1</v>
      </c>
      <c r="O139" s="256">
        <v>3</v>
      </c>
    </row>
    <row r="140" spans="1:18" s="69" customFormat="1" ht="90" hidden="1">
      <c r="A140" s="256" t="s">
        <v>3001</v>
      </c>
      <c r="B140" s="256" t="s">
        <v>45</v>
      </c>
      <c r="C140" s="256" t="s">
        <v>46</v>
      </c>
      <c r="D140" s="266" t="s">
        <v>3018</v>
      </c>
      <c r="E140" s="146">
        <f t="shared" si="4"/>
        <v>125</v>
      </c>
      <c r="F140" s="256">
        <v>7.3801562433084596E-5</v>
      </c>
      <c r="G140" s="181">
        <v>1</v>
      </c>
      <c r="H140" s="267">
        <v>43351</v>
      </c>
      <c r="I140" s="181" t="s">
        <v>3019</v>
      </c>
      <c r="J140" s="181">
        <v>0</v>
      </c>
      <c r="K140" s="271" t="s">
        <v>3020</v>
      </c>
      <c r="L140" s="256">
        <f t="shared" si="5"/>
        <v>64</v>
      </c>
      <c r="M140" s="256">
        <v>0</v>
      </c>
      <c r="N140" s="256">
        <v>1</v>
      </c>
      <c r="O140" s="256">
        <v>2</v>
      </c>
    </row>
    <row r="141" spans="1:18" s="69" customFormat="1" ht="60" hidden="1">
      <c r="A141" s="256" t="s">
        <v>3001</v>
      </c>
      <c r="B141" s="256" t="s">
        <v>45</v>
      </c>
      <c r="C141" s="256" t="s">
        <v>46</v>
      </c>
      <c r="D141" s="266" t="s">
        <v>3021</v>
      </c>
      <c r="E141" s="146">
        <f t="shared" si="4"/>
        <v>59</v>
      </c>
      <c r="F141" s="256">
        <v>7.7390765839947903E-2</v>
      </c>
      <c r="G141" s="181">
        <v>1</v>
      </c>
      <c r="H141" s="267">
        <v>43403</v>
      </c>
      <c r="I141" s="266" t="s">
        <v>3022</v>
      </c>
      <c r="J141" s="266">
        <v>0</v>
      </c>
      <c r="K141" s="271" t="s">
        <v>3023</v>
      </c>
      <c r="L141" s="256">
        <f t="shared" si="5"/>
        <v>69</v>
      </c>
      <c r="M141" s="256">
        <v>0</v>
      </c>
      <c r="N141" s="256">
        <v>1</v>
      </c>
      <c r="O141" s="256">
        <v>6</v>
      </c>
    </row>
    <row r="142" spans="1:18" s="69" customFormat="1" ht="45" hidden="1">
      <c r="A142" s="256" t="s">
        <v>3001</v>
      </c>
      <c r="B142" s="256" t="s">
        <v>45</v>
      </c>
      <c r="C142" s="256" t="s">
        <v>80</v>
      </c>
      <c r="D142" s="266" t="s">
        <v>3024</v>
      </c>
      <c r="E142" s="146">
        <f t="shared" si="4"/>
        <v>78</v>
      </c>
      <c r="F142" s="256">
        <v>5.4563874933325502E-3</v>
      </c>
      <c r="G142" s="181">
        <v>1</v>
      </c>
      <c r="H142" s="268">
        <v>43348</v>
      </c>
      <c r="I142" s="266" t="s">
        <v>3025</v>
      </c>
      <c r="J142" s="266">
        <v>0</v>
      </c>
      <c r="K142" s="271" t="s">
        <v>3026</v>
      </c>
      <c r="L142" s="256">
        <f t="shared" si="5"/>
        <v>54</v>
      </c>
      <c r="M142" s="256">
        <v>0</v>
      </c>
      <c r="N142" s="256">
        <v>1</v>
      </c>
      <c r="O142" s="256">
        <v>2</v>
      </c>
    </row>
    <row r="143" spans="1:18" s="69" customFormat="1" ht="60" hidden="1">
      <c r="A143" s="256" t="s">
        <v>3001</v>
      </c>
      <c r="B143" s="256" t="s">
        <v>45</v>
      </c>
      <c r="C143" s="256" t="s">
        <v>46</v>
      </c>
      <c r="D143" s="266" t="s">
        <v>3027</v>
      </c>
      <c r="E143" s="146">
        <f t="shared" si="4"/>
        <v>59</v>
      </c>
      <c r="F143" s="256">
        <v>2.10598989488269E-2</v>
      </c>
      <c r="G143" s="181">
        <v>1</v>
      </c>
      <c r="H143" s="267">
        <v>42982</v>
      </c>
      <c r="I143" s="266" t="s">
        <v>3028</v>
      </c>
      <c r="J143" s="266">
        <v>0</v>
      </c>
      <c r="K143" s="271" t="s">
        <v>3029</v>
      </c>
      <c r="L143" s="256">
        <f t="shared" si="5"/>
        <v>57</v>
      </c>
      <c r="M143" s="256">
        <v>0</v>
      </c>
      <c r="N143" s="256">
        <v>1</v>
      </c>
      <c r="O143" s="256">
        <v>2</v>
      </c>
    </row>
    <row r="144" spans="1:18" s="69" customFormat="1" ht="45" hidden="1">
      <c r="A144" s="256" t="s">
        <v>3030</v>
      </c>
      <c r="B144" s="256" t="s">
        <v>45</v>
      </c>
      <c r="C144" s="256" t="s">
        <v>80</v>
      </c>
      <c r="D144" s="261" t="s">
        <v>3031</v>
      </c>
      <c r="E144" s="146">
        <f t="shared" si="4"/>
        <v>53</v>
      </c>
      <c r="F144" s="256"/>
      <c r="G144" s="181">
        <v>1</v>
      </c>
      <c r="H144" s="264">
        <v>44166</v>
      </c>
      <c r="I144" s="261" t="s">
        <v>3032</v>
      </c>
      <c r="J144" s="266">
        <v>0</v>
      </c>
      <c r="K144" s="261" t="s">
        <v>3033</v>
      </c>
      <c r="L144" s="256">
        <f t="shared" si="5"/>
        <v>67</v>
      </c>
      <c r="M144" s="256">
        <v>0</v>
      </c>
      <c r="N144" s="256">
        <v>1</v>
      </c>
      <c r="O144" s="256">
        <v>1</v>
      </c>
      <c r="P144" s="69">
        <f>AVERAGE(M144:M162)</f>
        <v>0.31578947368421051</v>
      </c>
      <c r="Q144" s="69">
        <f>AVERAGE(N144:N162)</f>
        <v>1.2105263157894737</v>
      </c>
      <c r="R144" s="69">
        <f>AVERAGE(O144:O162)</f>
        <v>8.7368421052631575</v>
      </c>
    </row>
    <row r="145" spans="1:15" s="69" customFormat="1" ht="75" hidden="1">
      <c r="A145" s="256" t="s">
        <v>3030</v>
      </c>
      <c r="B145" s="256" t="s">
        <v>45</v>
      </c>
      <c r="C145" s="256" t="s">
        <v>80</v>
      </c>
      <c r="D145" s="266" t="s">
        <v>3034</v>
      </c>
      <c r="E145" s="146">
        <f t="shared" si="4"/>
        <v>49</v>
      </c>
      <c r="F145" s="256">
        <v>0.24687893104386899</v>
      </c>
      <c r="G145" s="181">
        <v>1</v>
      </c>
      <c r="H145" s="267">
        <v>44013</v>
      </c>
      <c r="I145" s="266" t="s">
        <v>3035</v>
      </c>
      <c r="J145" s="266">
        <v>0</v>
      </c>
      <c r="K145" s="271" t="s">
        <v>3036</v>
      </c>
      <c r="L145" s="256">
        <f t="shared" si="5"/>
        <v>89</v>
      </c>
      <c r="M145" s="256">
        <v>0</v>
      </c>
      <c r="N145" s="256">
        <v>1</v>
      </c>
      <c r="O145" s="256">
        <v>5</v>
      </c>
    </row>
    <row r="146" spans="1:15" s="69" customFormat="1" ht="45" hidden="1">
      <c r="A146" s="256" t="s">
        <v>3030</v>
      </c>
      <c r="B146" s="256" t="s">
        <v>45</v>
      </c>
      <c r="C146" s="256" t="s">
        <v>80</v>
      </c>
      <c r="D146" s="266" t="s">
        <v>3037</v>
      </c>
      <c r="E146" s="146">
        <f t="shared" si="4"/>
        <v>35</v>
      </c>
      <c r="F146" s="256">
        <v>3.2851643648894598E-2</v>
      </c>
      <c r="G146" s="181">
        <v>1</v>
      </c>
      <c r="H146" s="267">
        <v>43724</v>
      </c>
      <c r="I146" s="266" t="s">
        <v>3038</v>
      </c>
      <c r="J146" s="266">
        <v>0</v>
      </c>
      <c r="K146" s="271" t="s">
        <v>3039</v>
      </c>
      <c r="L146" s="256">
        <f t="shared" si="5"/>
        <v>60</v>
      </c>
      <c r="M146" s="256">
        <v>2</v>
      </c>
      <c r="N146" s="256">
        <v>2</v>
      </c>
      <c r="O146" s="256">
        <v>7</v>
      </c>
    </row>
    <row r="147" spans="1:15" s="69" customFormat="1" ht="120" hidden="1">
      <c r="A147" s="256" t="s">
        <v>3030</v>
      </c>
      <c r="B147" s="256" t="s">
        <v>59</v>
      </c>
      <c r="C147" s="256" t="s">
        <v>80</v>
      </c>
      <c r="D147" s="266" t="s">
        <v>3040</v>
      </c>
      <c r="E147" s="146">
        <f t="shared" si="4"/>
        <v>41</v>
      </c>
      <c r="F147" s="256">
        <v>2.9690246153313298E-4</v>
      </c>
      <c r="G147" s="181">
        <v>1</v>
      </c>
      <c r="H147" s="267">
        <v>43551</v>
      </c>
      <c r="I147" s="266" t="s">
        <v>3041</v>
      </c>
      <c r="J147" s="266">
        <v>1</v>
      </c>
      <c r="K147" s="271" t="s">
        <v>3042</v>
      </c>
      <c r="L147" s="256">
        <f t="shared" si="5"/>
        <v>176</v>
      </c>
      <c r="M147" s="256">
        <v>0</v>
      </c>
      <c r="N147" s="256">
        <v>1</v>
      </c>
      <c r="O147" s="256">
        <v>2</v>
      </c>
    </row>
    <row r="148" spans="1:15" s="69" customFormat="1" ht="180" hidden="1">
      <c r="A148" s="256" t="s">
        <v>3030</v>
      </c>
      <c r="B148" s="256" t="s">
        <v>59</v>
      </c>
      <c r="C148" s="256" t="s">
        <v>46</v>
      </c>
      <c r="D148" s="266" t="s">
        <v>3043</v>
      </c>
      <c r="E148" s="146">
        <f t="shared" si="4"/>
        <v>331</v>
      </c>
      <c r="F148" s="256">
        <v>0.99795956913192796</v>
      </c>
      <c r="G148" s="181">
        <v>1</v>
      </c>
      <c r="H148" s="267">
        <v>43476</v>
      </c>
      <c r="I148" s="181" t="s">
        <v>4460</v>
      </c>
      <c r="J148" s="181">
        <v>0</v>
      </c>
      <c r="K148" s="271" t="s">
        <v>3045</v>
      </c>
      <c r="L148" s="256">
        <f t="shared" si="5"/>
        <v>87</v>
      </c>
      <c r="M148" s="256">
        <v>1</v>
      </c>
      <c r="N148" s="256">
        <v>2</v>
      </c>
      <c r="O148" s="256">
        <v>6</v>
      </c>
    </row>
    <row r="149" spans="1:15" s="69" customFormat="1" ht="60" hidden="1">
      <c r="A149" s="256" t="s">
        <v>3030</v>
      </c>
      <c r="B149" s="256" t="s">
        <v>45</v>
      </c>
      <c r="C149" s="256" t="s">
        <v>46</v>
      </c>
      <c r="D149" s="266" t="s">
        <v>3046</v>
      </c>
      <c r="E149" s="146">
        <f t="shared" si="4"/>
        <v>99</v>
      </c>
      <c r="F149" s="256">
        <v>0.31595666370138498</v>
      </c>
      <c r="G149" s="181">
        <v>1</v>
      </c>
      <c r="H149" s="268">
        <v>43223</v>
      </c>
      <c r="I149" s="266" t="s">
        <v>3047</v>
      </c>
      <c r="J149" s="266">
        <v>0</v>
      </c>
      <c r="K149" s="271" t="s">
        <v>3048</v>
      </c>
      <c r="L149" s="256">
        <f t="shared" si="5"/>
        <v>16</v>
      </c>
      <c r="M149" s="256">
        <v>0</v>
      </c>
      <c r="N149" s="256">
        <v>1</v>
      </c>
      <c r="O149" s="256">
        <v>5</v>
      </c>
    </row>
    <row r="150" spans="1:15" s="69" customFormat="1" ht="60" hidden="1">
      <c r="A150" s="256" t="s">
        <v>3030</v>
      </c>
      <c r="B150" s="256" t="s">
        <v>45</v>
      </c>
      <c r="C150" s="256" t="s">
        <v>80</v>
      </c>
      <c r="D150" s="266" t="s">
        <v>2704</v>
      </c>
      <c r="E150" s="146">
        <f t="shared" si="4"/>
        <v>81</v>
      </c>
      <c r="F150" s="256">
        <v>6.8306767110407299E-2</v>
      </c>
      <c r="G150" s="181">
        <v>1</v>
      </c>
      <c r="H150" s="267">
        <v>43192</v>
      </c>
      <c r="I150" s="181" t="s">
        <v>2974</v>
      </c>
      <c r="J150" s="181">
        <v>0</v>
      </c>
      <c r="K150" s="271" t="s">
        <v>2975</v>
      </c>
      <c r="L150" s="256">
        <f t="shared" si="5"/>
        <v>44</v>
      </c>
      <c r="M150" s="256">
        <v>0</v>
      </c>
      <c r="N150" s="256">
        <v>1</v>
      </c>
      <c r="O150" s="256">
        <v>26</v>
      </c>
    </row>
    <row r="151" spans="1:15" s="69" customFormat="1" ht="120" hidden="1">
      <c r="A151" s="256" t="s">
        <v>3030</v>
      </c>
      <c r="B151" s="256" t="s">
        <v>45</v>
      </c>
      <c r="C151" s="256" t="s">
        <v>46</v>
      </c>
      <c r="D151" s="266" t="s">
        <v>3049</v>
      </c>
      <c r="E151" s="146">
        <f t="shared" si="4"/>
        <v>92</v>
      </c>
      <c r="F151" s="256">
        <v>4.47827226413011E-8</v>
      </c>
      <c r="G151" s="181">
        <v>1</v>
      </c>
      <c r="H151" s="267">
        <v>43199</v>
      </c>
      <c r="I151" s="266" t="s">
        <v>4461</v>
      </c>
      <c r="J151" s="266">
        <v>0</v>
      </c>
      <c r="K151" s="271" t="s">
        <v>3051</v>
      </c>
      <c r="L151" s="256">
        <f t="shared" si="5"/>
        <v>176</v>
      </c>
      <c r="M151" s="256">
        <v>0</v>
      </c>
      <c r="N151" s="256">
        <v>1</v>
      </c>
      <c r="O151" s="256">
        <v>2</v>
      </c>
    </row>
    <row r="152" spans="1:15" s="69" customFormat="1" ht="135" hidden="1">
      <c r="A152" s="256" t="s">
        <v>3030</v>
      </c>
      <c r="B152" s="256" t="s">
        <v>45</v>
      </c>
      <c r="C152" s="256" t="s">
        <v>46</v>
      </c>
      <c r="D152" s="266" t="s">
        <v>3052</v>
      </c>
      <c r="E152" s="146">
        <f t="shared" si="4"/>
        <v>144</v>
      </c>
      <c r="F152" s="256">
        <v>0.174642146469146</v>
      </c>
      <c r="G152" s="181">
        <v>1</v>
      </c>
      <c r="H152" s="267">
        <v>43198</v>
      </c>
      <c r="I152" s="266" t="s">
        <v>4462</v>
      </c>
      <c r="J152" s="266">
        <v>0</v>
      </c>
      <c r="K152" s="271" t="s">
        <v>3054</v>
      </c>
      <c r="L152" s="256">
        <f t="shared" si="5"/>
        <v>187</v>
      </c>
      <c r="M152" s="256">
        <v>1</v>
      </c>
      <c r="N152" s="256">
        <v>1</v>
      </c>
      <c r="O152" s="256">
        <v>11</v>
      </c>
    </row>
    <row r="153" spans="1:15" s="69" customFormat="1" ht="180" hidden="1">
      <c r="A153" s="256" t="s">
        <v>3030</v>
      </c>
      <c r="B153" s="256" t="s">
        <v>45</v>
      </c>
      <c r="C153" s="256" t="s">
        <v>46</v>
      </c>
      <c r="D153" s="266" t="s">
        <v>3055</v>
      </c>
      <c r="E153" s="146">
        <f t="shared" si="4"/>
        <v>187</v>
      </c>
      <c r="F153" s="256">
        <v>0.999997786869673</v>
      </c>
      <c r="G153" s="181">
        <v>1</v>
      </c>
      <c r="H153" s="267">
        <v>43182</v>
      </c>
      <c r="I153" s="266" t="s">
        <v>3056</v>
      </c>
      <c r="J153" s="266">
        <v>1</v>
      </c>
      <c r="K153" s="271" t="s">
        <v>3057</v>
      </c>
      <c r="L153" s="256">
        <f t="shared" si="5"/>
        <v>254</v>
      </c>
      <c r="M153" s="256">
        <v>1</v>
      </c>
      <c r="N153" s="256">
        <v>1</v>
      </c>
      <c r="O153" s="256">
        <v>27</v>
      </c>
    </row>
    <row r="154" spans="1:15" s="69" customFormat="1" ht="120" hidden="1">
      <c r="A154" s="256" t="s">
        <v>3030</v>
      </c>
      <c r="B154" s="256" t="s">
        <v>45</v>
      </c>
      <c r="C154" s="256" t="s">
        <v>46</v>
      </c>
      <c r="D154" s="266" t="s">
        <v>3058</v>
      </c>
      <c r="E154" s="146">
        <f t="shared" si="4"/>
        <v>108</v>
      </c>
      <c r="F154" s="256">
        <v>1.41894533388121E-3</v>
      </c>
      <c r="G154" s="181">
        <v>1</v>
      </c>
      <c r="H154" s="267">
        <v>43103</v>
      </c>
      <c r="I154" s="266" t="s">
        <v>3059</v>
      </c>
      <c r="J154" s="266">
        <v>0</v>
      </c>
      <c r="K154" s="271" t="s">
        <v>3060</v>
      </c>
      <c r="L154" s="256">
        <f t="shared" si="5"/>
        <v>169</v>
      </c>
      <c r="M154" s="256">
        <v>0</v>
      </c>
      <c r="N154" s="256">
        <v>1</v>
      </c>
      <c r="O154" s="256">
        <v>5</v>
      </c>
    </row>
    <row r="155" spans="1:15" s="69" customFormat="1" ht="135" hidden="1">
      <c r="A155" s="256" t="s">
        <v>3030</v>
      </c>
      <c r="B155" s="256" t="s">
        <v>45</v>
      </c>
      <c r="C155" s="256" t="s">
        <v>76</v>
      </c>
      <c r="D155" s="266" t="s">
        <v>3061</v>
      </c>
      <c r="E155" s="146">
        <f t="shared" si="4"/>
        <v>77</v>
      </c>
      <c r="F155" s="256">
        <v>3.8002029022376997E-5</v>
      </c>
      <c r="G155" s="181">
        <v>1</v>
      </c>
      <c r="H155" s="267">
        <v>43096</v>
      </c>
      <c r="I155" s="266" t="s">
        <v>3062</v>
      </c>
      <c r="J155" s="266">
        <v>0</v>
      </c>
      <c r="K155" s="271" t="s">
        <v>3063</v>
      </c>
      <c r="L155" s="256">
        <f t="shared" si="5"/>
        <v>184</v>
      </c>
      <c r="M155" s="256">
        <v>0</v>
      </c>
      <c r="N155" s="256">
        <v>1</v>
      </c>
      <c r="O155" s="256">
        <v>2</v>
      </c>
    </row>
    <row r="156" spans="1:15" s="69" customFormat="1" ht="105" hidden="1">
      <c r="A156" s="256" t="s">
        <v>3030</v>
      </c>
      <c r="B156" s="256" t="s">
        <v>45</v>
      </c>
      <c r="C156" s="256" t="s">
        <v>76</v>
      </c>
      <c r="D156" s="266" t="s">
        <v>3064</v>
      </c>
      <c r="E156" s="146">
        <f t="shared" si="4"/>
        <v>41</v>
      </c>
      <c r="F156" s="256">
        <v>0.74915195994391104</v>
      </c>
      <c r="G156" s="181">
        <v>1</v>
      </c>
      <c r="H156" s="267">
        <v>43094</v>
      </c>
      <c r="I156" s="266" t="s">
        <v>3065</v>
      </c>
      <c r="J156" s="266">
        <v>0</v>
      </c>
      <c r="K156" s="271" t="s">
        <v>3066</v>
      </c>
      <c r="L156" s="256">
        <f t="shared" si="5"/>
        <v>118</v>
      </c>
      <c r="M156" s="256">
        <v>0</v>
      </c>
      <c r="N156" s="256">
        <v>1</v>
      </c>
      <c r="O156" s="256">
        <v>14</v>
      </c>
    </row>
    <row r="157" spans="1:15" s="69" customFormat="1" ht="120" hidden="1">
      <c r="A157" s="256" t="s">
        <v>3030</v>
      </c>
      <c r="B157" s="256" t="s">
        <v>45</v>
      </c>
      <c r="C157" s="256" t="s">
        <v>80</v>
      </c>
      <c r="D157" s="266" t="s">
        <v>305</v>
      </c>
      <c r="E157" s="146">
        <f t="shared" si="4"/>
        <v>43</v>
      </c>
      <c r="F157" s="256">
        <v>7.4733922473035896E-5</v>
      </c>
      <c r="G157" s="181">
        <v>1</v>
      </c>
      <c r="H157" s="267">
        <v>43094</v>
      </c>
      <c r="I157" s="266" t="s">
        <v>3067</v>
      </c>
      <c r="J157" s="266">
        <v>0</v>
      </c>
      <c r="K157" s="271" t="s">
        <v>3068</v>
      </c>
      <c r="L157" s="256">
        <f t="shared" si="5"/>
        <v>171</v>
      </c>
      <c r="M157" s="256">
        <v>0</v>
      </c>
      <c r="N157" s="256">
        <v>1</v>
      </c>
      <c r="O157" s="256">
        <v>3</v>
      </c>
    </row>
    <row r="158" spans="1:15" s="69" customFormat="1" ht="105" hidden="1">
      <c r="A158" s="256" t="s">
        <v>3030</v>
      </c>
      <c r="B158" s="256" t="s">
        <v>45</v>
      </c>
      <c r="C158" s="256" t="s">
        <v>46</v>
      </c>
      <c r="D158" s="266" t="s">
        <v>3069</v>
      </c>
      <c r="E158" s="146">
        <f t="shared" si="4"/>
        <v>37</v>
      </c>
      <c r="F158" s="256">
        <v>0.177508298440616</v>
      </c>
      <c r="G158" s="181">
        <v>0</v>
      </c>
      <c r="H158" s="267">
        <v>43094</v>
      </c>
      <c r="I158" s="266" t="s">
        <v>4463</v>
      </c>
      <c r="J158" s="266">
        <v>0</v>
      </c>
      <c r="K158" s="271" t="s">
        <v>3071</v>
      </c>
      <c r="L158" s="256">
        <f t="shared" si="5"/>
        <v>133</v>
      </c>
      <c r="M158" s="256">
        <v>0</v>
      </c>
      <c r="N158" s="256">
        <v>1</v>
      </c>
      <c r="O158" s="256">
        <v>2</v>
      </c>
    </row>
    <row r="159" spans="1:15" s="69" customFormat="1" ht="120" hidden="1">
      <c r="A159" s="256" t="s">
        <v>3030</v>
      </c>
      <c r="B159" s="256" t="s">
        <v>45</v>
      </c>
      <c r="C159" s="256" t="s">
        <v>80</v>
      </c>
      <c r="D159" s="266" t="s">
        <v>159</v>
      </c>
      <c r="E159" s="146">
        <f t="shared" si="4"/>
        <v>45</v>
      </c>
      <c r="F159" s="256">
        <v>0.25313162408526502</v>
      </c>
      <c r="G159" s="181">
        <v>1</v>
      </c>
      <c r="H159" s="268">
        <v>43093</v>
      </c>
      <c r="I159" s="266" t="s">
        <v>3072</v>
      </c>
      <c r="J159" s="266">
        <v>0</v>
      </c>
      <c r="K159" s="271" t="s">
        <v>3068</v>
      </c>
      <c r="L159" s="256">
        <f t="shared" si="5"/>
        <v>171</v>
      </c>
      <c r="M159" s="256">
        <v>0</v>
      </c>
      <c r="N159" s="256">
        <v>1</v>
      </c>
      <c r="O159" s="256">
        <v>15</v>
      </c>
    </row>
    <row r="160" spans="1:15" s="69" customFormat="1" ht="180" hidden="1">
      <c r="A160" s="256" t="s">
        <v>3030</v>
      </c>
      <c r="B160" s="256" t="s">
        <v>45</v>
      </c>
      <c r="C160" s="256" t="s">
        <v>46</v>
      </c>
      <c r="D160" s="266" t="s">
        <v>3073</v>
      </c>
      <c r="E160" s="146">
        <f t="shared" si="4"/>
        <v>290</v>
      </c>
      <c r="F160" s="256">
        <v>1.21535540431594E-6</v>
      </c>
      <c r="G160" s="181">
        <v>1</v>
      </c>
      <c r="H160" s="267">
        <v>43013</v>
      </c>
      <c r="I160" s="181" t="s">
        <v>3074</v>
      </c>
      <c r="J160" s="181">
        <v>0</v>
      </c>
      <c r="K160" s="271" t="s">
        <v>3075</v>
      </c>
      <c r="L160" s="256">
        <f t="shared" si="5"/>
        <v>125</v>
      </c>
      <c r="M160" s="256">
        <v>0</v>
      </c>
      <c r="N160" s="256">
        <v>1</v>
      </c>
      <c r="O160" s="256">
        <v>13</v>
      </c>
    </row>
    <row r="161" spans="1:18" s="69" customFormat="1" ht="75" hidden="1">
      <c r="A161" s="256" t="s">
        <v>3030</v>
      </c>
      <c r="B161" s="256" t="s">
        <v>45</v>
      </c>
      <c r="C161" s="256" t="s">
        <v>80</v>
      </c>
      <c r="D161" s="266" t="s">
        <v>3076</v>
      </c>
      <c r="E161" s="146">
        <f t="shared" si="4"/>
        <v>122</v>
      </c>
      <c r="F161" s="256">
        <v>0.99999982846727498</v>
      </c>
      <c r="G161" s="181">
        <v>1</v>
      </c>
      <c r="H161" s="267">
        <v>42729</v>
      </c>
      <c r="I161" s="266" t="s">
        <v>3077</v>
      </c>
      <c r="J161" s="266">
        <v>1</v>
      </c>
      <c r="K161" s="271" t="s">
        <v>3078</v>
      </c>
      <c r="L161" s="256">
        <f t="shared" si="5"/>
        <v>64</v>
      </c>
      <c r="M161" s="256">
        <v>0</v>
      </c>
      <c r="N161" s="256">
        <v>1</v>
      </c>
      <c r="O161" s="256">
        <v>9</v>
      </c>
    </row>
    <row r="162" spans="1:18" s="69" customFormat="1" ht="105" hidden="1">
      <c r="A162" s="256" t="s">
        <v>3030</v>
      </c>
      <c r="B162" s="256" t="s">
        <v>119</v>
      </c>
      <c r="C162" s="256" t="s">
        <v>46</v>
      </c>
      <c r="D162" s="266" t="s">
        <v>3079</v>
      </c>
      <c r="E162" s="146">
        <f t="shared" si="4"/>
        <v>182</v>
      </c>
      <c r="F162" s="256">
        <v>1.34837112298891E-5</v>
      </c>
      <c r="G162" s="181">
        <v>1</v>
      </c>
      <c r="H162" s="267">
        <v>43022</v>
      </c>
      <c r="I162" s="266" t="s">
        <v>3080</v>
      </c>
      <c r="J162" s="266">
        <v>0</v>
      </c>
      <c r="K162" s="271" t="s">
        <v>3081</v>
      </c>
      <c r="L162" s="256">
        <f t="shared" si="5"/>
        <v>90</v>
      </c>
      <c r="M162" s="256">
        <v>1</v>
      </c>
      <c r="N162" s="256">
        <v>3</v>
      </c>
      <c r="O162" s="256">
        <v>11</v>
      </c>
    </row>
    <row r="163" spans="1:18" s="69" customFormat="1" ht="60">
      <c r="A163" s="256" t="s">
        <v>3082</v>
      </c>
      <c r="B163" s="256" t="s">
        <v>119</v>
      </c>
      <c r="C163" s="256" t="s">
        <v>80</v>
      </c>
      <c r="D163" s="266" t="s">
        <v>3083</v>
      </c>
      <c r="E163" s="146">
        <f t="shared" si="4"/>
        <v>35</v>
      </c>
      <c r="F163" s="256">
        <v>0.46501185305765502</v>
      </c>
      <c r="G163" s="181">
        <v>1</v>
      </c>
      <c r="H163" s="267">
        <v>44002</v>
      </c>
      <c r="I163" s="266" t="s">
        <v>3084</v>
      </c>
      <c r="J163" s="266">
        <v>0</v>
      </c>
      <c r="K163" s="271" t="s">
        <v>3085</v>
      </c>
      <c r="L163" s="256">
        <f t="shared" si="5"/>
        <v>85</v>
      </c>
      <c r="M163" s="256">
        <v>0</v>
      </c>
      <c r="N163" s="256">
        <v>1</v>
      </c>
      <c r="O163" s="256">
        <v>8</v>
      </c>
    </row>
    <row r="164" spans="1:18" s="69" customFormat="1" ht="60">
      <c r="A164" s="256" t="s">
        <v>3082</v>
      </c>
      <c r="B164" s="256" t="s">
        <v>45</v>
      </c>
      <c r="C164" s="256" t="s">
        <v>221</v>
      </c>
      <c r="D164" s="266" t="s">
        <v>3086</v>
      </c>
      <c r="E164" s="146">
        <f t="shared" si="4"/>
        <v>55</v>
      </c>
      <c r="F164" s="256">
        <v>1.29804351785924E-2</v>
      </c>
      <c r="G164" s="181">
        <v>1</v>
      </c>
      <c r="H164" s="267">
        <v>43900</v>
      </c>
      <c r="I164" s="266" t="s">
        <v>3087</v>
      </c>
      <c r="J164" s="266">
        <v>0</v>
      </c>
      <c r="K164" s="271" t="s">
        <v>3088</v>
      </c>
      <c r="L164" s="256">
        <f t="shared" si="5"/>
        <v>69</v>
      </c>
      <c r="M164" s="256">
        <v>0</v>
      </c>
      <c r="N164" s="256">
        <v>1</v>
      </c>
      <c r="O164" s="256">
        <v>2</v>
      </c>
    </row>
    <row r="165" spans="1:18" s="69" customFormat="1" ht="210">
      <c r="A165" s="256" t="s">
        <v>3082</v>
      </c>
      <c r="B165" s="256" t="s">
        <v>45</v>
      </c>
      <c r="C165" s="256" t="s">
        <v>80</v>
      </c>
      <c r="D165" s="266" t="s">
        <v>3089</v>
      </c>
      <c r="E165" s="146">
        <f t="shared" si="4"/>
        <v>270</v>
      </c>
      <c r="F165" s="256">
        <v>6.4007243748009897E-3</v>
      </c>
      <c r="G165" s="181">
        <v>1</v>
      </c>
      <c r="H165" s="267">
        <v>43651</v>
      </c>
      <c r="I165" s="266" t="s">
        <v>3090</v>
      </c>
      <c r="J165" s="266">
        <v>1</v>
      </c>
      <c r="K165" s="271" t="s">
        <v>3091</v>
      </c>
      <c r="L165" s="256">
        <f t="shared" si="5"/>
        <v>304</v>
      </c>
      <c r="M165" s="256">
        <v>0</v>
      </c>
      <c r="N165" s="256">
        <v>1</v>
      </c>
      <c r="O165" s="256">
        <v>4</v>
      </c>
    </row>
    <row r="166" spans="1:18" s="69" customFormat="1" ht="45">
      <c r="A166" s="256" t="s">
        <v>3082</v>
      </c>
      <c r="B166" s="256" t="s">
        <v>45</v>
      </c>
      <c r="C166" s="256" t="s">
        <v>46</v>
      </c>
      <c r="D166" s="266" t="s">
        <v>3092</v>
      </c>
      <c r="E166" s="146">
        <f t="shared" si="4"/>
        <v>69</v>
      </c>
      <c r="F166" s="256">
        <v>2.4140779893377901E-4</v>
      </c>
      <c r="G166" s="181">
        <v>1</v>
      </c>
      <c r="H166" s="267">
        <v>43382</v>
      </c>
      <c r="I166" s="266" t="s">
        <v>3093</v>
      </c>
      <c r="J166" s="266">
        <v>0</v>
      </c>
      <c r="K166" s="271" t="s">
        <v>3094</v>
      </c>
      <c r="L166" s="256">
        <f t="shared" si="5"/>
        <v>45</v>
      </c>
      <c r="M166" s="256">
        <v>0</v>
      </c>
      <c r="N166" s="256">
        <v>1</v>
      </c>
      <c r="O166" s="256">
        <v>1</v>
      </c>
    </row>
    <row r="167" spans="1:18" s="69" customFormat="1" ht="60">
      <c r="A167" s="256" t="s">
        <v>3082</v>
      </c>
      <c r="B167" s="256" t="s">
        <v>45</v>
      </c>
      <c r="C167" s="256" t="s">
        <v>80</v>
      </c>
      <c r="D167" s="266" t="s">
        <v>3095</v>
      </c>
      <c r="E167" s="146">
        <f t="shared" si="4"/>
        <v>97</v>
      </c>
      <c r="F167" s="256">
        <v>3.1078279982302802E-3</v>
      </c>
      <c r="G167" s="181">
        <v>1</v>
      </c>
      <c r="H167" s="267">
        <v>43307</v>
      </c>
      <c r="I167" s="266" t="s">
        <v>3096</v>
      </c>
      <c r="J167" s="266">
        <v>0</v>
      </c>
      <c r="K167" s="271" t="s">
        <v>3097</v>
      </c>
      <c r="L167" s="256">
        <f t="shared" si="5"/>
        <v>38</v>
      </c>
      <c r="M167" s="256">
        <v>1</v>
      </c>
      <c r="N167" s="256">
        <v>1</v>
      </c>
      <c r="O167" s="256">
        <v>7</v>
      </c>
    </row>
    <row r="168" spans="1:18" s="69" customFormat="1" ht="45">
      <c r="A168" s="256" t="s">
        <v>3082</v>
      </c>
      <c r="B168" s="256" t="s">
        <v>45</v>
      </c>
      <c r="C168" s="256" t="s">
        <v>80</v>
      </c>
      <c r="D168" s="266" t="s">
        <v>3098</v>
      </c>
      <c r="E168" s="146">
        <f t="shared" si="4"/>
        <v>83</v>
      </c>
      <c r="F168" s="256">
        <v>0.199455374293799</v>
      </c>
      <c r="G168" s="181">
        <v>1</v>
      </c>
      <c r="H168" s="267">
        <v>43214</v>
      </c>
      <c r="I168" s="266" t="s">
        <v>3099</v>
      </c>
      <c r="J168" s="266">
        <v>0</v>
      </c>
      <c r="K168" s="271" t="s">
        <v>3100</v>
      </c>
      <c r="L168" s="256">
        <f t="shared" si="5"/>
        <v>25</v>
      </c>
      <c r="M168" s="256">
        <v>1</v>
      </c>
      <c r="N168" s="256">
        <v>1</v>
      </c>
      <c r="O168" s="256">
        <v>28</v>
      </c>
    </row>
    <row r="169" spans="1:18" s="69" customFormat="1" ht="60">
      <c r="A169" s="256" t="s">
        <v>3082</v>
      </c>
      <c r="B169" s="256" t="s">
        <v>45</v>
      </c>
      <c r="C169" s="256" t="s">
        <v>80</v>
      </c>
      <c r="D169" s="266" t="s">
        <v>200</v>
      </c>
      <c r="E169" s="146">
        <f t="shared" si="4"/>
        <v>98</v>
      </c>
      <c r="F169" s="256">
        <v>4.15211318235853E-3</v>
      </c>
      <c r="G169" s="181">
        <v>1</v>
      </c>
      <c r="H169" s="268">
        <v>43212</v>
      </c>
      <c r="I169" s="266" t="s">
        <v>3101</v>
      </c>
      <c r="J169" s="266">
        <v>0</v>
      </c>
      <c r="K169" s="271" t="s">
        <v>3102</v>
      </c>
      <c r="L169" s="256">
        <f t="shared" si="5"/>
        <v>38</v>
      </c>
      <c r="M169" s="256">
        <v>1</v>
      </c>
      <c r="N169" s="256">
        <v>1</v>
      </c>
      <c r="O169" s="256">
        <v>4</v>
      </c>
    </row>
    <row r="170" spans="1:18" s="69" customFormat="1" ht="45">
      <c r="A170" s="256" t="s">
        <v>3082</v>
      </c>
      <c r="B170" s="256" t="s">
        <v>45</v>
      </c>
      <c r="C170" s="256" t="s">
        <v>46</v>
      </c>
      <c r="D170" s="266" t="s">
        <v>3103</v>
      </c>
      <c r="E170" s="146">
        <f t="shared" si="4"/>
        <v>85</v>
      </c>
      <c r="F170" s="256">
        <v>0.99257138647432397</v>
      </c>
      <c r="G170" s="181">
        <v>1</v>
      </c>
      <c r="H170" s="267">
        <v>43211</v>
      </c>
      <c r="I170" s="266" t="s">
        <v>3104</v>
      </c>
      <c r="J170" s="266">
        <v>0</v>
      </c>
      <c r="K170" s="271" t="s">
        <v>3105</v>
      </c>
      <c r="L170" s="256">
        <f t="shared" si="5"/>
        <v>56</v>
      </c>
      <c r="M170" s="256">
        <v>1</v>
      </c>
      <c r="N170" s="256">
        <v>1</v>
      </c>
      <c r="O170" s="256">
        <v>18</v>
      </c>
    </row>
    <row r="171" spans="1:18" s="69" customFormat="1" ht="45">
      <c r="A171" s="256" t="s">
        <v>3082</v>
      </c>
      <c r="B171" s="256" t="s">
        <v>45</v>
      </c>
      <c r="C171" s="256" t="s">
        <v>80</v>
      </c>
      <c r="D171" s="266" t="s">
        <v>180</v>
      </c>
      <c r="E171" s="146">
        <f t="shared" si="4"/>
        <v>60</v>
      </c>
      <c r="F171" s="256">
        <v>0.97321388264384101</v>
      </c>
      <c r="G171" s="181">
        <v>1</v>
      </c>
      <c r="H171" s="267">
        <v>43210</v>
      </c>
      <c r="I171" s="266" t="s">
        <v>3106</v>
      </c>
      <c r="J171" s="266">
        <v>0</v>
      </c>
      <c r="K171" s="271" t="s">
        <v>3102</v>
      </c>
      <c r="L171" s="256">
        <f t="shared" si="5"/>
        <v>38</v>
      </c>
      <c r="M171" s="256">
        <v>1</v>
      </c>
      <c r="N171" s="256">
        <v>1</v>
      </c>
      <c r="O171" s="256">
        <v>6</v>
      </c>
    </row>
    <row r="172" spans="1:18" s="69" customFormat="1" ht="120">
      <c r="A172" s="256" t="s">
        <v>3082</v>
      </c>
      <c r="B172" s="256" t="s">
        <v>45</v>
      </c>
      <c r="C172" s="256" t="s">
        <v>80</v>
      </c>
      <c r="D172" s="266" t="s">
        <v>159</v>
      </c>
      <c r="E172" s="146">
        <f t="shared" si="4"/>
        <v>45</v>
      </c>
      <c r="F172" s="256">
        <v>0.75298013433219801</v>
      </c>
      <c r="G172" s="181">
        <v>1</v>
      </c>
      <c r="H172" s="267">
        <v>43201</v>
      </c>
      <c r="I172" s="266" t="s">
        <v>3107</v>
      </c>
      <c r="J172" s="266">
        <v>0</v>
      </c>
      <c r="K172" s="271" t="s">
        <v>4464</v>
      </c>
      <c r="L172" s="256">
        <f t="shared" si="5"/>
        <v>165</v>
      </c>
      <c r="M172" s="256">
        <v>0</v>
      </c>
      <c r="N172" s="256">
        <v>1</v>
      </c>
      <c r="O172" s="256">
        <v>5</v>
      </c>
    </row>
    <row r="173" spans="1:18" s="69" customFormat="1" ht="60">
      <c r="A173" s="256" t="s">
        <v>3082</v>
      </c>
      <c r="B173" s="256" t="s">
        <v>45</v>
      </c>
      <c r="C173" s="256" t="s">
        <v>80</v>
      </c>
      <c r="D173" s="266" t="s">
        <v>159</v>
      </c>
      <c r="E173" s="146">
        <f t="shared" si="4"/>
        <v>86</v>
      </c>
      <c r="F173" s="256">
        <v>5.44563040494772E-4</v>
      </c>
      <c r="G173" s="181">
        <v>1</v>
      </c>
      <c r="H173" s="267">
        <v>43027</v>
      </c>
      <c r="I173" s="266" t="s">
        <v>3109</v>
      </c>
      <c r="J173" s="266">
        <v>0</v>
      </c>
      <c r="K173" s="271" t="s">
        <v>3110</v>
      </c>
      <c r="L173" s="256">
        <f t="shared" si="5"/>
        <v>86</v>
      </c>
      <c r="M173" s="256">
        <v>0</v>
      </c>
      <c r="N173" s="256">
        <v>1</v>
      </c>
      <c r="O173" s="256">
        <v>14</v>
      </c>
    </row>
    <row r="174" spans="1:18" s="69" customFormat="1" ht="60">
      <c r="A174" s="256" t="s">
        <v>3082</v>
      </c>
      <c r="B174" s="256" t="s">
        <v>59</v>
      </c>
      <c r="C174" s="256" t="s">
        <v>46</v>
      </c>
      <c r="D174" s="266" t="s">
        <v>3111</v>
      </c>
      <c r="E174" s="146">
        <f t="shared" si="4"/>
        <v>59</v>
      </c>
      <c r="F174" s="256">
        <v>0.43042054247560302</v>
      </c>
      <c r="G174" s="181">
        <v>0</v>
      </c>
      <c r="H174" s="267">
        <v>42955</v>
      </c>
      <c r="I174" s="266" t="s">
        <v>3112</v>
      </c>
      <c r="J174" s="266">
        <v>1</v>
      </c>
      <c r="K174" s="271" t="s">
        <v>3113</v>
      </c>
      <c r="L174" s="256">
        <f t="shared" si="5"/>
        <v>85</v>
      </c>
      <c r="M174" s="256">
        <v>1</v>
      </c>
      <c r="N174" s="256">
        <v>1</v>
      </c>
      <c r="O174" s="256">
        <v>1</v>
      </c>
    </row>
    <row r="175" spans="1:18" s="69" customFormat="1" ht="285">
      <c r="A175" s="256" t="s">
        <v>3082</v>
      </c>
      <c r="B175" s="256" t="s">
        <v>45</v>
      </c>
      <c r="C175" s="256" t="s">
        <v>46</v>
      </c>
      <c r="D175" s="266" t="s">
        <v>4465</v>
      </c>
      <c r="E175" s="146">
        <f t="shared" si="4"/>
        <v>476</v>
      </c>
      <c r="F175" s="256">
        <v>1</v>
      </c>
      <c r="G175" s="181">
        <v>1</v>
      </c>
      <c r="H175" s="267">
        <v>42614</v>
      </c>
      <c r="I175" s="181" t="s">
        <v>4466</v>
      </c>
      <c r="J175" s="181">
        <v>1</v>
      </c>
      <c r="K175" s="271" t="s">
        <v>3116</v>
      </c>
      <c r="L175" s="256">
        <v>74</v>
      </c>
      <c r="M175" s="256">
        <v>1</v>
      </c>
      <c r="N175" s="256">
        <v>1</v>
      </c>
      <c r="O175" s="256">
        <v>7</v>
      </c>
    </row>
    <row r="176" spans="1:18" s="69" customFormat="1" ht="75" hidden="1">
      <c r="A176" s="256" t="s">
        <v>3117</v>
      </c>
      <c r="B176" s="256" t="s">
        <v>45</v>
      </c>
      <c r="C176" s="256" t="s">
        <v>46</v>
      </c>
      <c r="D176" s="266" t="s">
        <v>3118</v>
      </c>
      <c r="E176" s="146">
        <f t="shared" si="4"/>
        <v>39</v>
      </c>
      <c r="F176" s="256">
        <v>0.99249506451036495</v>
      </c>
      <c r="G176" s="181">
        <v>0</v>
      </c>
      <c r="H176" s="267">
        <v>43678</v>
      </c>
      <c r="I176" s="266" t="s">
        <v>3119</v>
      </c>
      <c r="J176" s="266">
        <v>1</v>
      </c>
      <c r="K176" s="271" t="s">
        <v>3120</v>
      </c>
      <c r="L176" s="256">
        <v>102</v>
      </c>
      <c r="M176" s="256">
        <v>0</v>
      </c>
      <c r="N176" s="256">
        <v>3</v>
      </c>
      <c r="O176" s="256">
        <v>4</v>
      </c>
      <c r="P176" s="69">
        <f>AVERAGE(M176:M223)</f>
        <v>4.1666666666666664E-2</v>
      </c>
      <c r="Q176" s="69">
        <f>AVERAGE(N176:N223)</f>
        <v>1.9583333333333333</v>
      </c>
      <c r="R176" s="69">
        <f>AVERAGE(O176:O223)</f>
        <v>10.104166666666666</v>
      </c>
    </row>
    <row r="177" spans="1:15" s="69" customFormat="1" ht="90" hidden="1">
      <c r="A177" s="256" t="s">
        <v>3117</v>
      </c>
      <c r="B177" s="256" t="s">
        <v>45</v>
      </c>
      <c r="C177" s="256" t="s">
        <v>46</v>
      </c>
      <c r="D177" s="266" t="s">
        <v>3121</v>
      </c>
      <c r="E177" s="146">
        <f t="shared" si="4"/>
        <v>40</v>
      </c>
      <c r="F177" s="256">
        <v>0.112014111053298</v>
      </c>
      <c r="G177" s="181">
        <v>0</v>
      </c>
      <c r="H177" s="268">
        <v>43381</v>
      </c>
      <c r="I177" s="266" t="s">
        <v>4467</v>
      </c>
      <c r="J177" s="266">
        <v>0</v>
      </c>
      <c r="K177" s="271" t="s">
        <v>3123</v>
      </c>
      <c r="L177" s="256">
        <v>136</v>
      </c>
      <c r="M177" s="256">
        <v>0</v>
      </c>
      <c r="N177" s="256">
        <v>1</v>
      </c>
      <c r="O177" s="256">
        <v>8</v>
      </c>
    </row>
    <row r="178" spans="1:15" s="69" customFormat="1" ht="45" hidden="1">
      <c r="A178" s="256" t="s">
        <v>3117</v>
      </c>
      <c r="B178" s="256" t="s">
        <v>45</v>
      </c>
      <c r="C178" s="256" t="s">
        <v>80</v>
      </c>
      <c r="D178" s="266" t="s">
        <v>3124</v>
      </c>
      <c r="E178" s="146">
        <f t="shared" si="4"/>
        <v>65</v>
      </c>
      <c r="F178" s="256">
        <v>2.8973118348929498E-7</v>
      </c>
      <c r="G178" s="181">
        <v>1</v>
      </c>
      <c r="H178" s="267">
        <v>43319</v>
      </c>
      <c r="I178" s="266" t="s">
        <v>3125</v>
      </c>
      <c r="J178" s="266">
        <v>0</v>
      </c>
      <c r="K178" s="271" t="s">
        <v>3126</v>
      </c>
      <c r="L178" s="256">
        <v>33</v>
      </c>
      <c r="M178" s="256">
        <v>1</v>
      </c>
      <c r="N178" s="256">
        <v>1</v>
      </c>
      <c r="O178" s="256">
        <v>7</v>
      </c>
    </row>
    <row r="179" spans="1:15" s="69" customFormat="1" ht="60" hidden="1">
      <c r="A179" s="256" t="s">
        <v>3117</v>
      </c>
      <c r="B179" s="256" t="s">
        <v>45</v>
      </c>
      <c r="C179" s="256" t="s">
        <v>46</v>
      </c>
      <c r="D179" s="266" t="s">
        <v>3127</v>
      </c>
      <c r="E179" s="146">
        <f t="shared" si="4"/>
        <v>107</v>
      </c>
      <c r="F179" s="256">
        <v>1.3289971146423999E-3</v>
      </c>
      <c r="G179" s="181">
        <v>1</v>
      </c>
      <c r="H179" s="267">
        <v>43175</v>
      </c>
      <c r="I179" s="266" t="s">
        <v>3128</v>
      </c>
      <c r="J179" s="266">
        <v>1</v>
      </c>
      <c r="K179" s="271" t="s">
        <v>3129</v>
      </c>
      <c r="L179" s="256">
        <v>75</v>
      </c>
      <c r="M179" s="256">
        <v>1</v>
      </c>
      <c r="N179" s="256">
        <v>1</v>
      </c>
      <c r="O179" s="256">
        <v>12</v>
      </c>
    </row>
    <row r="180" spans="1:15" s="69" customFormat="1" ht="195" hidden="1">
      <c r="A180" s="256" t="s">
        <v>3117</v>
      </c>
      <c r="B180" s="256" t="s">
        <v>45</v>
      </c>
      <c r="C180" s="256" t="s">
        <v>46</v>
      </c>
      <c r="D180" s="266" t="s">
        <v>3130</v>
      </c>
      <c r="E180" s="146">
        <f t="shared" si="4"/>
        <v>171</v>
      </c>
      <c r="F180" s="256">
        <v>1.6266554650901099E-4</v>
      </c>
      <c r="G180" s="181">
        <v>1</v>
      </c>
      <c r="H180" s="267">
        <v>43070</v>
      </c>
      <c r="I180" s="266" t="s">
        <v>3131</v>
      </c>
      <c r="J180" s="266">
        <v>1</v>
      </c>
      <c r="K180" s="271" t="s">
        <v>3132</v>
      </c>
      <c r="L180" s="256">
        <v>279</v>
      </c>
      <c r="M180" s="256">
        <v>0</v>
      </c>
      <c r="N180" s="256">
        <v>2</v>
      </c>
      <c r="O180" s="256">
        <v>11</v>
      </c>
    </row>
    <row r="181" spans="1:15" s="69" customFormat="1" ht="150" hidden="1">
      <c r="A181" s="256" t="s">
        <v>3117</v>
      </c>
      <c r="B181" s="256" t="s">
        <v>45</v>
      </c>
      <c r="C181" s="256" t="s">
        <v>46</v>
      </c>
      <c r="D181" s="266" t="s">
        <v>3133</v>
      </c>
      <c r="E181" s="146">
        <f t="shared" si="4"/>
        <v>214</v>
      </c>
      <c r="F181" s="256">
        <v>2.8831646860516502E-5</v>
      </c>
      <c r="G181" s="181">
        <v>1</v>
      </c>
      <c r="H181" s="268">
        <v>43040</v>
      </c>
      <c r="I181" s="266" t="s">
        <v>3134</v>
      </c>
      <c r="J181" s="266">
        <v>1</v>
      </c>
      <c r="K181" s="271" t="s">
        <v>3135</v>
      </c>
      <c r="L181" s="256">
        <v>199</v>
      </c>
      <c r="M181" s="256">
        <v>0</v>
      </c>
      <c r="N181" s="256">
        <v>2</v>
      </c>
      <c r="O181" s="256">
        <v>12</v>
      </c>
    </row>
    <row r="182" spans="1:15" s="69" customFormat="1" ht="150" hidden="1">
      <c r="A182" s="256" t="s">
        <v>3117</v>
      </c>
      <c r="B182" s="256" t="s">
        <v>45</v>
      </c>
      <c r="C182" s="256" t="s">
        <v>46</v>
      </c>
      <c r="D182" s="266" t="s">
        <v>3130</v>
      </c>
      <c r="E182" s="146">
        <f t="shared" si="4"/>
        <v>130</v>
      </c>
      <c r="F182" s="256">
        <v>0.90343981910202997</v>
      </c>
      <c r="G182" s="181">
        <v>1</v>
      </c>
      <c r="H182" s="267">
        <v>43028</v>
      </c>
      <c r="I182" s="266" t="s">
        <v>3136</v>
      </c>
      <c r="J182" s="266">
        <v>1</v>
      </c>
      <c r="K182" s="271" t="s">
        <v>3135</v>
      </c>
      <c r="L182" s="256">
        <v>199</v>
      </c>
      <c r="M182" s="256">
        <v>0</v>
      </c>
      <c r="N182" s="256">
        <v>2</v>
      </c>
      <c r="O182" s="256">
        <v>12</v>
      </c>
    </row>
    <row r="183" spans="1:15" s="69" customFormat="1" ht="150" hidden="1">
      <c r="A183" s="256" t="s">
        <v>3117</v>
      </c>
      <c r="B183" s="256" t="s">
        <v>45</v>
      </c>
      <c r="C183" s="256" t="s">
        <v>46</v>
      </c>
      <c r="D183" s="266" t="s">
        <v>3130</v>
      </c>
      <c r="E183" s="146">
        <f t="shared" si="4"/>
        <v>52</v>
      </c>
      <c r="F183" s="256">
        <v>6.6417524870088197E-4</v>
      </c>
      <c r="G183" s="181">
        <v>1</v>
      </c>
      <c r="H183" s="267">
        <v>43015</v>
      </c>
      <c r="I183" s="266" t="s">
        <v>3137</v>
      </c>
      <c r="J183" s="266">
        <v>1</v>
      </c>
      <c r="K183" s="271" t="s">
        <v>3135</v>
      </c>
      <c r="L183" s="256">
        <v>199</v>
      </c>
      <c r="M183" s="256">
        <v>0</v>
      </c>
      <c r="N183" s="256">
        <v>2</v>
      </c>
      <c r="O183" s="256">
        <v>11</v>
      </c>
    </row>
    <row r="184" spans="1:15" s="69" customFormat="1" ht="150" hidden="1">
      <c r="A184" s="256" t="s">
        <v>3117</v>
      </c>
      <c r="B184" s="256" t="s">
        <v>45</v>
      </c>
      <c r="C184" s="256" t="s">
        <v>46</v>
      </c>
      <c r="D184" s="266" t="s">
        <v>3130</v>
      </c>
      <c r="E184" s="146">
        <f t="shared" si="4"/>
        <v>143</v>
      </c>
      <c r="F184" s="256">
        <v>7.8684462160227798E-4</v>
      </c>
      <c r="G184" s="181">
        <v>1</v>
      </c>
      <c r="H184" s="268">
        <v>43007</v>
      </c>
      <c r="I184" s="266" t="s">
        <v>3138</v>
      </c>
      <c r="J184" s="266">
        <v>1</v>
      </c>
      <c r="K184" s="271" t="s">
        <v>3135</v>
      </c>
      <c r="L184" s="256">
        <v>199</v>
      </c>
      <c r="M184" s="256">
        <v>0</v>
      </c>
      <c r="N184" s="256">
        <v>2</v>
      </c>
      <c r="O184" s="256">
        <v>19</v>
      </c>
    </row>
    <row r="185" spans="1:15" s="69" customFormat="1" ht="150" hidden="1">
      <c r="A185" s="256" t="s">
        <v>3117</v>
      </c>
      <c r="B185" s="256" t="s">
        <v>45</v>
      </c>
      <c r="C185" s="256" t="s">
        <v>46</v>
      </c>
      <c r="D185" s="266" t="s">
        <v>3130</v>
      </c>
      <c r="E185" s="146">
        <f t="shared" si="4"/>
        <v>101</v>
      </c>
      <c r="F185" s="256">
        <v>5.5818558899444204E-3</v>
      </c>
      <c r="G185" s="181">
        <v>1</v>
      </c>
      <c r="H185" s="268">
        <v>43001</v>
      </c>
      <c r="I185" s="266" t="s">
        <v>3139</v>
      </c>
      <c r="J185" s="266">
        <v>1</v>
      </c>
      <c r="K185" s="271" t="s">
        <v>3135</v>
      </c>
      <c r="L185" s="256">
        <v>199</v>
      </c>
      <c r="M185" s="256">
        <v>0</v>
      </c>
      <c r="N185" s="256">
        <v>2</v>
      </c>
      <c r="O185" s="256">
        <v>19</v>
      </c>
    </row>
    <row r="186" spans="1:15" s="69" customFormat="1" ht="240" hidden="1">
      <c r="A186" s="256" t="s">
        <v>3117</v>
      </c>
      <c r="B186" s="256" t="s">
        <v>45</v>
      </c>
      <c r="C186" s="256" t="s">
        <v>46</v>
      </c>
      <c r="D186" s="266" t="s">
        <v>3130</v>
      </c>
      <c r="E186" s="146">
        <f t="shared" si="4"/>
        <v>136</v>
      </c>
      <c r="F186" s="256">
        <v>8.8424898036576504E-4</v>
      </c>
      <c r="G186" s="181">
        <v>1</v>
      </c>
      <c r="H186" s="267">
        <v>42991</v>
      </c>
      <c r="I186" s="266" t="s">
        <v>3140</v>
      </c>
      <c r="J186" s="266">
        <v>1</v>
      </c>
      <c r="K186" s="181" t="s">
        <v>4468</v>
      </c>
      <c r="L186" s="256">
        <v>304</v>
      </c>
      <c r="M186" s="256">
        <v>0</v>
      </c>
      <c r="N186" s="256">
        <v>2</v>
      </c>
      <c r="O186" s="256">
        <v>13</v>
      </c>
    </row>
    <row r="187" spans="1:15" s="69" customFormat="1" ht="225" hidden="1">
      <c r="A187" s="256" t="s">
        <v>3117</v>
      </c>
      <c r="B187" s="256" t="s">
        <v>45</v>
      </c>
      <c r="C187" s="256" t="s">
        <v>46</v>
      </c>
      <c r="D187" s="266" t="s">
        <v>3127</v>
      </c>
      <c r="E187" s="146">
        <f t="shared" si="4"/>
        <v>140</v>
      </c>
      <c r="F187" s="256">
        <v>0.37832240201394202</v>
      </c>
      <c r="G187" s="181">
        <v>1</v>
      </c>
      <c r="H187" s="268">
        <v>42985</v>
      </c>
      <c r="I187" s="266" t="s">
        <v>3142</v>
      </c>
      <c r="J187" s="266">
        <v>1</v>
      </c>
      <c r="K187" s="181" t="s">
        <v>4469</v>
      </c>
      <c r="L187" s="256">
        <v>303</v>
      </c>
      <c r="M187" s="256">
        <v>0</v>
      </c>
      <c r="N187" s="256">
        <v>2</v>
      </c>
      <c r="O187" s="256">
        <v>14</v>
      </c>
    </row>
    <row r="188" spans="1:15" s="69" customFormat="1" ht="135" hidden="1">
      <c r="A188" s="256" t="s">
        <v>3117</v>
      </c>
      <c r="B188" s="256" t="s">
        <v>45</v>
      </c>
      <c r="C188" s="256" t="s">
        <v>46</v>
      </c>
      <c r="D188" s="266" t="s">
        <v>3144</v>
      </c>
      <c r="E188" s="146">
        <f t="shared" si="4"/>
        <v>55</v>
      </c>
      <c r="F188" s="256">
        <v>0.217525665743313</v>
      </c>
      <c r="G188" s="181">
        <v>1</v>
      </c>
      <c r="H188" s="267">
        <v>42978</v>
      </c>
      <c r="I188" s="266" t="s">
        <v>3145</v>
      </c>
      <c r="J188" s="266">
        <v>1</v>
      </c>
      <c r="K188" s="271" t="s">
        <v>3146</v>
      </c>
      <c r="L188" s="256">
        <v>198</v>
      </c>
      <c r="M188" s="256">
        <v>0</v>
      </c>
      <c r="N188" s="256">
        <v>2</v>
      </c>
      <c r="O188" s="256">
        <v>14</v>
      </c>
    </row>
    <row r="189" spans="1:15" s="69" customFormat="1" ht="225" hidden="1">
      <c r="A189" s="256" t="s">
        <v>3117</v>
      </c>
      <c r="B189" s="256" t="s">
        <v>45</v>
      </c>
      <c r="C189" s="256" t="s">
        <v>46</v>
      </c>
      <c r="D189" s="266" t="s">
        <v>3147</v>
      </c>
      <c r="E189" s="146">
        <f t="shared" si="4"/>
        <v>162</v>
      </c>
      <c r="F189" s="256">
        <v>1.8891698726210399E-2</v>
      </c>
      <c r="G189" s="181">
        <v>1</v>
      </c>
      <c r="H189" s="267">
        <v>42972</v>
      </c>
      <c r="I189" s="266" t="s">
        <v>3148</v>
      </c>
      <c r="J189" s="266">
        <v>1</v>
      </c>
      <c r="K189" s="181" t="s">
        <v>4470</v>
      </c>
      <c r="L189" s="256">
        <v>285</v>
      </c>
      <c r="M189" s="256">
        <v>0</v>
      </c>
      <c r="N189" s="256">
        <v>2</v>
      </c>
      <c r="O189" s="256">
        <v>13</v>
      </c>
    </row>
    <row r="190" spans="1:15" s="69" customFormat="1" ht="210" hidden="1">
      <c r="A190" s="256" t="s">
        <v>3117</v>
      </c>
      <c r="B190" s="256" t="s">
        <v>45</v>
      </c>
      <c r="C190" s="256" t="s">
        <v>46</v>
      </c>
      <c r="D190" s="266" t="s">
        <v>3130</v>
      </c>
      <c r="E190" s="146">
        <f t="shared" si="4"/>
        <v>87</v>
      </c>
      <c r="F190" s="256">
        <v>0.80292329600866097</v>
      </c>
      <c r="G190" s="181">
        <v>1</v>
      </c>
      <c r="H190" s="267">
        <v>42961</v>
      </c>
      <c r="I190" s="266" t="s">
        <v>3150</v>
      </c>
      <c r="J190" s="266">
        <v>1</v>
      </c>
      <c r="K190" s="181" t="s">
        <v>3151</v>
      </c>
      <c r="L190" s="256">
        <v>279</v>
      </c>
      <c r="M190" s="256">
        <v>0</v>
      </c>
      <c r="N190" s="256">
        <v>2</v>
      </c>
      <c r="O190" s="256">
        <v>9</v>
      </c>
    </row>
    <row r="191" spans="1:15" s="69" customFormat="1" ht="225" hidden="1">
      <c r="A191" s="256" t="s">
        <v>3117</v>
      </c>
      <c r="B191" s="256" t="s">
        <v>45</v>
      </c>
      <c r="C191" s="256" t="s">
        <v>46</v>
      </c>
      <c r="D191" s="266" t="s">
        <v>3130</v>
      </c>
      <c r="E191" s="146">
        <f t="shared" si="4"/>
        <v>111</v>
      </c>
      <c r="F191" s="256">
        <v>3.0251703207406799E-3</v>
      </c>
      <c r="G191" s="181">
        <v>1</v>
      </c>
      <c r="H191" s="267">
        <v>42958</v>
      </c>
      <c r="I191" s="266" t="s">
        <v>3152</v>
      </c>
      <c r="J191" s="266">
        <v>1</v>
      </c>
      <c r="K191" s="181" t="s">
        <v>4470</v>
      </c>
      <c r="L191" s="256">
        <v>285</v>
      </c>
      <c r="M191" s="256">
        <v>0</v>
      </c>
      <c r="N191" s="256">
        <v>2</v>
      </c>
      <c r="O191" s="256">
        <v>12</v>
      </c>
    </row>
    <row r="192" spans="1:15" s="69" customFormat="1" ht="210" hidden="1">
      <c r="A192" s="256" t="s">
        <v>3117</v>
      </c>
      <c r="B192" s="256" t="s">
        <v>45</v>
      </c>
      <c r="C192" s="256" t="s">
        <v>46</v>
      </c>
      <c r="D192" s="266" t="s">
        <v>3130</v>
      </c>
      <c r="E192" s="146">
        <f t="shared" si="4"/>
        <v>74</v>
      </c>
      <c r="F192" s="256">
        <v>0.25434259851893998</v>
      </c>
      <c r="G192" s="181">
        <v>1</v>
      </c>
      <c r="H192" s="267">
        <v>42957</v>
      </c>
      <c r="I192" s="266" t="s">
        <v>3153</v>
      </c>
      <c r="J192" s="266">
        <v>1</v>
      </c>
      <c r="K192" s="181" t="s">
        <v>4471</v>
      </c>
      <c r="L192" s="256">
        <v>257</v>
      </c>
      <c r="M192" s="256">
        <v>0</v>
      </c>
      <c r="N192" s="256">
        <v>2</v>
      </c>
      <c r="O192" s="256">
        <v>12</v>
      </c>
    </row>
    <row r="193" spans="1:15" s="69" customFormat="1" ht="225" hidden="1">
      <c r="A193" s="256" t="s">
        <v>3117</v>
      </c>
      <c r="B193" s="256" t="s">
        <v>45</v>
      </c>
      <c r="C193" s="256" t="s">
        <v>46</v>
      </c>
      <c r="D193" s="266" t="s">
        <v>3130</v>
      </c>
      <c r="E193" s="146">
        <f t="shared" ref="E193:E223" si="6">LEN(I193)</f>
        <v>121</v>
      </c>
      <c r="F193" s="256">
        <v>8.6975398847755102E-4</v>
      </c>
      <c r="G193" s="181">
        <v>1</v>
      </c>
      <c r="H193" s="267">
        <v>42954</v>
      </c>
      <c r="I193" s="266" t="s">
        <v>3155</v>
      </c>
      <c r="J193" s="266">
        <v>1</v>
      </c>
      <c r="K193" s="181" t="s">
        <v>4470</v>
      </c>
      <c r="L193" s="256">
        <v>285</v>
      </c>
      <c r="M193" s="256">
        <v>0</v>
      </c>
      <c r="N193" s="256">
        <v>2</v>
      </c>
      <c r="O193" s="256">
        <v>11</v>
      </c>
    </row>
    <row r="194" spans="1:15" s="69" customFormat="1" ht="210" hidden="1">
      <c r="A194" s="256" t="s">
        <v>3117</v>
      </c>
      <c r="B194" s="256" t="s">
        <v>45</v>
      </c>
      <c r="C194" s="256" t="s">
        <v>46</v>
      </c>
      <c r="D194" s="266" t="s">
        <v>3156</v>
      </c>
      <c r="E194" s="146">
        <f t="shared" si="6"/>
        <v>82</v>
      </c>
      <c r="F194" s="256">
        <v>0.221011028932214</v>
      </c>
      <c r="G194" s="181">
        <v>1</v>
      </c>
      <c r="H194" s="267">
        <v>42950</v>
      </c>
      <c r="I194" s="266" t="s">
        <v>3157</v>
      </c>
      <c r="J194" s="266">
        <v>1</v>
      </c>
      <c r="K194" s="181" t="s">
        <v>4472</v>
      </c>
      <c r="L194" s="256">
        <v>284</v>
      </c>
      <c r="M194" s="256">
        <v>0</v>
      </c>
      <c r="N194" s="256">
        <v>2</v>
      </c>
      <c r="O194" s="256">
        <v>12</v>
      </c>
    </row>
    <row r="195" spans="1:15" s="69" customFormat="1" ht="225" hidden="1">
      <c r="A195" s="256" t="s">
        <v>3117</v>
      </c>
      <c r="B195" s="256" t="s">
        <v>45</v>
      </c>
      <c r="C195" s="256" t="s">
        <v>46</v>
      </c>
      <c r="D195" s="266" t="s">
        <v>3130</v>
      </c>
      <c r="E195" s="146">
        <f t="shared" si="6"/>
        <v>82</v>
      </c>
      <c r="F195" s="256">
        <v>1.48547821217623E-2</v>
      </c>
      <c r="G195" s="181">
        <v>1</v>
      </c>
      <c r="H195" s="267">
        <v>42948</v>
      </c>
      <c r="I195" s="266" t="s">
        <v>3159</v>
      </c>
      <c r="J195" s="266">
        <v>1</v>
      </c>
      <c r="K195" s="181" t="s">
        <v>4470</v>
      </c>
      <c r="L195" s="256">
        <v>285</v>
      </c>
      <c r="M195" s="256">
        <v>0</v>
      </c>
      <c r="N195" s="256">
        <v>2</v>
      </c>
      <c r="O195" s="256">
        <v>2</v>
      </c>
    </row>
    <row r="196" spans="1:15" s="69" customFormat="1" ht="225" hidden="1">
      <c r="A196" s="256" t="s">
        <v>3117</v>
      </c>
      <c r="B196" s="256" t="s">
        <v>45</v>
      </c>
      <c r="C196" s="256" t="s">
        <v>46</v>
      </c>
      <c r="D196" s="266" t="s">
        <v>3130</v>
      </c>
      <c r="E196" s="146">
        <f t="shared" si="6"/>
        <v>97</v>
      </c>
      <c r="F196" s="256">
        <v>4.3468437844701403E-3</v>
      </c>
      <c r="G196" s="181">
        <v>1</v>
      </c>
      <c r="H196" s="267">
        <v>42945</v>
      </c>
      <c r="I196" s="266" t="s">
        <v>3160</v>
      </c>
      <c r="J196" s="266">
        <v>1</v>
      </c>
      <c r="K196" s="181" t="s">
        <v>4470</v>
      </c>
      <c r="L196" s="256">
        <v>285</v>
      </c>
      <c r="M196" s="256">
        <v>0</v>
      </c>
      <c r="N196" s="256">
        <v>2</v>
      </c>
      <c r="O196" s="256">
        <v>5</v>
      </c>
    </row>
    <row r="197" spans="1:15" s="69" customFormat="1" ht="225" hidden="1">
      <c r="A197" s="256" t="s">
        <v>3117</v>
      </c>
      <c r="B197" s="256" t="s">
        <v>45</v>
      </c>
      <c r="C197" s="256" t="s">
        <v>46</v>
      </c>
      <c r="D197" s="266" t="s">
        <v>3161</v>
      </c>
      <c r="E197" s="146">
        <f t="shared" si="6"/>
        <v>74</v>
      </c>
      <c r="F197" s="256">
        <v>0.246882908587679</v>
      </c>
      <c r="G197" s="181">
        <v>1</v>
      </c>
      <c r="H197" s="267">
        <v>42944</v>
      </c>
      <c r="I197" s="266" t="s">
        <v>3162</v>
      </c>
      <c r="J197" s="266">
        <v>1</v>
      </c>
      <c r="K197" s="181" t="s">
        <v>4470</v>
      </c>
      <c r="L197" s="256">
        <v>285</v>
      </c>
      <c r="M197" s="256">
        <v>0</v>
      </c>
      <c r="N197" s="256">
        <v>2</v>
      </c>
      <c r="O197" s="256">
        <v>5</v>
      </c>
    </row>
    <row r="198" spans="1:15" s="69" customFormat="1" ht="225" hidden="1">
      <c r="A198" s="256" t="s">
        <v>3117</v>
      </c>
      <c r="B198" s="256" t="s">
        <v>45</v>
      </c>
      <c r="C198" s="256" t="s">
        <v>46</v>
      </c>
      <c r="D198" s="266" t="s">
        <v>3156</v>
      </c>
      <c r="E198" s="146">
        <f t="shared" si="6"/>
        <v>90</v>
      </c>
      <c r="F198" s="256">
        <v>1.0047726813977099E-2</v>
      </c>
      <c r="G198" s="181">
        <v>1</v>
      </c>
      <c r="H198" s="267">
        <v>42942</v>
      </c>
      <c r="I198" s="266" t="s">
        <v>3163</v>
      </c>
      <c r="J198" s="266">
        <v>1</v>
      </c>
      <c r="K198" s="181" t="s">
        <v>4473</v>
      </c>
      <c r="L198" s="256">
        <v>282</v>
      </c>
      <c r="M198" s="256">
        <v>0</v>
      </c>
      <c r="N198" s="256">
        <v>2</v>
      </c>
      <c r="O198" s="256">
        <v>1</v>
      </c>
    </row>
    <row r="199" spans="1:15" s="69" customFormat="1" ht="210" hidden="1">
      <c r="A199" s="256" t="s">
        <v>3117</v>
      </c>
      <c r="B199" s="256" t="s">
        <v>45</v>
      </c>
      <c r="C199" s="256" t="s">
        <v>46</v>
      </c>
      <c r="D199" s="266" t="s">
        <v>3156</v>
      </c>
      <c r="E199" s="146">
        <f t="shared" si="6"/>
        <v>47</v>
      </c>
      <c r="F199" s="256">
        <v>0.36929109608931598</v>
      </c>
      <c r="G199" s="181">
        <v>1</v>
      </c>
      <c r="H199" s="267">
        <v>42941</v>
      </c>
      <c r="I199" s="266" t="s">
        <v>3164</v>
      </c>
      <c r="J199" s="266">
        <v>1</v>
      </c>
      <c r="K199" s="181" t="s">
        <v>4472</v>
      </c>
      <c r="L199" s="256">
        <v>284</v>
      </c>
      <c r="M199" s="256">
        <v>0</v>
      </c>
      <c r="N199" s="256">
        <v>2</v>
      </c>
      <c r="O199" s="256">
        <v>8</v>
      </c>
    </row>
    <row r="200" spans="1:15" s="69" customFormat="1" ht="225" hidden="1">
      <c r="A200" s="256" t="s">
        <v>3117</v>
      </c>
      <c r="B200" s="256" t="s">
        <v>45</v>
      </c>
      <c r="C200" s="256" t="s">
        <v>46</v>
      </c>
      <c r="D200" s="266" t="s">
        <v>3156</v>
      </c>
      <c r="E200" s="146">
        <f t="shared" si="6"/>
        <v>84</v>
      </c>
      <c r="F200" s="256">
        <v>0.119710816464508</v>
      </c>
      <c r="G200" s="181">
        <v>1</v>
      </c>
      <c r="H200" s="267">
        <v>42940</v>
      </c>
      <c r="I200" s="266" t="s">
        <v>3165</v>
      </c>
      <c r="J200" s="266">
        <v>1</v>
      </c>
      <c r="K200" s="181" t="s">
        <v>4473</v>
      </c>
      <c r="L200" s="256">
        <v>282</v>
      </c>
      <c r="M200" s="256">
        <v>0</v>
      </c>
      <c r="N200" s="256">
        <v>2</v>
      </c>
      <c r="O200" s="256">
        <v>9</v>
      </c>
    </row>
    <row r="201" spans="1:15" s="69" customFormat="1" ht="210" hidden="1">
      <c r="A201" s="256" t="s">
        <v>3117</v>
      </c>
      <c r="B201" s="256" t="s">
        <v>45</v>
      </c>
      <c r="C201" s="256" t="s">
        <v>46</v>
      </c>
      <c r="D201" s="266" t="s">
        <v>3156</v>
      </c>
      <c r="E201" s="146">
        <f t="shared" si="6"/>
        <v>65</v>
      </c>
      <c r="F201" s="256">
        <v>0.19650523570044701</v>
      </c>
      <c r="G201" s="181">
        <v>1</v>
      </c>
      <c r="H201" s="267">
        <v>42938</v>
      </c>
      <c r="I201" s="266" t="s">
        <v>3166</v>
      </c>
      <c r="J201" s="266">
        <v>1</v>
      </c>
      <c r="K201" s="181" t="s">
        <v>3158</v>
      </c>
      <c r="L201" s="256">
        <v>280</v>
      </c>
      <c r="M201" s="256">
        <v>0</v>
      </c>
      <c r="N201" s="256">
        <v>2</v>
      </c>
      <c r="O201" s="256">
        <v>11</v>
      </c>
    </row>
    <row r="202" spans="1:15" s="69" customFormat="1" ht="225" hidden="1">
      <c r="A202" s="256" t="s">
        <v>3117</v>
      </c>
      <c r="B202" s="256" t="s">
        <v>45</v>
      </c>
      <c r="C202" s="256" t="s">
        <v>46</v>
      </c>
      <c r="D202" s="266" t="s">
        <v>3130</v>
      </c>
      <c r="E202" s="146">
        <f t="shared" si="6"/>
        <v>77</v>
      </c>
      <c r="F202" s="256">
        <v>4.0412309913201702E-2</v>
      </c>
      <c r="G202" s="181">
        <v>1</v>
      </c>
      <c r="H202" s="267">
        <v>42937</v>
      </c>
      <c r="I202" s="266" t="s">
        <v>3167</v>
      </c>
      <c r="J202" s="266">
        <v>1</v>
      </c>
      <c r="K202" s="181" t="s">
        <v>3149</v>
      </c>
      <c r="L202" s="256">
        <v>281</v>
      </c>
      <c r="M202" s="256">
        <v>0</v>
      </c>
      <c r="N202" s="256">
        <v>2</v>
      </c>
      <c r="O202" s="256">
        <v>11</v>
      </c>
    </row>
    <row r="203" spans="1:15" s="69" customFormat="1" ht="225" hidden="1">
      <c r="A203" s="256" t="s">
        <v>3117</v>
      </c>
      <c r="B203" s="256" t="s">
        <v>45</v>
      </c>
      <c r="C203" s="256" t="s">
        <v>46</v>
      </c>
      <c r="D203" s="266" t="s">
        <v>3156</v>
      </c>
      <c r="E203" s="146">
        <f t="shared" si="6"/>
        <v>61</v>
      </c>
      <c r="F203" s="256">
        <v>0.59233105297142397</v>
      </c>
      <c r="G203" s="181">
        <v>1</v>
      </c>
      <c r="H203" s="267">
        <v>42936</v>
      </c>
      <c r="I203" s="266" t="s">
        <v>3168</v>
      </c>
      <c r="J203" s="266">
        <v>1</v>
      </c>
      <c r="K203" s="181" t="s">
        <v>3149</v>
      </c>
      <c r="L203" s="256">
        <v>281</v>
      </c>
      <c r="M203" s="256">
        <v>0</v>
      </c>
      <c r="N203" s="256">
        <v>2</v>
      </c>
      <c r="O203" s="256">
        <v>5</v>
      </c>
    </row>
    <row r="204" spans="1:15" s="69" customFormat="1" ht="225" hidden="1">
      <c r="A204" s="256" t="s">
        <v>3117</v>
      </c>
      <c r="B204" s="256" t="s">
        <v>45</v>
      </c>
      <c r="C204" s="256" t="s">
        <v>46</v>
      </c>
      <c r="D204" s="266" t="s">
        <v>3156</v>
      </c>
      <c r="E204" s="146">
        <f t="shared" si="6"/>
        <v>55</v>
      </c>
      <c r="F204" s="256">
        <v>0.285318694442867</v>
      </c>
      <c r="G204" s="181">
        <v>1</v>
      </c>
      <c r="H204" s="267">
        <v>42934</v>
      </c>
      <c r="I204" s="266" t="s">
        <v>3169</v>
      </c>
      <c r="J204" s="266">
        <v>1</v>
      </c>
      <c r="K204" s="181" t="s">
        <v>4474</v>
      </c>
      <c r="L204" s="256">
        <v>295</v>
      </c>
      <c r="M204" s="256">
        <v>0</v>
      </c>
      <c r="N204" s="256">
        <v>2</v>
      </c>
      <c r="O204" s="256">
        <v>2</v>
      </c>
    </row>
    <row r="205" spans="1:15" s="69" customFormat="1" ht="225" hidden="1">
      <c r="A205" s="256" t="s">
        <v>3117</v>
      </c>
      <c r="B205" s="256" t="s">
        <v>45</v>
      </c>
      <c r="C205" s="256" t="s">
        <v>46</v>
      </c>
      <c r="D205" s="266" t="s">
        <v>3171</v>
      </c>
      <c r="E205" s="146">
        <f t="shared" si="6"/>
        <v>63</v>
      </c>
      <c r="F205" s="256">
        <v>8.3030491208513801E-2</v>
      </c>
      <c r="G205" s="181">
        <v>1</v>
      </c>
      <c r="H205" s="267">
        <v>42933</v>
      </c>
      <c r="I205" s="266" t="s">
        <v>3172</v>
      </c>
      <c r="J205" s="266">
        <v>1</v>
      </c>
      <c r="K205" s="181" t="s">
        <v>3149</v>
      </c>
      <c r="L205" s="256">
        <v>281</v>
      </c>
      <c r="M205" s="256">
        <v>0</v>
      </c>
      <c r="N205" s="256">
        <v>2</v>
      </c>
      <c r="O205" s="256">
        <v>9</v>
      </c>
    </row>
    <row r="206" spans="1:15" s="69" customFormat="1" ht="210" hidden="1">
      <c r="A206" s="256" t="s">
        <v>3117</v>
      </c>
      <c r="B206" s="256" t="s">
        <v>45</v>
      </c>
      <c r="C206" s="256" t="s">
        <v>46</v>
      </c>
      <c r="D206" s="266" t="s">
        <v>3171</v>
      </c>
      <c r="E206" s="146">
        <f t="shared" si="6"/>
        <v>45</v>
      </c>
      <c r="F206" s="256">
        <v>4.1774041219073299E-2</v>
      </c>
      <c r="G206" s="181">
        <v>1</v>
      </c>
      <c r="H206" s="267">
        <v>42932</v>
      </c>
      <c r="I206" s="266" t="s">
        <v>3173</v>
      </c>
      <c r="J206" s="266">
        <v>1</v>
      </c>
      <c r="K206" s="181" t="s">
        <v>3158</v>
      </c>
      <c r="L206" s="256">
        <v>280</v>
      </c>
      <c r="M206" s="256">
        <v>0</v>
      </c>
      <c r="N206" s="256">
        <v>2</v>
      </c>
      <c r="O206" s="256">
        <v>10</v>
      </c>
    </row>
    <row r="207" spans="1:15" s="69" customFormat="1" ht="225" hidden="1">
      <c r="A207" s="256" t="s">
        <v>3117</v>
      </c>
      <c r="B207" s="256" t="s">
        <v>45</v>
      </c>
      <c r="C207" s="256" t="s">
        <v>46</v>
      </c>
      <c r="D207" s="266" t="s">
        <v>3130</v>
      </c>
      <c r="E207" s="146">
        <f t="shared" si="6"/>
        <v>63</v>
      </c>
      <c r="F207" s="256">
        <v>0.10414938646018</v>
      </c>
      <c r="G207" s="181">
        <v>1</v>
      </c>
      <c r="H207" s="267">
        <v>42931</v>
      </c>
      <c r="I207" s="266" t="s">
        <v>3174</v>
      </c>
      <c r="J207" s="266">
        <v>1</v>
      </c>
      <c r="K207" s="181" t="s">
        <v>4473</v>
      </c>
      <c r="L207" s="256">
        <v>282</v>
      </c>
      <c r="M207" s="256">
        <v>0</v>
      </c>
      <c r="N207" s="256">
        <v>2</v>
      </c>
      <c r="O207" s="256">
        <v>11</v>
      </c>
    </row>
    <row r="208" spans="1:15" s="69" customFormat="1" ht="225" hidden="1">
      <c r="A208" s="256" t="s">
        <v>3117</v>
      </c>
      <c r="B208" s="256" t="s">
        <v>45</v>
      </c>
      <c r="C208" s="256" t="s">
        <v>46</v>
      </c>
      <c r="D208" s="266" t="s">
        <v>3171</v>
      </c>
      <c r="E208" s="146">
        <f t="shared" si="6"/>
        <v>48</v>
      </c>
      <c r="F208" s="256">
        <v>7.2134527640948E-3</v>
      </c>
      <c r="G208" s="181">
        <v>1</v>
      </c>
      <c r="H208" s="267">
        <v>42929</v>
      </c>
      <c r="I208" s="266" t="s">
        <v>3175</v>
      </c>
      <c r="J208" s="266">
        <v>1</v>
      </c>
      <c r="K208" s="181" t="s">
        <v>4473</v>
      </c>
      <c r="L208" s="256">
        <v>282</v>
      </c>
      <c r="M208" s="256">
        <v>0</v>
      </c>
      <c r="N208" s="256">
        <v>2</v>
      </c>
      <c r="O208" s="256">
        <v>13</v>
      </c>
    </row>
    <row r="209" spans="1:15" s="69" customFormat="1" ht="180" hidden="1">
      <c r="A209" s="256" t="s">
        <v>3117</v>
      </c>
      <c r="B209" s="256" t="s">
        <v>45</v>
      </c>
      <c r="C209" s="256" t="s">
        <v>46</v>
      </c>
      <c r="D209" s="266" t="s">
        <v>3176</v>
      </c>
      <c r="E209" s="146">
        <f t="shared" si="6"/>
        <v>112</v>
      </c>
      <c r="F209" s="256">
        <v>0.71959400470941404</v>
      </c>
      <c r="G209" s="181">
        <v>1</v>
      </c>
      <c r="H209" s="267">
        <v>42928</v>
      </c>
      <c r="I209" s="266" t="s">
        <v>3177</v>
      </c>
      <c r="J209" s="266">
        <v>1</v>
      </c>
      <c r="K209" s="181" t="s">
        <v>3178</v>
      </c>
      <c r="L209" s="256">
        <v>236</v>
      </c>
      <c r="M209" s="256">
        <v>0</v>
      </c>
      <c r="N209" s="256">
        <v>2</v>
      </c>
      <c r="O209" s="256">
        <v>1</v>
      </c>
    </row>
    <row r="210" spans="1:15" s="69" customFormat="1" ht="225" hidden="1">
      <c r="A210" s="256" t="s">
        <v>3117</v>
      </c>
      <c r="B210" s="256" t="s">
        <v>45</v>
      </c>
      <c r="C210" s="256" t="s">
        <v>46</v>
      </c>
      <c r="D210" s="266" t="s">
        <v>3156</v>
      </c>
      <c r="E210" s="146">
        <f t="shared" si="6"/>
        <v>45</v>
      </c>
      <c r="F210" s="256">
        <v>0.52681657734674903</v>
      </c>
      <c r="G210" s="181">
        <v>1</v>
      </c>
      <c r="H210" s="267">
        <v>42927</v>
      </c>
      <c r="I210" s="266" t="s">
        <v>3179</v>
      </c>
      <c r="J210" s="266">
        <v>1</v>
      </c>
      <c r="K210" s="181" t="s">
        <v>4474</v>
      </c>
      <c r="L210" s="256">
        <v>295</v>
      </c>
      <c r="M210" s="256">
        <v>0</v>
      </c>
      <c r="N210" s="256">
        <v>2</v>
      </c>
      <c r="O210" s="256">
        <v>9</v>
      </c>
    </row>
    <row r="211" spans="1:15" s="69" customFormat="1" ht="225" hidden="1">
      <c r="A211" s="256" t="s">
        <v>3117</v>
      </c>
      <c r="B211" s="256" t="s">
        <v>45</v>
      </c>
      <c r="C211" s="256" t="s">
        <v>46</v>
      </c>
      <c r="D211" s="266" t="s">
        <v>3180</v>
      </c>
      <c r="E211" s="146">
        <f t="shared" si="6"/>
        <v>65</v>
      </c>
      <c r="F211" s="256">
        <v>0.93140896879024404</v>
      </c>
      <c r="G211" s="181">
        <v>1</v>
      </c>
      <c r="H211" s="267">
        <v>42926</v>
      </c>
      <c r="I211" s="266" t="s">
        <v>3181</v>
      </c>
      <c r="J211" s="266">
        <v>1</v>
      </c>
      <c r="K211" s="181" t="s">
        <v>4474</v>
      </c>
      <c r="L211" s="256">
        <v>295</v>
      </c>
      <c r="M211" s="256">
        <v>0</v>
      </c>
      <c r="N211" s="256">
        <v>2</v>
      </c>
      <c r="O211" s="256">
        <v>9</v>
      </c>
    </row>
    <row r="212" spans="1:15" s="69" customFormat="1" ht="225" hidden="1">
      <c r="A212" s="256" t="s">
        <v>3117</v>
      </c>
      <c r="B212" s="256" t="s">
        <v>45</v>
      </c>
      <c r="C212" s="256" t="s">
        <v>46</v>
      </c>
      <c r="D212" s="266" t="s">
        <v>3182</v>
      </c>
      <c r="E212" s="146">
        <f t="shared" si="6"/>
        <v>48</v>
      </c>
      <c r="F212" s="256">
        <v>0.95625321146892595</v>
      </c>
      <c r="G212" s="181">
        <v>1</v>
      </c>
      <c r="H212" s="267">
        <v>42924</v>
      </c>
      <c r="I212" s="266" t="s">
        <v>3183</v>
      </c>
      <c r="J212" s="266">
        <v>1</v>
      </c>
      <c r="K212" s="181" t="s">
        <v>4474</v>
      </c>
      <c r="L212" s="256">
        <v>295</v>
      </c>
      <c r="M212" s="256">
        <v>0</v>
      </c>
      <c r="N212" s="256">
        <v>2</v>
      </c>
      <c r="O212" s="256">
        <v>11</v>
      </c>
    </row>
    <row r="213" spans="1:15" s="69" customFormat="1" ht="225" hidden="1">
      <c r="A213" s="256" t="s">
        <v>3117</v>
      </c>
      <c r="B213" s="256" t="s">
        <v>45</v>
      </c>
      <c r="C213" s="256" t="s">
        <v>46</v>
      </c>
      <c r="D213" s="266" t="s">
        <v>3130</v>
      </c>
      <c r="E213" s="146">
        <f t="shared" si="6"/>
        <v>79</v>
      </c>
      <c r="F213" s="256">
        <v>6.6177862729074902E-2</v>
      </c>
      <c r="G213" s="181">
        <v>1</v>
      </c>
      <c r="H213" s="267">
        <v>42923</v>
      </c>
      <c r="I213" s="266" t="s">
        <v>3184</v>
      </c>
      <c r="J213" s="266">
        <v>1</v>
      </c>
      <c r="K213" s="181" t="s">
        <v>4474</v>
      </c>
      <c r="L213" s="256">
        <v>295</v>
      </c>
      <c r="M213" s="256">
        <v>0</v>
      </c>
      <c r="N213" s="256">
        <v>2</v>
      </c>
      <c r="O213" s="256">
        <v>12</v>
      </c>
    </row>
    <row r="214" spans="1:15" s="69" customFormat="1" ht="180" hidden="1">
      <c r="A214" s="256" t="s">
        <v>3117</v>
      </c>
      <c r="B214" s="256" t="s">
        <v>45</v>
      </c>
      <c r="C214" s="256" t="s">
        <v>46</v>
      </c>
      <c r="D214" s="266" t="s">
        <v>3130</v>
      </c>
      <c r="E214" s="146">
        <f t="shared" si="6"/>
        <v>73</v>
      </c>
      <c r="F214" s="256">
        <v>5.42085860074712E-2</v>
      </c>
      <c r="G214" s="181">
        <v>1</v>
      </c>
      <c r="H214" s="267">
        <v>42922</v>
      </c>
      <c r="I214" s="266" t="s">
        <v>3185</v>
      </c>
      <c r="J214" s="266">
        <v>1</v>
      </c>
      <c r="K214" s="181" t="s">
        <v>4475</v>
      </c>
      <c r="L214" s="256">
        <v>255</v>
      </c>
      <c r="M214" s="256">
        <v>0</v>
      </c>
      <c r="N214" s="256">
        <v>2</v>
      </c>
      <c r="O214" s="256">
        <v>13</v>
      </c>
    </row>
    <row r="215" spans="1:15" s="69" customFormat="1" ht="180" hidden="1">
      <c r="A215" s="256" t="s">
        <v>3117</v>
      </c>
      <c r="B215" s="256" t="s">
        <v>45</v>
      </c>
      <c r="C215" s="256" t="s">
        <v>46</v>
      </c>
      <c r="D215" s="266" t="s">
        <v>3187</v>
      </c>
      <c r="E215" s="146">
        <f t="shared" si="6"/>
        <v>100</v>
      </c>
      <c r="F215" s="256">
        <v>4.1475537776069001E-2</v>
      </c>
      <c r="G215" s="181">
        <v>1</v>
      </c>
      <c r="H215" s="267">
        <v>42921</v>
      </c>
      <c r="I215" s="266" t="s">
        <v>3188</v>
      </c>
      <c r="J215" s="266">
        <v>1</v>
      </c>
      <c r="K215" s="181" t="s">
        <v>4476</v>
      </c>
      <c r="L215" s="256">
        <v>255</v>
      </c>
      <c r="M215" s="256">
        <v>0</v>
      </c>
      <c r="N215" s="256">
        <v>2</v>
      </c>
      <c r="O215" s="256">
        <v>14</v>
      </c>
    </row>
    <row r="216" spans="1:15" s="69" customFormat="1" ht="180" hidden="1">
      <c r="A216" s="256" t="s">
        <v>3117</v>
      </c>
      <c r="B216" s="256" t="s">
        <v>45</v>
      </c>
      <c r="C216" s="256" t="s">
        <v>46</v>
      </c>
      <c r="D216" s="266" t="s">
        <v>3156</v>
      </c>
      <c r="E216" s="146">
        <f t="shared" si="6"/>
        <v>52</v>
      </c>
      <c r="F216" s="256">
        <v>0.106078646769795</v>
      </c>
      <c r="G216" s="181">
        <v>1</v>
      </c>
      <c r="H216" s="267">
        <v>42920</v>
      </c>
      <c r="I216" s="266" t="s">
        <v>3190</v>
      </c>
      <c r="J216" s="266">
        <v>1</v>
      </c>
      <c r="K216" s="181" t="s">
        <v>3178</v>
      </c>
      <c r="L216" s="256">
        <v>236</v>
      </c>
      <c r="M216" s="256">
        <v>0</v>
      </c>
      <c r="N216" s="256">
        <v>2</v>
      </c>
      <c r="O216" s="256">
        <v>9</v>
      </c>
    </row>
    <row r="217" spans="1:15" s="69" customFormat="1" ht="180" hidden="1">
      <c r="A217" s="256" t="s">
        <v>3117</v>
      </c>
      <c r="B217" s="256" t="s">
        <v>1191</v>
      </c>
      <c r="C217" s="256" t="s">
        <v>46</v>
      </c>
      <c r="D217" s="266" t="s">
        <v>3191</v>
      </c>
      <c r="E217" s="146">
        <f t="shared" si="6"/>
        <v>74</v>
      </c>
      <c r="F217" s="256">
        <v>6.9307074231387406E-2</v>
      </c>
      <c r="G217" s="181">
        <v>1</v>
      </c>
      <c r="H217" s="267">
        <v>42916</v>
      </c>
      <c r="I217" s="266" t="s">
        <v>3192</v>
      </c>
      <c r="J217" s="266">
        <v>1</v>
      </c>
      <c r="K217" s="181" t="s">
        <v>3178</v>
      </c>
      <c r="L217" s="256">
        <v>236</v>
      </c>
      <c r="M217" s="256">
        <v>0</v>
      </c>
      <c r="N217" s="256">
        <v>2</v>
      </c>
      <c r="O217" s="256">
        <v>13</v>
      </c>
    </row>
    <row r="218" spans="1:15" s="69" customFormat="1" ht="135" hidden="1">
      <c r="A218" s="256" t="s">
        <v>3117</v>
      </c>
      <c r="B218" s="256" t="s">
        <v>1191</v>
      </c>
      <c r="C218" s="256" t="s">
        <v>46</v>
      </c>
      <c r="D218" s="266" t="s">
        <v>3193</v>
      </c>
      <c r="E218" s="146">
        <f t="shared" si="6"/>
        <v>70</v>
      </c>
      <c r="F218" s="256">
        <v>0.43424274213242797</v>
      </c>
      <c r="G218" s="181">
        <v>1</v>
      </c>
      <c r="H218" s="267">
        <v>42912</v>
      </c>
      <c r="I218" s="266" t="s">
        <v>3194</v>
      </c>
      <c r="J218" s="266">
        <v>1</v>
      </c>
      <c r="K218" s="181" t="s">
        <v>3195</v>
      </c>
      <c r="L218" s="256">
        <v>183</v>
      </c>
      <c r="M218" s="256">
        <v>0</v>
      </c>
      <c r="N218" s="256">
        <v>2</v>
      </c>
      <c r="O218" s="256">
        <v>10</v>
      </c>
    </row>
    <row r="219" spans="1:15" s="69" customFormat="1" ht="135" hidden="1">
      <c r="A219" s="256" t="s">
        <v>3117</v>
      </c>
      <c r="B219" s="256" t="s">
        <v>1191</v>
      </c>
      <c r="C219" s="256" t="s">
        <v>46</v>
      </c>
      <c r="D219" s="266" t="s">
        <v>3196</v>
      </c>
      <c r="E219" s="146">
        <f t="shared" si="6"/>
        <v>50</v>
      </c>
      <c r="F219" s="256">
        <v>0.98151924920140998</v>
      </c>
      <c r="G219" s="181">
        <v>1</v>
      </c>
      <c r="H219" s="267">
        <v>42910</v>
      </c>
      <c r="I219" s="266" t="s">
        <v>3197</v>
      </c>
      <c r="J219" s="266">
        <v>1</v>
      </c>
      <c r="K219" s="271" t="s">
        <v>3195</v>
      </c>
      <c r="L219" s="256">
        <v>183</v>
      </c>
      <c r="M219" s="256">
        <v>0</v>
      </c>
      <c r="N219" s="256">
        <v>2</v>
      </c>
      <c r="O219" s="256">
        <v>12</v>
      </c>
    </row>
    <row r="220" spans="1:15" s="69" customFormat="1" ht="135" hidden="1">
      <c r="A220" s="256" t="s">
        <v>3117</v>
      </c>
      <c r="B220" s="256" t="s">
        <v>1191</v>
      </c>
      <c r="C220" s="256" t="s">
        <v>46</v>
      </c>
      <c r="D220" s="266" t="s">
        <v>3198</v>
      </c>
      <c r="E220" s="146">
        <f t="shared" si="6"/>
        <v>107</v>
      </c>
      <c r="F220" s="256">
        <v>0.128660270872449</v>
      </c>
      <c r="G220" s="181">
        <v>1</v>
      </c>
      <c r="H220" s="267">
        <v>42912</v>
      </c>
      <c r="I220" s="266" t="s">
        <v>3199</v>
      </c>
      <c r="J220" s="266">
        <v>1</v>
      </c>
      <c r="K220" s="271" t="s">
        <v>3195</v>
      </c>
      <c r="L220" s="256">
        <v>183</v>
      </c>
      <c r="M220" s="256">
        <v>0</v>
      </c>
      <c r="N220" s="256">
        <v>2</v>
      </c>
      <c r="O220" s="256">
        <v>10</v>
      </c>
    </row>
    <row r="221" spans="1:15" s="69" customFormat="1" ht="105" hidden="1">
      <c r="A221" s="256" t="s">
        <v>3117</v>
      </c>
      <c r="B221" s="256" t="s">
        <v>1191</v>
      </c>
      <c r="C221" s="256" t="s">
        <v>46</v>
      </c>
      <c r="D221" s="266" t="s">
        <v>3200</v>
      </c>
      <c r="E221" s="146">
        <f t="shared" si="6"/>
        <v>67</v>
      </c>
      <c r="F221" s="256">
        <v>0.25058513604836702</v>
      </c>
      <c r="G221" s="181">
        <v>1</v>
      </c>
      <c r="H221" s="267">
        <v>42898</v>
      </c>
      <c r="I221" s="266" t="s">
        <v>3201</v>
      </c>
      <c r="J221" s="266">
        <v>1</v>
      </c>
      <c r="K221" s="181" t="s">
        <v>3202</v>
      </c>
      <c r="L221" s="256">
        <v>121</v>
      </c>
      <c r="M221" s="256">
        <v>0</v>
      </c>
      <c r="N221" s="256">
        <v>2</v>
      </c>
      <c r="O221" s="256">
        <v>11</v>
      </c>
    </row>
    <row r="222" spans="1:15" s="69" customFormat="1" ht="135" hidden="1">
      <c r="A222" s="256" t="s">
        <v>3117</v>
      </c>
      <c r="B222" s="256" t="s">
        <v>1191</v>
      </c>
      <c r="C222" s="256" t="s">
        <v>46</v>
      </c>
      <c r="D222" s="266" t="s">
        <v>3203</v>
      </c>
      <c r="E222" s="146">
        <f t="shared" si="6"/>
        <v>104</v>
      </c>
      <c r="F222" s="256">
        <v>0.25470453740521298</v>
      </c>
      <c r="G222" s="181">
        <v>1</v>
      </c>
      <c r="H222" s="267">
        <v>42879</v>
      </c>
      <c r="I222" s="266" t="s">
        <v>3204</v>
      </c>
      <c r="J222" s="266">
        <v>1</v>
      </c>
      <c r="K222" s="271" t="s">
        <v>3205</v>
      </c>
      <c r="L222" s="256">
        <v>199</v>
      </c>
      <c r="M222" s="256">
        <v>0</v>
      </c>
      <c r="N222" s="256">
        <v>2</v>
      </c>
      <c r="O222" s="256">
        <v>14</v>
      </c>
    </row>
    <row r="223" spans="1:15" s="69" customFormat="1" ht="135" hidden="1">
      <c r="A223" s="256" t="s">
        <v>3117</v>
      </c>
      <c r="B223" s="256" t="s">
        <v>1191</v>
      </c>
      <c r="C223" s="256" t="s">
        <v>46</v>
      </c>
      <c r="D223" s="266" t="s">
        <v>3206</v>
      </c>
      <c r="E223" s="146">
        <f t="shared" si="6"/>
        <v>46</v>
      </c>
      <c r="F223" s="256">
        <v>2.5116227451877599E-2</v>
      </c>
      <c r="G223" s="181">
        <v>1</v>
      </c>
      <c r="H223" s="267">
        <v>42860</v>
      </c>
      <c r="I223" s="266" t="s">
        <v>3207</v>
      </c>
      <c r="J223" s="266">
        <v>1</v>
      </c>
      <c r="K223" s="271" t="s">
        <v>3208</v>
      </c>
      <c r="L223" s="256">
        <v>189</v>
      </c>
      <c r="M223" s="256">
        <v>0</v>
      </c>
      <c r="N223" s="256">
        <v>2</v>
      </c>
      <c r="O223" s="256">
        <v>10</v>
      </c>
    </row>
  </sheetData>
  <autoFilter ref="A1:O223" xr:uid="{00000000-0009-0000-0000-000004000000}">
    <filterColumn colId="0">
      <filters>
        <filter val="茶园河"/>
      </filters>
    </filterColumn>
  </autoFilter>
  <phoneticPr fontId="16" type="noConversion"/>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
  <sheetViews>
    <sheetView workbookViewId="0">
      <selection activeCell="G3" sqref="G3"/>
    </sheetView>
  </sheetViews>
  <sheetFormatPr baseColWidth="10" defaultColWidth="8.6640625" defaultRowHeight="15"/>
  <cols>
    <col min="2" max="3" width="9" customWidth="1"/>
    <col min="4" max="8" width="10.83203125" customWidth="1"/>
    <col min="9" max="9" width="55.5" customWidth="1"/>
    <col min="10" max="10" width="13.5" customWidth="1"/>
    <col min="11" max="11" width="42.83203125" customWidth="1"/>
    <col min="12" max="12" width="9" customWidth="1"/>
  </cols>
  <sheetData>
    <row r="1" spans="1:18" s="69" customFormat="1" ht="45">
      <c r="A1" s="181" t="s">
        <v>1</v>
      </c>
      <c r="B1" s="254" t="s">
        <v>2</v>
      </c>
      <c r="C1" s="254" t="s">
        <v>3</v>
      </c>
      <c r="D1" s="254" t="s">
        <v>4</v>
      </c>
      <c r="E1" s="146" t="s">
        <v>5</v>
      </c>
      <c r="F1" s="254" t="s">
        <v>4342</v>
      </c>
      <c r="G1" s="254" t="s">
        <v>11</v>
      </c>
      <c r="H1" s="255" t="s">
        <v>12</v>
      </c>
      <c r="I1" s="254" t="s">
        <v>18</v>
      </c>
      <c r="J1" s="254" t="s">
        <v>4343</v>
      </c>
      <c r="K1" s="181" t="s">
        <v>19</v>
      </c>
      <c r="L1" s="256" t="s">
        <v>20</v>
      </c>
      <c r="M1" s="181" t="s">
        <v>21</v>
      </c>
      <c r="N1" s="181" t="s">
        <v>4344</v>
      </c>
      <c r="O1" s="181" t="s">
        <v>22</v>
      </c>
      <c r="P1" s="136" t="s">
        <v>23</v>
      </c>
    </row>
    <row r="2" spans="1:18" s="69" customFormat="1" ht="90">
      <c r="A2" s="256" t="s">
        <v>3209</v>
      </c>
      <c r="B2" s="256" t="s">
        <v>45</v>
      </c>
      <c r="C2" s="256" t="s">
        <v>80</v>
      </c>
      <c r="D2" s="220" t="s">
        <v>3210</v>
      </c>
      <c r="E2" s="187">
        <v>38</v>
      </c>
      <c r="F2" s="256">
        <v>0.70493504586954803</v>
      </c>
      <c r="G2" s="181">
        <v>1</v>
      </c>
      <c r="H2" s="257">
        <v>43595</v>
      </c>
      <c r="I2" s="220" t="s">
        <v>3211</v>
      </c>
      <c r="J2" s="220">
        <v>1</v>
      </c>
      <c r="K2" s="220" t="s">
        <v>3212</v>
      </c>
      <c r="L2" s="256">
        <v>121</v>
      </c>
      <c r="M2" s="220">
        <v>0</v>
      </c>
      <c r="N2" s="220">
        <v>1</v>
      </c>
      <c r="O2" s="220">
        <v>4</v>
      </c>
      <c r="P2" s="69">
        <f>AVERAGE(M2:M8)</f>
        <v>0</v>
      </c>
      <c r="Q2" s="69">
        <f>AVERAGE(N2:N8)</f>
        <v>1</v>
      </c>
      <c r="R2" s="69">
        <f>AVERAGE(O2:O8)</f>
        <v>5</v>
      </c>
    </row>
    <row r="3" spans="1:18" s="69" customFormat="1" ht="90">
      <c r="A3" s="256" t="s">
        <v>3209</v>
      </c>
      <c r="B3" s="256" t="s">
        <v>45</v>
      </c>
      <c r="C3" s="256" t="s">
        <v>80</v>
      </c>
      <c r="D3" s="220" t="s">
        <v>268</v>
      </c>
      <c r="E3" s="187">
        <v>40</v>
      </c>
      <c r="F3" s="256">
        <v>3.4294304046875702E-3</v>
      </c>
      <c r="G3" s="181">
        <v>1</v>
      </c>
      <c r="H3" s="257">
        <v>43594</v>
      </c>
      <c r="I3" s="186" t="s">
        <v>3213</v>
      </c>
      <c r="J3" s="186">
        <v>1</v>
      </c>
      <c r="K3" s="220" t="s">
        <v>3212</v>
      </c>
      <c r="L3" s="256">
        <v>121</v>
      </c>
      <c r="M3" s="220">
        <v>0</v>
      </c>
      <c r="N3" s="220">
        <v>1</v>
      </c>
      <c r="O3" s="220">
        <v>5</v>
      </c>
    </row>
    <row r="4" spans="1:18" s="69" customFormat="1" ht="60">
      <c r="A4" s="256" t="s">
        <v>3209</v>
      </c>
      <c r="B4" s="256" t="s">
        <v>45</v>
      </c>
      <c r="C4" s="256" t="s">
        <v>46</v>
      </c>
      <c r="D4" s="186" t="s">
        <v>3214</v>
      </c>
      <c r="E4" s="187">
        <v>118</v>
      </c>
      <c r="F4" s="256">
        <v>0.93296638340065696</v>
      </c>
      <c r="G4" s="181">
        <v>1</v>
      </c>
      <c r="H4" s="257">
        <v>43490</v>
      </c>
      <c r="I4" s="186" t="s">
        <v>3215</v>
      </c>
      <c r="J4" s="186">
        <v>1</v>
      </c>
      <c r="K4" s="186" t="s">
        <v>3216</v>
      </c>
      <c r="L4" s="256">
        <v>36</v>
      </c>
      <c r="M4" s="256">
        <v>0</v>
      </c>
      <c r="N4" s="256">
        <v>1</v>
      </c>
      <c r="O4" s="256">
        <v>5</v>
      </c>
    </row>
    <row r="5" spans="1:18" s="69" customFormat="1" ht="180">
      <c r="A5" s="256" t="s">
        <v>3209</v>
      </c>
      <c r="B5" s="256" t="s">
        <v>45</v>
      </c>
      <c r="C5" s="256" t="s">
        <v>80</v>
      </c>
      <c r="D5" s="258" t="s">
        <v>3217</v>
      </c>
      <c r="E5" s="187">
        <v>61</v>
      </c>
      <c r="F5" s="256">
        <v>0.26342270867997303</v>
      </c>
      <c r="G5" s="181">
        <v>1</v>
      </c>
      <c r="H5" s="257">
        <v>43316</v>
      </c>
      <c r="I5" s="186" t="s">
        <v>3218</v>
      </c>
      <c r="J5" s="186">
        <v>0</v>
      </c>
      <c r="K5" s="186" t="s">
        <v>3219</v>
      </c>
      <c r="L5" s="256">
        <v>251</v>
      </c>
      <c r="M5" s="256">
        <v>0</v>
      </c>
      <c r="N5" s="256">
        <v>1</v>
      </c>
      <c r="O5" s="256">
        <v>4</v>
      </c>
    </row>
    <row r="6" spans="1:18" s="69" customFormat="1" ht="90">
      <c r="A6" s="256" t="s">
        <v>3209</v>
      </c>
      <c r="B6" s="256" t="s">
        <v>119</v>
      </c>
      <c r="C6" s="256" t="s">
        <v>46</v>
      </c>
      <c r="D6" s="186" t="s">
        <v>3220</v>
      </c>
      <c r="E6" s="187">
        <v>170</v>
      </c>
      <c r="F6" s="256">
        <v>1</v>
      </c>
      <c r="G6" s="181">
        <v>1</v>
      </c>
      <c r="H6" s="257">
        <v>43255</v>
      </c>
      <c r="I6" s="186" t="s">
        <v>3221</v>
      </c>
      <c r="J6" s="186">
        <v>1</v>
      </c>
      <c r="K6" s="186" t="s">
        <v>3222</v>
      </c>
      <c r="L6" s="256">
        <v>53</v>
      </c>
      <c r="M6" s="256">
        <v>0</v>
      </c>
      <c r="N6" s="256">
        <v>1</v>
      </c>
      <c r="O6" s="256">
        <v>4</v>
      </c>
    </row>
    <row r="7" spans="1:18" s="69" customFormat="1" ht="45">
      <c r="A7" s="256" t="s">
        <v>3209</v>
      </c>
      <c r="B7" s="256" t="s">
        <v>45</v>
      </c>
      <c r="C7" s="256" t="s">
        <v>46</v>
      </c>
      <c r="D7" s="186" t="s">
        <v>3223</v>
      </c>
      <c r="E7" s="187">
        <v>71</v>
      </c>
      <c r="F7" s="256">
        <v>7.6039305287330904E-3</v>
      </c>
      <c r="G7" s="181">
        <v>0</v>
      </c>
      <c r="H7" s="257">
        <v>43181</v>
      </c>
      <c r="I7" s="220" t="s">
        <v>3224</v>
      </c>
      <c r="J7" s="186">
        <v>0</v>
      </c>
      <c r="K7" s="186" t="s">
        <v>3225</v>
      </c>
      <c r="L7" s="256">
        <v>58</v>
      </c>
      <c r="M7" s="220">
        <v>0</v>
      </c>
      <c r="N7" s="220">
        <v>1</v>
      </c>
      <c r="O7" s="220">
        <v>11</v>
      </c>
    </row>
    <row r="8" spans="1:18" s="69" customFormat="1" ht="45">
      <c r="A8" s="256" t="s">
        <v>3209</v>
      </c>
      <c r="B8" s="256" t="s">
        <v>45</v>
      </c>
      <c r="C8" s="256" t="s">
        <v>46</v>
      </c>
      <c r="D8" s="186" t="s">
        <v>3226</v>
      </c>
      <c r="E8" s="187">
        <v>40</v>
      </c>
      <c r="F8" s="256">
        <v>5.66212043064507E-4</v>
      </c>
      <c r="G8" s="181">
        <v>1</v>
      </c>
      <c r="H8" s="257">
        <v>43173</v>
      </c>
      <c r="I8" s="186" t="s">
        <v>3227</v>
      </c>
      <c r="J8" s="186">
        <v>0</v>
      </c>
      <c r="K8" s="186" t="s">
        <v>3228</v>
      </c>
      <c r="L8" s="256">
        <v>46</v>
      </c>
      <c r="M8" s="256">
        <v>0</v>
      </c>
      <c r="N8" s="256">
        <v>1</v>
      </c>
      <c r="O8" s="256">
        <v>2</v>
      </c>
    </row>
    <row r="9" spans="1:18" s="69" customFormat="1" ht="90">
      <c r="A9" s="256" t="s">
        <v>3209</v>
      </c>
      <c r="B9" s="256" t="s">
        <v>45</v>
      </c>
      <c r="C9" s="256" t="s">
        <v>46</v>
      </c>
      <c r="D9" s="220" t="s">
        <v>3229</v>
      </c>
      <c r="E9" s="187">
        <v>112</v>
      </c>
      <c r="F9" s="256">
        <v>0.99999991435587399</v>
      </c>
      <c r="G9" s="181">
        <v>1</v>
      </c>
      <c r="H9" s="257">
        <v>43099</v>
      </c>
      <c r="I9" s="220" t="s">
        <v>4477</v>
      </c>
      <c r="J9" s="69">
        <v>1</v>
      </c>
      <c r="K9" s="186" t="s">
        <v>3231</v>
      </c>
      <c r="L9" s="256">
        <v>98</v>
      </c>
      <c r="M9" s="220">
        <v>0</v>
      </c>
      <c r="N9" s="220">
        <v>1</v>
      </c>
      <c r="O9" s="220">
        <v>4</v>
      </c>
    </row>
  </sheetData>
  <autoFilter ref="A1:O9" xr:uid="{00000000-0009-0000-0000-000005000000}"/>
  <phoneticPr fontId="16" type="noConversion"/>
  <pageMargins left="0.75" right="0.75" top="1" bottom="1" header="0.5" footer="0.5"/>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5"/>
  <sheetViews>
    <sheetView topLeftCell="B1" workbookViewId="0">
      <selection activeCell="B1" sqref="B1:R25"/>
    </sheetView>
  </sheetViews>
  <sheetFormatPr baseColWidth="10" defaultColWidth="8.6640625" defaultRowHeight="15"/>
  <cols>
    <col min="2" max="2" width="9.83203125" customWidth="1"/>
    <col min="11" max="11" width="10.1640625" customWidth="1"/>
  </cols>
  <sheetData>
    <row r="1" spans="1:18" ht="14" customHeight="1">
      <c r="A1" s="325" t="s">
        <v>4478</v>
      </c>
      <c r="B1" s="325" t="s">
        <v>4479</v>
      </c>
      <c r="C1" s="325" t="s">
        <v>4480</v>
      </c>
      <c r="D1" s="325"/>
      <c r="E1" s="325"/>
      <c r="F1" s="325"/>
      <c r="G1" s="325"/>
      <c r="H1" s="325"/>
      <c r="I1" s="325"/>
      <c r="J1" s="325" t="s">
        <v>4478</v>
      </c>
      <c r="K1" s="325" t="s">
        <v>4479</v>
      </c>
      <c r="L1" s="325" t="s">
        <v>4480</v>
      </c>
      <c r="M1" s="325"/>
      <c r="N1" s="325"/>
      <c r="O1" s="325"/>
      <c r="P1" s="325"/>
      <c r="Q1" s="325"/>
      <c r="R1" s="325"/>
    </row>
    <row r="2" spans="1:18">
      <c r="A2" s="325"/>
      <c r="B2" s="325"/>
      <c r="C2" s="249" t="s">
        <v>4481</v>
      </c>
      <c r="D2" s="249">
        <v>2020</v>
      </c>
      <c r="E2" s="249">
        <v>2019</v>
      </c>
      <c r="F2" s="249">
        <v>2018</v>
      </c>
      <c r="G2" s="249">
        <v>2017</v>
      </c>
      <c r="H2" s="249">
        <v>2016</v>
      </c>
      <c r="I2" s="249" t="s">
        <v>4482</v>
      </c>
      <c r="J2" s="325"/>
      <c r="K2" s="325"/>
      <c r="L2" s="249" t="s">
        <v>4481</v>
      </c>
      <c r="M2" s="249">
        <v>2020</v>
      </c>
      <c r="N2" s="249">
        <v>2019</v>
      </c>
      <c r="O2" s="249">
        <v>2018</v>
      </c>
      <c r="P2" s="249">
        <v>2017</v>
      </c>
      <c r="Q2" s="249">
        <v>2016</v>
      </c>
      <c r="R2" s="249" t="s">
        <v>4482</v>
      </c>
    </row>
    <row r="3" spans="1:18" ht="14.5" customHeight="1">
      <c r="A3" s="325" t="s">
        <v>4483</v>
      </c>
      <c r="B3" s="244" t="s">
        <v>44</v>
      </c>
      <c r="C3" s="244">
        <f t="shared" ref="C3:C9" si="0">SUM(E3:I3)</f>
        <v>21</v>
      </c>
      <c r="D3" s="244">
        <v>1</v>
      </c>
      <c r="E3" s="244">
        <v>2</v>
      </c>
      <c r="F3" s="244">
        <v>4</v>
      </c>
      <c r="G3" s="244">
        <v>1</v>
      </c>
      <c r="H3" s="244">
        <v>14</v>
      </c>
      <c r="I3" s="247">
        <v>0</v>
      </c>
      <c r="J3" s="325" t="s">
        <v>4484</v>
      </c>
      <c r="K3" s="252" t="s">
        <v>1222</v>
      </c>
      <c r="L3" s="252">
        <v>12</v>
      </c>
      <c r="M3" s="252">
        <v>12</v>
      </c>
      <c r="N3" s="252">
        <v>32</v>
      </c>
      <c r="O3" s="252">
        <v>64</v>
      </c>
      <c r="P3" s="252">
        <v>30</v>
      </c>
      <c r="Q3" s="252">
        <v>16</v>
      </c>
      <c r="R3" s="252">
        <v>57</v>
      </c>
    </row>
    <row r="4" spans="1:18">
      <c r="A4" s="325"/>
      <c r="B4" s="244" t="s">
        <v>115</v>
      </c>
      <c r="C4" s="244">
        <f t="shared" si="0"/>
        <v>18</v>
      </c>
      <c r="D4" s="244">
        <v>0</v>
      </c>
      <c r="E4" s="244">
        <v>1</v>
      </c>
      <c r="F4" s="244">
        <v>10</v>
      </c>
      <c r="G4" s="244">
        <v>6</v>
      </c>
      <c r="H4" s="244">
        <v>1</v>
      </c>
      <c r="I4" s="247">
        <v>0</v>
      </c>
      <c r="J4" s="325"/>
      <c r="K4" s="252" t="s">
        <v>1790</v>
      </c>
      <c r="L4" s="252">
        <v>5</v>
      </c>
      <c r="M4" s="252">
        <v>5</v>
      </c>
      <c r="N4" s="252">
        <v>9</v>
      </c>
      <c r="O4" s="252">
        <v>7</v>
      </c>
      <c r="P4" s="252">
        <v>8</v>
      </c>
      <c r="Q4" s="252">
        <v>0</v>
      </c>
      <c r="R4" s="252">
        <v>2</v>
      </c>
    </row>
    <row r="5" spans="1:18">
      <c r="A5" s="325"/>
      <c r="B5" s="244" t="s">
        <v>170</v>
      </c>
      <c r="C5" s="244">
        <f t="shared" si="0"/>
        <v>24</v>
      </c>
      <c r="D5" s="244">
        <v>0</v>
      </c>
      <c r="E5" s="244">
        <v>0</v>
      </c>
      <c r="F5" s="244">
        <v>9</v>
      </c>
      <c r="G5" s="244">
        <v>3</v>
      </c>
      <c r="H5" s="244">
        <v>4</v>
      </c>
      <c r="I5" s="247">
        <v>8</v>
      </c>
      <c r="J5" s="325"/>
      <c r="K5" s="252" t="s">
        <v>1871</v>
      </c>
      <c r="L5" s="252">
        <v>1</v>
      </c>
      <c r="M5" s="252">
        <v>1</v>
      </c>
      <c r="N5" s="252">
        <v>4</v>
      </c>
      <c r="O5" s="252">
        <v>7</v>
      </c>
      <c r="P5" s="252">
        <v>2</v>
      </c>
      <c r="Q5" s="252">
        <v>1</v>
      </c>
      <c r="R5" s="252">
        <v>18</v>
      </c>
    </row>
    <row r="6" spans="1:18" ht="14" customHeight="1">
      <c r="A6" s="325"/>
      <c r="B6" s="244" t="s">
        <v>4485</v>
      </c>
      <c r="C6" s="244">
        <f t="shared" si="0"/>
        <v>0</v>
      </c>
      <c r="D6" s="244">
        <v>0</v>
      </c>
      <c r="E6" s="244">
        <v>0</v>
      </c>
      <c r="F6" s="244">
        <v>0</v>
      </c>
      <c r="G6" s="244">
        <v>0</v>
      </c>
      <c r="H6" s="244">
        <v>0</v>
      </c>
      <c r="I6" s="244">
        <v>0</v>
      </c>
      <c r="J6" s="325"/>
      <c r="K6" s="252" t="s">
        <v>1913</v>
      </c>
      <c r="L6" s="252">
        <v>4</v>
      </c>
      <c r="M6" s="252">
        <v>4</v>
      </c>
      <c r="N6" s="252">
        <v>6</v>
      </c>
      <c r="O6" s="252">
        <v>9</v>
      </c>
      <c r="P6" s="252">
        <v>10</v>
      </c>
      <c r="Q6" s="252">
        <v>1</v>
      </c>
      <c r="R6" s="252">
        <v>7</v>
      </c>
    </row>
    <row r="7" spans="1:18">
      <c r="A7" s="325"/>
      <c r="B7" s="244" t="s">
        <v>4481</v>
      </c>
      <c r="C7" s="244">
        <f t="shared" si="0"/>
        <v>63</v>
      </c>
      <c r="D7" s="244">
        <f t="shared" ref="D7:I7" si="1">SUM(D3:D6)</f>
        <v>1</v>
      </c>
      <c r="E7" s="244">
        <f t="shared" si="1"/>
        <v>3</v>
      </c>
      <c r="F7" s="244">
        <f t="shared" si="1"/>
        <v>23</v>
      </c>
      <c r="G7" s="244">
        <f t="shared" si="1"/>
        <v>10</v>
      </c>
      <c r="H7" s="244">
        <f t="shared" si="1"/>
        <v>19</v>
      </c>
      <c r="I7" s="244">
        <f t="shared" si="1"/>
        <v>8</v>
      </c>
      <c r="J7" s="325"/>
      <c r="K7" s="252" t="s">
        <v>1989</v>
      </c>
      <c r="L7" s="252">
        <v>4</v>
      </c>
      <c r="M7" s="252">
        <v>4</v>
      </c>
      <c r="N7" s="252">
        <v>1</v>
      </c>
      <c r="O7" s="252">
        <v>3</v>
      </c>
      <c r="P7" s="252">
        <v>1</v>
      </c>
      <c r="Q7" s="252">
        <v>0</v>
      </c>
      <c r="R7" s="252">
        <v>3</v>
      </c>
    </row>
    <row r="8" spans="1:18">
      <c r="A8" s="325" t="s">
        <v>4486</v>
      </c>
      <c r="B8" s="244" t="s">
        <v>2179</v>
      </c>
      <c r="C8" s="244">
        <f t="shared" si="0"/>
        <v>58</v>
      </c>
      <c r="D8" s="244">
        <v>0</v>
      </c>
      <c r="E8" s="244">
        <v>1</v>
      </c>
      <c r="F8" s="244">
        <v>13</v>
      </c>
      <c r="G8" s="244">
        <v>13</v>
      </c>
      <c r="H8" s="244">
        <v>6</v>
      </c>
      <c r="I8" s="247">
        <v>25</v>
      </c>
      <c r="J8" s="325"/>
      <c r="K8" s="252" t="s">
        <v>2015</v>
      </c>
      <c r="L8" s="252">
        <v>13</v>
      </c>
      <c r="M8" s="252">
        <v>13</v>
      </c>
      <c r="N8" s="252">
        <v>1</v>
      </c>
      <c r="O8" s="252">
        <v>2</v>
      </c>
      <c r="P8" s="252">
        <v>2</v>
      </c>
      <c r="Q8" s="252">
        <v>0</v>
      </c>
      <c r="R8" s="252">
        <v>0</v>
      </c>
    </row>
    <row r="9" spans="1:18">
      <c r="A9" s="325"/>
      <c r="B9" s="244" t="s">
        <v>2418</v>
      </c>
      <c r="C9" s="244">
        <f t="shared" si="0"/>
        <v>42</v>
      </c>
      <c r="D9" s="244">
        <v>5</v>
      </c>
      <c r="E9" s="244">
        <v>11</v>
      </c>
      <c r="F9" s="244">
        <v>8</v>
      </c>
      <c r="G9" s="244">
        <v>8</v>
      </c>
      <c r="H9" s="244">
        <v>0</v>
      </c>
      <c r="I9" s="247">
        <v>15</v>
      </c>
      <c r="J9" s="325"/>
      <c r="K9" s="252" t="s">
        <v>2053</v>
      </c>
      <c r="L9" s="252">
        <v>4</v>
      </c>
      <c r="M9" s="252">
        <v>4</v>
      </c>
      <c r="N9" s="252">
        <v>5</v>
      </c>
      <c r="O9" s="252">
        <v>6</v>
      </c>
      <c r="P9" s="252">
        <v>3</v>
      </c>
      <c r="Q9" s="252">
        <v>0</v>
      </c>
      <c r="R9" s="252">
        <v>18</v>
      </c>
    </row>
    <row r="10" spans="1:18" ht="30">
      <c r="A10" s="325"/>
      <c r="B10" s="244" t="s">
        <v>2264</v>
      </c>
      <c r="C10" s="244">
        <v>10</v>
      </c>
      <c r="D10" s="244">
        <v>0</v>
      </c>
      <c r="E10" s="244">
        <v>1</v>
      </c>
      <c r="F10" s="244">
        <v>1</v>
      </c>
      <c r="G10" s="244">
        <v>8</v>
      </c>
      <c r="H10" s="244">
        <v>0</v>
      </c>
      <c r="I10" s="247">
        <v>1</v>
      </c>
      <c r="J10" s="325"/>
      <c r="K10" s="252" t="s">
        <v>2098</v>
      </c>
      <c r="L10" s="252">
        <v>8</v>
      </c>
      <c r="M10" s="252">
        <v>8</v>
      </c>
      <c r="N10" s="252">
        <v>3</v>
      </c>
      <c r="O10" s="252">
        <v>5</v>
      </c>
      <c r="P10" s="252">
        <v>2</v>
      </c>
      <c r="Q10" s="252">
        <v>0</v>
      </c>
      <c r="R10" s="252">
        <v>0</v>
      </c>
    </row>
    <row r="11" spans="1:18">
      <c r="A11" s="325"/>
      <c r="B11" s="244" t="s">
        <v>2287</v>
      </c>
      <c r="C11" s="244">
        <f t="shared" ref="C11:C18" si="2">SUM(E11:I11)</f>
        <v>22</v>
      </c>
      <c r="D11" s="244">
        <v>2</v>
      </c>
      <c r="E11" s="244">
        <v>6</v>
      </c>
      <c r="F11" s="244">
        <v>9</v>
      </c>
      <c r="G11" s="244">
        <v>3</v>
      </c>
      <c r="H11" s="244">
        <v>0</v>
      </c>
      <c r="I11" s="247">
        <v>4</v>
      </c>
      <c r="J11" s="325"/>
      <c r="K11" s="252" t="s">
        <v>2147</v>
      </c>
      <c r="L11" s="252">
        <v>4</v>
      </c>
      <c r="M11" s="252">
        <v>4</v>
      </c>
      <c r="N11" s="252">
        <v>1</v>
      </c>
      <c r="O11" s="252">
        <v>4</v>
      </c>
      <c r="P11" s="252">
        <v>0</v>
      </c>
      <c r="Q11" s="252">
        <v>2</v>
      </c>
      <c r="R11" s="252">
        <v>2</v>
      </c>
    </row>
    <row r="12" spans="1:18">
      <c r="A12" s="325"/>
      <c r="B12" s="244" t="s">
        <v>2343</v>
      </c>
      <c r="C12" s="244">
        <f t="shared" si="2"/>
        <v>8</v>
      </c>
      <c r="D12" s="244">
        <v>0</v>
      </c>
      <c r="E12" s="244">
        <v>1</v>
      </c>
      <c r="F12" s="244">
        <v>0</v>
      </c>
      <c r="G12" s="244">
        <v>0</v>
      </c>
      <c r="H12" s="244">
        <v>2</v>
      </c>
      <c r="I12" s="247">
        <v>5</v>
      </c>
      <c r="J12" s="325"/>
      <c r="K12" s="252" t="s">
        <v>4481</v>
      </c>
      <c r="L12" s="252">
        <v>119</v>
      </c>
      <c r="M12" s="252">
        <v>119</v>
      </c>
      <c r="N12" s="252">
        <v>149</v>
      </c>
      <c r="O12" s="252">
        <v>235</v>
      </c>
      <c r="P12" s="252">
        <v>164</v>
      </c>
      <c r="Q12" s="252">
        <v>76</v>
      </c>
      <c r="R12" s="252">
        <v>288</v>
      </c>
    </row>
    <row r="13" spans="1:18">
      <c r="A13" s="325"/>
      <c r="B13" s="244" t="s">
        <v>2352</v>
      </c>
      <c r="C13" s="244">
        <f t="shared" si="2"/>
        <v>3</v>
      </c>
      <c r="D13" s="244">
        <v>0</v>
      </c>
      <c r="E13" s="244">
        <v>0</v>
      </c>
      <c r="F13" s="244">
        <v>0</v>
      </c>
      <c r="G13" s="244">
        <v>1</v>
      </c>
      <c r="H13" s="244">
        <v>0</v>
      </c>
      <c r="I13" s="247">
        <v>2</v>
      </c>
      <c r="J13" s="327" t="s">
        <v>4487</v>
      </c>
      <c r="K13" s="252" t="s">
        <v>2638</v>
      </c>
      <c r="L13" s="252">
        <v>12</v>
      </c>
      <c r="M13" s="252">
        <v>12</v>
      </c>
      <c r="N13" s="252">
        <v>9</v>
      </c>
      <c r="O13" s="252">
        <v>9</v>
      </c>
      <c r="P13" s="252">
        <v>9</v>
      </c>
      <c r="Q13" s="252">
        <v>2</v>
      </c>
      <c r="R13" s="252">
        <v>13</v>
      </c>
    </row>
    <row r="14" spans="1:18">
      <c r="A14" s="325"/>
      <c r="B14" s="244" t="s">
        <v>2355</v>
      </c>
      <c r="C14" s="244">
        <f t="shared" si="2"/>
        <v>36</v>
      </c>
      <c r="D14" s="244">
        <v>0</v>
      </c>
      <c r="E14" s="244">
        <v>3</v>
      </c>
      <c r="F14" s="244">
        <v>7</v>
      </c>
      <c r="G14" s="244">
        <v>11</v>
      </c>
      <c r="H14" s="244">
        <v>1</v>
      </c>
      <c r="I14" s="247">
        <v>14</v>
      </c>
      <c r="J14" s="327"/>
      <c r="K14" s="252" t="s">
        <v>2752</v>
      </c>
      <c r="L14" s="252">
        <v>4</v>
      </c>
      <c r="M14" s="252">
        <v>4</v>
      </c>
      <c r="N14" s="252">
        <v>3</v>
      </c>
      <c r="O14" s="252">
        <v>11</v>
      </c>
      <c r="P14" s="252">
        <v>6</v>
      </c>
      <c r="Q14" s="252">
        <v>6</v>
      </c>
      <c r="R14" s="252">
        <v>54</v>
      </c>
    </row>
    <row r="15" spans="1:18">
      <c r="A15" s="325"/>
      <c r="B15" s="244" t="s">
        <v>2510</v>
      </c>
      <c r="C15" s="244">
        <f t="shared" si="2"/>
        <v>53</v>
      </c>
      <c r="D15" s="244">
        <v>0</v>
      </c>
      <c r="E15" s="244">
        <v>5</v>
      </c>
      <c r="F15" s="244">
        <v>24</v>
      </c>
      <c r="G15" s="244">
        <v>16</v>
      </c>
      <c r="H15" s="244">
        <v>1</v>
      </c>
      <c r="I15" s="247">
        <v>7</v>
      </c>
      <c r="J15" s="327"/>
      <c r="K15" s="252" t="s">
        <v>2833</v>
      </c>
      <c r="L15" s="252">
        <v>3</v>
      </c>
      <c r="M15" s="252">
        <v>3</v>
      </c>
      <c r="N15" s="252">
        <v>12</v>
      </c>
      <c r="O15" s="252">
        <v>8</v>
      </c>
      <c r="P15" s="252">
        <v>4</v>
      </c>
      <c r="Q15" s="252">
        <v>2</v>
      </c>
      <c r="R15" s="252">
        <v>10</v>
      </c>
    </row>
    <row r="16" spans="1:18">
      <c r="A16" s="325"/>
      <c r="B16" s="244" t="s">
        <v>2618</v>
      </c>
      <c r="C16" s="244">
        <f t="shared" si="2"/>
        <v>7</v>
      </c>
      <c r="D16" s="244">
        <v>0</v>
      </c>
      <c r="E16" s="244">
        <v>0</v>
      </c>
      <c r="F16" s="244">
        <v>1</v>
      </c>
      <c r="G16" s="244">
        <v>5</v>
      </c>
      <c r="H16" s="244">
        <v>1</v>
      </c>
      <c r="I16" s="247">
        <v>0</v>
      </c>
      <c r="J16" s="327"/>
      <c r="K16" s="252" t="s">
        <v>4488</v>
      </c>
      <c r="L16" s="252">
        <v>0</v>
      </c>
      <c r="M16" s="252">
        <v>0</v>
      </c>
      <c r="N16" s="252">
        <v>0</v>
      </c>
      <c r="O16" s="252">
        <v>0</v>
      </c>
      <c r="P16" s="252">
        <v>0</v>
      </c>
      <c r="Q16" s="252">
        <v>0</v>
      </c>
      <c r="R16" s="252">
        <v>0</v>
      </c>
    </row>
    <row r="17" spans="1:18" ht="30">
      <c r="A17" s="325"/>
      <c r="B17" s="244" t="s">
        <v>4489</v>
      </c>
      <c r="C17" s="244">
        <f t="shared" si="2"/>
        <v>0</v>
      </c>
      <c r="D17" s="244">
        <v>0</v>
      </c>
      <c r="E17" s="244">
        <v>0</v>
      </c>
      <c r="F17" s="244">
        <v>0</v>
      </c>
      <c r="G17" s="244">
        <v>0</v>
      </c>
      <c r="H17" s="244">
        <v>0</v>
      </c>
      <c r="I17" s="244">
        <v>0</v>
      </c>
      <c r="J17" s="327"/>
      <c r="K17" s="252" t="s">
        <v>2916</v>
      </c>
      <c r="L17" s="252">
        <v>2</v>
      </c>
      <c r="M17" s="252">
        <v>2</v>
      </c>
      <c r="N17" s="252">
        <v>2</v>
      </c>
      <c r="O17" s="252">
        <v>1</v>
      </c>
      <c r="P17" s="252">
        <v>0</v>
      </c>
      <c r="Q17" s="252">
        <v>3</v>
      </c>
      <c r="R17" s="252">
        <v>21</v>
      </c>
    </row>
    <row r="18" spans="1:18">
      <c r="A18" s="325"/>
      <c r="B18" s="244" t="s">
        <v>4481</v>
      </c>
      <c r="C18" s="244">
        <f t="shared" si="2"/>
        <v>240</v>
      </c>
      <c r="D18" s="244">
        <f t="shared" ref="D18:I18" si="3">SUM(D8:D17)</f>
        <v>7</v>
      </c>
      <c r="E18" s="244">
        <f t="shared" si="3"/>
        <v>28</v>
      </c>
      <c r="F18" s="244">
        <f t="shared" si="3"/>
        <v>63</v>
      </c>
      <c r="G18" s="244">
        <f t="shared" si="3"/>
        <v>65</v>
      </c>
      <c r="H18" s="244">
        <f t="shared" si="3"/>
        <v>11</v>
      </c>
      <c r="I18" s="244">
        <f t="shared" si="3"/>
        <v>73</v>
      </c>
      <c r="J18" s="327"/>
      <c r="K18" s="252" t="s">
        <v>2938</v>
      </c>
      <c r="L18" s="252">
        <v>0</v>
      </c>
      <c r="M18" s="252">
        <v>0</v>
      </c>
      <c r="N18" s="252">
        <v>2</v>
      </c>
      <c r="O18" s="252">
        <v>0</v>
      </c>
      <c r="P18" s="252">
        <v>1</v>
      </c>
      <c r="Q18" s="252">
        <v>0</v>
      </c>
      <c r="R18" s="252">
        <v>3</v>
      </c>
    </row>
    <row r="19" spans="1:18">
      <c r="A19" s="251" t="s">
        <v>4490</v>
      </c>
      <c r="B19" s="252" t="s">
        <v>3209</v>
      </c>
      <c r="C19" s="252">
        <v>8</v>
      </c>
      <c r="D19" s="244">
        <v>0</v>
      </c>
      <c r="E19" s="244">
        <v>3</v>
      </c>
      <c r="F19" s="244">
        <v>4</v>
      </c>
      <c r="G19" s="244">
        <v>1</v>
      </c>
      <c r="H19" s="244">
        <v>0</v>
      </c>
      <c r="I19" s="252">
        <v>2</v>
      </c>
      <c r="J19" s="327"/>
      <c r="K19" s="252" t="s">
        <v>2948</v>
      </c>
      <c r="L19" s="252">
        <v>2</v>
      </c>
      <c r="M19" s="252">
        <v>2</v>
      </c>
      <c r="N19" s="252">
        <v>2</v>
      </c>
      <c r="O19" s="252">
        <v>10</v>
      </c>
      <c r="P19" s="252">
        <v>7</v>
      </c>
      <c r="Q19" s="252">
        <v>0</v>
      </c>
      <c r="R19" s="252">
        <v>3</v>
      </c>
    </row>
    <row r="20" spans="1:18">
      <c r="A20" s="327" t="s">
        <v>4491</v>
      </c>
      <c r="B20" s="252" t="s">
        <v>217</v>
      </c>
      <c r="C20" s="244">
        <f t="shared" ref="C20:C25" si="4">SUM(E20:I20)</f>
        <v>97</v>
      </c>
      <c r="D20" s="244">
        <v>11</v>
      </c>
      <c r="E20" s="244">
        <v>8</v>
      </c>
      <c r="F20" s="244">
        <v>31</v>
      </c>
      <c r="G20" s="244">
        <v>44</v>
      </c>
      <c r="H20" s="244">
        <v>8</v>
      </c>
      <c r="I20" s="244">
        <v>6</v>
      </c>
      <c r="J20" s="327"/>
      <c r="K20" s="252" t="s">
        <v>3001</v>
      </c>
      <c r="L20" s="252">
        <v>1</v>
      </c>
      <c r="M20" s="252">
        <v>1</v>
      </c>
      <c r="N20" s="252">
        <v>4</v>
      </c>
      <c r="O20" s="252">
        <v>4</v>
      </c>
      <c r="P20" s="252">
        <v>1</v>
      </c>
      <c r="Q20" s="252">
        <v>0</v>
      </c>
      <c r="R20" s="252">
        <v>0</v>
      </c>
    </row>
    <row r="21" spans="1:18">
      <c r="A21" s="327"/>
      <c r="B21" s="252" t="s">
        <v>499</v>
      </c>
      <c r="C21" s="244">
        <f t="shared" si="4"/>
        <v>46</v>
      </c>
      <c r="D21" s="244">
        <v>3</v>
      </c>
      <c r="E21" s="244">
        <v>6</v>
      </c>
      <c r="F21" s="244">
        <v>13</v>
      </c>
      <c r="G21" s="244">
        <v>7</v>
      </c>
      <c r="H21" s="244">
        <v>5</v>
      </c>
      <c r="I21" s="247">
        <v>15</v>
      </c>
      <c r="J21" s="327"/>
      <c r="K21" s="252" t="s">
        <v>3030</v>
      </c>
      <c r="L21" s="252">
        <v>2</v>
      </c>
      <c r="M21" s="252">
        <v>2</v>
      </c>
      <c r="N21" s="252">
        <v>3</v>
      </c>
      <c r="O21" s="252">
        <v>6</v>
      </c>
      <c r="P21" s="252">
        <v>7</v>
      </c>
      <c r="Q21" s="252">
        <v>1</v>
      </c>
      <c r="R21" s="252">
        <v>16</v>
      </c>
    </row>
    <row r="22" spans="1:18">
      <c r="A22" s="327"/>
      <c r="B22" s="252" t="s">
        <v>589</v>
      </c>
      <c r="C22" s="244">
        <f t="shared" si="4"/>
        <v>314</v>
      </c>
      <c r="D22" s="244">
        <v>38</v>
      </c>
      <c r="E22" s="244">
        <v>65</v>
      </c>
      <c r="F22" s="244">
        <v>68</v>
      </c>
      <c r="G22" s="244">
        <v>38</v>
      </c>
      <c r="H22" s="244">
        <v>30</v>
      </c>
      <c r="I22" s="247">
        <v>113</v>
      </c>
      <c r="J22" s="327"/>
      <c r="K22" s="252" t="s">
        <v>3082</v>
      </c>
      <c r="L22" s="252">
        <v>2</v>
      </c>
      <c r="M22" s="252">
        <v>2</v>
      </c>
      <c r="N22" s="252">
        <v>1</v>
      </c>
      <c r="O22" s="252">
        <v>7</v>
      </c>
      <c r="P22" s="252">
        <v>2</v>
      </c>
      <c r="Q22" s="252">
        <v>1</v>
      </c>
      <c r="R22" s="252">
        <v>7</v>
      </c>
    </row>
    <row r="23" spans="1:18" ht="31">
      <c r="A23" s="327"/>
      <c r="B23" s="253" t="s">
        <v>4492</v>
      </c>
      <c r="C23" s="244">
        <f t="shared" si="4"/>
        <v>38</v>
      </c>
      <c r="D23" s="244">
        <v>7</v>
      </c>
      <c r="E23" s="244">
        <v>1</v>
      </c>
      <c r="F23" s="244">
        <v>9</v>
      </c>
      <c r="G23" s="244">
        <v>10</v>
      </c>
      <c r="H23" s="244">
        <v>3</v>
      </c>
      <c r="I23" s="247">
        <v>15</v>
      </c>
      <c r="J23" s="327"/>
      <c r="K23" s="252" t="s">
        <v>3117</v>
      </c>
      <c r="L23" s="252">
        <v>0</v>
      </c>
      <c r="M23" s="252">
        <v>0</v>
      </c>
      <c r="N23" s="252">
        <v>1</v>
      </c>
      <c r="O23" s="252">
        <v>3</v>
      </c>
      <c r="P23" s="252">
        <v>44</v>
      </c>
      <c r="Q23" s="252">
        <v>0</v>
      </c>
      <c r="R23" s="252">
        <v>0</v>
      </c>
    </row>
    <row r="24" spans="1:18">
      <c r="A24" s="327"/>
      <c r="B24" s="252" t="s">
        <v>1707</v>
      </c>
      <c r="C24" s="244">
        <f t="shared" si="4"/>
        <v>54</v>
      </c>
      <c r="D24" s="244">
        <v>5</v>
      </c>
      <c r="E24" s="244">
        <v>6</v>
      </c>
      <c r="F24" s="244">
        <v>6</v>
      </c>
      <c r="G24" s="244">
        <v>5</v>
      </c>
      <c r="H24" s="244">
        <v>8</v>
      </c>
      <c r="I24" s="247">
        <v>29</v>
      </c>
      <c r="J24" s="327"/>
      <c r="K24" s="252" t="s">
        <v>4481</v>
      </c>
      <c r="L24" s="252">
        <v>28</v>
      </c>
      <c r="M24" s="252">
        <v>28</v>
      </c>
      <c r="N24" s="252">
        <v>39</v>
      </c>
      <c r="O24" s="252">
        <v>59</v>
      </c>
      <c r="P24" s="252">
        <v>81</v>
      </c>
      <c r="Q24" s="252">
        <v>15</v>
      </c>
      <c r="R24" s="252">
        <v>127</v>
      </c>
    </row>
    <row r="25" spans="1:18">
      <c r="A25" s="327"/>
      <c r="B25" s="252" t="s">
        <v>1779</v>
      </c>
      <c r="C25" s="244">
        <f t="shared" si="4"/>
        <v>9</v>
      </c>
      <c r="D25" s="244">
        <v>0</v>
      </c>
      <c r="E25" s="244">
        <v>1</v>
      </c>
      <c r="F25" s="244">
        <v>1</v>
      </c>
      <c r="G25" s="244">
        <v>2</v>
      </c>
      <c r="H25" s="244">
        <v>2</v>
      </c>
      <c r="I25" s="247">
        <v>3</v>
      </c>
      <c r="J25" s="326" t="s">
        <v>4481</v>
      </c>
      <c r="K25" s="326"/>
      <c r="L25" s="252">
        <v>1203</v>
      </c>
      <c r="M25" s="252">
        <v>155</v>
      </c>
      <c r="N25" s="252">
        <v>222</v>
      </c>
      <c r="O25" s="252">
        <v>384</v>
      </c>
      <c r="P25" s="252">
        <v>321</v>
      </c>
      <c r="Q25" s="252">
        <v>121</v>
      </c>
      <c r="R25" s="252">
        <v>498</v>
      </c>
    </row>
  </sheetData>
  <mergeCells count="12">
    <mergeCell ref="C1:I1"/>
    <mergeCell ref="L1:R1"/>
    <mergeCell ref="J25:K25"/>
    <mergeCell ref="A1:A2"/>
    <mergeCell ref="A3:A7"/>
    <mergeCell ref="A8:A18"/>
    <mergeCell ref="A20:A25"/>
    <mergeCell ref="B1:B2"/>
    <mergeCell ref="J1:J2"/>
    <mergeCell ref="J3:J12"/>
    <mergeCell ref="J13:J24"/>
    <mergeCell ref="K1:K2"/>
  </mergeCells>
  <phoneticPr fontId="16" type="noConversion"/>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48"/>
  <sheetViews>
    <sheetView topLeftCell="A47" workbookViewId="0">
      <selection activeCell="AA58" sqref="AA58"/>
    </sheetView>
  </sheetViews>
  <sheetFormatPr baseColWidth="10" defaultColWidth="8.6640625" defaultRowHeight="14"/>
  <cols>
    <col min="1" max="1" width="8.1640625" style="72" customWidth="1"/>
    <col min="2" max="2" width="12.5" style="72" customWidth="1"/>
    <col min="3" max="3" width="5.6640625" style="141" customWidth="1"/>
    <col min="4" max="4" width="7.1640625" style="141" customWidth="1"/>
    <col min="5" max="9" width="5.6640625" style="141" customWidth="1"/>
    <col min="10" max="10" width="9" style="144" customWidth="1"/>
    <col min="11" max="15" width="5.5" style="141" customWidth="1"/>
    <col min="16" max="16" width="7.1640625" style="141" customWidth="1"/>
    <col min="17" max="17" width="7.5" style="141" customWidth="1"/>
    <col min="18" max="24" width="5.5" style="141" customWidth="1"/>
    <col min="25" max="26" width="5.6640625" style="141" customWidth="1"/>
    <col min="27" max="28" width="8.83203125" style="248" customWidth="1"/>
    <col min="29" max="29" width="7.83203125" style="248" customWidth="1"/>
    <col min="30" max="16384" width="8.6640625" style="72"/>
  </cols>
  <sheetData>
    <row r="1" spans="1:29" ht="16" customHeight="1">
      <c r="A1" s="325" t="s">
        <v>4478</v>
      </c>
      <c r="B1" s="325" t="s">
        <v>4479</v>
      </c>
      <c r="C1" s="325" t="s">
        <v>4480</v>
      </c>
      <c r="D1" s="325"/>
      <c r="E1" s="325"/>
      <c r="F1" s="325"/>
      <c r="G1" s="325"/>
      <c r="H1" s="325"/>
      <c r="I1" s="325"/>
      <c r="J1" s="325"/>
      <c r="K1" s="325" t="s">
        <v>4493</v>
      </c>
      <c r="L1" s="325"/>
      <c r="M1" s="325"/>
      <c r="N1" s="325"/>
      <c r="O1" s="325"/>
      <c r="P1" s="325" t="s">
        <v>3</v>
      </c>
      <c r="Q1" s="325"/>
      <c r="R1" s="325"/>
      <c r="S1" s="325"/>
      <c r="T1" s="325"/>
      <c r="U1" s="325"/>
      <c r="V1" s="325"/>
      <c r="W1" s="325"/>
      <c r="X1" s="325"/>
      <c r="Y1" s="325" t="s">
        <v>4494</v>
      </c>
      <c r="Z1" s="325"/>
      <c r="AA1" s="328" t="s">
        <v>4495</v>
      </c>
      <c r="AB1" s="329" t="s">
        <v>4496</v>
      </c>
      <c r="AC1" s="328" t="s">
        <v>4497</v>
      </c>
    </row>
    <row r="2" spans="1:29" s="83" customFormat="1">
      <c r="A2" s="325"/>
      <c r="B2" s="325"/>
      <c r="C2" s="249" t="s">
        <v>4481</v>
      </c>
      <c r="D2" s="249" t="s">
        <v>4498</v>
      </c>
      <c r="E2" s="249">
        <v>2020</v>
      </c>
      <c r="F2" s="249">
        <v>2019</v>
      </c>
      <c r="G2" s="249">
        <v>2018</v>
      </c>
      <c r="H2" s="249">
        <v>2017</v>
      </c>
      <c r="I2" s="249">
        <v>2016</v>
      </c>
      <c r="J2" s="249" t="s">
        <v>4482</v>
      </c>
      <c r="K2" s="249" t="s">
        <v>119</v>
      </c>
      <c r="L2" s="249" t="s">
        <v>1191</v>
      </c>
      <c r="M2" s="249" t="s">
        <v>45</v>
      </c>
      <c r="N2" s="249" t="s">
        <v>52</v>
      </c>
      <c r="O2" s="249" t="s">
        <v>59</v>
      </c>
      <c r="P2" s="249" t="s">
        <v>664</v>
      </c>
      <c r="Q2" s="249" t="s">
        <v>221</v>
      </c>
      <c r="R2" s="249" t="s">
        <v>833</v>
      </c>
      <c r="S2" s="249" t="s">
        <v>80</v>
      </c>
      <c r="T2" s="249" t="s">
        <v>519</v>
      </c>
      <c r="U2" s="249" t="s">
        <v>46</v>
      </c>
      <c r="V2" s="249" t="s">
        <v>76</v>
      </c>
      <c r="W2" s="249" t="s">
        <v>1223</v>
      </c>
      <c r="X2" s="249" t="s">
        <v>848</v>
      </c>
      <c r="Y2" s="249" t="s">
        <v>4499</v>
      </c>
      <c r="Z2" s="249" t="s">
        <v>3241</v>
      </c>
      <c r="AA2" s="328"/>
      <c r="AB2" s="330"/>
      <c r="AC2" s="328"/>
    </row>
    <row r="3" spans="1:29" ht="13" customHeight="1">
      <c r="A3" s="325" t="s">
        <v>4483</v>
      </c>
      <c r="B3" s="244" t="s">
        <v>44</v>
      </c>
      <c r="C3" s="244">
        <f t="shared" ref="C3:C9" si="0">SUM(E3:I3)</f>
        <v>22</v>
      </c>
      <c r="D3" s="250">
        <f>C3/$C$48</f>
        <v>1.828761429758936E-2</v>
      </c>
      <c r="E3" s="244">
        <v>1</v>
      </c>
      <c r="F3" s="244">
        <v>2</v>
      </c>
      <c r="G3" s="244">
        <v>4</v>
      </c>
      <c r="H3" s="244">
        <v>1</v>
      </c>
      <c r="I3" s="244">
        <v>14</v>
      </c>
      <c r="J3" s="247">
        <v>0</v>
      </c>
      <c r="K3" s="244">
        <v>0</v>
      </c>
      <c r="L3" s="244">
        <v>0</v>
      </c>
      <c r="M3" s="244">
        <v>16</v>
      </c>
      <c r="N3" s="244">
        <v>1</v>
      </c>
      <c r="O3" s="244">
        <v>5</v>
      </c>
      <c r="P3" s="244">
        <v>0</v>
      </c>
      <c r="Q3" s="244">
        <v>0</v>
      </c>
      <c r="R3" s="244">
        <v>0</v>
      </c>
      <c r="S3" s="244">
        <v>1</v>
      </c>
      <c r="T3" s="244">
        <v>0</v>
      </c>
      <c r="U3" s="244">
        <v>20</v>
      </c>
      <c r="V3" s="244">
        <v>1</v>
      </c>
      <c r="W3" s="244">
        <v>0</v>
      </c>
      <c r="X3" s="244">
        <v>0</v>
      </c>
      <c r="Y3" s="244">
        <v>3</v>
      </c>
      <c r="Z3" s="244">
        <v>19</v>
      </c>
      <c r="AA3" s="246">
        <v>0.22727272727272699</v>
      </c>
      <c r="AB3" s="246">
        <v>1.0909090909090899</v>
      </c>
      <c r="AC3" s="246">
        <v>6.0454545454545503</v>
      </c>
    </row>
    <row r="4" spans="1:29" ht="15">
      <c r="A4" s="325"/>
      <c r="B4" s="244" t="s">
        <v>115</v>
      </c>
      <c r="C4" s="244">
        <f t="shared" si="0"/>
        <v>18</v>
      </c>
      <c r="D4" s="250">
        <f t="shared" ref="D4:D48" si="1">C4/$C$48</f>
        <v>1.4962593516209476E-2</v>
      </c>
      <c r="E4" s="244">
        <v>0</v>
      </c>
      <c r="F4" s="244">
        <v>1</v>
      </c>
      <c r="G4" s="244">
        <v>10</v>
      </c>
      <c r="H4" s="244">
        <v>6</v>
      </c>
      <c r="I4" s="244">
        <v>1</v>
      </c>
      <c r="J4" s="247">
        <v>0</v>
      </c>
      <c r="K4" s="244">
        <v>2</v>
      </c>
      <c r="L4" s="244">
        <v>0</v>
      </c>
      <c r="M4" s="244">
        <v>11</v>
      </c>
      <c r="N4" s="244">
        <v>0</v>
      </c>
      <c r="O4" s="244">
        <v>5</v>
      </c>
      <c r="P4" s="244">
        <v>0</v>
      </c>
      <c r="Q4" s="244">
        <v>0</v>
      </c>
      <c r="R4" s="244">
        <v>0</v>
      </c>
      <c r="S4" s="244">
        <v>4</v>
      </c>
      <c r="T4" s="244">
        <v>0</v>
      </c>
      <c r="U4" s="244">
        <v>14</v>
      </c>
      <c r="V4" s="244">
        <v>0</v>
      </c>
      <c r="W4" s="244">
        <v>0</v>
      </c>
      <c r="X4" s="244">
        <v>0</v>
      </c>
      <c r="Y4" s="244">
        <v>1</v>
      </c>
      <c r="Z4" s="244">
        <v>17</v>
      </c>
      <c r="AA4" s="246">
        <v>0.33333333333333298</v>
      </c>
      <c r="AB4" s="246">
        <v>1</v>
      </c>
      <c r="AC4" s="246">
        <v>5.2777777777777803</v>
      </c>
    </row>
    <row r="5" spans="1:29" ht="15">
      <c r="A5" s="325"/>
      <c r="B5" s="244" t="s">
        <v>170</v>
      </c>
      <c r="C5" s="244">
        <f t="shared" si="0"/>
        <v>16</v>
      </c>
      <c r="D5" s="250">
        <f t="shared" si="1"/>
        <v>1.3300083125519535E-2</v>
      </c>
      <c r="E5" s="244">
        <v>0</v>
      </c>
      <c r="F5" s="244">
        <v>0</v>
      </c>
      <c r="G5" s="244">
        <v>9</v>
      </c>
      <c r="H5" s="244">
        <v>3</v>
      </c>
      <c r="I5" s="244">
        <v>4</v>
      </c>
      <c r="J5" s="247">
        <v>8</v>
      </c>
      <c r="K5" s="244">
        <v>0</v>
      </c>
      <c r="L5" s="244">
        <v>0</v>
      </c>
      <c r="M5" s="244">
        <v>14</v>
      </c>
      <c r="N5" s="244">
        <v>0</v>
      </c>
      <c r="O5" s="244">
        <v>2</v>
      </c>
      <c r="P5" s="244">
        <v>0</v>
      </c>
      <c r="Q5" s="244">
        <v>0</v>
      </c>
      <c r="R5" s="244">
        <v>0</v>
      </c>
      <c r="S5" s="244">
        <v>9</v>
      </c>
      <c r="T5" s="244">
        <v>0</v>
      </c>
      <c r="U5" s="244">
        <v>7</v>
      </c>
      <c r="V5" s="244">
        <v>0</v>
      </c>
      <c r="W5" s="244">
        <v>0</v>
      </c>
      <c r="X5" s="244">
        <v>0</v>
      </c>
      <c r="Y5" s="244">
        <v>0</v>
      </c>
      <c r="Z5" s="244">
        <v>16</v>
      </c>
      <c r="AA5" s="246">
        <v>0.5</v>
      </c>
      <c r="AB5" s="246">
        <v>1</v>
      </c>
      <c r="AC5" s="246">
        <v>7.1875</v>
      </c>
    </row>
    <row r="6" spans="1:29" ht="16" customHeight="1">
      <c r="A6" s="325"/>
      <c r="B6" s="244" t="s">
        <v>4485</v>
      </c>
      <c r="C6" s="244">
        <f t="shared" si="0"/>
        <v>0</v>
      </c>
      <c r="D6" s="250">
        <f t="shared" si="1"/>
        <v>0</v>
      </c>
      <c r="E6" s="244">
        <v>0</v>
      </c>
      <c r="F6" s="244">
        <v>0</v>
      </c>
      <c r="G6" s="244">
        <v>0</v>
      </c>
      <c r="H6" s="244">
        <v>0</v>
      </c>
      <c r="I6" s="244">
        <v>0</v>
      </c>
      <c r="J6" s="244">
        <v>0</v>
      </c>
      <c r="K6" s="244">
        <v>0</v>
      </c>
      <c r="L6" s="244">
        <v>0</v>
      </c>
      <c r="M6" s="244">
        <v>0</v>
      </c>
      <c r="N6" s="244">
        <v>0</v>
      </c>
      <c r="O6" s="244">
        <v>0</v>
      </c>
      <c r="P6" s="244">
        <v>0</v>
      </c>
      <c r="Q6" s="244">
        <v>0</v>
      </c>
      <c r="R6" s="244">
        <v>0</v>
      </c>
      <c r="S6" s="244">
        <v>0</v>
      </c>
      <c r="T6" s="244">
        <v>0</v>
      </c>
      <c r="U6" s="244">
        <v>0</v>
      </c>
      <c r="V6" s="244">
        <v>0</v>
      </c>
      <c r="W6" s="244">
        <v>0</v>
      </c>
      <c r="X6" s="244">
        <v>0</v>
      </c>
      <c r="Y6" s="244">
        <v>0</v>
      </c>
      <c r="Z6" s="244">
        <v>0</v>
      </c>
      <c r="AA6" s="245">
        <v>0</v>
      </c>
      <c r="AB6" s="245">
        <v>0</v>
      </c>
      <c r="AC6" s="245">
        <v>0</v>
      </c>
    </row>
    <row r="7" spans="1:29" ht="16" customHeight="1">
      <c r="A7" s="325"/>
      <c r="B7" s="244" t="s">
        <v>4481</v>
      </c>
      <c r="C7" s="244">
        <f t="shared" si="0"/>
        <v>56</v>
      </c>
      <c r="D7" s="250">
        <f t="shared" si="1"/>
        <v>4.6550290939318374E-2</v>
      </c>
      <c r="E7" s="244">
        <f t="shared" ref="E7:Z7" si="2">SUM(E3:E6)</f>
        <v>1</v>
      </c>
      <c r="F7" s="244">
        <f t="shared" si="2"/>
        <v>3</v>
      </c>
      <c r="G7" s="244">
        <f t="shared" si="2"/>
        <v>23</v>
      </c>
      <c r="H7" s="244">
        <f t="shared" si="2"/>
        <v>10</v>
      </c>
      <c r="I7" s="244">
        <f t="shared" si="2"/>
        <v>19</v>
      </c>
      <c r="J7" s="244">
        <f t="shared" si="2"/>
        <v>8</v>
      </c>
      <c r="K7" s="244">
        <f t="shared" si="2"/>
        <v>2</v>
      </c>
      <c r="L7" s="244">
        <f t="shared" si="2"/>
        <v>0</v>
      </c>
      <c r="M7" s="244">
        <f t="shared" si="2"/>
        <v>41</v>
      </c>
      <c r="N7" s="244">
        <f t="shared" si="2"/>
        <v>1</v>
      </c>
      <c r="O7" s="244">
        <f t="shared" si="2"/>
        <v>12</v>
      </c>
      <c r="P7" s="244">
        <f t="shared" si="2"/>
        <v>0</v>
      </c>
      <c r="Q7" s="244">
        <f t="shared" si="2"/>
        <v>0</v>
      </c>
      <c r="R7" s="244">
        <f t="shared" si="2"/>
        <v>0</v>
      </c>
      <c r="S7" s="244">
        <f t="shared" si="2"/>
        <v>14</v>
      </c>
      <c r="T7" s="244">
        <f t="shared" si="2"/>
        <v>0</v>
      </c>
      <c r="U7" s="244">
        <f t="shared" si="2"/>
        <v>41</v>
      </c>
      <c r="V7" s="244">
        <f t="shared" si="2"/>
        <v>1</v>
      </c>
      <c r="W7" s="244">
        <f t="shared" si="2"/>
        <v>0</v>
      </c>
      <c r="X7" s="244">
        <f t="shared" si="2"/>
        <v>0</v>
      </c>
      <c r="Y7" s="244">
        <f t="shared" si="2"/>
        <v>4</v>
      </c>
      <c r="Z7" s="244">
        <f t="shared" si="2"/>
        <v>52</v>
      </c>
      <c r="AA7" s="246">
        <v>0.33928571428571402</v>
      </c>
      <c r="AB7" s="246">
        <v>1.03571428571429</v>
      </c>
      <c r="AC7" s="246">
        <v>6.125</v>
      </c>
    </row>
    <row r="8" spans="1:29" ht="15.5" customHeight="1">
      <c r="A8" s="325" t="s">
        <v>4486</v>
      </c>
      <c r="B8" s="244" t="s">
        <v>2179</v>
      </c>
      <c r="C8" s="244">
        <f t="shared" si="0"/>
        <v>33</v>
      </c>
      <c r="D8" s="250">
        <f t="shared" si="1"/>
        <v>2.7431421446384038E-2</v>
      </c>
      <c r="E8" s="244">
        <v>0</v>
      </c>
      <c r="F8" s="244">
        <v>1</v>
      </c>
      <c r="G8" s="244">
        <v>13</v>
      </c>
      <c r="H8" s="244">
        <v>13</v>
      </c>
      <c r="I8" s="244">
        <v>6</v>
      </c>
      <c r="J8" s="247">
        <v>25</v>
      </c>
      <c r="K8" s="244">
        <v>2</v>
      </c>
      <c r="L8" s="244">
        <v>0</v>
      </c>
      <c r="M8" s="244">
        <v>29</v>
      </c>
      <c r="N8" s="244">
        <v>0</v>
      </c>
      <c r="O8" s="244">
        <v>2</v>
      </c>
      <c r="P8" s="244">
        <v>0</v>
      </c>
      <c r="Q8" s="244">
        <v>0</v>
      </c>
      <c r="R8" s="244">
        <v>0</v>
      </c>
      <c r="S8" s="244">
        <v>12</v>
      </c>
      <c r="T8" s="244">
        <v>0</v>
      </c>
      <c r="U8" s="244">
        <v>17</v>
      </c>
      <c r="V8" s="244">
        <v>4</v>
      </c>
      <c r="W8" s="244">
        <v>0</v>
      </c>
      <c r="X8" s="244">
        <v>0</v>
      </c>
      <c r="Y8" s="244">
        <v>8</v>
      </c>
      <c r="Z8" s="244">
        <v>25</v>
      </c>
      <c r="AA8" s="246">
        <v>0.15151515151515199</v>
      </c>
      <c r="AB8" s="246">
        <v>1.3030303030303001</v>
      </c>
      <c r="AC8" s="246">
        <v>8.0606060606060606</v>
      </c>
    </row>
    <row r="9" spans="1:29" ht="15.5" customHeight="1">
      <c r="A9" s="325"/>
      <c r="B9" s="244" t="s">
        <v>2418</v>
      </c>
      <c r="C9" s="244">
        <f t="shared" si="0"/>
        <v>32</v>
      </c>
      <c r="D9" s="250">
        <f t="shared" si="1"/>
        <v>2.6600166251039069E-2</v>
      </c>
      <c r="E9" s="244">
        <v>5</v>
      </c>
      <c r="F9" s="244">
        <v>11</v>
      </c>
      <c r="G9" s="244">
        <v>8</v>
      </c>
      <c r="H9" s="244">
        <v>8</v>
      </c>
      <c r="I9" s="244">
        <v>0</v>
      </c>
      <c r="J9" s="247">
        <v>15</v>
      </c>
      <c r="K9" s="244">
        <v>3</v>
      </c>
      <c r="L9" s="244">
        <v>0</v>
      </c>
      <c r="M9" s="244">
        <v>19</v>
      </c>
      <c r="N9" s="244">
        <v>0</v>
      </c>
      <c r="O9" s="244">
        <v>10</v>
      </c>
      <c r="P9" s="244">
        <v>0</v>
      </c>
      <c r="Q9" s="244">
        <v>1</v>
      </c>
      <c r="R9" s="244">
        <v>0</v>
      </c>
      <c r="S9" s="244">
        <v>8</v>
      </c>
      <c r="T9" s="244">
        <v>0</v>
      </c>
      <c r="U9" s="244">
        <v>23</v>
      </c>
      <c r="V9" s="244">
        <v>0</v>
      </c>
      <c r="W9" s="244">
        <v>0</v>
      </c>
      <c r="X9" s="244">
        <v>0</v>
      </c>
      <c r="Y9" s="244">
        <v>4</v>
      </c>
      <c r="Z9" s="244">
        <v>28</v>
      </c>
      <c r="AA9" s="246">
        <v>0.71875</v>
      </c>
      <c r="AB9" s="246">
        <v>1.125</v>
      </c>
      <c r="AC9" s="246">
        <v>5</v>
      </c>
    </row>
    <row r="10" spans="1:29" ht="14" customHeight="1">
      <c r="A10" s="325"/>
      <c r="B10" s="244" t="s">
        <v>2264</v>
      </c>
      <c r="C10" s="244">
        <v>10</v>
      </c>
      <c r="D10" s="250">
        <f t="shared" si="1"/>
        <v>8.3125519534497094E-3</v>
      </c>
      <c r="E10" s="244">
        <v>0</v>
      </c>
      <c r="F10" s="244">
        <v>1</v>
      </c>
      <c r="G10" s="244">
        <v>1</v>
      </c>
      <c r="H10" s="244">
        <v>8</v>
      </c>
      <c r="I10" s="244">
        <v>0</v>
      </c>
      <c r="J10" s="247">
        <v>1</v>
      </c>
      <c r="K10" s="244">
        <v>0</v>
      </c>
      <c r="L10" s="244">
        <v>0</v>
      </c>
      <c r="M10" s="244">
        <v>10</v>
      </c>
      <c r="N10" s="244">
        <v>0</v>
      </c>
      <c r="O10" s="244">
        <v>0</v>
      </c>
      <c r="P10" s="244">
        <v>0</v>
      </c>
      <c r="Q10" s="244">
        <v>0</v>
      </c>
      <c r="R10" s="244">
        <v>0</v>
      </c>
      <c r="S10" s="244">
        <v>2</v>
      </c>
      <c r="T10" s="244">
        <v>0</v>
      </c>
      <c r="U10" s="244">
        <v>8</v>
      </c>
      <c r="V10" s="244">
        <v>0</v>
      </c>
      <c r="W10" s="244">
        <v>0</v>
      </c>
      <c r="X10" s="244">
        <v>0</v>
      </c>
      <c r="Y10" s="244">
        <v>2</v>
      </c>
      <c r="Z10" s="244">
        <v>8</v>
      </c>
      <c r="AA10" s="246">
        <v>0.3</v>
      </c>
      <c r="AB10" s="246">
        <v>1</v>
      </c>
      <c r="AC10" s="246">
        <v>6.4</v>
      </c>
    </row>
    <row r="11" spans="1:29" ht="15">
      <c r="A11" s="325"/>
      <c r="B11" s="244" t="s">
        <v>2287</v>
      </c>
      <c r="C11" s="244">
        <f t="shared" ref="C11:C47" si="3">SUM(E11:I11)</f>
        <v>20</v>
      </c>
      <c r="D11" s="250">
        <f t="shared" si="1"/>
        <v>1.6625103906899419E-2</v>
      </c>
      <c r="E11" s="244">
        <v>2</v>
      </c>
      <c r="F11" s="244">
        <v>6</v>
      </c>
      <c r="G11" s="244">
        <v>9</v>
      </c>
      <c r="H11" s="244">
        <v>3</v>
      </c>
      <c r="I11" s="244">
        <v>0</v>
      </c>
      <c r="J11" s="247">
        <v>4</v>
      </c>
      <c r="K11" s="244">
        <v>0</v>
      </c>
      <c r="L11" s="244">
        <v>0</v>
      </c>
      <c r="M11" s="244">
        <v>10</v>
      </c>
      <c r="N11" s="244">
        <v>0</v>
      </c>
      <c r="O11" s="244">
        <v>10</v>
      </c>
      <c r="P11" s="244">
        <v>1</v>
      </c>
      <c r="Q11" s="244">
        <v>5</v>
      </c>
      <c r="R11" s="244">
        <v>0</v>
      </c>
      <c r="S11" s="244">
        <v>4</v>
      </c>
      <c r="T11" s="244">
        <v>0</v>
      </c>
      <c r="U11" s="244">
        <v>10</v>
      </c>
      <c r="V11" s="244">
        <v>0</v>
      </c>
      <c r="W11" s="244">
        <v>0</v>
      </c>
      <c r="X11" s="244">
        <v>0</v>
      </c>
      <c r="Y11" s="244">
        <v>6</v>
      </c>
      <c r="Z11" s="244">
        <v>14</v>
      </c>
      <c r="AA11" s="246">
        <v>0.5</v>
      </c>
      <c r="AB11" s="246">
        <v>1.1000000000000001</v>
      </c>
      <c r="AC11" s="246">
        <v>3.85</v>
      </c>
    </row>
    <row r="12" spans="1:29" ht="15">
      <c r="A12" s="325"/>
      <c r="B12" s="244" t="s">
        <v>2343</v>
      </c>
      <c r="C12" s="244">
        <f t="shared" si="3"/>
        <v>3</v>
      </c>
      <c r="D12" s="250">
        <f t="shared" si="1"/>
        <v>2.4937655860349127E-3</v>
      </c>
      <c r="E12" s="244">
        <v>0</v>
      </c>
      <c r="F12" s="244">
        <v>1</v>
      </c>
      <c r="G12" s="244">
        <v>0</v>
      </c>
      <c r="H12" s="244">
        <v>0</v>
      </c>
      <c r="I12" s="244">
        <v>2</v>
      </c>
      <c r="J12" s="247">
        <v>5</v>
      </c>
      <c r="K12" s="244">
        <v>0</v>
      </c>
      <c r="L12" s="244">
        <v>0</v>
      </c>
      <c r="M12" s="244">
        <v>3</v>
      </c>
      <c r="N12" s="244">
        <v>0</v>
      </c>
      <c r="O12" s="244">
        <v>0</v>
      </c>
      <c r="P12" s="244">
        <v>0</v>
      </c>
      <c r="Q12" s="244">
        <v>0</v>
      </c>
      <c r="R12" s="244">
        <v>0</v>
      </c>
      <c r="S12" s="244">
        <v>3</v>
      </c>
      <c r="T12" s="244">
        <v>0</v>
      </c>
      <c r="U12" s="244">
        <v>0</v>
      </c>
      <c r="V12" s="244">
        <v>0</v>
      </c>
      <c r="W12" s="244">
        <v>0</v>
      </c>
      <c r="X12" s="244">
        <v>0</v>
      </c>
      <c r="Y12" s="244">
        <v>0</v>
      </c>
      <c r="Z12" s="244">
        <v>3</v>
      </c>
      <c r="AA12" s="246">
        <v>0.33333333333333298</v>
      </c>
      <c r="AB12" s="246">
        <v>1.3333333333333299</v>
      </c>
      <c r="AC12" s="246">
        <v>7.6666666666666696</v>
      </c>
    </row>
    <row r="13" spans="1:29" ht="15">
      <c r="A13" s="325"/>
      <c r="B13" s="244" t="s">
        <v>2352</v>
      </c>
      <c r="C13" s="244">
        <f t="shared" si="3"/>
        <v>1</v>
      </c>
      <c r="D13" s="250">
        <f t="shared" si="1"/>
        <v>8.3125519534497092E-4</v>
      </c>
      <c r="E13" s="244">
        <v>0</v>
      </c>
      <c r="F13" s="244">
        <v>0</v>
      </c>
      <c r="G13" s="244">
        <v>0</v>
      </c>
      <c r="H13" s="244">
        <v>1</v>
      </c>
      <c r="I13" s="244">
        <v>0</v>
      </c>
      <c r="J13" s="247">
        <v>2</v>
      </c>
      <c r="K13" s="244">
        <v>0</v>
      </c>
      <c r="L13" s="244">
        <v>0</v>
      </c>
      <c r="M13" s="244">
        <v>1</v>
      </c>
      <c r="N13" s="244">
        <v>0</v>
      </c>
      <c r="O13" s="244">
        <v>0</v>
      </c>
      <c r="P13" s="244">
        <v>0</v>
      </c>
      <c r="Q13" s="244">
        <v>0</v>
      </c>
      <c r="R13" s="244">
        <v>0</v>
      </c>
      <c r="S13" s="244">
        <v>1</v>
      </c>
      <c r="T13" s="244">
        <v>0</v>
      </c>
      <c r="U13" s="244">
        <v>0</v>
      </c>
      <c r="V13" s="244">
        <v>0</v>
      </c>
      <c r="W13" s="244">
        <v>0</v>
      </c>
      <c r="X13" s="244">
        <v>0</v>
      </c>
      <c r="Y13" s="244">
        <v>0</v>
      </c>
      <c r="Z13" s="244">
        <v>1</v>
      </c>
      <c r="AA13" s="246">
        <v>0</v>
      </c>
      <c r="AB13" s="246">
        <v>1</v>
      </c>
      <c r="AC13" s="246">
        <v>12</v>
      </c>
    </row>
    <row r="14" spans="1:29" ht="15">
      <c r="A14" s="325"/>
      <c r="B14" s="244" t="s">
        <v>2355</v>
      </c>
      <c r="C14" s="244">
        <f t="shared" si="3"/>
        <v>22</v>
      </c>
      <c r="D14" s="250">
        <f t="shared" si="1"/>
        <v>1.828761429758936E-2</v>
      </c>
      <c r="E14" s="244">
        <v>0</v>
      </c>
      <c r="F14" s="244">
        <v>3</v>
      </c>
      <c r="G14" s="244">
        <v>7</v>
      </c>
      <c r="H14" s="244">
        <v>11</v>
      </c>
      <c r="I14" s="244">
        <v>1</v>
      </c>
      <c r="J14" s="247">
        <v>14</v>
      </c>
      <c r="K14" s="244">
        <v>1</v>
      </c>
      <c r="L14" s="244">
        <v>0</v>
      </c>
      <c r="M14" s="244">
        <v>14</v>
      </c>
      <c r="N14" s="244">
        <v>0</v>
      </c>
      <c r="O14" s="244">
        <v>7</v>
      </c>
      <c r="P14" s="244">
        <v>0</v>
      </c>
      <c r="Q14" s="244">
        <v>0</v>
      </c>
      <c r="R14" s="244">
        <v>0</v>
      </c>
      <c r="S14" s="244">
        <v>2</v>
      </c>
      <c r="T14" s="244">
        <v>0</v>
      </c>
      <c r="U14" s="244">
        <v>20</v>
      </c>
      <c r="V14" s="244">
        <v>0</v>
      </c>
      <c r="W14" s="244">
        <v>0</v>
      </c>
      <c r="X14" s="244">
        <v>0</v>
      </c>
      <c r="Y14" s="244">
        <v>3</v>
      </c>
      <c r="Z14" s="244">
        <v>19</v>
      </c>
      <c r="AA14" s="246">
        <v>0.81818181818181801</v>
      </c>
      <c r="AB14" s="246">
        <v>1.11363636363636</v>
      </c>
      <c r="AC14" s="246">
        <v>8.9090909090909101</v>
      </c>
    </row>
    <row r="15" spans="1:29" ht="15">
      <c r="A15" s="325"/>
      <c r="B15" s="244" t="s">
        <v>2510</v>
      </c>
      <c r="C15" s="244">
        <f t="shared" si="3"/>
        <v>46</v>
      </c>
      <c r="D15" s="250">
        <f t="shared" si="1"/>
        <v>3.8237738985868665E-2</v>
      </c>
      <c r="E15" s="244">
        <v>0</v>
      </c>
      <c r="F15" s="244">
        <v>5</v>
      </c>
      <c r="G15" s="244">
        <v>24</v>
      </c>
      <c r="H15" s="244">
        <v>16</v>
      </c>
      <c r="I15" s="244">
        <v>1</v>
      </c>
      <c r="J15" s="247">
        <v>7</v>
      </c>
      <c r="K15" s="244">
        <v>0</v>
      </c>
      <c r="L15" s="244">
        <v>1</v>
      </c>
      <c r="M15" s="244">
        <v>43</v>
      </c>
      <c r="N15" s="244">
        <v>0</v>
      </c>
      <c r="O15" s="244">
        <v>2</v>
      </c>
      <c r="P15" s="244">
        <v>0</v>
      </c>
      <c r="Q15" s="244">
        <v>0</v>
      </c>
      <c r="R15" s="244">
        <v>1</v>
      </c>
      <c r="S15" s="244">
        <v>32</v>
      </c>
      <c r="T15" s="244">
        <v>0</v>
      </c>
      <c r="U15" s="244">
        <v>13</v>
      </c>
      <c r="V15" s="244">
        <v>0</v>
      </c>
      <c r="W15" s="244">
        <v>0</v>
      </c>
      <c r="X15" s="244">
        <v>0</v>
      </c>
      <c r="Y15" s="244">
        <v>0</v>
      </c>
      <c r="Z15" s="244">
        <v>46</v>
      </c>
      <c r="AA15" s="246">
        <v>0.173913043478261</v>
      </c>
      <c r="AB15" s="246">
        <v>1.0869565217391299</v>
      </c>
      <c r="AC15" s="246">
        <v>3.9130434782608701</v>
      </c>
    </row>
    <row r="16" spans="1:29" ht="15">
      <c r="A16" s="325"/>
      <c r="B16" s="244" t="s">
        <v>2618</v>
      </c>
      <c r="C16" s="244">
        <f t="shared" si="3"/>
        <v>7</v>
      </c>
      <c r="D16" s="250">
        <f t="shared" si="1"/>
        <v>5.8187863674147968E-3</v>
      </c>
      <c r="E16" s="244">
        <v>0</v>
      </c>
      <c r="F16" s="244">
        <v>0</v>
      </c>
      <c r="G16" s="244">
        <v>1</v>
      </c>
      <c r="H16" s="244">
        <v>5</v>
      </c>
      <c r="I16" s="244">
        <v>1</v>
      </c>
      <c r="J16" s="247">
        <v>0</v>
      </c>
      <c r="K16" s="244">
        <v>0</v>
      </c>
      <c r="L16" s="244">
        <v>0</v>
      </c>
      <c r="M16" s="244">
        <v>7</v>
      </c>
      <c r="N16" s="244">
        <v>0</v>
      </c>
      <c r="O16" s="244">
        <v>0</v>
      </c>
      <c r="P16" s="244">
        <v>0</v>
      </c>
      <c r="Q16" s="244">
        <v>0</v>
      </c>
      <c r="R16" s="244">
        <v>0</v>
      </c>
      <c r="S16" s="244">
        <v>1</v>
      </c>
      <c r="T16" s="244">
        <v>0</v>
      </c>
      <c r="U16" s="244">
        <v>5</v>
      </c>
      <c r="V16" s="244">
        <v>0</v>
      </c>
      <c r="W16" s="244">
        <v>0</v>
      </c>
      <c r="X16" s="244">
        <v>1</v>
      </c>
      <c r="Y16" s="244">
        <v>0</v>
      </c>
      <c r="Z16" s="244">
        <v>7</v>
      </c>
      <c r="AA16" s="246">
        <v>0</v>
      </c>
      <c r="AB16" s="246">
        <v>1.28571428571429</v>
      </c>
      <c r="AC16" s="246">
        <v>7.8571428571428603</v>
      </c>
    </row>
    <row r="17" spans="1:29" ht="14" customHeight="1">
      <c r="A17" s="325"/>
      <c r="B17" s="244" t="s">
        <v>4489</v>
      </c>
      <c r="C17" s="244">
        <f t="shared" si="3"/>
        <v>0</v>
      </c>
      <c r="D17" s="250">
        <f t="shared" si="1"/>
        <v>0</v>
      </c>
      <c r="E17" s="244">
        <v>0</v>
      </c>
      <c r="F17" s="244">
        <v>0</v>
      </c>
      <c r="G17" s="244">
        <v>0</v>
      </c>
      <c r="H17" s="244">
        <v>0</v>
      </c>
      <c r="I17" s="244">
        <v>0</v>
      </c>
      <c r="J17" s="244">
        <v>0</v>
      </c>
      <c r="K17" s="244">
        <v>0</v>
      </c>
      <c r="L17" s="244">
        <v>0</v>
      </c>
      <c r="M17" s="244">
        <v>0</v>
      </c>
      <c r="N17" s="244">
        <v>0</v>
      </c>
      <c r="O17" s="244">
        <v>0</v>
      </c>
      <c r="P17" s="244">
        <v>0</v>
      </c>
      <c r="Q17" s="244">
        <v>0</v>
      </c>
      <c r="R17" s="244">
        <v>0</v>
      </c>
      <c r="S17" s="244">
        <v>0</v>
      </c>
      <c r="T17" s="244">
        <v>0</v>
      </c>
      <c r="U17" s="244">
        <v>0</v>
      </c>
      <c r="V17" s="244">
        <v>0</v>
      </c>
      <c r="W17" s="244">
        <v>0</v>
      </c>
      <c r="X17" s="244">
        <v>0</v>
      </c>
      <c r="Y17" s="244">
        <v>0</v>
      </c>
      <c r="Z17" s="244">
        <v>0</v>
      </c>
      <c r="AA17" s="245">
        <v>0</v>
      </c>
      <c r="AB17" s="245">
        <v>0</v>
      </c>
      <c r="AC17" s="245">
        <v>0</v>
      </c>
    </row>
    <row r="18" spans="1:29" ht="15">
      <c r="A18" s="325"/>
      <c r="B18" s="244" t="s">
        <v>4481</v>
      </c>
      <c r="C18" s="244">
        <f t="shared" si="3"/>
        <v>174</v>
      </c>
      <c r="D18" s="250">
        <f t="shared" si="1"/>
        <v>0.14463840399002495</v>
      </c>
      <c r="E18" s="244">
        <f t="shared" ref="E18:Z18" si="4">SUM(E8:E17)</f>
        <v>7</v>
      </c>
      <c r="F18" s="244">
        <f t="shared" si="4"/>
        <v>28</v>
      </c>
      <c r="G18" s="244">
        <f t="shared" si="4"/>
        <v>63</v>
      </c>
      <c r="H18" s="244">
        <f t="shared" si="4"/>
        <v>65</v>
      </c>
      <c r="I18" s="244">
        <f t="shared" si="4"/>
        <v>11</v>
      </c>
      <c r="J18" s="244">
        <f t="shared" si="4"/>
        <v>73</v>
      </c>
      <c r="K18" s="244">
        <f t="shared" si="4"/>
        <v>6</v>
      </c>
      <c r="L18" s="244">
        <f t="shared" si="4"/>
        <v>1</v>
      </c>
      <c r="M18" s="244">
        <f t="shared" si="4"/>
        <v>136</v>
      </c>
      <c r="N18" s="244">
        <f t="shared" si="4"/>
        <v>0</v>
      </c>
      <c r="O18" s="244">
        <f t="shared" si="4"/>
        <v>31</v>
      </c>
      <c r="P18" s="244">
        <f t="shared" si="4"/>
        <v>1</v>
      </c>
      <c r="Q18" s="244">
        <f t="shared" si="4"/>
        <v>6</v>
      </c>
      <c r="R18" s="244">
        <f t="shared" si="4"/>
        <v>1</v>
      </c>
      <c r="S18" s="244">
        <f t="shared" si="4"/>
        <v>65</v>
      </c>
      <c r="T18" s="244">
        <f t="shared" si="4"/>
        <v>0</v>
      </c>
      <c r="U18" s="244">
        <f t="shared" si="4"/>
        <v>96</v>
      </c>
      <c r="V18" s="244">
        <f t="shared" si="4"/>
        <v>4</v>
      </c>
      <c r="W18" s="244">
        <f t="shared" si="4"/>
        <v>0</v>
      </c>
      <c r="X18" s="244">
        <f t="shared" si="4"/>
        <v>1</v>
      </c>
      <c r="Y18" s="244">
        <f t="shared" si="4"/>
        <v>23</v>
      </c>
      <c r="Z18" s="244">
        <f t="shared" si="4"/>
        <v>151</v>
      </c>
      <c r="AA18" s="246">
        <v>0.390804597701149</v>
      </c>
      <c r="AB18" s="246">
        <v>1.1839080459770099</v>
      </c>
      <c r="AC18" s="246">
        <v>5.9367816091953998</v>
      </c>
    </row>
    <row r="19" spans="1:29" ht="15">
      <c r="A19" s="325" t="s">
        <v>4491</v>
      </c>
      <c r="B19" s="244" t="s">
        <v>217</v>
      </c>
      <c r="C19" s="244">
        <f t="shared" si="3"/>
        <v>102</v>
      </c>
      <c r="D19" s="250">
        <f t="shared" si="1"/>
        <v>8.4788029925187039E-2</v>
      </c>
      <c r="E19" s="244">
        <v>11</v>
      </c>
      <c r="F19" s="244">
        <v>8</v>
      </c>
      <c r="G19" s="244">
        <v>31</v>
      </c>
      <c r="H19" s="244">
        <v>44</v>
      </c>
      <c r="I19" s="244">
        <v>8</v>
      </c>
      <c r="J19" s="244">
        <v>6</v>
      </c>
      <c r="K19" s="244">
        <v>10</v>
      </c>
      <c r="L19" s="244">
        <v>0</v>
      </c>
      <c r="M19" s="244">
        <v>80</v>
      </c>
      <c r="N19" s="244">
        <v>0</v>
      </c>
      <c r="O19" s="244">
        <v>12</v>
      </c>
      <c r="P19" s="244">
        <v>0</v>
      </c>
      <c r="Q19" s="244">
        <v>7</v>
      </c>
      <c r="R19" s="244">
        <v>0</v>
      </c>
      <c r="S19" s="244">
        <v>46</v>
      </c>
      <c r="T19" s="244">
        <v>0</v>
      </c>
      <c r="U19" s="244">
        <v>49</v>
      </c>
      <c r="V19" s="244">
        <v>0</v>
      </c>
      <c r="W19" s="244">
        <v>0</v>
      </c>
      <c r="X19" s="244">
        <v>0</v>
      </c>
      <c r="Y19" s="244">
        <v>15</v>
      </c>
      <c r="Z19" s="244">
        <v>87</v>
      </c>
      <c r="AA19" s="246">
        <v>0.28431372549019601</v>
      </c>
      <c r="AB19" s="246">
        <v>0.72058823529411797</v>
      </c>
      <c r="AC19" s="246">
        <v>5</v>
      </c>
    </row>
    <row r="20" spans="1:29" ht="14" customHeight="1">
      <c r="A20" s="325"/>
      <c r="B20" s="244" t="s">
        <v>499</v>
      </c>
      <c r="C20" s="244">
        <f t="shared" si="3"/>
        <v>34</v>
      </c>
      <c r="D20" s="250">
        <f t="shared" si="1"/>
        <v>2.8262676641729011E-2</v>
      </c>
      <c r="E20" s="244">
        <v>3</v>
      </c>
      <c r="F20" s="244">
        <v>6</v>
      </c>
      <c r="G20" s="244">
        <v>13</v>
      </c>
      <c r="H20" s="244">
        <v>7</v>
      </c>
      <c r="I20" s="244">
        <v>5</v>
      </c>
      <c r="J20" s="247">
        <v>15</v>
      </c>
      <c r="K20" s="244">
        <v>5</v>
      </c>
      <c r="L20" s="244">
        <v>0</v>
      </c>
      <c r="M20" s="244">
        <v>20</v>
      </c>
      <c r="N20" s="244">
        <v>0</v>
      </c>
      <c r="O20" s="244">
        <v>9</v>
      </c>
      <c r="P20" s="244">
        <v>0</v>
      </c>
      <c r="Q20" s="244">
        <v>6</v>
      </c>
      <c r="R20" s="244">
        <v>0</v>
      </c>
      <c r="S20" s="244">
        <v>7</v>
      </c>
      <c r="T20" s="244">
        <v>6</v>
      </c>
      <c r="U20" s="244">
        <v>15</v>
      </c>
      <c r="V20" s="244">
        <v>0</v>
      </c>
      <c r="W20" s="244">
        <v>0</v>
      </c>
      <c r="X20" s="244">
        <v>0</v>
      </c>
      <c r="Y20" s="244">
        <v>4</v>
      </c>
      <c r="Z20" s="244">
        <v>30</v>
      </c>
      <c r="AA20" s="246">
        <v>1.0882352941176501</v>
      </c>
      <c r="AB20" s="246">
        <v>1.23529411764706</v>
      </c>
      <c r="AC20" s="246">
        <v>7.4117647058823497</v>
      </c>
    </row>
    <row r="21" spans="1:29" ht="15">
      <c r="A21" s="325"/>
      <c r="B21" s="244" t="s">
        <v>589</v>
      </c>
      <c r="C21" s="244">
        <f t="shared" si="3"/>
        <v>239</v>
      </c>
      <c r="D21" s="250">
        <f t="shared" si="1"/>
        <v>0.19866999168744803</v>
      </c>
      <c r="E21" s="244">
        <v>38</v>
      </c>
      <c r="F21" s="244">
        <v>65</v>
      </c>
      <c r="G21" s="244">
        <v>68</v>
      </c>
      <c r="H21" s="244">
        <v>38</v>
      </c>
      <c r="I21" s="244">
        <v>30</v>
      </c>
      <c r="J21" s="247">
        <v>113</v>
      </c>
      <c r="K21" s="244">
        <v>2</v>
      </c>
      <c r="L21" s="244">
        <v>4</v>
      </c>
      <c r="M21" s="244">
        <v>210</v>
      </c>
      <c r="N21" s="244">
        <v>0</v>
      </c>
      <c r="O21" s="244">
        <v>23</v>
      </c>
      <c r="P21" s="244">
        <v>5</v>
      </c>
      <c r="Q21" s="244">
        <v>22</v>
      </c>
      <c r="R21" s="244">
        <v>14</v>
      </c>
      <c r="S21" s="244">
        <v>113</v>
      </c>
      <c r="T21" s="244">
        <v>1</v>
      </c>
      <c r="U21" s="244">
        <v>83</v>
      </c>
      <c r="V21" s="244">
        <v>0</v>
      </c>
      <c r="W21" s="244">
        <v>0</v>
      </c>
      <c r="X21" s="244">
        <v>1</v>
      </c>
      <c r="Y21" s="244">
        <v>51</v>
      </c>
      <c r="Z21" s="244">
        <v>188</v>
      </c>
      <c r="AA21" s="246">
        <v>0.326359832635983</v>
      </c>
      <c r="AB21" s="246">
        <v>1.2050209205020901</v>
      </c>
      <c r="AC21" s="246">
        <v>2.5405027932960902</v>
      </c>
    </row>
    <row r="22" spans="1:29" ht="15">
      <c r="A22" s="325"/>
      <c r="B22" s="244" t="s">
        <v>4492</v>
      </c>
      <c r="C22" s="244">
        <f t="shared" si="3"/>
        <v>30</v>
      </c>
      <c r="D22" s="250">
        <f t="shared" si="1"/>
        <v>2.4937655860349128E-2</v>
      </c>
      <c r="E22" s="244">
        <v>7</v>
      </c>
      <c r="F22" s="244">
        <v>1</v>
      </c>
      <c r="G22" s="244">
        <v>9</v>
      </c>
      <c r="H22" s="244">
        <v>10</v>
      </c>
      <c r="I22" s="244">
        <v>3</v>
      </c>
      <c r="J22" s="247">
        <v>15</v>
      </c>
      <c r="K22" s="244">
        <v>0</v>
      </c>
      <c r="L22" s="244">
        <v>0</v>
      </c>
      <c r="M22" s="244">
        <v>28</v>
      </c>
      <c r="N22" s="244">
        <v>0</v>
      </c>
      <c r="O22" s="244">
        <v>2</v>
      </c>
      <c r="P22" s="244">
        <v>0</v>
      </c>
      <c r="Q22" s="244">
        <v>2</v>
      </c>
      <c r="R22" s="244">
        <v>1</v>
      </c>
      <c r="S22" s="244">
        <v>17</v>
      </c>
      <c r="T22" s="244">
        <v>0</v>
      </c>
      <c r="U22" s="244">
        <v>10</v>
      </c>
      <c r="V22" s="244">
        <v>0</v>
      </c>
      <c r="W22" s="244">
        <v>0</v>
      </c>
      <c r="X22" s="244">
        <v>0</v>
      </c>
      <c r="Y22" s="244">
        <v>4</v>
      </c>
      <c r="Z22" s="244">
        <v>26</v>
      </c>
      <c r="AA22" s="246">
        <v>0.36666666666666697</v>
      </c>
      <c r="AB22" s="246">
        <v>1.2666666666666699</v>
      </c>
      <c r="AC22" s="246">
        <v>6.1</v>
      </c>
    </row>
    <row r="23" spans="1:29" ht="15">
      <c r="A23" s="325"/>
      <c r="B23" s="244" t="s">
        <v>1707</v>
      </c>
      <c r="C23" s="244">
        <f t="shared" si="3"/>
        <v>30</v>
      </c>
      <c r="D23" s="250">
        <f t="shared" si="1"/>
        <v>2.4937655860349128E-2</v>
      </c>
      <c r="E23" s="244">
        <v>5</v>
      </c>
      <c r="F23" s="244">
        <v>6</v>
      </c>
      <c r="G23" s="244">
        <v>6</v>
      </c>
      <c r="H23" s="244">
        <v>5</v>
      </c>
      <c r="I23" s="244">
        <v>8</v>
      </c>
      <c r="J23" s="247">
        <v>29</v>
      </c>
      <c r="K23" s="244">
        <v>1</v>
      </c>
      <c r="L23" s="244">
        <v>0</v>
      </c>
      <c r="M23" s="244">
        <v>29</v>
      </c>
      <c r="N23" s="244">
        <v>0</v>
      </c>
      <c r="O23" s="244">
        <v>0</v>
      </c>
      <c r="P23" s="244">
        <v>0</v>
      </c>
      <c r="Q23" s="244">
        <v>2</v>
      </c>
      <c r="R23" s="244">
        <v>0</v>
      </c>
      <c r="S23" s="244">
        <v>16</v>
      </c>
      <c r="T23" s="244">
        <v>0</v>
      </c>
      <c r="U23" s="244">
        <v>12</v>
      </c>
      <c r="V23" s="244">
        <v>0</v>
      </c>
      <c r="W23" s="244">
        <v>0</v>
      </c>
      <c r="X23" s="244">
        <v>0</v>
      </c>
      <c r="Y23" s="244">
        <v>6</v>
      </c>
      <c r="Z23" s="244">
        <v>24</v>
      </c>
      <c r="AA23" s="246">
        <v>0.5</v>
      </c>
      <c r="AB23" s="246">
        <v>1.2</v>
      </c>
      <c r="AC23" s="246">
        <v>6.7333333333333298</v>
      </c>
    </row>
    <row r="24" spans="1:29" ht="15">
      <c r="A24" s="325"/>
      <c r="B24" s="244" t="s">
        <v>1779</v>
      </c>
      <c r="C24" s="244">
        <f t="shared" si="3"/>
        <v>6</v>
      </c>
      <c r="D24" s="250">
        <f t="shared" si="1"/>
        <v>4.9875311720698253E-3</v>
      </c>
      <c r="E24" s="244">
        <v>0</v>
      </c>
      <c r="F24" s="244">
        <v>1</v>
      </c>
      <c r="G24" s="244">
        <v>1</v>
      </c>
      <c r="H24" s="244">
        <v>2</v>
      </c>
      <c r="I24" s="244">
        <v>2</v>
      </c>
      <c r="J24" s="247">
        <v>3</v>
      </c>
      <c r="K24" s="244">
        <v>1</v>
      </c>
      <c r="L24" s="244">
        <v>0</v>
      </c>
      <c r="M24" s="244">
        <v>5</v>
      </c>
      <c r="N24" s="244">
        <v>0</v>
      </c>
      <c r="O24" s="244">
        <v>0</v>
      </c>
      <c r="P24" s="244">
        <v>0</v>
      </c>
      <c r="Q24" s="244">
        <v>0</v>
      </c>
      <c r="R24" s="244">
        <v>0</v>
      </c>
      <c r="S24" s="244">
        <v>0</v>
      </c>
      <c r="T24" s="244">
        <v>1</v>
      </c>
      <c r="U24" s="244">
        <v>5</v>
      </c>
      <c r="V24" s="244">
        <v>0</v>
      </c>
      <c r="W24" s="244">
        <v>0</v>
      </c>
      <c r="X24" s="244">
        <v>0</v>
      </c>
      <c r="Y24" s="244">
        <v>0</v>
      </c>
      <c r="Z24" s="244">
        <v>6</v>
      </c>
      <c r="AA24" s="246">
        <v>0.66666666666666696</v>
      </c>
      <c r="AB24" s="246">
        <v>1.1666666666666701</v>
      </c>
      <c r="AC24" s="246">
        <v>9.8333333333333304</v>
      </c>
    </row>
    <row r="25" spans="1:29" ht="15">
      <c r="A25" s="325"/>
      <c r="B25" s="244" t="s">
        <v>1222</v>
      </c>
      <c r="C25" s="244">
        <f t="shared" si="3"/>
        <v>154</v>
      </c>
      <c r="D25" s="250">
        <f t="shared" si="1"/>
        <v>0.12801330008312553</v>
      </c>
      <c r="E25" s="244">
        <v>12</v>
      </c>
      <c r="F25" s="244">
        <v>32</v>
      </c>
      <c r="G25" s="244">
        <v>64</v>
      </c>
      <c r="H25" s="244">
        <v>30</v>
      </c>
      <c r="I25" s="244">
        <v>16</v>
      </c>
      <c r="J25" s="247">
        <v>57</v>
      </c>
      <c r="K25" s="244">
        <v>3</v>
      </c>
      <c r="L25" s="244">
        <v>2</v>
      </c>
      <c r="M25" s="244">
        <v>1</v>
      </c>
      <c r="N25" s="244">
        <v>129</v>
      </c>
      <c r="O25" s="244">
        <v>19</v>
      </c>
      <c r="P25" s="244">
        <v>5</v>
      </c>
      <c r="Q25" s="244">
        <v>3</v>
      </c>
      <c r="R25" s="244">
        <v>4</v>
      </c>
      <c r="S25" s="244">
        <v>55</v>
      </c>
      <c r="T25" s="244">
        <v>0</v>
      </c>
      <c r="U25" s="244">
        <v>61</v>
      </c>
      <c r="V25" s="244">
        <v>0</v>
      </c>
      <c r="W25" s="244">
        <v>25</v>
      </c>
      <c r="X25" s="244">
        <v>1</v>
      </c>
      <c r="Y25" s="244">
        <v>17</v>
      </c>
      <c r="Z25" s="244">
        <v>137</v>
      </c>
      <c r="AA25" s="246">
        <v>0.59740259740259705</v>
      </c>
      <c r="AB25" s="246">
        <v>1.3311688311688299</v>
      </c>
      <c r="AC25" s="246">
        <v>8.2792207792207808</v>
      </c>
    </row>
    <row r="26" spans="1:29" ht="15">
      <c r="A26" s="325"/>
      <c r="B26" s="244" t="s">
        <v>1790</v>
      </c>
      <c r="C26" s="244">
        <f t="shared" si="3"/>
        <v>29</v>
      </c>
      <c r="D26" s="250">
        <f t="shared" si="1"/>
        <v>2.4106400665004156E-2</v>
      </c>
      <c r="E26" s="244">
        <v>5</v>
      </c>
      <c r="F26" s="244">
        <v>9</v>
      </c>
      <c r="G26" s="244">
        <v>7</v>
      </c>
      <c r="H26" s="244">
        <v>8</v>
      </c>
      <c r="I26" s="244">
        <v>0</v>
      </c>
      <c r="J26" s="247">
        <v>2</v>
      </c>
      <c r="K26" s="244">
        <v>0</v>
      </c>
      <c r="L26" s="244">
        <v>0</v>
      </c>
      <c r="M26" s="244">
        <v>28</v>
      </c>
      <c r="N26" s="244">
        <v>0</v>
      </c>
      <c r="O26" s="244">
        <v>1</v>
      </c>
      <c r="P26" s="244">
        <v>0</v>
      </c>
      <c r="Q26" s="244">
        <v>2</v>
      </c>
      <c r="R26" s="244">
        <v>0</v>
      </c>
      <c r="S26" s="244">
        <v>14</v>
      </c>
      <c r="T26" s="244">
        <v>0</v>
      </c>
      <c r="U26" s="244">
        <v>13</v>
      </c>
      <c r="V26" s="244">
        <v>0</v>
      </c>
      <c r="W26" s="244">
        <v>0</v>
      </c>
      <c r="X26" s="244">
        <v>0</v>
      </c>
      <c r="Y26" s="244">
        <v>7</v>
      </c>
      <c r="Z26" s="244">
        <v>22</v>
      </c>
      <c r="AA26" s="246">
        <v>0.55172413793103403</v>
      </c>
      <c r="AB26" s="246">
        <v>1.1034482758620701</v>
      </c>
      <c r="AC26" s="246">
        <v>6.2758620689655196</v>
      </c>
    </row>
    <row r="27" spans="1:29" ht="15">
      <c r="A27" s="325"/>
      <c r="B27" s="244" t="s">
        <v>1871</v>
      </c>
      <c r="C27" s="244">
        <f t="shared" si="3"/>
        <v>15</v>
      </c>
      <c r="D27" s="250">
        <f t="shared" si="1"/>
        <v>1.2468827930174564E-2</v>
      </c>
      <c r="E27" s="244">
        <v>1</v>
      </c>
      <c r="F27" s="244">
        <v>4</v>
      </c>
      <c r="G27" s="244">
        <v>7</v>
      </c>
      <c r="H27" s="244">
        <v>2</v>
      </c>
      <c r="I27" s="244">
        <v>1</v>
      </c>
      <c r="J27" s="247">
        <v>18</v>
      </c>
      <c r="K27" s="244">
        <v>2</v>
      </c>
      <c r="L27" s="244">
        <v>0</v>
      </c>
      <c r="M27" s="244">
        <v>13</v>
      </c>
      <c r="N27" s="244">
        <v>0</v>
      </c>
      <c r="O27" s="244">
        <v>0</v>
      </c>
      <c r="P27" s="244">
        <v>2</v>
      </c>
      <c r="Q27" s="244">
        <v>1</v>
      </c>
      <c r="R27" s="244">
        <v>0</v>
      </c>
      <c r="S27" s="244">
        <v>1</v>
      </c>
      <c r="T27" s="244">
        <v>0</v>
      </c>
      <c r="U27" s="244">
        <v>11</v>
      </c>
      <c r="V27" s="244">
        <v>0</v>
      </c>
      <c r="W27" s="244">
        <v>0</v>
      </c>
      <c r="X27" s="244">
        <v>0</v>
      </c>
      <c r="Y27" s="244">
        <v>4</v>
      </c>
      <c r="Z27" s="244">
        <v>11</v>
      </c>
      <c r="AA27" s="246">
        <v>0.53333333333333299</v>
      </c>
      <c r="AB27" s="246">
        <v>1.06666666666667</v>
      </c>
      <c r="AC27" s="246">
        <v>5.2</v>
      </c>
    </row>
    <row r="28" spans="1:29" ht="15">
      <c r="A28" s="325"/>
      <c r="B28" s="244" t="s">
        <v>1913</v>
      </c>
      <c r="C28" s="244">
        <f t="shared" si="3"/>
        <v>30</v>
      </c>
      <c r="D28" s="250">
        <f t="shared" si="1"/>
        <v>2.4937655860349128E-2</v>
      </c>
      <c r="E28" s="244">
        <v>4</v>
      </c>
      <c r="F28" s="244">
        <v>6</v>
      </c>
      <c r="G28" s="244">
        <v>9</v>
      </c>
      <c r="H28" s="244">
        <v>10</v>
      </c>
      <c r="I28" s="244">
        <v>1</v>
      </c>
      <c r="J28" s="247">
        <v>7</v>
      </c>
      <c r="K28" s="244">
        <v>1</v>
      </c>
      <c r="L28" s="244">
        <v>0</v>
      </c>
      <c r="M28" s="244">
        <v>26</v>
      </c>
      <c r="N28" s="244">
        <v>0</v>
      </c>
      <c r="O28" s="244">
        <v>3</v>
      </c>
      <c r="P28" s="244">
        <v>0</v>
      </c>
      <c r="Q28" s="244">
        <v>2</v>
      </c>
      <c r="R28" s="244">
        <v>0</v>
      </c>
      <c r="S28" s="244">
        <v>12</v>
      </c>
      <c r="T28" s="244">
        <v>0</v>
      </c>
      <c r="U28" s="244">
        <v>16</v>
      </c>
      <c r="V28" s="244">
        <v>0</v>
      </c>
      <c r="W28" s="244">
        <v>0</v>
      </c>
      <c r="X28" s="244">
        <v>0</v>
      </c>
      <c r="Y28" s="244">
        <v>5</v>
      </c>
      <c r="Z28" s="244">
        <v>25</v>
      </c>
      <c r="AA28" s="246">
        <v>0.5</v>
      </c>
      <c r="AB28" s="246">
        <v>1.2</v>
      </c>
      <c r="AC28" s="246">
        <v>7.5</v>
      </c>
    </row>
    <row r="29" spans="1:29" ht="15">
      <c r="A29" s="325"/>
      <c r="B29" s="244" t="s">
        <v>1989</v>
      </c>
      <c r="C29" s="244">
        <f t="shared" si="3"/>
        <v>9</v>
      </c>
      <c r="D29" s="250">
        <f t="shared" si="1"/>
        <v>7.481296758104738E-3</v>
      </c>
      <c r="E29" s="244">
        <v>4</v>
      </c>
      <c r="F29" s="244">
        <v>1</v>
      </c>
      <c r="G29" s="244">
        <v>3</v>
      </c>
      <c r="H29" s="244">
        <v>1</v>
      </c>
      <c r="I29" s="244">
        <v>0</v>
      </c>
      <c r="J29" s="247">
        <v>3</v>
      </c>
      <c r="K29" s="244">
        <v>0</v>
      </c>
      <c r="L29" s="244">
        <v>0</v>
      </c>
      <c r="M29" s="244">
        <v>9</v>
      </c>
      <c r="N29" s="244">
        <v>0</v>
      </c>
      <c r="O29" s="244">
        <v>0</v>
      </c>
      <c r="P29" s="244">
        <v>0</v>
      </c>
      <c r="Q29" s="244">
        <v>1</v>
      </c>
      <c r="R29" s="244">
        <v>0</v>
      </c>
      <c r="S29" s="244">
        <v>6</v>
      </c>
      <c r="T29" s="244">
        <v>0</v>
      </c>
      <c r="U29" s="244">
        <v>2</v>
      </c>
      <c r="V29" s="244">
        <v>0</v>
      </c>
      <c r="W29" s="244">
        <v>0</v>
      </c>
      <c r="X29" s="244">
        <v>0</v>
      </c>
      <c r="Y29" s="244">
        <v>1</v>
      </c>
      <c r="Z29" s="244">
        <v>8</v>
      </c>
      <c r="AA29" s="246">
        <v>0.66666666666666696</v>
      </c>
      <c r="AB29" s="246">
        <v>1.1111111111111101</v>
      </c>
      <c r="AC29" s="246">
        <v>7.1111111111111098</v>
      </c>
    </row>
    <row r="30" spans="1:29" ht="15">
      <c r="A30" s="325"/>
      <c r="B30" s="244" t="s">
        <v>2015</v>
      </c>
      <c r="C30" s="244">
        <f t="shared" si="3"/>
        <v>18</v>
      </c>
      <c r="D30" s="250">
        <f t="shared" si="1"/>
        <v>1.4962593516209476E-2</v>
      </c>
      <c r="E30" s="244">
        <v>13</v>
      </c>
      <c r="F30" s="244">
        <v>1</v>
      </c>
      <c r="G30" s="244">
        <v>2</v>
      </c>
      <c r="H30" s="244">
        <v>2</v>
      </c>
      <c r="I30" s="244">
        <v>0</v>
      </c>
      <c r="J30" s="247">
        <v>0</v>
      </c>
      <c r="K30" s="244">
        <v>0</v>
      </c>
      <c r="L30" s="244">
        <v>0</v>
      </c>
      <c r="M30" s="244">
        <v>16</v>
      </c>
      <c r="N30" s="244">
        <v>1</v>
      </c>
      <c r="O30" s="244">
        <v>1</v>
      </c>
      <c r="P30" s="244">
        <v>0</v>
      </c>
      <c r="Q30" s="244">
        <v>0</v>
      </c>
      <c r="R30" s="244">
        <v>0</v>
      </c>
      <c r="S30" s="244">
        <v>14</v>
      </c>
      <c r="T30" s="244">
        <v>0</v>
      </c>
      <c r="U30" s="244">
        <v>4</v>
      </c>
      <c r="V30" s="244">
        <v>0</v>
      </c>
      <c r="W30" s="244">
        <v>0</v>
      </c>
      <c r="X30" s="244">
        <v>0</v>
      </c>
      <c r="Y30" s="244">
        <v>2</v>
      </c>
      <c r="Z30" s="244">
        <v>16</v>
      </c>
      <c r="AA30" s="246">
        <v>5.5555555555555601E-2</v>
      </c>
      <c r="AB30" s="246">
        <v>1.05555555555556</v>
      </c>
      <c r="AC30" s="246">
        <v>3.6666666666666701</v>
      </c>
    </row>
    <row r="31" spans="1:29" ht="15">
      <c r="A31" s="325"/>
      <c r="B31" s="244" t="s">
        <v>2053</v>
      </c>
      <c r="C31" s="244">
        <f t="shared" si="3"/>
        <v>18</v>
      </c>
      <c r="D31" s="250">
        <f t="shared" si="1"/>
        <v>1.4962593516209476E-2</v>
      </c>
      <c r="E31" s="244">
        <v>4</v>
      </c>
      <c r="F31" s="244">
        <v>5</v>
      </c>
      <c r="G31" s="244">
        <v>6</v>
      </c>
      <c r="H31" s="244">
        <v>3</v>
      </c>
      <c r="I31" s="244">
        <v>0</v>
      </c>
      <c r="J31" s="247">
        <v>18</v>
      </c>
      <c r="K31" s="244">
        <v>0</v>
      </c>
      <c r="L31" s="244">
        <v>0</v>
      </c>
      <c r="M31" s="244">
        <v>14</v>
      </c>
      <c r="N31" s="244">
        <v>0</v>
      </c>
      <c r="O31" s="244">
        <v>4</v>
      </c>
      <c r="P31" s="244">
        <v>0</v>
      </c>
      <c r="Q31" s="244">
        <v>3</v>
      </c>
      <c r="R31" s="244">
        <v>0</v>
      </c>
      <c r="S31" s="244">
        <v>7</v>
      </c>
      <c r="T31" s="244">
        <v>0</v>
      </c>
      <c r="U31" s="244">
        <v>8</v>
      </c>
      <c r="V31" s="244">
        <v>0</v>
      </c>
      <c r="W31" s="244">
        <v>0</v>
      </c>
      <c r="X31" s="244">
        <v>0</v>
      </c>
      <c r="Y31" s="244">
        <v>11</v>
      </c>
      <c r="Z31" s="244">
        <v>7</v>
      </c>
      <c r="AA31" s="246">
        <v>0.66666666666666696</v>
      </c>
      <c r="AB31" s="246">
        <v>1.44444444444444</v>
      </c>
      <c r="AC31" s="246">
        <v>13.3888888888889</v>
      </c>
    </row>
    <row r="32" spans="1:29" ht="15">
      <c r="A32" s="325"/>
      <c r="B32" s="244" t="s">
        <v>2098</v>
      </c>
      <c r="C32" s="244">
        <f t="shared" si="3"/>
        <v>18</v>
      </c>
      <c r="D32" s="250">
        <f t="shared" si="1"/>
        <v>1.4962593516209476E-2</v>
      </c>
      <c r="E32" s="244">
        <v>8</v>
      </c>
      <c r="F32" s="244">
        <v>3</v>
      </c>
      <c r="G32" s="244">
        <v>5</v>
      </c>
      <c r="H32" s="244">
        <v>2</v>
      </c>
      <c r="I32" s="244">
        <v>0</v>
      </c>
      <c r="J32" s="247">
        <v>0</v>
      </c>
      <c r="K32" s="244">
        <v>0</v>
      </c>
      <c r="L32" s="244">
        <v>0</v>
      </c>
      <c r="M32" s="244">
        <v>14</v>
      </c>
      <c r="N32" s="244">
        <v>1</v>
      </c>
      <c r="O32" s="244">
        <v>3</v>
      </c>
      <c r="P32" s="244">
        <v>0</v>
      </c>
      <c r="Q32" s="244">
        <v>1</v>
      </c>
      <c r="R32" s="244">
        <v>0</v>
      </c>
      <c r="S32" s="244">
        <v>1</v>
      </c>
      <c r="T32" s="244">
        <v>0</v>
      </c>
      <c r="U32" s="244">
        <v>8</v>
      </c>
      <c r="V32" s="244">
        <v>0</v>
      </c>
      <c r="W32" s="244">
        <v>8</v>
      </c>
      <c r="X32" s="244">
        <v>0</v>
      </c>
      <c r="Y32" s="244">
        <v>2</v>
      </c>
      <c r="Z32" s="244">
        <v>16</v>
      </c>
      <c r="AA32" s="246">
        <v>0.38888888888888901</v>
      </c>
      <c r="AB32" s="246">
        <v>1.05555555555556</v>
      </c>
      <c r="AC32" s="246">
        <v>5</v>
      </c>
    </row>
    <row r="33" spans="1:29" ht="15">
      <c r="A33" s="325"/>
      <c r="B33" s="244" t="s">
        <v>2147</v>
      </c>
      <c r="C33" s="244">
        <f t="shared" si="3"/>
        <v>11</v>
      </c>
      <c r="D33" s="250">
        <f t="shared" si="1"/>
        <v>9.14380714879468E-3</v>
      </c>
      <c r="E33" s="244">
        <v>4</v>
      </c>
      <c r="F33" s="244">
        <v>1</v>
      </c>
      <c r="G33" s="244">
        <v>4</v>
      </c>
      <c r="H33" s="244">
        <v>0</v>
      </c>
      <c r="I33" s="244">
        <v>2</v>
      </c>
      <c r="J33" s="247">
        <v>2</v>
      </c>
      <c r="K33" s="244">
        <v>0</v>
      </c>
      <c r="L33" s="244">
        <v>0</v>
      </c>
      <c r="M33" s="244">
        <v>11</v>
      </c>
      <c r="N33" s="244">
        <v>0</v>
      </c>
      <c r="O33" s="244">
        <v>0</v>
      </c>
      <c r="P33" s="244">
        <v>0</v>
      </c>
      <c r="Q33" s="244">
        <v>2</v>
      </c>
      <c r="R33" s="244">
        <v>0</v>
      </c>
      <c r="S33" s="244">
        <v>5</v>
      </c>
      <c r="T33" s="244">
        <v>0</v>
      </c>
      <c r="U33" s="244">
        <v>4</v>
      </c>
      <c r="V33" s="244">
        <v>0</v>
      </c>
      <c r="W33" s="244">
        <v>0</v>
      </c>
      <c r="X33" s="244">
        <v>0</v>
      </c>
      <c r="Y33" s="244">
        <v>1</v>
      </c>
      <c r="Z33" s="244">
        <v>10</v>
      </c>
      <c r="AA33" s="246">
        <v>0.36363636363636398</v>
      </c>
      <c r="AB33" s="246">
        <v>1.0909090909090899</v>
      </c>
      <c r="AC33" s="246">
        <v>7.4545454545454497</v>
      </c>
    </row>
    <row r="34" spans="1:29" ht="15">
      <c r="A34" s="325"/>
      <c r="B34" s="244" t="s">
        <v>4481</v>
      </c>
      <c r="C34" s="244">
        <f t="shared" si="3"/>
        <v>743</v>
      </c>
      <c r="D34" s="250">
        <f t="shared" si="1"/>
        <v>0.61762261014131337</v>
      </c>
      <c r="E34" s="244">
        <f t="shared" ref="E34:Z34" si="5">SUM(E19:E33)</f>
        <v>119</v>
      </c>
      <c r="F34" s="244">
        <f t="shared" si="5"/>
        <v>149</v>
      </c>
      <c r="G34" s="244">
        <f t="shared" si="5"/>
        <v>235</v>
      </c>
      <c r="H34" s="244">
        <f t="shared" si="5"/>
        <v>164</v>
      </c>
      <c r="I34" s="244">
        <f t="shared" si="5"/>
        <v>76</v>
      </c>
      <c r="J34" s="244">
        <f t="shared" si="5"/>
        <v>288</v>
      </c>
      <c r="K34" s="244">
        <f t="shared" si="5"/>
        <v>25</v>
      </c>
      <c r="L34" s="244">
        <f t="shared" si="5"/>
        <v>6</v>
      </c>
      <c r="M34" s="244">
        <f t="shared" si="5"/>
        <v>504</v>
      </c>
      <c r="N34" s="244">
        <f t="shared" si="5"/>
        <v>131</v>
      </c>
      <c r="O34" s="244">
        <f t="shared" si="5"/>
        <v>77</v>
      </c>
      <c r="P34" s="244">
        <f t="shared" si="5"/>
        <v>12</v>
      </c>
      <c r="Q34" s="244">
        <f t="shared" si="5"/>
        <v>54</v>
      </c>
      <c r="R34" s="244">
        <f t="shared" si="5"/>
        <v>19</v>
      </c>
      <c r="S34" s="244">
        <f t="shared" si="5"/>
        <v>314</v>
      </c>
      <c r="T34" s="244">
        <f t="shared" si="5"/>
        <v>8</v>
      </c>
      <c r="U34" s="244">
        <f t="shared" si="5"/>
        <v>301</v>
      </c>
      <c r="V34" s="244">
        <f t="shared" si="5"/>
        <v>0</v>
      </c>
      <c r="W34" s="244">
        <f t="shared" si="5"/>
        <v>33</v>
      </c>
      <c r="X34" s="244">
        <f t="shared" si="5"/>
        <v>2</v>
      </c>
      <c r="Y34" s="244">
        <f t="shared" si="5"/>
        <v>130</v>
      </c>
      <c r="Z34" s="244">
        <f t="shared" si="5"/>
        <v>613</v>
      </c>
      <c r="AA34" s="246">
        <v>0.45087483176312199</v>
      </c>
      <c r="AB34" s="246">
        <v>1.21668909825034</v>
      </c>
      <c r="AC34" s="246">
        <v>6.6873315363881396</v>
      </c>
    </row>
    <row r="35" spans="1:29" ht="15">
      <c r="A35" s="244" t="s">
        <v>4490</v>
      </c>
      <c r="B35" s="244" t="s">
        <v>3209</v>
      </c>
      <c r="C35" s="244">
        <f t="shared" si="3"/>
        <v>8</v>
      </c>
      <c r="D35" s="250">
        <f t="shared" si="1"/>
        <v>6.6500415627597674E-3</v>
      </c>
      <c r="E35" s="244">
        <v>0</v>
      </c>
      <c r="F35" s="244">
        <v>3</v>
      </c>
      <c r="G35" s="244">
        <v>4</v>
      </c>
      <c r="H35" s="244">
        <v>1</v>
      </c>
      <c r="I35" s="244">
        <v>0</v>
      </c>
      <c r="J35" s="247">
        <v>2</v>
      </c>
      <c r="K35" s="244">
        <v>1</v>
      </c>
      <c r="L35" s="244">
        <v>0</v>
      </c>
      <c r="M35" s="244">
        <v>7</v>
      </c>
      <c r="N35" s="244">
        <v>0</v>
      </c>
      <c r="O35" s="244">
        <v>0</v>
      </c>
      <c r="P35" s="244">
        <v>0</v>
      </c>
      <c r="Q35" s="244">
        <v>0</v>
      </c>
      <c r="R35" s="244">
        <v>0</v>
      </c>
      <c r="S35" s="244">
        <v>3</v>
      </c>
      <c r="T35" s="244">
        <v>0</v>
      </c>
      <c r="U35" s="244">
        <v>5</v>
      </c>
      <c r="V35" s="244">
        <v>0</v>
      </c>
      <c r="W35" s="244">
        <v>0</v>
      </c>
      <c r="X35" s="244">
        <v>0</v>
      </c>
      <c r="Y35" s="244">
        <v>1</v>
      </c>
      <c r="Z35" s="244">
        <v>7</v>
      </c>
      <c r="AA35" s="246">
        <v>0</v>
      </c>
      <c r="AB35" s="246">
        <v>1</v>
      </c>
      <c r="AC35" s="246">
        <v>5</v>
      </c>
    </row>
    <row r="36" spans="1:29" ht="15.5" customHeight="1">
      <c r="A36" s="325" t="s">
        <v>4487</v>
      </c>
      <c r="B36" s="244" t="s">
        <v>2638</v>
      </c>
      <c r="C36" s="244">
        <f t="shared" si="3"/>
        <v>41</v>
      </c>
      <c r="D36" s="250">
        <f t="shared" si="1"/>
        <v>3.408146300914381E-2</v>
      </c>
      <c r="E36" s="244">
        <v>12</v>
      </c>
      <c r="F36" s="244">
        <v>9</v>
      </c>
      <c r="G36" s="244">
        <v>9</v>
      </c>
      <c r="H36" s="244">
        <v>9</v>
      </c>
      <c r="I36" s="244">
        <v>2</v>
      </c>
      <c r="J36" s="247">
        <v>13</v>
      </c>
      <c r="K36" s="244">
        <v>3</v>
      </c>
      <c r="L36" s="244">
        <v>0</v>
      </c>
      <c r="M36" s="244">
        <v>38</v>
      </c>
      <c r="N36" s="244">
        <v>0</v>
      </c>
      <c r="O36" s="244">
        <v>0</v>
      </c>
      <c r="P36" s="244">
        <v>0</v>
      </c>
      <c r="Q36" s="244">
        <v>3</v>
      </c>
      <c r="R36" s="244">
        <v>0</v>
      </c>
      <c r="S36" s="244">
        <v>18</v>
      </c>
      <c r="T36" s="244">
        <v>0</v>
      </c>
      <c r="U36" s="244">
        <v>20</v>
      </c>
      <c r="V36" s="244">
        <v>0</v>
      </c>
      <c r="W36" s="244">
        <v>0</v>
      </c>
      <c r="X36" s="244">
        <v>0</v>
      </c>
      <c r="Y36" s="244">
        <v>2</v>
      </c>
      <c r="Z36" s="244">
        <v>39</v>
      </c>
      <c r="AA36" s="246">
        <v>0.53658536585365901</v>
      </c>
      <c r="AB36" s="246">
        <v>1.07317073170732</v>
      </c>
      <c r="AC36" s="246">
        <v>8.3658536585365795</v>
      </c>
    </row>
    <row r="37" spans="1:29" ht="15">
      <c r="A37" s="325"/>
      <c r="B37" s="244" t="s">
        <v>2752</v>
      </c>
      <c r="C37" s="244">
        <f t="shared" si="3"/>
        <v>30</v>
      </c>
      <c r="D37" s="250">
        <f t="shared" si="1"/>
        <v>2.4937655860349128E-2</v>
      </c>
      <c r="E37" s="244">
        <v>4</v>
      </c>
      <c r="F37" s="244">
        <v>3</v>
      </c>
      <c r="G37" s="244">
        <v>11</v>
      </c>
      <c r="H37" s="244">
        <v>6</v>
      </c>
      <c r="I37" s="244">
        <v>6</v>
      </c>
      <c r="J37" s="247">
        <v>54</v>
      </c>
      <c r="K37" s="244">
        <v>0</v>
      </c>
      <c r="L37" s="244">
        <v>0</v>
      </c>
      <c r="M37" s="244">
        <v>23</v>
      </c>
      <c r="N37" s="244">
        <v>0</v>
      </c>
      <c r="O37" s="244">
        <v>7</v>
      </c>
      <c r="P37" s="244">
        <v>0</v>
      </c>
      <c r="Q37" s="244">
        <v>2</v>
      </c>
      <c r="R37" s="244">
        <v>0</v>
      </c>
      <c r="S37" s="244">
        <v>16</v>
      </c>
      <c r="T37" s="244">
        <v>0</v>
      </c>
      <c r="U37" s="244">
        <v>12</v>
      </c>
      <c r="V37" s="244">
        <v>0</v>
      </c>
      <c r="W37" s="244">
        <v>0</v>
      </c>
      <c r="X37" s="244">
        <v>0</v>
      </c>
      <c r="Y37" s="244">
        <v>3</v>
      </c>
      <c r="Z37" s="244">
        <v>27</v>
      </c>
      <c r="AA37" s="246">
        <v>0.36666666666666697</v>
      </c>
      <c r="AB37" s="246">
        <v>1.1000000000000001</v>
      </c>
      <c r="AC37" s="246">
        <v>5.6</v>
      </c>
    </row>
    <row r="38" spans="1:29" ht="15">
      <c r="A38" s="325"/>
      <c r="B38" s="244" t="s">
        <v>2833</v>
      </c>
      <c r="C38" s="244">
        <f t="shared" si="3"/>
        <v>29</v>
      </c>
      <c r="D38" s="250">
        <f t="shared" si="1"/>
        <v>2.4106400665004156E-2</v>
      </c>
      <c r="E38" s="244">
        <v>3</v>
      </c>
      <c r="F38" s="244">
        <v>12</v>
      </c>
      <c r="G38" s="244">
        <v>8</v>
      </c>
      <c r="H38" s="244">
        <v>4</v>
      </c>
      <c r="I38" s="244">
        <v>2</v>
      </c>
      <c r="J38" s="247">
        <v>10</v>
      </c>
      <c r="K38" s="244">
        <v>0</v>
      </c>
      <c r="L38" s="244">
        <v>0</v>
      </c>
      <c r="M38" s="244">
        <v>20</v>
      </c>
      <c r="N38" s="244">
        <v>0</v>
      </c>
      <c r="O38" s="244">
        <v>9</v>
      </c>
      <c r="P38" s="244">
        <v>12</v>
      </c>
      <c r="Q38" s="244">
        <v>2</v>
      </c>
      <c r="R38" s="244">
        <v>0</v>
      </c>
      <c r="S38" s="244">
        <v>10</v>
      </c>
      <c r="T38" s="244">
        <v>0</v>
      </c>
      <c r="U38" s="244">
        <v>5</v>
      </c>
      <c r="V38" s="244">
        <v>0</v>
      </c>
      <c r="W38" s="244">
        <v>0</v>
      </c>
      <c r="X38" s="244">
        <v>0</v>
      </c>
      <c r="Y38" s="244">
        <v>3</v>
      </c>
      <c r="Z38" s="244">
        <v>26</v>
      </c>
      <c r="AA38" s="246">
        <v>0.79310344827586199</v>
      </c>
      <c r="AB38" s="246">
        <v>1.13793103448276</v>
      </c>
      <c r="AC38" s="246">
        <v>7.9310344827586201</v>
      </c>
    </row>
    <row r="39" spans="1:29" ht="15">
      <c r="A39" s="325"/>
      <c r="B39" s="244" t="s">
        <v>4488</v>
      </c>
      <c r="C39" s="244">
        <f t="shared" si="3"/>
        <v>0</v>
      </c>
      <c r="D39" s="250">
        <f t="shared" si="1"/>
        <v>0</v>
      </c>
      <c r="E39" s="244">
        <v>0</v>
      </c>
      <c r="F39" s="244">
        <v>0</v>
      </c>
      <c r="G39" s="244">
        <v>0</v>
      </c>
      <c r="H39" s="244">
        <v>0</v>
      </c>
      <c r="I39" s="244">
        <v>0</v>
      </c>
      <c r="J39" s="244">
        <v>0</v>
      </c>
      <c r="K39" s="244">
        <v>0</v>
      </c>
      <c r="L39" s="244">
        <v>0</v>
      </c>
      <c r="M39" s="244">
        <v>0</v>
      </c>
      <c r="N39" s="244">
        <v>0</v>
      </c>
      <c r="O39" s="244">
        <v>0</v>
      </c>
      <c r="P39" s="244">
        <v>0</v>
      </c>
      <c r="Q39" s="244">
        <v>0</v>
      </c>
      <c r="R39" s="244">
        <v>0</v>
      </c>
      <c r="S39" s="244">
        <v>0</v>
      </c>
      <c r="T39" s="244">
        <v>0</v>
      </c>
      <c r="U39" s="244">
        <v>0</v>
      </c>
      <c r="V39" s="244">
        <v>0</v>
      </c>
      <c r="W39" s="244">
        <v>0</v>
      </c>
      <c r="X39" s="244">
        <v>0</v>
      </c>
      <c r="Y39" s="244">
        <v>0</v>
      </c>
      <c r="Z39" s="244">
        <v>0</v>
      </c>
      <c r="AA39" s="245">
        <v>0</v>
      </c>
      <c r="AB39" s="245">
        <v>0</v>
      </c>
      <c r="AC39" s="245">
        <v>0</v>
      </c>
    </row>
    <row r="40" spans="1:29" ht="15">
      <c r="A40" s="325"/>
      <c r="B40" s="244" t="s">
        <v>2916</v>
      </c>
      <c r="C40" s="244">
        <f t="shared" si="3"/>
        <v>8</v>
      </c>
      <c r="D40" s="250">
        <f t="shared" si="1"/>
        <v>6.6500415627597674E-3</v>
      </c>
      <c r="E40" s="244">
        <v>2</v>
      </c>
      <c r="F40" s="244">
        <v>2</v>
      </c>
      <c r="G40" s="244">
        <v>1</v>
      </c>
      <c r="H40" s="244">
        <v>0</v>
      </c>
      <c r="I40" s="244">
        <v>3</v>
      </c>
      <c r="J40" s="247">
        <v>21</v>
      </c>
      <c r="K40" s="244">
        <v>0</v>
      </c>
      <c r="L40" s="244">
        <v>0</v>
      </c>
      <c r="M40" s="244">
        <v>7</v>
      </c>
      <c r="N40" s="244">
        <v>0</v>
      </c>
      <c r="O40" s="244">
        <v>1</v>
      </c>
      <c r="P40" s="244">
        <v>1</v>
      </c>
      <c r="Q40" s="244">
        <v>1</v>
      </c>
      <c r="R40" s="244">
        <v>0</v>
      </c>
      <c r="S40" s="244">
        <v>1</v>
      </c>
      <c r="T40" s="244">
        <v>0</v>
      </c>
      <c r="U40" s="244">
        <v>5</v>
      </c>
      <c r="V40" s="244">
        <v>0</v>
      </c>
      <c r="W40" s="244">
        <v>0</v>
      </c>
      <c r="X40" s="244">
        <v>0</v>
      </c>
      <c r="Y40" s="244">
        <v>0</v>
      </c>
      <c r="Z40" s="244">
        <v>8</v>
      </c>
      <c r="AA40" s="246">
        <v>0.375</v>
      </c>
      <c r="AB40" s="246">
        <v>1.125</v>
      </c>
      <c r="AC40" s="246">
        <v>5.5</v>
      </c>
    </row>
    <row r="41" spans="1:29" ht="15">
      <c r="A41" s="325"/>
      <c r="B41" s="244" t="s">
        <v>2938</v>
      </c>
      <c r="C41" s="244">
        <f t="shared" si="3"/>
        <v>3</v>
      </c>
      <c r="D41" s="250">
        <f t="shared" si="1"/>
        <v>2.4937655860349127E-3</v>
      </c>
      <c r="E41" s="244">
        <v>0</v>
      </c>
      <c r="F41" s="244">
        <v>2</v>
      </c>
      <c r="G41" s="244">
        <v>0</v>
      </c>
      <c r="H41" s="244">
        <v>1</v>
      </c>
      <c r="I41" s="244">
        <v>0</v>
      </c>
      <c r="J41" s="247">
        <v>3</v>
      </c>
      <c r="K41" s="244">
        <v>0</v>
      </c>
      <c r="L41" s="244">
        <v>0</v>
      </c>
      <c r="M41" s="244">
        <v>3</v>
      </c>
      <c r="N41" s="244">
        <v>0</v>
      </c>
      <c r="O41" s="244">
        <v>0</v>
      </c>
      <c r="P41" s="244">
        <v>0</v>
      </c>
      <c r="Q41" s="244">
        <v>0</v>
      </c>
      <c r="R41" s="244">
        <v>0</v>
      </c>
      <c r="S41" s="244">
        <v>0</v>
      </c>
      <c r="T41" s="244">
        <v>0</v>
      </c>
      <c r="U41" s="244">
        <v>3</v>
      </c>
      <c r="V41" s="244">
        <v>0</v>
      </c>
      <c r="W41" s="244">
        <v>0</v>
      </c>
      <c r="X41" s="244">
        <v>0</v>
      </c>
      <c r="Y41" s="244">
        <v>1</v>
      </c>
      <c r="Z41" s="244">
        <v>2</v>
      </c>
      <c r="AA41" s="246">
        <v>0</v>
      </c>
      <c r="AB41" s="246">
        <v>1</v>
      </c>
      <c r="AC41" s="246">
        <v>2</v>
      </c>
    </row>
    <row r="42" spans="1:29" ht="15">
      <c r="A42" s="325"/>
      <c r="B42" s="244" t="s">
        <v>2948</v>
      </c>
      <c r="C42" s="244">
        <f t="shared" si="3"/>
        <v>21</v>
      </c>
      <c r="D42" s="250">
        <f t="shared" si="1"/>
        <v>1.7456359102244388E-2</v>
      </c>
      <c r="E42" s="244">
        <v>2</v>
      </c>
      <c r="F42" s="244">
        <v>2</v>
      </c>
      <c r="G42" s="244">
        <v>10</v>
      </c>
      <c r="H42" s="244">
        <v>7</v>
      </c>
      <c r="I42" s="244">
        <v>0</v>
      </c>
      <c r="J42" s="247">
        <v>3</v>
      </c>
      <c r="K42" s="244">
        <v>0</v>
      </c>
      <c r="L42" s="244">
        <v>0</v>
      </c>
      <c r="M42" s="244">
        <v>21</v>
      </c>
      <c r="N42" s="244">
        <v>0</v>
      </c>
      <c r="O42" s="244">
        <v>0</v>
      </c>
      <c r="P42" s="244">
        <v>0</v>
      </c>
      <c r="Q42" s="244">
        <v>0</v>
      </c>
      <c r="R42" s="244">
        <v>0</v>
      </c>
      <c r="S42" s="244">
        <v>18</v>
      </c>
      <c r="T42" s="244">
        <v>0</v>
      </c>
      <c r="U42" s="244">
        <v>3</v>
      </c>
      <c r="V42" s="244">
        <v>0</v>
      </c>
      <c r="W42" s="244">
        <v>0</v>
      </c>
      <c r="X42" s="244">
        <v>0</v>
      </c>
      <c r="Y42" s="244">
        <v>2</v>
      </c>
      <c r="Z42" s="244">
        <v>19</v>
      </c>
      <c r="AA42" s="246">
        <v>0.52380952380952395</v>
      </c>
      <c r="AB42" s="246">
        <v>1.0476190476190499</v>
      </c>
      <c r="AC42" s="246">
        <v>8.1428571428571406</v>
      </c>
    </row>
    <row r="43" spans="1:29" ht="15">
      <c r="A43" s="325"/>
      <c r="B43" s="244" t="s">
        <v>3001</v>
      </c>
      <c r="C43" s="244">
        <f t="shared" si="3"/>
        <v>10</v>
      </c>
      <c r="D43" s="250">
        <f t="shared" si="1"/>
        <v>8.3125519534497094E-3</v>
      </c>
      <c r="E43" s="244">
        <v>1</v>
      </c>
      <c r="F43" s="244">
        <v>4</v>
      </c>
      <c r="G43" s="244">
        <v>4</v>
      </c>
      <c r="H43" s="244">
        <v>1</v>
      </c>
      <c r="I43" s="244">
        <v>0</v>
      </c>
      <c r="J43" s="247">
        <v>0</v>
      </c>
      <c r="K43" s="244">
        <v>0</v>
      </c>
      <c r="L43" s="244">
        <v>0</v>
      </c>
      <c r="M43" s="244">
        <v>10</v>
      </c>
      <c r="N43" s="244">
        <v>0</v>
      </c>
      <c r="O43" s="244">
        <v>0</v>
      </c>
      <c r="P43" s="244">
        <v>0</v>
      </c>
      <c r="Q43" s="244">
        <v>0</v>
      </c>
      <c r="R43" s="244">
        <v>0</v>
      </c>
      <c r="S43" s="244">
        <v>3</v>
      </c>
      <c r="T43" s="244">
        <v>0</v>
      </c>
      <c r="U43" s="244">
        <v>7</v>
      </c>
      <c r="V43" s="244">
        <v>0</v>
      </c>
      <c r="W43" s="244">
        <v>0</v>
      </c>
      <c r="X43" s="244">
        <v>0</v>
      </c>
      <c r="Y43" s="244">
        <v>0</v>
      </c>
      <c r="Z43" s="244">
        <v>10</v>
      </c>
      <c r="AA43" s="246">
        <v>0.3</v>
      </c>
      <c r="AB43" s="246">
        <v>1.1000000000000001</v>
      </c>
      <c r="AC43" s="246">
        <v>4.4000000000000004</v>
      </c>
    </row>
    <row r="44" spans="1:29" ht="15">
      <c r="A44" s="325"/>
      <c r="B44" s="244" t="s">
        <v>3030</v>
      </c>
      <c r="C44" s="244">
        <f t="shared" si="3"/>
        <v>19</v>
      </c>
      <c r="D44" s="250">
        <f t="shared" si="1"/>
        <v>1.5793848711554447E-2</v>
      </c>
      <c r="E44" s="244">
        <v>2</v>
      </c>
      <c r="F44" s="244">
        <v>3</v>
      </c>
      <c r="G44" s="244">
        <v>6</v>
      </c>
      <c r="H44" s="244">
        <v>7</v>
      </c>
      <c r="I44" s="244">
        <v>1</v>
      </c>
      <c r="J44" s="247">
        <v>16</v>
      </c>
      <c r="K44" s="244">
        <v>1</v>
      </c>
      <c r="L44" s="244">
        <v>0</v>
      </c>
      <c r="M44" s="244">
        <v>16</v>
      </c>
      <c r="N44" s="244">
        <v>0</v>
      </c>
      <c r="O44" s="244">
        <v>2</v>
      </c>
      <c r="P44" s="244">
        <v>0</v>
      </c>
      <c r="Q44" s="244">
        <v>0</v>
      </c>
      <c r="R44" s="244">
        <v>0</v>
      </c>
      <c r="S44" s="244">
        <v>8</v>
      </c>
      <c r="T44" s="244">
        <v>0</v>
      </c>
      <c r="U44" s="244">
        <v>9</v>
      </c>
      <c r="V44" s="244">
        <v>2</v>
      </c>
      <c r="W44" s="244">
        <v>0</v>
      </c>
      <c r="X44" s="244">
        <v>0</v>
      </c>
      <c r="Y44" s="244">
        <v>1</v>
      </c>
      <c r="Z44" s="244">
        <v>18</v>
      </c>
      <c r="AA44" s="246">
        <v>0.31578947368421101</v>
      </c>
      <c r="AB44" s="246">
        <v>1.2105263157894699</v>
      </c>
      <c r="AC44" s="246">
        <v>8.7368421052631593</v>
      </c>
    </row>
    <row r="45" spans="1:29" ht="15">
      <c r="A45" s="325"/>
      <c r="B45" s="244" t="s">
        <v>3082</v>
      </c>
      <c r="C45" s="244">
        <f t="shared" si="3"/>
        <v>13</v>
      </c>
      <c r="D45" s="250">
        <f t="shared" si="1"/>
        <v>1.0806317539484621E-2</v>
      </c>
      <c r="E45" s="244">
        <v>2</v>
      </c>
      <c r="F45" s="244">
        <v>1</v>
      </c>
      <c r="G45" s="244">
        <v>7</v>
      </c>
      <c r="H45" s="244">
        <v>2</v>
      </c>
      <c r="I45" s="244">
        <v>1</v>
      </c>
      <c r="J45" s="247">
        <v>7</v>
      </c>
      <c r="K45" s="244">
        <v>1</v>
      </c>
      <c r="L45" s="244">
        <v>0</v>
      </c>
      <c r="M45" s="244">
        <v>11</v>
      </c>
      <c r="N45" s="244">
        <v>0</v>
      </c>
      <c r="O45" s="244">
        <v>1</v>
      </c>
      <c r="P45" s="244">
        <v>0</v>
      </c>
      <c r="Q45" s="244">
        <v>1</v>
      </c>
      <c r="R45" s="244">
        <v>0</v>
      </c>
      <c r="S45" s="244">
        <v>8</v>
      </c>
      <c r="T45" s="244">
        <v>0</v>
      </c>
      <c r="U45" s="244">
        <v>4</v>
      </c>
      <c r="V45" s="244">
        <v>0</v>
      </c>
      <c r="W45" s="244">
        <v>0</v>
      </c>
      <c r="X45" s="244">
        <v>0</v>
      </c>
      <c r="Y45" s="244">
        <v>1</v>
      </c>
      <c r="Z45" s="244">
        <v>12</v>
      </c>
      <c r="AA45" s="246">
        <v>0.53846153846153799</v>
      </c>
      <c r="AB45" s="246">
        <v>1</v>
      </c>
      <c r="AC45" s="246">
        <v>8.0769230769230802</v>
      </c>
    </row>
    <row r="46" spans="1:29" ht="15">
      <c r="A46" s="325"/>
      <c r="B46" s="244" t="s">
        <v>3117</v>
      </c>
      <c r="C46" s="244">
        <f t="shared" si="3"/>
        <v>48</v>
      </c>
      <c r="D46" s="250">
        <f t="shared" si="1"/>
        <v>3.9900249376558602E-2</v>
      </c>
      <c r="E46" s="244">
        <v>0</v>
      </c>
      <c r="F46" s="244">
        <v>1</v>
      </c>
      <c r="G46" s="244">
        <v>3</v>
      </c>
      <c r="H46" s="244">
        <v>44</v>
      </c>
      <c r="I46" s="244">
        <v>0</v>
      </c>
      <c r="J46" s="247">
        <v>0</v>
      </c>
      <c r="K46" s="244">
        <v>0</v>
      </c>
      <c r="L46" s="244">
        <v>7</v>
      </c>
      <c r="M46" s="244">
        <v>41</v>
      </c>
      <c r="N46" s="244">
        <v>0</v>
      </c>
      <c r="O46" s="244">
        <v>0</v>
      </c>
      <c r="P46" s="244">
        <v>0</v>
      </c>
      <c r="Q46" s="244">
        <v>0</v>
      </c>
      <c r="R46" s="244">
        <v>0</v>
      </c>
      <c r="S46" s="244">
        <v>1</v>
      </c>
      <c r="T46" s="244">
        <v>0</v>
      </c>
      <c r="U46" s="244">
        <v>47</v>
      </c>
      <c r="V46" s="244">
        <v>0</v>
      </c>
      <c r="W46" s="244">
        <v>0</v>
      </c>
      <c r="X46" s="244">
        <v>0</v>
      </c>
      <c r="Y46" s="244">
        <v>2</v>
      </c>
      <c r="Z46" s="244">
        <v>46</v>
      </c>
      <c r="AA46" s="246">
        <v>4.1666666666666699E-2</v>
      </c>
      <c r="AB46" s="246">
        <v>1.9583333333333299</v>
      </c>
      <c r="AC46" s="246">
        <v>10.1041666666667</v>
      </c>
    </row>
    <row r="47" spans="1:29" customFormat="1" ht="15">
      <c r="A47" s="325"/>
      <c r="B47" s="244" t="s">
        <v>4481</v>
      </c>
      <c r="C47" s="244">
        <f t="shared" si="3"/>
        <v>222</v>
      </c>
      <c r="D47" s="250">
        <f t="shared" si="1"/>
        <v>0.18453865336658354</v>
      </c>
      <c r="E47" s="244">
        <f t="shared" ref="E47:Z47" si="6">SUM(E36:E46)</f>
        <v>28</v>
      </c>
      <c r="F47" s="244">
        <f t="shared" si="6"/>
        <v>39</v>
      </c>
      <c r="G47" s="244">
        <f t="shared" si="6"/>
        <v>59</v>
      </c>
      <c r="H47" s="244">
        <f t="shared" si="6"/>
        <v>81</v>
      </c>
      <c r="I47" s="244">
        <f t="shared" si="6"/>
        <v>15</v>
      </c>
      <c r="J47" s="244">
        <f t="shared" si="6"/>
        <v>127</v>
      </c>
      <c r="K47" s="244">
        <f t="shared" si="6"/>
        <v>5</v>
      </c>
      <c r="L47" s="244">
        <f t="shared" si="6"/>
        <v>7</v>
      </c>
      <c r="M47" s="244">
        <f t="shared" si="6"/>
        <v>190</v>
      </c>
      <c r="N47" s="244">
        <f t="shared" si="6"/>
        <v>0</v>
      </c>
      <c r="O47" s="244">
        <f t="shared" si="6"/>
        <v>20</v>
      </c>
      <c r="P47" s="244">
        <f t="shared" si="6"/>
        <v>13</v>
      </c>
      <c r="Q47" s="244">
        <f t="shared" si="6"/>
        <v>9</v>
      </c>
      <c r="R47" s="244">
        <f t="shared" si="6"/>
        <v>0</v>
      </c>
      <c r="S47" s="244">
        <f t="shared" si="6"/>
        <v>83</v>
      </c>
      <c r="T47" s="244">
        <f t="shared" si="6"/>
        <v>0</v>
      </c>
      <c r="U47" s="244">
        <f t="shared" si="6"/>
        <v>115</v>
      </c>
      <c r="V47" s="244">
        <f t="shared" si="6"/>
        <v>2</v>
      </c>
      <c r="W47" s="244">
        <f t="shared" si="6"/>
        <v>0</v>
      </c>
      <c r="X47" s="244">
        <f t="shared" si="6"/>
        <v>0</v>
      </c>
      <c r="Y47" s="244">
        <f t="shared" si="6"/>
        <v>15</v>
      </c>
      <c r="Z47" s="244">
        <f t="shared" si="6"/>
        <v>207</v>
      </c>
      <c r="AA47" s="246">
        <v>0.39285714285714302</v>
      </c>
      <c r="AB47" s="246">
        <v>1.28125</v>
      </c>
      <c r="AC47" s="246">
        <v>7.91071428571429</v>
      </c>
    </row>
    <row r="48" spans="1:29" s="83" customFormat="1">
      <c r="A48" s="327" t="s">
        <v>4481</v>
      </c>
      <c r="B48" s="327"/>
      <c r="C48" s="244">
        <f>C7+C18+C34+C35+C47</f>
        <v>1203</v>
      </c>
      <c r="D48" s="250">
        <f t="shared" si="1"/>
        <v>1</v>
      </c>
      <c r="E48" s="247">
        <f t="shared" ref="E48:Z48" si="7">E7+E18+E34+E35+E47</f>
        <v>155</v>
      </c>
      <c r="F48" s="247">
        <f t="shared" si="7"/>
        <v>222</v>
      </c>
      <c r="G48" s="247">
        <f t="shared" si="7"/>
        <v>384</v>
      </c>
      <c r="H48" s="247">
        <f t="shared" si="7"/>
        <v>321</v>
      </c>
      <c r="I48" s="247">
        <f t="shared" si="7"/>
        <v>121</v>
      </c>
      <c r="J48" s="247">
        <f t="shared" si="7"/>
        <v>498</v>
      </c>
      <c r="K48" s="247">
        <f t="shared" si="7"/>
        <v>39</v>
      </c>
      <c r="L48" s="247">
        <f t="shared" si="7"/>
        <v>14</v>
      </c>
      <c r="M48" s="247">
        <f t="shared" si="7"/>
        <v>878</v>
      </c>
      <c r="N48" s="247">
        <f t="shared" si="7"/>
        <v>132</v>
      </c>
      <c r="O48" s="247">
        <f t="shared" si="7"/>
        <v>140</v>
      </c>
      <c r="P48" s="247">
        <f t="shared" si="7"/>
        <v>26</v>
      </c>
      <c r="Q48" s="247">
        <f t="shared" si="7"/>
        <v>69</v>
      </c>
      <c r="R48" s="247">
        <f t="shared" si="7"/>
        <v>20</v>
      </c>
      <c r="S48" s="247">
        <f t="shared" si="7"/>
        <v>479</v>
      </c>
      <c r="T48" s="247">
        <f t="shared" si="7"/>
        <v>8</v>
      </c>
      <c r="U48" s="247">
        <f t="shared" si="7"/>
        <v>558</v>
      </c>
      <c r="V48" s="247">
        <f t="shared" si="7"/>
        <v>7</v>
      </c>
      <c r="W48" s="247">
        <f t="shared" si="7"/>
        <v>33</v>
      </c>
      <c r="X48" s="247">
        <f t="shared" si="7"/>
        <v>3</v>
      </c>
      <c r="Y48" s="247">
        <f t="shared" si="7"/>
        <v>173</v>
      </c>
      <c r="Z48" s="247">
        <f t="shared" si="7"/>
        <v>1030</v>
      </c>
      <c r="AA48" s="246">
        <v>0.42394014962593501</v>
      </c>
      <c r="AB48" s="246">
        <v>1.214463840399</v>
      </c>
      <c r="AC48" s="246">
        <v>6.7680798004987501</v>
      </c>
    </row>
  </sheetData>
  <mergeCells count="14">
    <mergeCell ref="AA1:AA2"/>
    <mergeCell ref="AB1:AB2"/>
    <mergeCell ref="AC1:AC2"/>
    <mergeCell ref="C1:J1"/>
    <mergeCell ref="K1:O1"/>
    <mergeCell ref="P1:X1"/>
    <mergeCell ref="Y1:Z1"/>
    <mergeCell ref="A48:B48"/>
    <mergeCell ref="A1:A2"/>
    <mergeCell ref="A3:A7"/>
    <mergeCell ref="A8:A18"/>
    <mergeCell ref="A19:A34"/>
    <mergeCell ref="A36:A47"/>
    <mergeCell ref="B1:B2"/>
  </mergeCells>
  <phoneticPr fontId="16" type="noConversion"/>
  <pageMargins left="0.75" right="0.75" top="1" bottom="1" header="0.5" footer="0.5"/>
  <pageSetup paperSize="9" orientation="portrait" horizontalDpi="100" verticalDpi="1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5"/>
  <sheetViews>
    <sheetView workbookViewId="0">
      <selection activeCell="P22" sqref="P22"/>
    </sheetView>
  </sheetViews>
  <sheetFormatPr baseColWidth="10" defaultColWidth="8.6640625" defaultRowHeight="15"/>
  <cols>
    <col min="4" max="4" width="8.6640625" style="243"/>
  </cols>
  <sheetData>
    <row r="1" spans="1:10">
      <c r="A1" s="325" t="s">
        <v>4478</v>
      </c>
      <c r="B1" s="325" t="s">
        <v>4479</v>
      </c>
      <c r="C1" s="328" t="s">
        <v>4495</v>
      </c>
      <c r="D1" s="328" t="s">
        <v>4496</v>
      </c>
      <c r="E1" s="328" t="s">
        <v>4497</v>
      </c>
      <c r="F1" s="325" t="s">
        <v>4478</v>
      </c>
      <c r="G1" s="325" t="s">
        <v>4479</v>
      </c>
      <c r="H1" s="328" t="s">
        <v>4495</v>
      </c>
      <c r="I1" s="328" t="s">
        <v>4496</v>
      </c>
      <c r="J1" s="328" t="s">
        <v>4497</v>
      </c>
    </row>
    <row r="2" spans="1:10">
      <c r="A2" s="325"/>
      <c r="B2" s="325"/>
      <c r="C2" s="328"/>
      <c r="D2" s="328"/>
      <c r="E2" s="328"/>
      <c r="F2" s="325"/>
      <c r="G2" s="325"/>
      <c r="H2" s="328"/>
      <c r="I2" s="328"/>
      <c r="J2" s="328"/>
    </row>
    <row r="3" spans="1:10">
      <c r="A3" s="325" t="s">
        <v>4483</v>
      </c>
      <c r="B3" s="244" t="s">
        <v>44</v>
      </c>
      <c r="C3" s="246">
        <v>0.22727272727272699</v>
      </c>
      <c r="D3" s="246">
        <v>1.0909090909090899</v>
      </c>
      <c r="E3" s="246">
        <v>6.0454545454545503</v>
      </c>
      <c r="F3" s="325" t="s">
        <v>4484</v>
      </c>
      <c r="G3" s="244" t="s">
        <v>1790</v>
      </c>
      <c r="H3" s="246">
        <v>0.55172413793103403</v>
      </c>
      <c r="I3" s="246">
        <v>1.1034482758620701</v>
      </c>
      <c r="J3" s="246">
        <v>6.2758620689655196</v>
      </c>
    </row>
    <row r="4" spans="1:10">
      <c r="A4" s="325"/>
      <c r="B4" s="244" t="s">
        <v>115</v>
      </c>
      <c r="C4" s="246">
        <v>0.33333333333333298</v>
      </c>
      <c r="D4" s="246">
        <v>1</v>
      </c>
      <c r="E4" s="246">
        <v>5.2777777777777803</v>
      </c>
      <c r="F4" s="325"/>
      <c r="G4" s="244" t="s">
        <v>1871</v>
      </c>
      <c r="H4" s="246">
        <v>0.53333333333333299</v>
      </c>
      <c r="I4" s="246">
        <v>1.06666666666667</v>
      </c>
      <c r="J4" s="246">
        <v>5.2</v>
      </c>
    </row>
    <row r="5" spans="1:10">
      <c r="A5" s="325"/>
      <c r="B5" s="244" t="s">
        <v>170</v>
      </c>
      <c r="C5" s="246">
        <v>0.5</v>
      </c>
      <c r="D5" s="246">
        <v>1</v>
      </c>
      <c r="E5" s="246">
        <v>7.1875</v>
      </c>
      <c r="F5" s="325"/>
      <c r="G5" s="244" t="s">
        <v>1913</v>
      </c>
      <c r="H5" s="246">
        <v>0.5</v>
      </c>
      <c r="I5" s="246">
        <v>1.2</v>
      </c>
      <c r="J5" s="246">
        <v>7.5</v>
      </c>
    </row>
    <row r="6" spans="1:10" ht="30">
      <c r="A6" s="325"/>
      <c r="B6" s="244" t="s">
        <v>4485</v>
      </c>
      <c r="C6" s="245">
        <v>0</v>
      </c>
      <c r="D6" s="245">
        <v>0</v>
      </c>
      <c r="E6" s="245">
        <v>0</v>
      </c>
      <c r="F6" s="325"/>
      <c r="G6" s="244" t="s">
        <v>1989</v>
      </c>
      <c r="H6" s="246">
        <v>0.66666666666666696</v>
      </c>
      <c r="I6" s="246">
        <v>1.1111111111111101</v>
      </c>
      <c r="J6" s="246">
        <v>7.1111111111111098</v>
      </c>
    </row>
    <row r="7" spans="1:10">
      <c r="A7" s="325"/>
      <c r="B7" s="244" t="s">
        <v>4481</v>
      </c>
      <c r="C7" s="246">
        <v>0.33928571428571402</v>
      </c>
      <c r="D7" s="246">
        <v>1.03571428571429</v>
      </c>
      <c r="E7" s="246">
        <v>6.125</v>
      </c>
      <c r="F7" s="325"/>
      <c r="G7" s="244" t="s">
        <v>2015</v>
      </c>
      <c r="H7" s="246">
        <v>5.5555555555555601E-2</v>
      </c>
      <c r="I7" s="246">
        <v>1.05555555555556</v>
      </c>
      <c r="J7" s="246">
        <v>3.6666666666666701</v>
      </c>
    </row>
    <row r="8" spans="1:10">
      <c r="A8" s="325" t="s">
        <v>4486</v>
      </c>
      <c r="B8" s="244" t="s">
        <v>2179</v>
      </c>
      <c r="C8" s="246">
        <v>0.15151515151515199</v>
      </c>
      <c r="D8" s="246">
        <v>1.3030303030303001</v>
      </c>
      <c r="E8" s="246">
        <v>8.0606060606060606</v>
      </c>
      <c r="F8" s="325"/>
      <c r="G8" s="244" t="s">
        <v>2053</v>
      </c>
      <c r="H8" s="246">
        <v>0.66666666666666696</v>
      </c>
      <c r="I8" s="246">
        <v>1.44444444444444</v>
      </c>
      <c r="J8" s="246">
        <v>13.3888888888889</v>
      </c>
    </row>
    <row r="9" spans="1:10">
      <c r="A9" s="325"/>
      <c r="B9" s="244" t="s">
        <v>2418</v>
      </c>
      <c r="C9" s="246">
        <v>0.71875</v>
      </c>
      <c r="D9" s="246">
        <v>1.125</v>
      </c>
      <c r="E9" s="246">
        <v>5</v>
      </c>
      <c r="F9" s="325"/>
      <c r="G9" s="244" t="s">
        <v>2098</v>
      </c>
      <c r="H9" s="246">
        <v>0.38888888888888901</v>
      </c>
      <c r="I9" s="246">
        <v>1.05555555555556</v>
      </c>
      <c r="J9" s="246">
        <v>5</v>
      </c>
    </row>
    <row r="10" spans="1:10" ht="30">
      <c r="A10" s="325"/>
      <c r="B10" s="244" t="s">
        <v>2264</v>
      </c>
      <c r="C10" s="246">
        <v>0.3</v>
      </c>
      <c r="D10" s="246">
        <v>1</v>
      </c>
      <c r="E10" s="246">
        <v>6.4</v>
      </c>
      <c r="F10" s="325"/>
      <c r="G10" s="244" t="s">
        <v>2147</v>
      </c>
      <c r="H10" s="246">
        <v>0.36363636363636398</v>
      </c>
      <c r="I10" s="246">
        <v>1.0909090909090899</v>
      </c>
      <c r="J10" s="246">
        <v>7.4545454545454497</v>
      </c>
    </row>
    <row r="11" spans="1:10">
      <c r="A11" s="325"/>
      <c r="B11" s="244" t="s">
        <v>2287</v>
      </c>
      <c r="C11" s="246">
        <v>0.5</v>
      </c>
      <c r="D11" s="246">
        <v>1.1000000000000001</v>
      </c>
      <c r="E11" s="246">
        <v>3.85</v>
      </c>
      <c r="F11" s="325"/>
      <c r="G11" s="244" t="s">
        <v>4481</v>
      </c>
      <c r="H11" s="246">
        <v>0.45087483176312199</v>
      </c>
      <c r="I11" s="246">
        <v>1.21668909825034</v>
      </c>
      <c r="J11" s="246">
        <v>6.6873315363881396</v>
      </c>
    </row>
    <row r="12" spans="1:10">
      <c r="A12" s="325"/>
      <c r="B12" s="244" t="s">
        <v>2343</v>
      </c>
      <c r="C12" s="246">
        <v>0.33333333333333298</v>
      </c>
      <c r="D12" s="246">
        <v>1.3333333333333299</v>
      </c>
      <c r="E12" s="246">
        <v>7.6666666666666696</v>
      </c>
      <c r="F12" s="244" t="s">
        <v>4490</v>
      </c>
      <c r="G12" s="244" t="s">
        <v>3209</v>
      </c>
      <c r="H12" s="246">
        <v>0</v>
      </c>
      <c r="I12" s="246">
        <v>1</v>
      </c>
      <c r="J12" s="246">
        <v>5</v>
      </c>
    </row>
    <row r="13" spans="1:10">
      <c r="A13" s="325"/>
      <c r="B13" s="244" t="s">
        <v>2352</v>
      </c>
      <c r="C13" s="246">
        <v>0</v>
      </c>
      <c r="D13" s="246">
        <v>1</v>
      </c>
      <c r="E13" s="246">
        <v>12</v>
      </c>
      <c r="F13" s="325" t="s">
        <v>4487</v>
      </c>
      <c r="G13" s="244" t="s">
        <v>2638</v>
      </c>
      <c r="H13" s="246">
        <v>0.53658536585365901</v>
      </c>
      <c r="I13" s="246">
        <v>1.07317073170732</v>
      </c>
      <c r="J13" s="246">
        <v>8.3658536585365795</v>
      </c>
    </row>
    <row r="14" spans="1:10">
      <c r="A14" s="325"/>
      <c r="B14" s="244" t="s">
        <v>2355</v>
      </c>
      <c r="C14" s="246">
        <v>0.81818181818181801</v>
      </c>
      <c r="D14" s="246">
        <v>1.11363636363636</v>
      </c>
      <c r="E14" s="246">
        <v>8.9090909090909101</v>
      </c>
      <c r="F14" s="325"/>
      <c r="G14" s="244" t="s">
        <v>2752</v>
      </c>
      <c r="H14" s="246">
        <v>0.36666666666666697</v>
      </c>
      <c r="I14" s="246">
        <v>1.1000000000000001</v>
      </c>
      <c r="J14" s="246">
        <v>5.6</v>
      </c>
    </row>
    <row r="15" spans="1:10">
      <c r="A15" s="325"/>
      <c r="B15" s="244" t="s">
        <v>2510</v>
      </c>
      <c r="C15" s="246">
        <v>0.173913043478261</v>
      </c>
      <c r="D15" s="246">
        <v>1.0869565217391299</v>
      </c>
      <c r="E15" s="246">
        <v>3.9130434782608701</v>
      </c>
      <c r="F15" s="325"/>
      <c r="G15" s="244" t="s">
        <v>2833</v>
      </c>
      <c r="H15" s="246">
        <v>0.79310344827586199</v>
      </c>
      <c r="I15" s="246">
        <v>1.13793103448276</v>
      </c>
      <c r="J15" s="246">
        <v>7.9310344827586201</v>
      </c>
    </row>
    <row r="16" spans="1:10">
      <c r="A16" s="325"/>
      <c r="B16" s="244" t="s">
        <v>2618</v>
      </c>
      <c r="C16" s="246">
        <v>0</v>
      </c>
      <c r="D16" s="246">
        <v>1.28571428571429</v>
      </c>
      <c r="E16" s="246">
        <v>7.8571428571428603</v>
      </c>
      <c r="F16" s="325"/>
      <c r="G16" s="244" t="s">
        <v>4488</v>
      </c>
      <c r="H16" s="245">
        <v>0</v>
      </c>
      <c r="I16" s="245">
        <v>0</v>
      </c>
      <c r="J16" s="245">
        <v>0</v>
      </c>
    </row>
    <row r="17" spans="1:10" ht="30">
      <c r="A17" s="325"/>
      <c r="B17" s="244" t="s">
        <v>4489</v>
      </c>
      <c r="C17" s="245">
        <v>0</v>
      </c>
      <c r="D17" s="245">
        <v>0</v>
      </c>
      <c r="E17" s="245">
        <v>0</v>
      </c>
      <c r="F17" s="325"/>
      <c r="G17" s="244" t="s">
        <v>2916</v>
      </c>
      <c r="H17" s="246">
        <v>0.375</v>
      </c>
      <c r="I17" s="246">
        <v>1.125</v>
      </c>
      <c r="J17" s="246">
        <v>5.5</v>
      </c>
    </row>
    <row r="18" spans="1:10">
      <c r="A18" s="325"/>
      <c r="B18" s="244" t="s">
        <v>4481</v>
      </c>
      <c r="C18" s="246">
        <v>0.390804597701149</v>
      </c>
      <c r="D18" s="246">
        <v>1.1839080459770099</v>
      </c>
      <c r="E18" s="246">
        <v>5.9367816091953998</v>
      </c>
      <c r="F18" s="325"/>
      <c r="G18" s="244" t="s">
        <v>2938</v>
      </c>
      <c r="H18" s="246">
        <v>0</v>
      </c>
      <c r="I18" s="246">
        <v>1</v>
      </c>
      <c r="J18" s="246">
        <v>2</v>
      </c>
    </row>
    <row r="19" spans="1:10">
      <c r="A19" s="325" t="s">
        <v>4491</v>
      </c>
      <c r="B19" s="244" t="s">
        <v>217</v>
      </c>
      <c r="C19" s="246">
        <v>0.28431372549019601</v>
      </c>
      <c r="D19" s="246">
        <v>0.72058823529411797</v>
      </c>
      <c r="E19" s="246">
        <v>5</v>
      </c>
      <c r="F19" s="325"/>
      <c r="G19" s="244" t="s">
        <v>2948</v>
      </c>
      <c r="H19" s="246">
        <v>0.52380952380952395</v>
      </c>
      <c r="I19" s="246">
        <v>1.0476190476190499</v>
      </c>
      <c r="J19" s="246">
        <v>8.1428571428571406</v>
      </c>
    </row>
    <row r="20" spans="1:10">
      <c r="A20" s="325"/>
      <c r="B20" s="244" t="s">
        <v>499</v>
      </c>
      <c r="C20" s="246">
        <v>1.0882352941176501</v>
      </c>
      <c r="D20" s="246">
        <v>1.23529411764706</v>
      </c>
      <c r="E20" s="246">
        <v>7.4117647058823497</v>
      </c>
      <c r="F20" s="325"/>
      <c r="G20" s="244" t="s">
        <v>3001</v>
      </c>
      <c r="H20" s="246">
        <v>0.3</v>
      </c>
      <c r="I20" s="246">
        <v>1.1000000000000001</v>
      </c>
      <c r="J20" s="246">
        <v>4.4000000000000004</v>
      </c>
    </row>
    <row r="21" spans="1:10">
      <c r="A21" s="325"/>
      <c r="B21" s="244" t="s">
        <v>589</v>
      </c>
      <c r="C21" s="246">
        <v>0.326359832635983</v>
      </c>
      <c r="D21" s="246">
        <v>1.2050209205020901</v>
      </c>
      <c r="E21" s="246">
        <v>2.5405027932960902</v>
      </c>
      <c r="F21" s="325"/>
      <c r="G21" s="244" t="s">
        <v>3030</v>
      </c>
      <c r="H21" s="246">
        <v>0.31578947368421101</v>
      </c>
      <c r="I21" s="246">
        <v>1.2105263157894699</v>
      </c>
      <c r="J21" s="246">
        <v>8.7368421052631593</v>
      </c>
    </row>
    <row r="22" spans="1:10" ht="30">
      <c r="A22" s="325"/>
      <c r="B22" s="244" t="s">
        <v>4492</v>
      </c>
      <c r="C22" s="246">
        <v>0.36666666666666697</v>
      </c>
      <c r="D22" s="246">
        <v>1.2666666666666699</v>
      </c>
      <c r="E22" s="246">
        <v>6.1</v>
      </c>
      <c r="F22" s="325"/>
      <c r="G22" s="244" t="s">
        <v>3082</v>
      </c>
      <c r="H22" s="246">
        <v>0.53846153846153799</v>
      </c>
      <c r="I22" s="246">
        <v>1</v>
      </c>
      <c r="J22" s="246">
        <v>8.0769230769230802</v>
      </c>
    </row>
    <row r="23" spans="1:10">
      <c r="A23" s="325"/>
      <c r="B23" s="244" t="s">
        <v>1707</v>
      </c>
      <c r="C23" s="246">
        <v>0.5</v>
      </c>
      <c r="D23" s="246">
        <v>1.2</v>
      </c>
      <c r="E23" s="246">
        <v>6.7333333333333298</v>
      </c>
      <c r="F23" s="325"/>
      <c r="G23" s="244" t="s">
        <v>3117</v>
      </c>
      <c r="H23" s="246">
        <v>4.1666666666666699E-2</v>
      </c>
      <c r="I23" s="246">
        <v>1.9583333333333299</v>
      </c>
      <c r="J23" s="246">
        <v>10.1041666666667</v>
      </c>
    </row>
    <row r="24" spans="1:10">
      <c r="A24" s="325"/>
      <c r="B24" s="244" t="s">
        <v>1779</v>
      </c>
      <c r="C24" s="246">
        <v>0.66666666666666696</v>
      </c>
      <c r="D24" s="246">
        <v>1.1666666666666701</v>
      </c>
      <c r="E24" s="246">
        <v>9.8333333333333304</v>
      </c>
      <c r="F24" s="325"/>
      <c r="G24" s="244" t="s">
        <v>4481</v>
      </c>
      <c r="H24" s="246">
        <v>0.39285714285714302</v>
      </c>
      <c r="I24" s="246">
        <v>1.28125</v>
      </c>
      <c r="J24" s="246">
        <v>7.91071428571429</v>
      </c>
    </row>
    <row r="25" spans="1:10">
      <c r="A25" s="325"/>
      <c r="B25" s="244" t="s">
        <v>1222</v>
      </c>
      <c r="C25" s="246">
        <v>0.59740259740259705</v>
      </c>
      <c r="D25" s="246">
        <v>1.3311688311688299</v>
      </c>
      <c r="E25" s="246">
        <v>8.2792207792207808</v>
      </c>
      <c r="F25" s="327" t="s">
        <v>4481</v>
      </c>
      <c r="G25" s="327"/>
      <c r="H25" s="246">
        <v>0.42394014962593501</v>
      </c>
      <c r="I25" s="246">
        <v>1.214463840399</v>
      </c>
      <c r="J25" s="246">
        <v>6.7680798004987501</v>
      </c>
    </row>
  </sheetData>
  <mergeCells count="16">
    <mergeCell ref="H1:H2"/>
    <mergeCell ref="I1:I2"/>
    <mergeCell ref="J1:J2"/>
    <mergeCell ref="F25:G25"/>
    <mergeCell ref="A1:A2"/>
    <mergeCell ref="A3:A7"/>
    <mergeCell ref="A8:A18"/>
    <mergeCell ref="A19:A25"/>
    <mergeCell ref="B1:B2"/>
    <mergeCell ref="C1:C2"/>
    <mergeCell ref="D1:D2"/>
    <mergeCell ref="E1:E2"/>
    <mergeCell ref="F1:F2"/>
    <mergeCell ref="F3:F11"/>
    <mergeCell ref="F13:F24"/>
    <mergeCell ref="G1:G2"/>
  </mergeCells>
  <phoneticPr fontId="16" type="noConversion"/>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291"/>
  <sheetViews>
    <sheetView topLeftCell="U1" workbookViewId="0">
      <selection activeCell="U1166" sqref="A1166:XFD1166"/>
    </sheetView>
  </sheetViews>
  <sheetFormatPr baseColWidth="10" defaultColWidth="9" defaultRowHeight="15"/>
  <cols>
    <col min="1" max="1" width="9" style="65"/>
    <col min="2" max="2" width="5.5" style="72" customWidth="1"/>
    <col min="3" max="3" width="5.6640625" style="72" customWidth="1"/>
    <col min="4" max="4" width="3.33203125" style="72" customWidth="1"/>
    <col min="5" max="5" width="4.1640625" style="72" customWidth="1"/>
    <col min="6" max="6" width="6.6640625" style="72" customWidth="1"/>
    <col min="7" max="7" width="10.83203125" style="72" customWidth="1"/>
    <col min="8" max="8" width="6.1640625" style="72" customWidth="1"/>
    <col min="9" max="9" width="11.6640625" style="73" customWidth="1"/>
    <col min="10" max="10" width="8.5" style="74" customWidth="1"/>
    <col min="11" max="11" width="10.5" style="75" customWidth="1"/>
    <col min="12" max="12" width="11.1640625" style="75" customWidth="1"/>
    <col min="13" max="13" width="10.33203125" style="75" customWidth="1"/>
    <col min="14" max="14" width="7.1640625" style="72" customWidth="1"/>
    <col min="15" max="15" width="11.5" style="72" customWidth="1"/>
    <col min="16" max="16" width="6.5" style="76" customWidth="1"/>
    <col min="17" max="19" width="6.5" style="77" customWidth="1"/>
    <col min="20" max="20" width="10.83203125" style="78" customWidth="1"/>
    <col min="21" max="21" width="55.5" style="72" customWidth="1"/>
    <col min="22" max="22" width="42.83203125" style="72" customWidth="1"/>
    <col min="23" max="23" width="6.1640625" style="72" customWidth="1"/>
    <col min="24" max="24" width="6.83203125" style="72" customWidth="1"/>
    <col min="25" max="25" width="6.1640625" style="72" customWidth="1"/>
    <col min="26" max="26" width="9" style="72"/>
    <col min="27" max="40" width="9" style="65"/>
    <col min="41" max="41" width="11.83203125" style="65" customWidth="1"/>
    <col min="42" max="42" width="12.1640625" style="65" customWidth="1"/>
    <col min="43" max="43" width="9" style="65"/>
    <col min="44" max="44" width="8.83203125" style="72" customWidth="1"/>
    <col min="45" max="45" width="9.5" style="65" customWidth="1"/>
    <col min="46" max="46" width="9" style="72"/>
    <col min="47" max="50" width="9" style="65"/>
    <col min="51" max="16384" width="9" style="72"/>
  </cols>
  <sheetData>
    <row r="1" spans="1:51" s="65" customFormat="1" ht="60">
      <c r="A1" s="65" t="s">
        <v>0</v>
      </c>
      <c r="B1" s="79" t="s">
        <v>1</v>
      </c>
      <c r="C1" s="80" t="s">
        <v>2</v>
      </c>
      <c r="D1" s="80"/>
      <c r="E1" s="80" t="s">
        <v>3</v>
      </c>
      <c r="F1" s="80"/>
      <c r="G1" s="80" t="s">
        <v>4</v>
      </c>
      <c r="H1" s="81" t="s">
        <v>5</v>
      </c>
      <c r="I1" s="92" t="s">
        <v>6</v>
      </c>
      <c r="J1" s="93" t="s">
        <v>7</v>
      </c>
      <c r="K1" s="81" t="s">
        <v>8</v>
      </c>
      <c r="L1" s="75" t="s">
        <v>9</v>
      </c>
      <c r="M1" s="75" t="s">
        <v>10</v>
      </c>
      <c r="N1" s="80" t="s">
        <v>11</v>
      </c>
      <c r="O1" s="30" t="s">
        <v>12</v>
      </c>
      <c r="P1" s="94" t="s">
        <v>13</v>
      </c>
      <c r="Q1" s="105" t="s">
        <v>14</v>
      </c>
      <c r="R1" s="105" t="s">
        <v>15</v>
      </c>
      <c r="S1" s="105" t="s">
        <v>16</v>
      </c>
      <c r="T1" s="106" t="s">
        <v>17</v>
      </c>
      <c r="U1" s="80" t="s">
        <v>18</v>
      </c>
      <c r="V1" s="79" t="s">
        <v>19</v>
      </c>
      <c r="W1" s="72" t="s">
        <v>20</v>
      </c>
      <c r="X1" s="79" t="s">
        <v>21</v>
      </c>
      <c r="Y1" s="79" t="s">
        <v>22</v>
      </c>
      <c r="Z1" s="79" t="s">
        <v>23</v>
      </c>
      <c r="AA1" s="127" t="s">
        <v>24</v>
      </c>
      <c r="AB1" s="127" t="s">
        <v>25</v>
      </c>
      <c r="AC1" s="128" t="s">
        <v>26</v>
      </c>
      <c r="AD1" s="127" t="s">
        <v>27</v>
      </c>
      <c r="AE1" s="128" t="s">
        <v>28</v>
      </c>
      <c r="AF1" s="127" t="s">
        <v>29</v>
      </c>
      <c r="AG1" s="128" t="s">
        <v>30</v>
      </c>
      <c r="AH1" s="127" t="s">
        <v>31</v>
      </c>
      <c r="AI1" s="128" t="s">
        <v>32</v>
      </c>
      <c r="AJ1" s="127" t="s">
        <v>33</v>
      </c>
      <c r="AK1" s="127" t="s">
        <v>35</v>
      </c>
      <c r="AL1" s="127" t="s">
        <v>36</v>
      </c>
      <c r="AM1" s="127" t="s">
        <v>37</v>
      </c>
      <c r="AN1" s="127" t="s">
        <v>38</v>
      </c>
      <c r="AO1" s="129" t="s">
        <v>4500</v>
      </c>
      <c r="AP1" s="130" t="s">
        <v>4501</v>
      </c>
      <c r="AQ1" s="131" t="s">
        <v>4502</v>
      </c>
      <c r="AR1" s="79" t="s">
        <v>4503</v>
      </c>
      <c r="AS1" s="131" t="s">
        <v>4504</v>
      </c>
    </row>
    <row r="2" spans="1:51" s="65" customFormat="1" ht="40" customHeight="1">
      <c r="A2" s="65">
        <v>193</v>
      </c>
      <c r="B2" s="72" t="s">
        <v>589</v>
      </c>
      <c r="C2" s="82" t="s">
        <v>45</v>
      </c>
      <c r="D2" s="31">
        <f t="shared" ref="D2:D33" si="0">IF(C2="投诉",4,IF(C2="建议",1,IF(C2="举报",2,IF(C2="求助",3,5))))</f>
        <v>4</v>
      </c>
      <c r="E2" s="83" t="s">
        <v>46</v>
      </c>
      <c r="F2" s="31">
        <f t="shared" ref="F2:F33" si="1">IF(E2="12345app",1,IF(E2="e福州app",2,IF(E2="qq",3,IF(E2="电话",4,IF(E2="短信",5,IF(E2="网站",6,IF(E2="微博",7,IF(E2="微信",8,9))))))))</f>
        <v>6</v>
      </c>
      <c r="G2" s="84" t="s">
        <v>590</v>
      </c>
      <c r="H2" s="81">
        <f t="shared" ref="H2:H33" si="2">LEN(U2)</f>
        <v>179</v>
      </c>
      <c r="I2" s="92">
        <f>(J2+L2)/2</f>
        <v>0.35062168896524842</v>
      </c>
      <c r="J2" s="95">
        <v>1.9425196112314899E-2</v>
      </c>
      <c r="K2" s="96">
        <v>0.72827870552673202</v>
      </c>
      <c r="L2" s="96">
        <v>0.68181818181818199</v>
      </c>
      <c r="M2" s="96">
        <v>0.79796949108955795</v>
      </c>
      <c r="N2" s="31">
        <v>1</v>
      </c>
      <c r="O2" s="97">
        <v>44194</v>
      </c>
      <c r="P2" s="98">
        <f t="shared" ref="P2:P33" si="3">IF(T2="利己",0,IF(T2="生态",2,1))</f>
        <v>1</v>
      </c>
      <c r="Q2" s="107"/>
      <c r="R2" s="107"/>
      <c r="S2" s="107"/>
      <c r="T2" s="108" t="s">
        <v>73</v>
      </c>
      <c r="U2" s="86" t="s">
        <v>591</v>
      </c>
      <c r="V2" s="109" t="s">
        <v>592</v>
      </c>
      <c r="W2" s="83">
        <f t="shared" ref="W2:W33" si="4">LEN(V2)</f>
        <v>63</v>
      </c>
      <c r="X2" s="110">
        <v>0</v>
      </c>
      <c r="Y2" s="110">
        <v>2</v>
      </c>
      <c r="AA2" t="s">
        <v>4505</v>
      </c>
      <c r="AB2" t="s">
        <v>71</v>
      </c>
      <c r="AC2" t="s">
        <v>4353</v>
      </c>
      <c r="AD2" t="s">
        <v>4506</v>
      </c>
      <c r="AE2" t="s">
        <v>4353</v>
      </c>
      <c r="AF2" t="s">
        <v>4506</v>
      </c>
      <c r="AG2" t="s">
        <v>223</v>
      </c>
      <c r="AH2" t="s">
        <v>4507</v>
      </c>
      <c r="AI2" t="s">
        <v>4353</v>
      </c>
      <c r="AJ2" t="s">
        <v>4506</v>
      </c>
      <c r="AK2" t="s">
        <v>4508</v>
      </c>
      <c r="AL2" t="s">
        <v>4509</v>
      </c>
      <c r="AM2" t="s">
        <v>4510</v>
      </c>
      <c r="AN2" t="s">
        <v>4511</v>
      </c>
      <c r="AO2" s="132">
        <v>107.47504159733801</v>
      </c>
      <c r="AP2" s="133">
        <v>118.531976744186</v>
      </c>
      <c r="AQ2" s="65">
        <v>0.42429284525790401</v>
      </c>
      <c r="AR2" s="65">
        <v>1.21214642262895</v>
      </c>
      <c r="AS2" s="65">
        <v>6.7720465890183004</v>
      </c>
    </row>
    <row r="3" spans="1:51" customFormat="1" ht="40" customHeight="1">
      <c r="A3">
        <v>735</v>
      </c>
      <c r="B3" s="72" t="s">
        <v>2015</v>
      </c>
      <c r="C3" s="82" t="s">
        <v>45</v>
      </c>
      <c r="D3" s="31">
        <f t="shared" si="0"/>
        <v>4</v>
      </c>
      <c r="E3" s="83" t="s">
        <v>80</v>
      </c>
      <c r="F3" s="31">
        <f t="shared" si="1"/>
        <v>4</v>
      </c>
      <c r="G3" s="75" t="s">
        <v>2016</v>
      </c>
      <c r="H3" s="81">
        <f t="shared" si="2"/>
        <v>43</v>
      </c>
      <c r="I3" s="92">
        <f t="shared" ref="I3:I52" si="5">(J3+L3)/2</f>
        <v>0.41416921055879413</v>
      </c>
      <c r="J3" s="95">
        <v>3.33842111758831E-3</v>
      </c>
      <c r="K3" s="96">
        <v>0.79602566813892095</v>
      </c>
      <c r="L3" s="96">
        <v>0.82499999999999996</v>
      </c>
      <c r="M3" s="96">
        <v>0.75256417034730305</v>
      </c>
      <c r="N3" s="31">
        <v>1</v>
      </c>
      <c r="O3" s="97">
        <v>44178</v>
      </c>
      <c r="P3" s="98">
        <f t="shared" si="3"/>
        <v>0</v>
      </c>
      <c r="Q3" s="111"/>
      <c r="R3" s="111"/>
      <c r="S3" s="111"/>
      <c r="T3" s="112" t="s">
        <v>48</v>
      </c>
      <c r="U3" s="79" t="s">
        <v>2017</v>
      </c>
      <c r="V3" s="109" t="s">
        <v>2018</v>
      </c>
      <c r="W3" s="83">
        <f t="shared" si="4"/>
        <v>32</v>
      </c>
      <c r="X3" s="83">
        <v>0</v>
      </c>
      <c r="Y3" s="83">
        <v>3</v>
      </c>
      <c r="Z3" s="65"/>
      <c r="AA3" t="s">
        <v>4512</v>
      </c>
      <c r="AB3" t="s">
        <v>87</v>
      </c>
      <c r="AC3" t="s">
        <v>4513</v>
      </c>
      <c r="AD3" t="s">
        <v>4514</v>
      </c>
      <c r="AE3" t="s">
        <v>4515</v>
      </c>
      <c r="AF3" t="s">
        <v>4516</v>
      </c>
      <c r="AG3" t="s">
        <v>223</v>
      </c>
      <c r="AH3" t="s">
        <v>4517</v>
      </c>
      <c r="AI3" t="s">
        <v>4353</v>
      </c>
      <c r="AJ3" t="s">
        <v>4506</v>
      </c>
      <c r="AK3" t="s">
        <v>4518</v>
      </c>
      <c r="AL3" t="s">
        <v>4519</v>
      </c>
      <c r="AM3" t="s">
        <v>4520</v>
      </c>
      <c r="AN3" t="s">
        <v>4521</v>
      </c>
      <c r="AO3" s="134">
        <v>107.528726061615</v>
      </c>
      <c r="AP3" s="135">
        <v>111.8127090301</v>
      </c>
      <c r="AQ3">
        <v>0.42642140468227402</v>
      </c>
      <c r="AR3" s="136">
        <v>1.2123745819398</v>
      </c>
      <c r="AS3">
        <v>6.7859531772575297</v>
      </c>
      <c r="AT3" s="69"/>
      <c r="AY3" s="69"/>
    </row>
    <row r="4" spans="1:51" customFormat="1" ht="40" customHeight="1">
      <c r="A4" s="65">
        <v>736</v>
      </c>
      <c r="B4" s="72" t="s">
        <v>2015</v>
      </c>
      <c r="C4" s="82" t="s">
        <v>45</v>
      </c>
      <c r="D4" s="31">
        <f t="shared" si="0"/>
        <v>4</v>
      </c>
      <c r="E4" s="83" t="s">
        <v>80</v>
      </c>
      <c r="F4" s="31">
        <f t="shared" si="1"/>
        <v>4</v>
      </c>
      <c r="G4" s="85" t="s">
        <v>2016</v>
      </c>
      <c r="H4" s="81">
        <f t="shared" si="2"/>
        <v>32</v>
      </c>
      <c r="I4" s="92">
        <f t="shared" si="5"/>
        <v>0.56287056207180042</v>
      </c>
      <c r="J4" s="95">
        <v>0.30074112414360099</v>
      </c>
      <c r="K4" s="96">
        <v>0.78071428571428603</v>
      </c>
      <c r="L4" s="96">
        <v>0.82499999999999996</v>
      </c>
      <c r="M4" s="96">
        <v>0.71428571428571397</v>
      </c>
      <c r="N4" s="31">
        <v>1</v>
      </c>
      <c r="O4" s="97">
        <v>44176</v>
      </c>
      <c r="P4" s="98">
        <f t="shared" si="3"/>
        <v>0</v>
      </c>
      <c r="Q4" s="113"/>
      <c r="R4" s="113"/>
      <c r="S4" s="113"/>
      <c r="T4" s="114" t="s">
        <v>48</v>
      </c>
      <c r="U4" s="115" t="s">
        <v>2019</v>
      </c>
      <c r="V4" s="109" t="s">
        <v>2018</v>
      </c>
      <c r="W4" s="83">
        <f t="shared" si="4"/>
        <v>32</v>
      </c>
      <c r="X4" s="110">
        <v>0</v>
      </c>
      <c r="Y4" s="110">
        <v>4</v>
      </c>
      <c r="Z4" s="65"/>
      <c r="AA4" t="s">
        <v>4522</v>
      </c>
      <c r="AB4" t="s">
        <v>87</v>
      </c>
      <c r="AC4" t="s">
        <v>4513</v>
      </c>
      <c r="AD4" t="s">
        <v>4514</v>
      </c>
      <c r="AE4" t="s">
        <v>4515</v>
      </c>
      <c r="AF4" t="s">
        <v>4516</v>
      </c>
      <c r="AG4" t="s">
        <v>223</v>
      </c>
      <c r="AH4" t="s">
        <v>4517</v>
      </c>
      <c r="AI4" t="s">
        <v>4353</v>
      </c>
      <c r="AJ4" t="s">
        <v>4506</v>
      </c>
      <c r="AK4" t="s">
        <v>4518</v>
      </c>
      <c r="AL4" t="s">
        <v>4519</v>
      </c>
      <c r="AM4" t="s">
        <v>4510</v>
      </c>
      <c r="AN4" t="s">
        <v>4523</v>
      </c>
      <c r="AO4" s="134">
        <v>107.47750000000001</v>
      </c>
      <c r="AP4" s="135">
        <v>111.781589958159</v>
      </c>
      <c r="AQ4">
        <v>0.42510460251046001</v>
      </c>
      <c r="AR4" s="136">
        <v>1.2125523012552299</v>
      </c>
      <c r="AS4">
        <v>6.7698744769874502</v>
      </c>
    </row>
    <row r="5" spans="1:51" customFormat="1" ht="40" customHeight="1">
      <c r="A5">
        <v>194</v>
      </c>
      <c r="B5" s="72" t="s">
        <v>589</v>
      </c>
      <c r="C5" s="82" t="s">
        <v>45</v>
      </c>
      <c r="D5" s="31">
        <f t="shared" si="0"/>
        <v>4</v>
      </c>
      <c r="E5" s="83" t="s">
        <v>46</v>
      </c>
      <c r="F5" s="31">
        <f t="shared" si="1"/>
        <v>6</v>
      </c>
      <c r="G5" s="75" t="s">
        <v>4365</v>
      </c>
      <c r="H5" s="81">
        <f t="shared" si="2"/>
        <v>169</v>
      </c>
      <c r="I5" s="92">
        <f t="shared" si="5"/>
        <v>0.30992364631052449</v>
      </c>
      <c r="J5" s="95">
        <v>1.2581877246953201E-5</v>
      </c>
      <c r="K5" s="96">
        <v>0.67292649458520204</v>
      </c>
      <c r="L5" s="96">
        <v>0.61983471074380203</v>
      </c>
      <c r="M5" s="96">
        <v>0.75256417034730305</v>
      </c>
      <c r="N5" s="31">
        <v>1</v>
      </c>
      <c r="O5" s="97">
        <v>44176</v>
      </c>
      <c r="P5" s="98">
        <f t="shared" si="3"/>
        <v>0</v>
      </c>
      <c r="Q5" s="107"/>
      <c r="R5" s="107"/>
      <c r="S5" s="107"/>
      <c r="T5" s="108" t="s">
        <v>48</v>
      </c>
      <c r="U5" s="85" t="s">
        <v>4366</v>
      </c>
      <c r="V5" s="88" t="s">
        <v>595</v>
      </c>
      <c r="W5" s="83">
        <f t="shared" si="4"/>
        <v>249</v>
      </c>
      <c r="X5" s="83">
        <v>0</v>
      </c>
      <c r="Y5" s="83">
        <v>3</v>
      </c>
      <c r="Z5" s="65"/>
      <c r="AA5" t="s">
        <v>4524</v>
      </c>
      <c r="AB5" t="s">
        <v>51</v>
      </c>
      <c r="AC5" t="s">
        <v>4515</v>
      </c>
      <c r="AD5" t="s">
        <v>4525</v>
      </c>
      <c r="AE5" t="s">
        <v>4526</v>
      </c>
      <c r="AF5" t="s">
        <v>4527</v>
      </c>
      <c r="AG5" t="s">
        <v>4515</v>
      </c>
      <c r="AH5" t="s">
        <v>4525</v>
      </c>
      <c r="AI5" t="s">
        <v>4353</v>
      </c>
      <c r="AJ5" t="s">
        <v>4506</v>
      </c>
      <c r="AK5" t="s">
        <v>4519</v>
      </c>
      <c r="AL5" t="s">
        <v>4519</v>
      </c>
      <c r="AM5" t="s">
        <v>4528</v>
      </c>
      <c r="AN5" t="s">
        <v>4529</v>
      </c>
      <c r="AO5" s="134">
        <v>107.540450375313</v>
      </c>
      <c r="AP5" s="135">
        <v>111.781589958159</v>
      </c>
      <c r="AQ5">
        <v>0.42510460251046001</v>
      </c>
      <c r="AR5" s="136">
        <v>1.2125523012552299</v>
      </c>
      <c r="AS5">
        <v>6.7698744769874502</v>
      </c>
    </row>
    <row r="6" spans="1:51" customFormat="1" ht="40" customHeight="1">
      <c r="A6">
        <v>738</v>
      </c>
      <c r="B6" s="72" t="s">
        <v>2015</v>
      </c>
      <c r="C6" s="82" t="s">
        <v>45</v>
      </c>
      <c r="D6" s="31">
        <f t="shared" si="0"/>
        <v>4</v>
      </c>
      <c r="E6" s="83" t="s">
        <v>80</v>
      </c>
      <c r="F6" s="31">
        <f t="shared" si="1"/>
        <v>4</v>
      </c>
      <c r="G6" s="85" t="s">
        <v>2016</v>
      </c>
      <c r="H6" s="81">
        <f t="shared" si="2"/>
        <v>32</v>
      </c>
      <c r="I6" s="92">
        <f t="shared" si="5"/>
        <v>0.44170029407126921</v>
      </c>
      <c r="J6" s="95">
        <v>5.8400588142538498E-2</v>
      </c>
      <c r="K6" s="96">
        <v>0.76722468700001201</v>
      </c>
      <c r="L6" s="96">
        <v>0.82499999999999996</v>
      </c>
      <c r="M6" s="96">
        <v>0.68056171750003003</v>
      </c>
      <c r="N6" s="31">
        <v>1</v>
      </c>
      <c r="O6" s="97">
        <v>44175</v>
      </c>
      <c r="P6" s="98">
        <f t="shared" si="3"/>
        <v>0</v>
      </c>
      <c r="Q6" s="113"/>
      <c r="R6" s="113"/>
      <c r="S6" s="113"/>
      <c r="T6" s="114" t="s">
        <v>48</v>
      </c>
      <c r="U6" s="116" t="s">
        <v>2023</v>
      </c>
      <c r="V6" s="109" t="s">
        <v>2018</v>
      </c>
      <c r="W6" s="83">
        <f t="shared" si="4"/>
        <v>32</v>
      </c>
      <c r="X6" s="110">
        <v>0</v>
      </c>
      <c r="Y6" s="110">
        <v>5</v>
      </c>
      <c r="Z6" s="65"/>
      <c r="AA6" t="s">
        <v>4522</v>
      </c>
      <c r="AB6" t="s">
        <v>87</v>
      </c>
      <c r="AC6" t="s">
        <v>4513</v>
      </c>
      <c r="AD6" t="s">
        <v>4514</v>
      </c>
      <c r="AE6" t="s">
        <v>4515</v>
      </c>
      <c r="AF6" t="s">
        <v>4516</v>
      </c>
      <c r="AG6" t="s">
        <v>223</v>
      </c>
      <c r="AH6" t="s">
        <v>4517</v>
      </c>
      <c r="AI6" t="s">
        <v>4353</v>
      </c>
      <c r="AJ6" t="s">
        <v>4506</v>
      </c>
      <c r="AK6" t="s">
        <v>4518</v>
      </c>
      <c r="AL6" t="s">
        <v>4519</v>
      </c>
      <c r="AM6" t="s">
        <v>4510</v>
      </c>
      <c r="AN6" t="s">
        <v>4523</v>
      </c>
      <c r="AO6" s="134">
        <v>107.58597662771299</v>
      </c>
      <c r="AP6" s="135">
        <v>111.781589958159</v>
      </c>
      <c r="AQ6">
        <v>0.42510460251046001</v>
      </c>
      <c r="AR6" s="136">
        <v>1.2125523012552299</v>
      </c>
      <c r="AS6">
        <v>6.7698744769874502</v>
      </c>
    </row>
    <row r="7" spans="1:51" customFormat="1" ht="40" customHeight="1">
      <c r="A7" s="65">
        <v>737</v>
      </c>
      <c r="B7" s="72" t="s">
        <v>2015</v>
      </c>
      <c r="C7" s="82" t="s">
        <v>45</v>
      </c>
      <c r="D7" s="31">
        <f t="shared" si="0"/>
        <v>4</v>
      </c>
      <c r="E7" s="83" t="s">
        <v>80</v>
      </c>
      <c r="F7" s="31">
        <f t="shared" si="1"/>
        <v>4</v>
      </c>
      <c r="G7" s="85" t="s">
        <v>2020</v>
      </c>
      <c r="H7" s="81">
        <f t="shared" si="2"/>
        <v>53</v>
      </c>
      <c r="I7" s="92">
        <f t="shared" si="5"/>
        <v>0.41356654360302991</v>
      </c>
      <c r="J7" s="95">
        <v>2.1330872060598702E-3</v>
      </c>
      <c r="K7" s="96">
        <v>0.78071428571428603</v>
      </c>
      <c r="L7" s="96">
        <v>0.82499999999999996</v>
      </c>
      <c r="M7" s="96">
        <v>0.71428571428571397</v>
      </c>
      <c r="N7" s="31">
        <v>1</v>
      </c>
      <c r="O7" s="97">
        <v>44175</v>
      </c>
      <c r="P7" s="98">
        <f t="shared" si="3"/>
        <v>0</v>
      </c>
      <c r="Q7" s="113"/>
      <c r="R7" s="113"/>
      <c r="S7" s="113"/>
      <c r="T7" s="114" t="s">
        <v>48</v>
      </c>
      <c r="U7" s="79" t="s">
        <v>2021</v>
      </c>
      <c r="V7" s="109" t="s">
        <v>2022</v>
      </c>
      <c r="W7" s="83">
        <f t="shared" si="4"/>
        <v>144</v>
      </c>
      <c r="X7" s="83">
        <v>0</v>
      </c>
      <c r="Y7" s="83">
        <v>4</v>
      </c>
      <c r="Z7" s="65"/>
      <c r="AA7" t="s">
        <v>4522</v>
      </c>
      <c r="AB7" t="s">
        <v>51</v>
      </c>
      <c r="AC7" t="s">
        <v>4353</v>
      </c>
      <c r="AD7" t="s">
        <v>4506</v>
      </c>
      <c r="AE7" t="s">
        <v>4530</v>
      </c>
      <c r="AF7" t="s">
        <v>4531</v>
      </c>
      <c r="AG7" t="s">
        <v>4515</v>
      </c>
      <c r="AH7" t="s">
        <v>4532</v>
      </c>
      <c r="AI7" t="s">
        <v>223</v>
      </c>
      <c r="AJ7" t="s">
        <v>4533</v>
      </c>
      <c r="AK7" t="s">
        <v>4518</v>
      </c>
      <c r="AL7" t="s">
        <v>4519</v>
      </c>
      <c r="AM7" t="s">
        <v>4510</v>
      </c>
      <c r="AN7" t="s">
        <v>4523</v>
      </c>
      <c r="AO7" s="134">
        <v>107.649122807018</v>
      </c>
      <c r="AP7" s="135">
        <v>111.781589958159</v>
      </c>
      <c r="AQ7">
        <v>0.42510460251046001</v>
      </c>
      <c r="AR7" s="136">
        <v>1.2125523012552299</v>
      </c>
      <c r="AS7">
        <v>6.7698744769874502</v>
      </c>
    </row>
    <row r="8" spans="1:51" customFormat="1" ht="40" customHeight="1">
      <c r="A8">
        <v>739</v>
      </c>
      <c r="B8" s="72" t="s">
        <v>2015</v>
      </c>
      <c r="C8" s="82" t="s">
        <v>45</v>
      </c>
      <c r="D8" s="31">
        <f t="shared" si="0"/>
        <v>4</v>
      </c>
      <c r="E8" s="83" t="s">
        <v>80</v>
      </c>
      <c r="F8" s="31">
        <f t="shared" si="1"/>
        <v>4</v>
      </c>
      <c r="G8" s="86" t="s">
        <v>2024</v>
      </c>
      <c r="H8" s="81">
        <f t="shared" si="2"/>
        <v>55</v>
      </c>
      <c r="I8" s="92">
        <f t="shared" si="5"/>
        <v>0.45445036782201292</v>
      </c>
      <c r="J8" s="95">
        <v>8.3900735644025906E-2</v>
      </c>
      <c r="K8" s="96">
        <v>0.76722468700001201</v>
      </c>
      <c r="L8" s="96">
        <v>0.82499999999999996</v>
      </c>
      <c r="M8" s="96">
        <v>0.68056171750003003</v>
      </c>
      <c r="N8" s="31">
        <v>1</v>
      </c>
      <c r="O8" s="99">
        <v>44174</v>
      </c>
      <c r="P8" s="98">
        <f t="shared" si="3"/>
        <v>0</v>
      </c>
      <c r="Q8" s="113"/>
      <c r="R8" s="113"/>
      <c r="S8" s="113"/>
      <c r="T8" s="114" t="s">
        <v>48</v>
      </c>
      <c r="U8" s="85" t="s">
        <v>2025</v>
      </c>
      <c r="V8" s="117" t="s">
        <v>2018</v>
      </c>
      <c r="W8" s="83">
        <f t="shared" si="4"/>
        <v>32</v>
      </c>
      <c r="X8" s="110">
        <v>0</v>
      </c>
      <c r="Y8" s="110">
        <v>5</v>
      </c>
      <c r="Z8" s="65"/>
      <c r="AA8" t="s">
        <v>4522</v>
      </c>
      <c r="AB8" t="s">
        <v>87</v>
      </c>
      <c r="AC8" t="s">
        <v>4513</v>
      </c>
      <c r="AD8" t="s">
        <v>4514</v>
      </c>
      <c r="AE8" t="s">
        <v>4515</v>
      </c>
      <c r="AF8" t="s">
        <v>4516</v>
      </c>
      <c r="AG8" t="s">
        <v>223</v>
      </c>
      <c r="AH8" t="s">
        <v>4517</v>
      </c>
      <c r="AI8" t="s">
        <v>4353</v>
      </c>
      <c r="AJ8" t="s">
        <v>4506</v>
      </c>
      <c r="AK8" t="s">
        <v>4518</v>
      </c>
      <c r="AL8" t="s">
        <v>4519</v>
      </c>
      <c r="AM8" t="s">
        <v>4520</v>
      </c>
      <c r="AN8" t="s">
        <v>4521</v>
      </c>
      <c r="AO8" s="134">
        <v>107.693143812709</v>
      </c>
      <c r="AP8" s="135">
        <v>111.908633696563</v>
      </c>
      <c r="AQ8">
        <v>0.42581726739312697</v>
      </c>
      <c r="AR8" s="136">
        <v>1.21290863369656</v>
      </c>
      <c r="AS8">
        <v>6.7753562447611104</v>
      </c>
    </row>
    <row r="9" spans="1:51" customFormat="1" ht="40" customHeight="1">
      <c r="A9" s="65">
        <v>740</v>
      </c>
      <c r="B9" s="72" t="s">
        <v>2015</v>
      </c>
      <c r="C9" s="82" t="s">
        <v>45</v>
      </c>
      <c r="D9" s="31">
        <f t="shared" si="0"/>
        <v>4</v>
      </c>
      <c r="E9" s="83" t="s">
        <v>80</v>
      </c>
      <c r="F9" s="31">
        <f t="shared" si="1"/>
        <v>4</v>
      </c>
      <c r="G9" s="86" t="s">
        <v>1713</v>
      </c>
      <c r="H9" s="81">
        <f t="shared" si="2"/>
        <v>41</v>
      </c>
      <c r="I9" s="92">
        <f t="shared" si="5"/>
        <v>0.59668324262886097</v>
      </c>
      <c r="J9" s="95">
        <v>0.36836648525772198</v>
      </c>
      <c r="K9" s="96">
        <v>0.83785714285714297</v>
      </c>
      <c r="L9" s="96">
        <v>0.82499999999999996</v>
      </c>
      <c r="M9" s="96">
        <v>0.85714285714285698</v>
      </c>
      <c r="N9" s="31">
        <v>1</v>
      </c>
      <c r="O9" s="97">
        <v>44172</v>
      </c>
      <c r="P9" s="98">
        <f t="shared" si="3"/>
        <v>0</v>
      </c>
      <c r="Q9" s="113"/>
      <c r="R9" s="113"/>
      <c r="S9" s="113"/>
      <c r="T9" s="114" t="s">
        <v>48</v>
      </c>
      <c r="U9" s="86" t="s">
        <v>2026</v>
      </c>
      <c r="V9" s="117" t="s">
        <v>2027</v>
      </c>
      <c r="W9" s="83">
        <f t="shared" si="4"/>
        <v>137</v>
      </c>
      <c r="X9" s="110">
        <v>0</v>
      </c>
      <c r="Y9" s="110">
        <v>1</v>
      </c>
      <c r="Z9" s="65"/>
      <c r="AA9" t="s">
        <v>4522</v>
      </c>
      <c r="AB9" t="s">
        <v>51</v>
      </c>
      <c r="AC9" t="s">
        <v>4353</v>
      </c>
      <c r="AD9" t="s">
        <v>4506</v>
      </c>
      <c r="AE9" t="s">
        <v>4530</v>
      </c>
      <c r="AF9" t="s">
        <v>4534</v>
      </c>
      <c r="AG9" t="s">
        <v>4515</v>
      </c>
      <c r="AH9" t="s">
        <v>4535</v>
      </c>
      <c r="AI9" t="s">
        <v>223</v>
      </c>
      <c r="AJ9" t="s">
        <v>4536</v>
      </c>
      <c r="AK9" t="s">
        <v>4518</v>
      </c>
      <c r="AL9" t="s">
        <v>4519</v>
      </c>
      <c r="AM9" t="s">
        <v>4520</v>
      </c>
      <c r="AN9" t="s">
        <v>4521</v>
      </c>
      <c r="AO9" s="134">
        <v>107.748953974895</v>
      </c>
      <c r="AP9" s="135">
        <v>111.925863521483</v>
      </c>
      <c r="AQ9">
        <v>0.42712721145745602</v>
      </c>
      <c r="AR9" s="136">
        <v>1.212299915754</v>
      </c>
      <c r="AS9">
        <v>6.7994945240101101</v>
      </c>
    </row>
    <row r="10" spans="1:51" customFormat="1" ht="40" customHeight="1">
      <c r="A10">
        <v>742</v>
      </c>
      <c r="B10" s="72" t="s">
        <v>2015</v>
      </c>
      <c r="C10" s="82" t="s">
        <v>45</v>
      </c>
      <c r="D10" s="31">
        <f t="shared" si="0"/>
        <v>4</v>
      </c>
      <c r="E10" s="83" t="s">
        <v>80</v>
      </c>
      <c r="F10" s="31">
        <f t="shared" si="1"/>
        <v>4</v>
      </c>
      <c r="G10" s="85" t="s">
        <v>2020</v>
      </c>
      <c r="H10" s="81">
        <f t="shared" si="2"/>
        <v>37</v>
      </c>
      <c r="I10" s="92">
        <f t="shared" si="5"/>
        <v>0.41899719244018196</v>
      </c>
      <c r="J10" s="95">
        <v>1.2994384880364E-2</v>
      </c>
      <c r="K10" s="96">
        <v>0.79602566813892095</v>
      </c>
      <c r="L10" s="96">
        <v>0.82499999999999996</v>
      </c>
      <c r="M10" s="96">
        <v>0.75256417034730305</v>
      </c>
      <c r="N10" s="31">
        <v>1</v>
      </c>
      <c r="O10" s="100">
        <v>44171</v>
      </c>
      <c r="P10" s="98">
        <f t="shared" si="3"/>
        <v>0</v>
      </c>
      <c r="Q10" s="113"/>
      <c r="R10" s="113"/>
      <c r="S10" s="113"/>
      <c r="T10" s="114" t="s">
        <v>48</v>
      </c>
      <c r="U10" s="79" t="s">
        <v>2030</v>
      </c>
      <c r="V10" s="118" t="s">
        <v>2031</v>
      </c>
      <c r="W10" s="83">
        <f t="shared" si="4"/>
        <v>36</v>
      </c>
      <c r="X10" s="83">
        <v>0</v>
      </c>
      <c r="Y10" s="83">
        <v>3</v>
      </c>
      <c r="Z10" s="65"/>
      <c r="AA10" t="s">
        <v>4522</v>
      </c>
      <c r="AB10" t="s">
        <v>51</v>
      </c>
      <c r="AC10" t="s">
        <v>4353</v>
      </c>
      <c r="AD10" t="s">
        <v>4506</v>
      </c>
      <c r="AE10" t="s">
        <v>223</v>
      </c>
      <c r="AF10" t="s">
        <v>4537</v>
      </c>
      <c r="AG10" t="s">
        <v>4353</v>
      </c>
      <c r="AH10" t="s">
        <v>4506</v>
      </c>
      <c r="AI10" t="s">
        <v>4353</v>
      </c>
      <c r="AJ10" t="s">
        <v>4506</v>
      </c>
      <c r="AK10" t="s">
        <v>4518</v>
      </c>
      <c r="AL10" t="s">
        <v>4519</v>
      </c>
      <c r="AM10" t="s">
        <v>4510</v>
      </c>
      <c r="AN10" t="s">
        <v>4523</v>
      </c>
      <c r="AO10" s="134">
        <v>107.80737018425501</v>
      </c>
      <c r="AP10" s="135">
        <v>111.925863521483</v>
      </c>
      <c r="AQ10">
        <v>0.42712721145745602</v>
      </c>
      <c r="AR10" s="136">
        <v>1.212299915754</v>
      </c>
      <c r="AS10">
        <v>6.7994945240101101</v>
      </c>
    </row>
    <row r="11" spans="1:51" customFormat="1" ht="40" customHeight="1">
      <c r="A11" s="65">
        <v>616</v>
      </c>
      <c r="B11" s="72" t="s">
        <v>1707</v>
      </c>
      <c r="C11" s="82" t="s">
        <v>45</v>
      </c>
      <c r="D11" s="31">
        <f t="shared" si="0"/>
        <v>4</v>
      </c>
      <c r="E11" s="83" t="s">
        <v>221</v>
      </c>
      <c r="F11" s="31">
        <f t="shared" si="1"/>
        <v>2</v>
      </c>
      <c r="G11" s="75" t="s">
        <v>1073</v>
      </c>
      <c r="H11" s="81">
        <f t="shared" si="2"/>
        <v>38</v>
      </c>
      <c r="I11" s="92">
        <f t="shared" si="5"/>
        <v>0.37523288912639391</v>
      </c>
      <c r="J11" s="95">
        <v>4.6577825278781799E-4</v>
      </c>
      <c r="K11" s="96">
        <v>0.79285714285714304</v>
      </c>
      <c r="L11" s="96">
        <v>0.75</v>
      </c>
      <c r="M11" s="96">
        <v>0.85714285714285698</v>
      </c>
      <c r="N11" s="31">
        <v>1</v>
      </c>
      <c r="O11" s="97">
        <v>44171</v>
      </c>
      <c r="P11" s="98">
        <f t="shared" si="3"/>
        <v>1</v>
      </c>
      <c r="Q11" s="111"/>
      <c r="R11" s="111"/>
      <c r="S11" s="111"/>
      <c r="T11" s="112" t="s">
        <v>73</v>
      </c>
      <c r="U11" s="85" t="s">
        <v>1708</v>
      </c>
      <c r="V11" s="109" t="s">
        <v>1709</v>
      </c>
      <c r="W11" s="83">
        <f t="shared" si="4"/>
        <v>83</v>
      </c>
      <c r="X11" s="83">
        <v>0</v>
      </c>
      <c r="Y11" s="83">
        <v>1</v>
      </c>
      <c r="Z11" s="65"/>
      <c r="AA11" t="s">
        <v>4512</v>
      </c>
      <c r="AB11" t="s">
        <v>51</v>
      </c>
      <c r="AC11" t="s">
        <v>4353</v>
      </c>
      <c r="AD11" t="s">
        <v>4506</v>
      </c>
      <c r="AE11" t="s">
        <v>4538</v>
      </c>
      <c r="AF11" t="s">
        <v>4539</v>
      </c>
      <c r="AG11" t="s">
        <v>223</v>
      </c>
      <c r="AH11" t="s">
        <v>4540</v>
      </c>
      <c r="AI11" t="s">
        <v>4353</v>
      </c>
      <c r="AJ11" t="s">
        <v>4506</v>
      </c>
      <c r="AK11" t="s">
        <v>4519</v>
      </c>
      <c r="AL11" t="s">
        <v>4541</v>
      </c>
      <c r="AM11" t="s">
        <v>4528</v>
      </c>
      <c r="AN11" t="s">
        <v>4542</v>
      </c>
      <c r="AO11" s="134">
        <v>107.83487007543999</v>
      </c>
      <c r="AP11" s="135">
        <v>111.925863521483</v>
      </c>
      <c r="AQ11">
        <v>0.42712721145745602</v>
      </c>
      <c r="AR11" s="136">
        <v>1.212299915754</v>
      </c>
      <c r="AS11">
        <v>6.7994945240101101</v>
      </c>
    </row>
    <row r="12" spans="1:51" customFormat="1" ht="40" customHeight="1">
      <c r="A12" s="65">
        <v>741</v>
      </c>
      <c r="B12" s="72" t="s">
        <v>2015</v>
      </c>
      <c r="C12" s="82" t="s">
        <v>45</v>
      </c>
      <c r="D12" s="31">
        <f t="shared" si="0"/>
        <v>4</v>
      </c>
      <c r="E12" s="83" t="s">
        <v>80</v>
      </c>
      <c r="F12" s="31">
        <f t="shared" si="1"/>
        <v>4</v>
      </c>
      <c r="G12" s="85" t="s">
        <v>1713</v>
      </c>
      <c r="H12" s="81">
        <f t="shared" si="2"/>
        <v>75</v>
      </c>
      <c r="I12" s="92">
        <f t="shared" si="5"/>
        <v>0.37505329696146394</v>
      </c>
      <c r="J12" s="95">
        <v>1.0659392292788899E-4</v>
      </c>
      <c r="K12" s="96">
        <v>0.79285714285714304</v>
      </c>
      <c r="L12" s="96">
        <v>0.75</v>
      </c>
      <c r="M12" s="96">
        <v>0.85714285714285698</v>
      </c>
      <c r="N12" s="31">
        <v>1</v>
      </c>
      <c r="O12" s="97">
        <v>44171</v>
      </c>
      <c r="P12" s="98">
        <f t="shared" si="3"/>
        <v>0</v>
      </c>
      <c r="Q12" s="113"/>
      <c r="R12" s="113"/>
      <c r="S12" s="113"/>
      <c r="T12" s="114" t="s">
        <v>48</v>
      </c>
      <c r="U12" s="85" t="s">
        <v>2028</v>
      </c>
      <c r="V12" s="109" t="s">
        <v>2029</v>
      </c>
      <c r="W12" s="83">
        <f t="shared" si="4"/>
        <v>112</v>
      </c>
      <c r="X12" s="83">
        <v>0</v>
      </c>
      <c r="Y12" s="83">
        <v>1</v>
      </c>
      <c r="Z12" s="65"/>
      <c r="AA12" t="s">
        <v>4543</v>
      </c>
      <c r="AB12" t="s">
        <v>51</v>
      </c>
      <c r="AC12" t="s">
        <v>4353</v>
      </c>
      <c r="AD12" t="s">
        <v>4506</v>
      </c>
      <c r="AE12" t="s">
        <v>4530</v>
      </c>
      <c r="AF12" t="s">
        <v>4544</v>
      </c>
      <c r="AG12" t="s">
        <v>223</v>
      </c>
      <c r="AH12" t="s">
        <v>4545</v>
      </c>
      <c r="AI12" t="s">
        <v>223</v>
      </c>
      <c r="AJ12" t="s">
        <v>4545</v>
      </c>
      <c r="AK12" t="s">
        <v>4518</v>
      </c>
      <c r="AL12" t="s">
        <v>4519</v>
      </c>
      <c r="AM12" t="s">
        <v>4510</v>
      </c>
      <c r="AN12" t="s">
        <v>4523</v>
      </c>
      <c r="AO12" s="134">
        <v>107.89429530201301</v>
      </c>
      <c r="AP12" s="135">
        <v>111.925863521483</v>
      </c>
      <c r="AQ12">
        <v>0.42712721145745602</v>
      </c>
      <c r="AR12" s="136">
        <v>1.212299915754</v>
      </c>
      <c r="AS12">
        <v>6.7994945240101101</v>
      </c>
    </row>
    <row r="13" spans="1:51" customFormat="1" ht="40" customHeight="1">
      <c r="A13">
        <v>430</v>
      </c>
      <c r="B13" s="72" t="s">
        <v>1222</v>
      </c>
      <c r="C13" s="82" t="s">
        <v>45</v>
      </c>
      <c r="D13" s="31">
        <f t="shared" si="0"/>
        <v>4</v>
      </c>
      <c r="E13" s="83" t="s">
        <v>1223</v>
      </c>
      <c r="F13" s="31">
        <f t="shared" si="1"/>
        <v>8</v>
      </c>
      <c r="G13" s="85" t="s">
        <v>1224</v>
      </c>
      <c r="H13" s="81">
        <f t="shared" si="2"/>
        <v>81</v>
      </c>
      <c r="I13" s="92">
        <f t="shared" si="5"/>
        <v>0.51799716629075354</v>
      </c>
      <c r="J13" s="95">
        <v>0.57030334028714103</v>
      </c>
      <c r="K13" s="96">
        <v>0.58044026351554101</v>
      </c>
      <c r="L13" s="96">
        <v>0.465690992294366</v>
      </c>
      <c r="M13" s="96">
        <v>0.75256417034730305</v>
      </c>
      <c r="N13" s="31">
        <v>1</v>
      </c>
      <c r="O13" s="97">
        <v>44170</v>
      </c>
      <c r="P13" s="98">
        <f t="shared" si="3"/>
        <v>1</v>
      </c>
      <c r="Q13" s="111"/>
      <c r="R13" s="111"/>
      <c r="S13" s="111"/>
      <c r="T13" s="112" t="s">
        <v>73</v>
      </c>
      <c r="U13" s="75" t="s">
        <v>1225</v>
      </c>
      <c r="V13" s="88" t="s">
        <v>1226</v>
      </c>
      <c r="W13" s="83">
        <f t="shared" si="4"/>
        <v>115</v>
      </c>
      <c r="X13" s="83">
        <v>0</v>
      </c>
      <c r="Y13" s="83">
        <v>3</v>
      </c>
      <c r="Z13" s="65"/>
      <c r="AA13" t="s">
        <v>4546</v>
      </c>
      <c r="AB13" t="s">
        <v>51</v>
      </c>
      <c r="AC13" t="s">
        <v>4515</v>
      </c>
      <c r="AD13" t="s">
        <v>4547</v>
      </c>
      <c r="AE13" t="s">
        <v>4513</v>
      </c>
      <c r="AF13" t="s">
        <v>4548</v>
      </c>
      <c r="AG13" t="s">
        <v>223</v>
      </c>
      <c r="AH13" t="s">
        <v>4549</v>
      </c>
      <c r="AI13" t="s">
        <v>4515</v>
      </c>
      <c r="AJ13" t="s">
        <v>4547</v>
      </c>
      <c r="AK13" t="s">
        <v>4519</v>
      </c>
      <c r="AL13" t="s">
        <v>4519</v>
      </c>
      <c r="AM13" t="s">
        <v>4510</v>
      </c>
      <c r="AN13" t="s">
        <v>4550</v>
      </c>
      <c r="AO13" s="134">
        <v>107.916876574307</v>
      </c>
      <c r="AP13" s="135">
        <v>111.925863521483</v>
      </c>
      <c r="AQ13">
        <v>0.42712721145745602</v>
      </c>
      <c r="AR13" s="136">
        <v>1.212299915754</v>
      </c>
      <c r="AS13">
        <v>6.7994945240101101</v>
      </c>
    </row>
    <row r="14" spans="1:51" customFormat="1" ht="40" customHeight="1">
      <c r="A14">
        <v>743</v>
      </c>
      <c r="B14" s="72" t="s">
        <v>2015</v>
      </c>
      <c r="C14" s="82" t="s">
        <v>45</v>
      </c>
      <c r="D14" s="31">
        <f t="shared" si="0"/>
        <v>4</v>
      </c>
      <c r="E14" s="83" t="s">
        <v>80</v>
      </c>
      <c r="F14" s="31">
        <f t="shared" si="1"/>
        <v>4</v>
      </c>
      <c r="G14" s="85" t="s">
        <v>2032</v>
      </c>
      <c r="H14" s="81">
        <f t="shared" si="2"/>
        <v>46</v>
      </c>
      <c r="I14" s="92">
        <f t="shared" si="5"/>
        <v>0.42494712220075981</v>
      </c>
      <c r="J14" s="95">
        <v>2.4894244401519699E-2</v>
      </c>
      <c r="K14" s="96">
        <v>0.78071428571428603</v>
      </c>
      <c r="L14" s="96">
        <v>0.82499999999999996</v>
      </c>
      <c r="M14" s="96">
        <v>0.71428571428571397</v>
      </c>
      <c r="N14" s="31">
        <v>1</v>
      </c>
      <c r="O14" s="99">
        <v>44170</v>
      </c>
      <c r="P14" s="98">
        <f t="shared" si="3"/>
        <v>0</v>
      </c>
      <c r="Q14" s="113"/>
      <c r="R14" s="113"/>
      <c r="S14" s="113"/>
      <c r="T14" s="114" t="s">
        <v>48</v>
      </c>
      <c r="U14" s="79" t="s">
        <v>2033</v>
      </c>
      <c r="V14" s="109" t="s">
        <v>2031</v>
      </c>
      <c r="W14" s="83">
        <f t="shared" si="4"/>
        <v>36</v>
      </c>
      <c r="X14" s="83">
        <v>0</v>
      </c>
      <c r="Y14" s="83">
        <v>4</v>
      </c>
      <c r="Z14" s="65"/>
      <c r="AA14" t="s">
        <v>4551</v>
      </c>
      <c r="AB14" t="s">
        <v>51</v>
      </c>
      <c r="AC14" t="s">
        <v>4353</v>
      </c>
      <c r="AD14" t="s">
        <v>4506</v>
      </c>
      <c r="AE14" t="s">
        <v>223</v>
      </c>
      <c r="AF14" t="s">
        <v>4537</v>
      </c>
      <c r="AG14" t="s">
        <v>4353</v>
      </c>
      <c r="AH14" t="s">
        <v>4506</v>
      </c>
      <c r="AI14" t="s">
        <v>4353</v>
      </c>
      <c r="AJ14" t="s">
        <v>4506</v>
      </c>
      <c r="AK14" t="s">
        <v>4518</v>
      </c>
      <c r="AL14" t="s">
        <v>4552</v>
      </c>
      <c r="AM14" t="s">
        <v>4510</v>
      </c>
      <c r="AN14" t="s">
        <v>4553</v>
      </c>
      <c r="AO14" s="134">
        <v>107.968907563025</v>
      </c>
      <c r="AP14" s="135">
        <v>111.925863521483</v>
      </c>
      <c r="AQ14">
        <v>0.42712721145745602</v>
      </c>
      <c r="AR14" s="136">
        <v>1.212299915754</v>
      </c>
      <c r="AS14">
        <v>6.7994945240101101</v>
      </c>
    </row>
    <row r="15" spans="1:51" customFormat="1" ht="40" customHeight="1">
      <c r="A15" s="65">
        <v>769</v>
      </c>
      <c r="B15" s="72" t="s">
        <v>2098</v>
      </c>
      <c r="C15" s="82" t="s">
        <v>45</v>
      </c>
      <c r="D15" s="31">
        <f t="shared" si="0"/>
        <v>4</v>
      </c>
      <c r="E15" s="83" t="s">
        <v>221</v>
      </c>
      <c r="F15" s="31">
        <f t="shared" si="1"/>
        <v>2</v>
      </c>
      <c r="G15" s="75" t="s">
        <v>2099</v>
      </c>
      <c r="H15" s="81">
        <f t="shared" si="2"/>
        <v>40</v>
      </c>
      <c r="I15" s="92">
        <f t="shared" si="5"/>
        <v>0.41250260703840713</v>
      </c>
      <c r="J15" s="95">
        <v>5.2140768143083002E-6</v>
      </c>
      <c r="K15" s="96">
        <v>0.79602566813892095</v>
      </c>
      <c r="L15" s="96">
        <v>0.82499999999999996</v>
      </c>
      <c r="M15" s="96">
        <v>0.75256417034730305</v>
      </c>
      <c r="N15" s="31">
        <v>1</v>
      </c>
      <c r="O15" s="101">
        <v>44170</v>
      </c>
      <c r="P15" s="98">
        <f t="shared" si="3"/>
        <v>1</v>
      </c>
      <c r="Q15" s="113"/>
      <c r="R15" s="113"/>
      <c r="S15" s="113"/>
      <c r="T15" s="114" t="s">
        <v>73</v>
      </c>
      <c r="U15" s="85" t="s">
        <v>2100</v>
      </c>
      <c r="V15" s="109" t="s">
        <v>2101</v>
      </c>
      <c r="W15" s="83">
        <f t="shared" si="4"/>
        <v>92</v>
      </c>
      <c r="X15" s="40">
        <v>0</v>
      </c>
      <c r="Y15" s="40">
        <v>3</v>
      </c>
      <c r="Z15" s="65"/>
      <c r="AA15" t="s">
        <v>4543</v>
      </c>
      <c r="AB15" t="s">
        <v>51</v>
      </c>
      <c r="AC15" t="s">
        <v>4353</v>
      </c>
      <c r="AD15" t="s">
        <v>4506</v>
      </c>
      <c r="AE15" t="s">
        <v>4515</v>
      </c>
      <c r="AF15" t="s">
        <v>4554</v>
      </c>
      <c r="AG15" t="s">
        <v>4353</v>
      </c>
      <c r="AH15" t="s">
        <v>4506</v>
      </c>
      <c r="AI15" t="s">
        <v>223</v>
      </c>
      <c r="AJ15" t="s">
        <v>4555</v>
      </c>
      <c r="AK15" t="s">
        <v>4519</v>
      </c>
      <c r="AL15" t="s">
        <v>4519</v>
      </c>
      <c r="AM15" t="s">
        <v>4528</v>
      </c>
      <c r="AN15" t="s">
        <v>4529</v>
      </c>
      <c r="AO15" s="134">
        <v>108.026072329689</v>
      </c>
      <c r="AP15" s="135">
        <v>111.925863521483</v>
      </c>
      <c r="AQ15">
        <v>0.42712721145745602</v>
      </c>
      <c r="AR15" s="136">
        <v>1.212299915754</v>
      </c>
      <c r="AS15">
        <v>6.7994945240101101</v>
      </c>
    </row>
    <row r="16" spans="1:51" customFormat="1" ht="49" customHeight="1">
      <c r="A16" s="65">
        <v>744</v>
      </c>
      <c r="B16" s="72" t="s">
        <v>2015</v>
      </c>
      <c r="C16" s="82" t="s">
        <v>45</v>
      </c>
      <c r="D16" s="31">
        <f t="shared" si="0"/>
        <v>4</v>
      </c>
      <c r="E16" s="83" t="s">
        <v>80</v>
      </c>
      <c r="F16" s="31">
        <f t="shared" si="1"/>
        <v>4</v>
      </c>
      <c r="G16" s="86" t="s">
        <v>2034</v>
      </c>
      <c r="H16" s="81">
        <f t="shared" si="2"/>
        <v>40</v>
      </c>
      <c r="I16" s="92">
        <f t="shared" si="5"/>
        <v>0.86577884620433498</v>
      </c>
      <c r="J16" s="95">
        <v>0.90655769240867001</v>
      </c>
      <c r="K16" s="96">
        <v>0.79602566813892095</v>
      </c>
      <c r="L16" s="96">
        <v>0.82499999999999996</v>
      </c>
      <c r="M16" s="96">
        <v>0.75256417034730305</v>
      </c>
      <c r="N16" s="31">
        <v>1</v>
      </c>
      <c r="O16" s="97">
        <v>44169</v>
      </c>
      <c r="P16" s="98">
        <f t="shared" si="3"/>
        <v>0</v>
      </c>
      <c r="Q16" s="113"/>
      <c r="R16" s="113"/>
      <c r="S16" s="113"/>
      <c r="T16" s="114" t="s">
        <v>48</v>
      </c>
      <c r="U16" s="79" t="s">
        <v>2035</v>
      </c>
      <c r="V16" s="109" t="s">
        <v>2029</v>
      </c>
      <c r="W16" s="83">
        <f t="shared" si="4"/>
        <v>112</v>
      </c>
      <c r="X16" s="110">
        <v>1</v>
      </c>
      <c r="Y16" s="110">
        <v>3</v>
      </c>
      <c r="Z16" s="65"/>
      <c r="AA16" t="s">
        <v>4556</v>
      </c>
      <c r="AB16" t="s">
        <v>51</v>
      </c>
      <c r="AC16" t="s">
        <v>4353</v>
      </c>
      <c r="AD16" t="s">
        <v>4506</v>
      </c>
      <c r="AE16" t="s">
        <v>4530</v>
      </c>
      <c r="AF16" t="s">
        <v>4544</v>
      </c>
      <c r="AG16" t="s">
        <v>223</v>
      </c>
      <c r="AH16" t="s">
        <v>4545</v>
      </c>
      <c r="AI16" t="s">
        <v>223</v>
      </c>
      <c r="AJ16" t="s">
        <v>4545</v>
      </c>
      <c r="AK16" t="s">
        <v>4518</v>
      </c>
      <c r="AL16" t="s">
        <v>4552</v>
      </c>
      <c r="AM16" t="s">
        <v>4528</v>
      </c>
      <c r="AN16" t="s">
        <v>4557</v>
      </c>
      <c r="AO16" s="134">
        <v>108.083333333333</v>
      </c>
      <c r="AP16" s="135">
        <v>111.925863521483</v>
      </c>
      <c r="AQ16">
        <v>0.42712721145745602</v>
      </c>
      <c r="AR16" s="136">
        <v>1.212299915754</v>
      </c>
      <c r="AS16">
        <v>6.7994945240101101</v>
      </c>
    </row>
    <row r="17" spans="1:45" customFormat="1" ht="45">
      <c r="A17">
        <v>1115</v>
      </c>
      <c r="B17" s="72" t="s">
        <v>3030</v>
      </c>
      <c r="C17" s="82" t="s">
        <v>45</v>
      </c>
      <c r="D17" s="31">
        <f t="shared" si="0"/>
        <v>4</v>
      </c>
      <c r="E17" s="83" t="s">
        <v>80</v>
      </c>
      <c r="F17" s="31">
        <f t="shared" si="1"/>
        <v>4</v>
      </c>
      <c r="G17" s="85" t="s">
        <v>3031</v>
      </c>
      <c r="H17" s="81">
        <f t="shared" si="2"/>
        <v>53</v>
      </c>
      <c r="I17" s="92">
        <f t="shared" si="5"/>
        <v>0.38298569539181204</v>
      </c>
      <c r="J17" s="95">
        <v>1.5971390783624102E-2</v>
      </c>
      <c r="K17" s="96">
        <v>0.79285714285714304</v>
      </c>
      <c r="L17" s="96">
        <v>0.75</v>
      </c>
      <c r="M17" s="96">
        <v>0.85714285714285698</v>
      </c>
      <c r="N17" s="31">
        <v>1</v>
      </c>
      <c r="O17" s="99">
        <v>44166</v>
      </c>
      <c r="P17" s="98">
        <f t="shared" si="3"/>
        <v>0</v>
      </c>
      <c r="Q17" s="113"/>
      <c r="R17" s="113"/>
      <c r="S17" s="113"/>
      <c r="T17" s="119" t="s">
        <v>48</v>
      </c>
      <c r="U17" s="86" t="s">
        <v>3032</v>
      </c>
      <c r="V17" s="109" t="s">
        <v>3033</v>
      </c>
      <c r="W17" s="83">
        <f t="shared" si="4"/>
        <v>67</v>
      </c>
      <c r="X17" s="110">
        <v>0</v>
      </c>
      <c r="Y17" s="110">
        <v>1</v>
      </c>
      <c r="Z17" s="65"/>
      <c r="AA17" t="s">
        <v>4512</v>
      </c>
      <c r="AB17" t="s">
        <v>67</v>
      </c>
      <c r="AC17" t="s">
        <v>4353</v>
      </c>
      <c r="AD17" t="s">
        <v>4506</v>
      </c>
      <c r="AE17" t="s">
        <v>4353</v>
      </c>
      <c r="AF17" t="s">
        <v>4506</v>
      </c>
      <c r="AG17" t="s">
        <v>4353</v>
      </c>
      <c r="AH17" t="s">
        <v>4506</v>
      </c>
      <c r="AI17" t="s">
        <v>4353</v>
      </c>
      <c r="AJ17" t="s">
        <v>4506</v>
      </c>
      <c r="AK17" t="s">
        <v>4519</v>
      </c>
      <c r="AL17" t="s">
        <v>4519</v>
      </c>
      <c r="AM17" t="s">
        <v>4520</v>
      </c>
      <c r="AN17" t="s">
        <v>4558</v>
      </c>
      <c r="AO17" s="134">
        <v>108.129738837405</v>
      </c>
      <c r="AP17" s="135">
        <v>111.91469594594599</v>
      </c>
      <c r="AQ17">
        <v>0.42652027027027001</v>
      </c>
      <c r="AR17" s="136">
        <v>1.2128378378378399</v>
      </c>
      <c r="AS17">
        <v>6.8116554054054097</v>
      </c>
    </row>
    <row r="18" spans="1:45" customFormat="1" ht="42" customHeight="1">
      <c r="A18" s="65">
        <v>696</v>
      </c>
      <c r="B18" s="72" t="s">
        <v>1913</v>
      </c>
      <c r="C18" s="82" t="s">
        <v>45</v>
      </c>
      <c r="D18" s="31">
        <f t="shared" si="0"/>
        <v>4</v>
      </c>
      <c r="E18" s="83" t="s">
        <v>80</v>
      </c>
      <c r="F18" s="31">
        <f t="shared" si="1"/>
        <v>4</v>
      </c>
      <c r="G18" s="85" t="s">
        <v>1914</v>
      </c>
      <c r="H18" s="81">
        <f t="shared" si="2"/>
        <v>127</v>
      </c>
      <c r="I18" s="92">
        <f t="shared" si="5"/>
        <v>0.41381465454600835</v>
      </c>
      <c r="J18" s="95">
        <v>2.6293090920167499E-3</v>
      </c>
      <c r="K18" s="96">
        <v>0.81418779643582295</v>
      </c>
      <c r="L18" s="96">
        <v>0.82499999999999996</v>
      </c>
      <c r="M18" s="96">
        <v>0.79796949108955795</v>
      </c>
      <c r="N18" s="31">
        <v>1</v>
      </c>
      <c r="O18" s="101">
        <v>44165</v>
      </c>
      <c r="P18" s="98">
        <f t="shared" si="3"/>
        <v>1</v>
      </c>
      <c r="Q18" s="113"/>
      <c r="R18" s="113"/>
      <c r="S18" s="113"/>
      <c r="T18" s="114" t="s">
        <v>73</v>
      </c>
      <c r="U18" s="85" t="s">
        <v>1915</v>
      </c>
      <c r="V18" s="109" t="s">
        <v>1916</v>
      </c>
      <c r="W18" s="83">
        <f t="shared" si="4"/>
        <v>148</v>
      </c>
      <c r="X18" s="83">
        <v>2</v>
      </c>
      <c r="Y18" s="83">
        <v>2</v>
      </c>
      <c r="Z18" s="65"/>
      <c r="AA18" t="s">
        <v>4522</v>
      </c>
      <c r="AB18" t="s">
        <v>51</v>
      </c>
      <c r="AC18" t="s">
        <v>223</v>
      </c>
      <c r="AD18" t="s">
        <v>4559</v>
      </c>
      <c r="AE18" t="s">
        <v>4515</v>
      </c>
      <c r="AF18" t="s">
        <v>4560</v>
      </c>
      <c r="AG18" t="s">
        <v>4353</v>
      </c>
      <c r="AH18" t="s">
        <v>4506</v>
      </c>
      <c r="AI18" t="s">
        <v>4353</v>
      </c>
      <c r="AJ18" t="s">
        <v>4506</v>
      </c>
      <c r="AK18" t="s">
        <v>4519</v>
      </c>
      <c r="AL18" t="s">
        <v>4519</v>
      </c>
      <c r="AM18" t="s">
        <v>4510</v>
      </c>
      <c r="AN18" t="s">
        <v>4550</v>
      </c>
      <c r="AO18" s="134">
        <v>108.113827993255</v>
      </c>
      <c r="AP18" s="135">
        <v>111.880710659898</v>
      </c>
      <c r="AQ18">
        <v>0.42639593908629397</v>
      </c>
      <c r="AR18" s="136">
        <v>1.2131979695431501</v>
      </c>
      <c r="AS18">
        <v>6.81810490693739</v>
      </c>
    </row>
    <row r="19" spans="1:45" customFormat="1" ht="105">
      <c r="A19" s="65">
        <v>888</v>
      </c>
      <c r="B19" s="72" t="s">
        <v>2418</v>
      </c>
      <c r="C19" s="82" t="s">
        <v>45</v>
      </c>
      <c r="D19" s="31">
        <f t="shared" si="0"/>
        <v>4</v>
      </c>
      <c r="E19" s="83" t="s">
        <v>46</v>
      </c>
      <c r="F19" s="31">
        <f t="shared" si="1"/>
        <v>6</v>
      </c>
      <c r="G19" s="85" t="s">
        <v>2419</v>
      </c>
      <c r="H19" s="81">
        <f t="shared" si="2"/>
        <v>137</v>
      </c>
      <c r="I19" s="92">
        <f t="shared" si="5"/>
        <v>0.37500046754213379</v>
      </c>
      <c r="J19" s="95">
        <v>9.3508426757260597E-7</v>
      </c>
      <c r="K19" s="96">
        <v>0.75102566813892102</v>
      </c>
      <c r="L19" s="96">
        <v>0.75</v>
      </c>
      <c r="M19" s="96">
        <v>0.75256417034730305</v>
      </c>
      <c r="N19" s="8">
        <v>1</v>
      </c>
      <c r="O19" s="99">
        <v>44163</v>
      </c>
      <c r="P19" s="98">
        <f t="shared" si="3"/>
        <v>1</v>
      </c>
      <c r="Q19" s="111"/>
      <c r="R19" s="111"/>
      <c r="S19" s="111"/>
      <c r="T19" s="112" t="s">
        <v>73</v>
      </c>
      <c r="U19" s="85" t="s">
        <v>2420</v>
      </c>
      <c r="V19" s="109" t="s">
        <v>2421</v>
      </c>
      <c r="W19" s="83">
        <f t="shared" si="4"/>
        <v>134</v>
      </c>
      <c r="X19" s="83">
        <v>0</v>
      </c>
      <c r="Y19" s="83">
        <v>3</v>
      </c>
      <c r="Z19" s="65"/>
      <c r="AA19" t="s">
        <v>4543</v>
      </c>
      <c r="AB19" t="s">
        <v>51</v>
      </c>
      <c r="AC19" t="s">
        <v>4353</v>
      </c>
      <c r="AD19" t="s">
        <v>4506</v>
      </c>
      <c r="AE19" t="s">
        <v>4530</v>
      </c>
      <c r="AF19" t="s">
        <v>4561</v>
      </c>
      <c r="AG19" t="s">
        <v>4353</v>
      </c>
      <c r="AH19" t="s">
        <v>4506</v>
      </c>
      <c r="AI19" t="s">
        <v>4353</v>
      </c>
      <c r="AJ19" t="s">
        <v>4506</v>
      </c>
      <c r="AK19" t="s">
        <v>4519</v>
      </c>
      <c r="AL19" t="s">
        <v>4519</v>
      </c>
      <c r="AM19" t="s">
        <v>4562</v>
      </c>
      <c r="AN19" t="s">
        <v>4563</v>
      </c>
      <c r="AO19" s="134">
        <v>108.089451476793</v>
      </c>
      <c r="AP19" s="135">
        <v>111.880710659898</v>
      </c>
      <c r="AQ19">
        <v>0.42639593908629397</v>
      </c>
      <c r="AR19" s="136">
        <v>1.2131979695431501</v>
      </c>
      <c r="AS19">
        <v>6.81810490693739</v>
      </c>
    </row>
    <row r="20" spans="1:45" customFormat="1" ht="46" customHeight="1">
      <c r="A20" s="65">
        <v>57</v>
      </c>
      <c r="B20" s="72" t="s">
        <v>217</v>
      </c>
      <c r="C20" s="87" t="s">
        <v>45</v>
      </c>
      <c r="D20" s="31">
        <f t="shared" si="0"/>
        <v>4</v>
      </c>
      <c r="E20" s="87" t="s">
        <v>80</v>
      </c>
      <c r="F20" s="31">
        <f t="shared" si="1"/>
        <v>4</v>
      </c>
      <c r="G20" s="86" t="s">
        <v>218</v>
      </c>
      <c r="H20" s="81">
        <f t="shared" si="2"/>
        <v>23</v>
      </c>
      <c r="I20" s="92">
        <f t="shared" si="5"/>
        <v>0.87304540467872649</v>
      </c>
      <c r="J20" s="93">
        <v>0.99609080935745298</v>
      </c>
      <c r="K20" s="102">
        <v>0.75102566813892102</v>
      </c>
      <c r="L20" s="102">
        <v>0.75</v>
      </c>
      <c r="M20" s="102">
        <v>0.75256417034730305</v>
      </c>
      <c r="N20" s="31">
        <v>1</v>
      </c>
      <c r="O20" s="103">
        <v>44162</v>
      </c>
      <c r="P20" s="98">
        <f t="shared" si="3"/>
        <v>0</v>
      </c>
      <c r="Q20" s="111"/>
      <c r="R20" s="111"/>
      <c r="S20" s="111"/>
      <c r="T20" s="112" t="s">
        <v>48</v>
      </c>
      <c r="U20" s="120" t="s">
        <v>219</v>
      </c>
      <c r="V20" s="109" t="s">
        <v>220</v>
      </c>
      <c r="W20" s="83">
        <f t="shared" si="4"/>
        <v>77</v>
      </c>
      <c r="X20" s="121">
        <v>1</v>
      </c>
      <c r="Y20" s="121">
        <v>3</v>
      </c>
      <c r="Z20" s="65"/>
      <c r="AA20" t="s">
        <v>4564</v>
      </c>
      <c r="AB20" t="s">
        <v>71</v>
      </c>
      <c r="AC20" t="s">
        <v>223</v>
      </c>
      <c r="AD20" t="s">
        <v>4507</v>
      </c>
      <c r="AE20" t="s">
        <v>223</v>
      </c>
      <c r="AF20" t="s">
        <v>4507</v>
      </c>
      <c r="AG20" t="s">
        <v>4515</v>
      </c>
      <c r="AH20" t="s">
        <v>4565</v>
      </c>
      <c r="AI20" t="s">
        <v>4353</v>
      </c>
      <c r="AJ20" t="s">
        <v>4506</v>
      </c>
      <c r="AK20" t="s">
        <v>4519</v>
      </c>
      <c r="AL20" t="s">
        <v>4519</v>
      </c>
      <c r="AM20" t="s">
        <v>4528</v>
      </c>
      <c r="AN20" t="s">
        <v>4529</v>
      </c>
      <c r="AO20" s="134">
        <v>108.16131756756801</v>
      </c>
      <c r="AP20" s="135">
        <v>111.80016934801</v>
      </c>
      <c r="AQ20">
        <v>0.42675698560541903</v>
      </c>
      <c r="AR20" s="136">
        <v>1.2125317527519099</v>
      </c>
      <c r="AS20">
        <v>6.8238780694326797</v>
      </c>
    </row>
    <row r="21" spans="1:45" customFormat="1" ht="135">
      <c r="A21" s="65">
        <v>196</v>
      </c>
      <c r="B21" s="72" t="s">
        <v>589</v>
      </c>
      <c r="C21" s="82" t="s">
        <v>45</v>
      </c>
      <c r="D21" s="31">
        <f t="shared" si="0"/>
        <v>4</v>
      </c>
      <c r="E21" s="83" t="s">
        <v>221</v>
      </c>
      <c r="F21" s="31">
        <f t="shared" si="1"/>
        <v>2</v>
      </c>
      <c r="G21" s="85" t="s">
        <v>599</v>
      </c>
      <c r="H21" s="81">
        <f t="shared" si="2"/>
        <v>126</v>
      </c>
      <c r="I21" s="92">
        <f t="shared" si="5"/>
        <v>0.34100987092362661</v>
      </c>
      <c r="J21" s="95">
        <v>2.0156002907123499E-4</v>
      </c>
      <c r="K21" s="96">
        <v>0.80909090909090897</v>
      </c>
      <c r="L21" s="96">
        <v>0.68181818181818199</v>
      </c>
      <c r="M21" s="96">
        <v>1</v>
      </c>
      <c r="N21" s="31">
        <v>1</v>
      </c>
      <c r="O21" s="97">
        <v>44162</v>
      </c>
      <c r="P21" s="98">
        <f t="shared" si="3"/>
        <v>0</v>
      </c>
      <c r="Q21" s="107"/>
      <c r="R21" s="107"/>
      <c r="S21" s="107"/>
      <c r="T21" s="108" t="s">
        <v>48</v>
      </c>
      <c r="U21" s="75" t="s">
        <v>4367</v>
      </c>
      <c r="V21" s="88" t="s">
        <v>601</v>
      </c>
      <c r="W21" s="83">
        <f t="shared" si="4"/>
        <v>207</v>
      </c>
      <c r="X21" s="83">
        <v>0</v>
      </c>
      <c r="Y21" s="83">
        <v>0</v>
      </c>
      <c r="Z21" s="65"/>
      <c r="AA21" t="s">
        <v>4564</v>
      </c>
      <c r="AB21" t="s">
        <v>4566</v>
      </c>
      <c r="AC21" t="s">
        <v>223</v>
      </c>
      <c r="AD21" t="s">
        <v>4567</v>
      </c>
      <c r="AE21" t="s">
        <v>4513</v>
      </c>
      <c r="AF21" t="s">
        <v>4568</v>
      </c>
      <c r="AG21" t="s">
        <v>223</v>
      </c>
      <c r="AH21" t="s">
        <v>4567</v>
      </c>
      <c r="AI21" t="s">
        <v>4513</v>
      </c>
      <c r="AJ21" t="s">
        <v>4568</v>
      </c>
      <c r="AK21" t="s">
        <v>4519</v>
      </c>
      <c r="AL21" t="s">
        <v>4519</v>
      </c>
      <c r="AM21" t="s">
        <v>4528</v>
      </c>
      <c r="AN21" t="s">
        <v>4529</v>
      </c>
      <c r="AO21" s="134">
        <v>108.0921386306</v>
      </c>
      <c r="AP21" s="135">
        <v>111.80016934801</v>
      </c>
      <c r="AQ21">
        <v>0.42639593908629397</v>
      </c>
      <c r="AR21" s="136">
        <v>1.2125317527519099</v>
      </c>
      <c r="AS21">
        <v>6.8238780694326797</v>
      </c>
    </row>
    <row r="22" spans="1:45" customFormat="1" ht="135">
      <c r="A22">
        <v>195</v>
      </c>
      <c r="B22" s="72" t="s">
        <v>589</v>
      </c>
      <c r="C22" s="82" t="s">
        <v>45</v>
      </c>
      <c r="D22" s="31">
        <f t="shared" si="0"/>
        <v>4</v>
      </c>
      <c r="E22" s="83" t="s">
        <v>46</v>
      </c>
      <c r="F22" s="31">
        <f t="shared" si="1"/>
        <v>6</v>
      </c>
      <c r="G22" s="85" t="s">
        <v>596</v>
      </c>
      <c r="H22" s="81">
        <f t="shared" si="2"/>
        <v>190</v>
      </c>
      <c r="I22" s="92">
        <f t="shared" si="5"/>
        <v>0.19243429448641208</v>
      </c>
      <c r="J22" s="95">
        <v>2.99794189473346E-10</v>
      </c>
      <c r="K22" s="96">
        <v>0.53194682134273896</v>
      </c>
      <c r="L22" s="96">
        <v>0.38486858867302998</v>
      </c>
      <c r="M22" s="96">
        <v>0.75256417034730305</v>
      </c>
      <c r="N22" s="31">
        <v>1</v>
      </c>
      <c r="O22" s="97">
        <v>44162</v>
      </c>
      <c r="P22" s="98">
        <f t="shared" si="3"/>
        <v>1</v>
      </c>
      <c r="Q22" s="107"/>
      <c r="R22" s="107"/>
      <c r="S22" s="107"/>
      <c r="T22" s="108" t="s">
        <v>73</v>
      </c>
      <c r="U22" s="85" t="s">
        <v>597</v>
      </c>
      <c r="V22" s="109" t="s">
        <v>4569</v>
      </c>
      <c r="W22" s="83">
        <f t="shared" si="4"/>
        <v>187</v>
      </c>
      <c r="X22" s="83">
        <v>0</v>
      </c>
      <c r="Y22" s="83">
        <v>3</v>
      </c>
      <c r="Z22" s="65"/>
      <c r="AA22" t="s">
        <v>4570</v>
      </c>
      <c r="AB22" t="s">
        <v>51</v>
      </c>
      <c r="AC22" t="s">
        <v>223</v>
      </c>
      <c r="AD22" t="s">
        <v>4571</v>
      </c>
      <c r="AE22" t="s">
        <v>4515</v>
      </c>
      <c r="AF22" t="s">
        <v>4555</v>
      </c>
      <c r="AG22" t="s">
        <v>4353</v>
      </c>
      <c r="AH22" t="s">
        <v>4506</v>
      </c>
      <c r="AI22" t="s">
        <v>4353</v>
      </c>
      <c r="AJ22" t="s">
        <v>4506</v>
      </c>
      <c r="AK22" t="s">
        <v>4508</v>
      </c>
      <c r="AL22" t="s">
        <v>4519</v>
      </c>
      <c r="AM22" t="s">
        <v>4510</v>
      </c>
      <c r="AN22" t="s">
        <v>4572</v>
      </c>
      <c r="AO22" s="134">
        <v>108.076988155668</v>
      </c>
      <c r="AP22" s="135">
        <v>111.80016934801</v>
      </c>
      <c r="AQ22">
        <v>0.42639593908629397</v>
      </c>
      <c r="AR22" s="136">
        <v>1.2125317527519099</v>
      </c>
      <c r="AS22">
        <v>6.8238780694326797</v>
      </c>
    </row>
    <row r="23" spans="1:45" customFormat="1" ht="45" customHeight="1">
      <c r="A23">
        <v>58</v>
      </c>
      <c r="B23" s="72" t="s">
        <v>217</v>
      </c>
      <c r="C23" s="87" t="s">
        <v>59</v>
      </c>
      <c r="D23" s="31">
        <f t="shared" si="0"/>
        <v>5</v>
      </c>
      <c r="E23" s="87" t="s">
        <v>221</v>
      </c>
      <c r="F23" s="31">
        <f t="shared" si="1"/>
        <v>2</v>
      </c>
      <c r="G23" s="85" t="s">
        <v>222</v>
      </c>
      <c r="H23" s="81">
        <f t="shared" si="2"/>
        <v>84</v>
      </c>
      <c r="I23" s="92">
        <f t="shared" si="5"/>
        <v>0.77668545063483396</v>
      </c>
      <c r="J23" s="93">
        <v>0.98988480059348505</v>
      </c>
      <c r="K23" s="102">
        <v>0.68094880326285301</v>
      </c>
      <c r="L23" s="102">
        <v>0.56348610067618299</v>
      </c>
      <c r="M23" s="102">
        <v>0.85714285714285698</v>
      </c>
      <c r="N23" s="31" t="s">
        <v>223</v>
      </c>
      <c r="O23" s="97">
        <v>44160</v>
      </c>
      <c r="P23" s="98">
        <f t="shared" si="3"/>
        <v>1</v>
      </c>
      <c r="Q23" s="113"/>
      <c r="R23" s="113"/>
      <c r="S23" s="113"/>
      <c r="T23" s="114" t="s">
        <v>73</v>
      </c>
      <c r="U23" s="85" t="s">
        <v>224</v>
      </c>
      <c r="V23" s="122" t="s">
        <v>225</v>
      </c>
      <c r="W23" s="83">
        <f t="shared" si="4"/>
        <v>110</v>
      </c>
      <c r="X23" s="30">
        <v>0</v>
      </c>
      <c r="Y23" s="30">
        <v>1</v>
      </c>
      <c r="Z23" s="65"/>
      <c r="AA23" t="s">
        <v>4573</v>
      </c>
      <c r="AB23" t="s">
        <v>67</v>
      </c>
      <c r="AC23" t="s">
        <v>4353</v>
      </c>
      <c r="AD23" t="s">
        <v>4506</v>
      </c>
      <c r="AE23" t="s">
        <v>4353</v>
      </c>
      <c r="AF23" t="s">
        <v>4506</v>
      </c>
      <c r="AG23" t="s">
        <v>4353</v>
      </c>
      <c r="AH23" t="s">
        <v>4506</v>
      </c>
      <c r="AI23" t="s">
        <v>4353</v>
      </c>
      <c r="AJ23" t="s">
        <v>4506</v>
      </c>
      <c r="AK23" t="s">
        <v>4519</v>
      </c>
      <c r="AL23" t="s">
        <v>4519</v>
      </c>
      <c r="AM23" t="s">
        <v>4562</v>
      </c>
      <c r="AN23" t="s">
        <v>4563</v>
      </c>
      <c r="AO23" s="134">
        <v>108.097375105843</v>
      </c>
      <c r="AP23" s="135">
        <v>111.787107718405</v>
      </c>
      <c r="AQ23">
        <v>0.42748091603053401</v>
      </c>
      <c r="AR23" s="136">
        <v>1.21289228159457</v>
      </c>
      <c r="AS23">
        <v>6.8329092451229902</v>
      </c>
    </row>
    <row r="24" spans="1:45" customFormat="1" ht="90">
      <c r="A24" s="65">
        <v>617</v>
      </c>
      <c r="B24" s="72" t="s">
        <v>1707</v>
      </c>
      <c r="C24" s="82" t="s">
        <v>45</v>
      </c>
      <c r="D24" s="31">
        <f t="shared" si="0"/>
        <v>4</v>
      </c>
      <c r="E24" s="83" t="s">
        <v>80</v>
      </c>
      <c r="F24" s="31">
        <f t="shared" si="1"/>
        <v>4</v>
      </c>
      <c r="G24" s="75" t="s">
        <v>1710</v>
      </c>
      <c r="H24" s="81">
        <f t="shared" si="2"/>
        <v>55</v>
      </c>
      <c r="I24" s="92">
        <f t="shared" si="5"/>
        <v>0.45514911890971349</v>
      </c>
      <c r="J24" s="95">
        <v>0.16029823781942701</v>
      </c>
      <c r="K24" s="96">
        <v>0.76918779643582302</v>
      </c>
      <c r="L24" s="96">
        <v>0.75</v>
      </c>
      <c r="M24" s="96">
        <v>0.79796949108955795</v>
      </c>
      <c r="N24" s="31">
        <v>1</v>
      </c>
      <c r="O24" s="97">
        <v>44158</v>
      </c>
      <c r="P24" s="98">
        <f t="shared" si="3"/>
        <v>1</v>
      </c>
      <c r="Q24" s="111"/>
      <c r="R24" s="111"/>
      <c r="S24" s="111"/>
      <c r="T24" s="112" t="s">
        <v>73</v>
      </c>
      <c r="U24" s="85" t="s">
        <v>1711</v>
      </c>
      <c r="V24" s="109" t="s">
        <v>1712</v>
      </c>
      <c r="W24" s="83">
        <f t="shared" si="4"/>
        <v>129</v>
      </c>
      <c r="X24" s="83">
        <v>0</v>
      </c>
      <c r="Y24" s="83">
        <v>2</v>
      </c>
      <c r="Z24" s="65"/>
      <c r="AA24" t="s">
        <v>4512</v>
      </c>
      <c r="AB24" t="s">
        <v>71</v>
      </c>
      <c r="AC24" t="s">
        <v>223</v>
      </c>
      <c r="AD24" t="s">
        <v>4574</v>
      </c>
      <c r="AE24" t="s">
        <v>4353</v>
      </c>
      <c r="AF24" t="s">
        <v>4506</v>
      </c>
      <c r="AG24" t="s">
        <v>4515</v>
      </c>
      <c r="AH24" t="s">
        <v>4575</v>
      </c>
      <c r="AI24" t="s">
        <v>4353</v>
      </c>
      <c r="AJ24" t="s">
        <v>4506</v>
      </c>
      <c r="AK24" t="s">
        <v>4518</v>
      </c>
      <c r="AL24" t="s">
        <v>4519</v>
      </c>
      <c r="AM24" t="s">
        <v>4520</v>
      </c>
      <c r="AN24" t="s">
        <v>4521</v>
      </c>
      <c r="AO24" s="134">
        <v>108.142372881356</v>
      </c>
      <c r="AP24" s="135">
        <v>111.85471537808</v>
      </c>
      <c r="AQ24">
        <v>0.42650807136788399</v>
      </c>
      <c r="AR24" s="136">
        <v>1.2132540356839401</v>
      </c>
      <c r="AS24">
        <v>6.8326253186066301</v>
      </c>
    </row>
    <row r="25" spans="1:45" customFormat="1" ht="30">
      <c r="A25">
        <v>787</v>
      </c>
      <c r="B25" s="72" t="s">
        <v>2147</v>
      </c>
      <c r="C25" s="82" t="s">
        <v>45</v>
      </c>
      <c r="D25" s="31">
        <f t="shared" si="0"/>
        <v>4</v>
      </c>
      <c r="E25" s="83" t="s">
        <v>80</v>
      </c>
      <c r="F25" s="31">
        <f t="shared" si="1"/>
        <v>4</v>
      </c>
      <c r="G25" s="88" t="s">
        <v>2148</v>
      </c>
      <c r="H25" s="81">
        <f t="shared" si="2"/>
        <v>53</v>
      </c>
      <c r="I25" s="92">
        <f t="shared" si="5"/>
        <v>0.375834621430502</v>
      </c>
      <c r="J25" s="95">
        <v>1.6692428610040101E-3</v>
      </c>
      <c r="K25" s="96">
        <v>0.72222468700001197</v>
      </c>
      <c r="L25" s="96">
        <v>0.75</v>
      </c>
      <c r="M25" s="96">
        <v>0.68056171750003003</v>
      </c>
      <c r="N25" s="31">
        <v>1</v>
      </c>
      <c r="O25" s="97">
        <v>44153</v>
      </c>
      <c r="P25" s="98">
        <f t="shared" si="3"/>
        <v>0</v>
      </c>
      <c r="Q25" s="111"/>
      <c r="R25" s="111"/>
      <c r="S25" s="111"/>
      <c r="T25" s="112" t="s">
        <v>48</v>
      </c>
      <c r="U25" s="75" t="s">
        <v>2149</v>
      </c>
      <c r="V25" s="123" t="s">
        <v>2150</v>
      </c>
      <c r="W25" s="83">
        <f t="shared" si="4"/>
        <v>22</v>
      </c>
      <c r="X25" s="83">
        <v>0</v>
      </c>
      <c r="Y25" s="83">
        <v>5</v>
      </c>
      <c r="Z25" s="65"/>
      <c r="AA25" t="s">
        <v>4522</v>
      </c>
      <c r="AB25" t="s">
        <v>4576</v>
      </c>
      <c r="AC25" t="s">
        <v>4353</v>
      </c>
      <c r="AD25" t="s">
        <v>4506</v>
      </c>
      <c r="AE25" t="s">
        <v>223</v>
      </c>
      <c r="AF25" t="s">
        <v>4577</v>
      </c>
      <c r="AG25" t="s">
        <v>223</v>
      </c>
      <c r="AH25" t="s">
        <v>4577</v>
      </c>
      <c r="AI25" t="s">
        <v>4353</v>
      </c>
      <c r="AJ25" t="s">
        <v>4506</v>
      </c>
      <c r="AK25" t="s">
        <v>4578</v>
      </c>
      <c r="AL25" t="s">
        <v>4519</v>
      </c>
      <c r="AM25" t="s">
        <v>4510</v>
      </c>
      <c r="AN25" t="s">
        <v>4579</v>
      </c>
      <c r="AO25" s="134">
        <v>108.189143341815</v>
      </c>
      <c r="AP25" s="135">
        <v>111.85471537808</v>
      </c>
      <c r="AQ25">
        <v>0.42650807136788399</v>
      </c>
      <c r="AR25" s="136">
        <v>1.2132540356839401</v>
      </c>
      <c r="AS25">
        <v>6.8326253186066301</v>
      </c>
    </row>
    <row r="26" spans="1:45" customFormat="1" ht="63" customHeight="1">
      <c r="A26" s="65">
        <v>197</v>
      </c>
      <c r="B26" s="72" t="s">
        <v>589</v>
      </c>
      <c r="C26" s="82" t="s">
        <v>45</v>
      </c>
      <c r="D26" s="31">
        <f t="shared" si="0"/>
        <v>4</v>
      </c>
      <c r="E26" s="83" t="s">
        <v>80</v>
      </c>
      <c r="F26" s="31">
        <f t="shared" si="1"/>
        <v>4</v>
      </c>
      <c r="G26" s="75" t="s">
        <v>602</v>
      </c>
      <c r="H26" s="81">
        <f t="shared" si="2"/>
        <v>97</v>
      </c>
      <c r="I26" s="92">
        <f t="shared" si="5"/>
        <v>0.911241890996774</v>
      </c>
      <c r="J26" s="95">
        <v>0.99748378199354804</v>
      </c>
      <c r="K26" s="96">
        <v>0.83785714285714297</v>
      </c>
      <c r="L26" s="96">
        <v>0.82499999999999996</v>
      </c>
      <c r="M26" s="96">
        <v>0.85714285714285698</v>
      </c>
      <c r="N26" s="31">
        <v>1</v>
      </c>
      <c r="O26" s="97">
        <v>44151</v>
      </c>
      <c r="P26" s="98">
        <f t="shared" si="3"/>
        <v>1</v>
      </c>
      <c r="Q26" s="107"/>
      <c r="R26" s="107"/>
      <c r="S26" s="107"/>
      <c r="T26" s="108" t="s">
        <v>73</v>
      </c>
      <c r="U26" s="85" t="s">
        <v>603</v>
      </c>
      <c r="V26" s="88" t="s">
        <v>604</v>
      </c>
      <c r="W26" s="83">
        <f t="shared" si="4"/>
        <v>174</v>
      </c>
      <c r="X26" s="83">
        <v>3</v>
      </c>
      <c r="Y26" s="83">
        <v>1</v>
      </c>
      <c r="Z26" s="65"/>
      <c r="AA26" t="s">
        <v>4564</v>
      </c>
      <c r="AB26" t="s">
        <v>51</v>
      </c>
      <c r="AC26" t="s">
        <v>4353</v>
      </c>
      <c r="AD26" t="s">
        <v>4506</v>
      </c>
      <c r="AE26" t="s">
        <v>4580</v>
      </c>
      <c r="AF26" t="s">
        <v>4581</v>
      </c>
      <c r="AG26" t="s">
        <v>4515</v>
      </c>
      <c r="AH26" t="s">
        <v>4582</v>
      </c>
      <c r="AI26" t="s">
        <v>4353</v>
      </c>
      <c r="AJ26" t="s">
        <v>4506</v>
      </c>
      <c r="AK26" t="s">
        <v>4518</v>
      </c>
      <c r="AL26" t="s">
        <v>4519</v>
      </c>
      <c r="AM26" t="s">
        <v>4510</v>
      </c>
      <c r="AN26" t="s">
        <v>4523</v>
      </c>
      <c r="AO26" s="134">
        <v>108.19864176570501</v>
      </c>
      <c r="AP26" s="135">
        <v>111.801870748299</v>
      </c>
      <c r="AQ26">
        <v>0.42431972789115602</v>
      </c>
      <c r="AR26" s="136">
        <v>1.21173469387755</v>
      </c>
      <c r="AS26">
        <v>6.8375850340136104</v>
      </c>
    </row>
    <row r="27" spans="1:45" customFormat="1" ht="105">
      <c r="A27" s="65">
        <v>1084</v>
      </c>
      <c r="B27" s="72" t="s">
        <v>2948</v>
      </c>
      <c r="C27" s="82" t="s">
        <v>45</v>
      </c>
      <c r="D27" s="31">
        <f t="shared" si="0"/>
        <v>4</v>
      </c>
      <c r="E27" s="83" t="s">
        <v>80</v>
      </c>
      <c r="F27" s="31">
        <f t="shared" si="1"/>
        <v>4</v>
      </c>
      <c r="G27" s="89" t="s">
        <v>2949</v>
      </c>
      <c r="H27" s="81">
        <f t="shared" si="2"/>
        <v>94</v>
      </c>
      <c r="I27" s="92">
        <f t="shared" si="5"/>
        <v>0.41994561674916092</v>
      </c>
      <c r="J27" s="95">
        <v>1.48912334983219E-2</v>
      </c>
      <c r="K27" s="96">
        <v>0.60362745636612702</v>
      </c>
      <c r="L27" s="96">
        <v>0.82499999999999996</v>
      </c>
      <c r="M27" s="96">
        <v>0.27156864091531702</v>
      </c>
      <c r="N27" s="31">
        <v>1</v>
      </c>
      <c r="O27" s="97">
        <v>44150</v>
      </c>
      <c r="P27" s="98">
        <f t="shared" si="3"/>
        <v>1</v>
      </c>
      <c r="Q27" s="113"/>
      <c r="R27" s="113"/>
      <c r="S27" s="113"/>
      <c r="T27" s="119" t="s">
        <v>73</v>
      </c>
      <c r="U27" s="85" t="s">
        <v>2950</v>
      </c>
      <c r="V27" s="109" t="s">
        <v>2951</v>
      </c>
      <c r="W27" s="83">
        <f t="shared" si="4"/>
        <v>149</v>
      </c>
      <c r="X27" s="83">
        <v>2</v>
      </c>
      <c r="Y27" s="83">
        <v>26</v>
      </c>
      <c r="Z27" s="65"/>
      <c r="AA27" t="s">
        <v>4564</v>
      </c>
      <c r="AB27" t="s">
        <v>4576</v>
      </c>
      <c r="AC27" t="s">
        <v>223</v>
      </c>
      <c r="AD27" t="s">
        <v>4583</v>
      </c>
      <c r="AE27" t="s">
        <v>4515</v>
      </c>
      <c r="AF27" t="s">
        <v>4584</v>
      </c>
      <c r="AG27" t="s">
        <v>4515</v>
      </c>
      <c r="AH27" t="s">
        <v>4584</v>
      </c>
      <c r="AI27" t="s">
        <v>4353</v>
      </c>
      <c r="AJ27" t="s">
        <v>4506</v>
      </c>
      <c r="AK27" t="s">
        <v>4519</v>
      </c>
      <c r="AL27" t="s">
        <v>4519</v>
      </c>
      <c r="AM27" t="s">
        <v>4510</v>
      </c>
      <c r="AN27" t="s">
        <v>4550</v>
      </c>
      <c r="AO27" s="134">
        <v>108.21070518266799</v>
      </c>
      <c r="AP27" s="135">
        <v>112.209677419355</v>
      </c>
      <c r="AQ27">
        <v>0.42431972789115602</v>
      </c>
      <c r="AR27" s="136">
        <v>1.21173469387755</v>
      </c>
      <c r="AS27">
        <v>6.8375850340136104</v>
      </c>
    </row>
    <row r="28" spans="1:45" customFormat="1" ht="90">
      <c r="A28" s="65">
        <v>889</v>
      </c>
      <c r="B28" s="72" t="s">
        <v>2418</v>
      </c>
      <c r="C28" s="82" t="s">
        <v>45</v>
      </c>
      <c r="D28" s="31">
        <f t="shared" si="0"/>
        <v>4</v>
      </c>
      <c r="E28" s="83" t="s">
        <v>46</v>
      </c>
      <c r="F28" s="31">
        <f t="shared" si="1"/>
        <v>6</v>
      </c>
      <c r="G28" s="86" t="s">
        <v>2422</v>
      </c>
      <c r="H28" s="81">
        <f t="shared" si="2"/>
        <v>42</v>
      </c>
      <c r="I28" s="92">
        <f t="shared" si="5"/>
        <v>0.71058620773442005</v>
      </c>
      <c r="J28" s="95">
        <v>0.67117241546883999</v>
      </c>
      <c r="K28" s="96">
        <v>0.67857142857142805</v>
      </c>
      <c r="L28" s="96">
        <v>0.75</v>
      </c>
      <c r="M28" s="96">
        <v>0.57142857142857095</v>
      </c>
      <c r="N28" s="8">
        <v>1</v>
      </c>
      <c r="O28" s="97">
        <v>44149</v>
      </c>
      <c r="P28" s="98">
        <f t="shared" si="3"/>
        <v>1</v>
      </c>
      <c r="Q28" s="111"/>
      <c r="R28" s="111"/>
      <c r="S28" s="111"/>
      <c r="T28" s="112" t="s">
        <v>73</v>
      </c>
      <c r="U28" s="86" t="s">
        <v>2423</v>
      </c>
      <c r="V28" s="109" t="s">
        <v>4585</v>
      </c>
      <c r="W28" s="83">
        <f t="shared" si="4"/>
        <v>122</v>
      </c>
      <c r="X28" s="110">
        <v>2</v>
      </c>
      <c r="Y28" s="110">
        <v>9</v>
      </c>
      <c r="Z28" s="65"/>
      <c r="AA28" t="s">
        <v>4564</v>
      </c>
      <c r="AB28" t="s">
        <v>51</v>
      </c>
      <c r="AC28" t="s">
        <v>4353</v>
      </c>
      <c r="AD28" t="s">
        <v>4506</v>
      </c>
      <c r="AE28" t="s">
        <v>4530</v>
      </c>
      <c r="AF28" t="s">
        <v>4586</v>
      </c>
      <c r="AG28" t="s">
        <v>4353</v>
      </c>
      <c r="AH28" t="s">
        <v>4506</v>
      </c>
      <c r="AI28" t="s">
        <v>4353</v>
      </c>
      <c r="AJ28" t="s">
        <v>4506</v>
      </c>
      <c r="AK28" t="s">
        <v>4519</v>
      </c>
      <c r="AL28" t="s">
        <v>4519</v>
      </c>
      <c r="AM28" t="s">
        <v>4528</v>
      </c>
      <c r="AN28" t="s">
        <v>4529</v>
      </c>
      <c r="AO28" s="134">
        <v>108.267006802721</v>
      </c>
      <c r="AP28" s="135">
        <v>111.801870748299</v>
      </c>
      <c r="AQ28">
        <v>0.42431972789115602</v>
      </c>
      <c r="AR28" s="136">
        <v>1.21173469387755</v>
      </c>
      <c r="AS28">
        <v>6.8375850340136104</v>
      </c>
    </row>
    <row r="29" spans="1:45" customFormat="1" ht="63" customHeight="1">
      <c r="A29">
        <v>431</v>
      </c>
      <c r="B29" s="72" t="s">
        <v>1222</v>
      </c>
      <c r="C29" s="82" t="s">
        <v>45</v>
      </c>
      <c r="D29" s="31">
        <f t="shared" si="0"/>
        <v>4</v>
      </c>
      <c r="E29" s="83" t="s">
        <v>1223</v>
      </c>
      <c r="F29" s="31">
        <f t="shared" si="1"/>
        <v>8</v>
      </c>
      <c r="G29" s="85" t="s">
        <v>1227</v>
      </c>
      <c r="H29" s="81">
        <f t="shared" si="2"/>
        <v>89</v>
      </c>
      <c r="I29" s="92">
        <f t="shared" si="5"/>
        <v>0.23348367464035538</v>
      </c>
      <c r="J29" s="95">
        <v>1.27635698634476E-3</v>
      </c>
      <c r="K29" s="96">
        <v>0.62227173823376303</v>
      </c>
      <c r="L29" s="96">
        <v>0.465690992294366</v>
      </c>
      <c r="M29" s="96">
        <v>0.85714285714285698</v>
      </c>
      <c r="N29" s="31">
        <v>1</v>
      </c>
      <c r="O29" s="97">
        <v>44145</v>
      </c>
      <c r="P29" s="98">
        <f t="shared" si="3"/>
        <v>1</v>
      </c>
      <c r="Q29" s="107"/>
      <c r="R29" s="107"/>
      <c r="S29" s="107"/>
      <c r="T29" s="108" t="s">
        <v>73</v>
      </c>
      <c r="U29" s="85" t="s">
        <v>1228</v>
      </c>
      <c r="V29" s="109" t="s">
        <v>1229</v>
      </c>
      <c r="W29" s="83">
        <f t="shared" si="4"/>
        <v>116</v>
      </c>
      <c r="X29" s="83">
        <v>0</v>
      </c>
      <c r="Y29" s="83">
        <v>1</v>
      </c>
      <c r="Z29" s="65"/>
      <c r="AA29" t="s">
        <v>4587</v>
      </c>
      <c r="AB29" t="s">
        <v>51</v>
      </c>
      <c r="AC29" t="s">
        <v>223</v>
      </c>
      <c r="AD29" t="s">
        <v>4588</v>
      </c>
      <c r="AE29" t="s">
        <v>4513</v>
      </c>
      <c r="AF29" t="s">
        <v>4589</v>
      </c>
      <c r="AG29" t="s">
        <v>223</v>
      </c>
      <c r="AH29" t="s">
        <v>4588</v>
      </c>
      <c r="AI29" t="s">
        <v>4353</v>
      </c>
      <c r="AJ29" t="s">
        <v>4506</v>
      </c>
      <c r="AK29" t="s">
        <v>4519</v>
      </c>
      <c r="AL29" t="s">
        <v>4519</v>
      </c>
      <c r="AM29" t="s">
        <v>4520</v>
      </c>
      <c r="AN29" t="s">
        <v>4558</v>
      </c>
      <c r="AO29" s="134">
        <v>108.283404255319</v>
      </c>
      <c r="AP29" s="135">
        <v>111.75</v>
      </c>
      <c r="AQ29">
        <v>0.42491467576791803</v>
      </c>
      <c r="AR29" s="136">
        <v>1.21160409556314</v>
      </c>
      <c r="AS29">
        <v>6.8489761092150196</v>
      </c>
    </row>
    <row r="30" spans="1:45" customFormat="1" ht="90">
      <c r="A30" s="65">
        <v>432</v>
      </c>
      <c r="B30" s="72" t="s">
        <v>1222</v>
      </c>
      <c r="C30" s="82" t="s">
        <v>45</v>
      </c>
      <c r="D30" s="31">
        <f t="shared" si="0"/>
        <v>4</v>
      </c>
      <c r="E30" s="83" t="s">
        <v>1223</v>
      </c>
      <c r="F30" s="31">
        <f t="shared" si="1"/>
        <v>8</v>
      </c>
      <c r="G30" s="85" t="s">
        <v>1230</v>
      </c>
      <c r="H30" s="81">
        <f t="shared" si="2"/>
        <v>93</v>
      </c>
      <c r="I30" s="92">
        <f t="shared" si="5"/>
        <v>0.31007306366686371</v>
      </c>
      <c r="J30" s="95">
        <v>3.1141658992539501E-4</v>
      </c>
      <c r="K30" s="96">
        <v>0.71475796930342395</v>
      </c>
      <c r="L30" s="96">
        <v>0.61983471074380203</v>
      </c>
      <c r="M30" s="96">
        <v>0.85714285714285698</v>
      </c>
      <c r="N30" s="31">
        <v>1</v>
      </c>
      <c r="O30" s="99">
        <v>44145</v>
      </c>
      <c r="P30" s="98">
        <f t="shared" si="3"/>
        <v>1</v>
      </c>
      <c r="Q30" s="111"/>
      <c r="R30" s="111"/>
      <c r="S30" s="111"/>
      <c r="T30" s="112" t="s">
        <v>73</v>
      </c>
      <c r="U30" s="75" t="s">
        <v>1231</v>
      </c>
      <c r="V30" s="109" t="s">
        <v>1232</v>
      </c>
      <c r="W30" s="83">
        <f t="shared" si="4"/>
        <v>113</v>
      </c>
      <c r="X30" s="83">
        <v>0</v>
      </c>
      <c r="Y30" s="83">
        <v>1</v>
      </c>
      <c r="Z30" s="65"/>
      <c r="AA30" t="s">
        <v>4543</v>
      </c>
      <c r="AB30" t="s">
        <v>51</v>
      </c>
      <c r="AC30" t="s">
        <v>4515</v>
      </c>
      <c r="AD30" t="s">
        <v>4590</v>
      </c>
      <c r="AE30" t="s">
        <v>4513</v>
      </c>
      <c r="AF30" t="s">
        <v>4589</v>
      </c>
      <c r="AG30" t="s">
        <v>223</v>
      </c>
      <c r="AH30" t="s">
        <v>4588</v>
      </c>
      <c r="AI30" t="s">
        <v>4353</v>
      </c>
      <c r="AJ30" t="s">
        <v>4506</v>
      </c>
      <c r="AK30" t="s">
        <v>4591</v>
      </c>
      <c r="AL30" t="s">
        <v>4519</v>
      </c>
      <c r="AM30" t="s">
        <v>4592</v>
      </c>
      <c r="AN30" t="s">
        <v>4593</v>
      </c>
      <c r="AO30" s="134">
        <v>108.296422487223</v>
      </c>
      <c r="AP30" s="135">
        <v>111.75</v>
      </c>
      <c r="AQ30">
        <v>0.42491467576791803</v>
      </c>
      <c r="AR30" s="136">
        <v>1.21160409556314</v>
      </c>
      <c r="AS30">
        <v>6.8489761092150196</v>
      </c>
    </row>
    <row r="31" spans="1:45" customFormat="1" ht="60">
      <c r="A31" s="65">
        <v>433</v>
      </c>
      <c r="B31" s="72" t="s">
        <v>1222</v>
      </c>
      <c r="C31" s="82" t="s">
        <v>59</v>
      </c>
      <c r="D31" s="31">
        <f t="shared" si="0"/>
        <v>5</v>
      </c>
      <c r="E31" s="83" t="s">
        <v>1223</v>
      </c>
      <c r="F31" s="31">
        <f t="shared" si="1"/>
        <v>8</v>
      </c>
      <c r="G31" s="86" t="s">
        <v>1233</v>
      </c>
      <c r="H31" s="81">
        <f t="shared" si="2"/>
        <v>50</v>
      </c>
      <c r="I31" s="92">
        <f t="shared" si="5"/>
        <v>0.37602247103180048</v>
      </c>
      <c r="J31" s="95">
        <v>2.0449420636009501E-3</v>
      </c>
      <c r="K31" s="96">
        <v>0.79285714285714304</v>
      </c>
      <c r="L31" s="96">
        <v>0.75</v>
      </c>
      <c r="M31" s="96">
        <v>0.85714285714285698</v>
      </c>
      <c r="N31" s="31">
        <v>1</v>
      </c>
      <c r="O31" s="97">
        <v>44144</v>
      </c>
      <c r="P31" s="98">
        <f t="shared" si="3"/>
        <v>1</v>
      </c>
      <c r="Q31" s="111"/>
      <c r="R31" s="111"/>
      <c r="S31" s="111"/>
      <c r="T31" s="112" t="s">
        <v>73</v>
      </c>
      <c r="U31" s="85" t="s">
        <v>1234</v>
      </c>
      <c r="V31" s="109" t="s">
        <v>1235</v>
      </c>
      <c r="W31" s="83">
        <f t="shared" si="4"/>
        <v>61</v>
      </c>
      <c r="X31" s="110">
        <v>0</v>
      </c>
      <c r="Y31" s="110">
        <v>1</v>
      </c>
      <c r="Z31" s="65"/>
      <c r="AA31" t="s">
        <v>4564</v>
      </c>
      <c r="AB31" t="s">
        <v>4594</v>
      </c>
      <c r="AC31" t="s">
        <v>4515</v>
      </c>
      <c r="AD31" t="s">
        <v>4595</v>
      </c>
      <c r="AE31" t="s">
        <v>4515</v>
      </c>
      <c r="AF31" t="s">
        <v>4595</v>
      </c>
      <c r="AG31" t="s">
        <v>4353</v>
      </c>
      <c r="AH31" t="s">
        <v>4506</v>
      </c>
      <c r="AI31" t="s">
        <v>4353</v>
      </c>
      <c r="AJ31" t="s">
        <v>4506</v>
      </c>
      <c r="AK31" t="s">
        <v>4519</v>
      </c>
      <c r="AL31" t="s">
        <v>4519</v>
      </c>
      <c r="AM31" t="s">
        <v>4562</v>
      </c>
      <c r="AN31" t="s">
        <v>4563</v>
      </c>
      <c r="AO31" s="134">
        <v>108.346121057118</v>
      </c>
      <c r="AP31" s="135">
        <v>111.75</v>
      </c>
      <c r="AQ31">
        <v>0.42491467576791803</v>
      </c>
      <c r="AR31" s="136">
        <v>1.21160409556314</v>
      </c>
      <c r="AS31">
        <v>6.8489761092150196</v>
      </c>
    </row>
    <row r="32" spans="1:45" customFormat="1" ht="135">
      <c r="A32">
        <v>434</v>
      </c>
      <c r="B32" s="72" t="s">
        <v>1222</v>
      </c>
      <c r="C32" s="82" t="s">
        <v>59</v>
      </c>
      <c r="D32" s="31">
        <f t="shared" si="0"/>
        <v>5</v>
      </c>
      <c r="E32" s="83" t="s">
        <v>1223</v>
      </c>
      <c r="F32" s="31">
        <f t="shared" si="1"/>
        <v>8</v>
      </c>
      <c r="G32" s="85" t="s">
        <v>1236</v>
      </c>
      <c r="H32" s="81">
        <f t="shared" si="2"/>
        <v>121</v>
      </c>
      <c r="I32" s="92">
        <f t="shared" si="5"/>
        <v>0.19366378269015677</v>
      </c>
      <c r="J32" s="95">
        <v>2.4589767072835701E-3</v>
      </c>
      <c r="K32" s="96">
        <v>0.57377829606096098</v>
      </c>
      <c r="L32" s="96">
        <v>0.38486858867302998</v>
      </c>
      <c r="M32" s="96">
        <v>0.85714285714285698</v>
      </c>
      <c r="N32" s="31">
        <v>1</v>
      </c>
      <c r="O32" s="97">
        <v>44140</v>
      </c>
      <c r="P32" s="98">
        <f t="shared" si="3"/>
        <v>1</v>
      </c>
      <c r="Q32" s="111"/>
      <c r="R32" s="111"/>
      <c r="S32" s="111"/>
      <c r="T32" s="112" t="s">
        <v>73</v>
      </c>
      <c r="U32" s="85" t="s">
        <v>1237</v>
      </c>
      <c r="V32" s="109" t="s">
        <v>1238</v>
      </c>
      <c r="W32" s="83">
        <f t="shared" si="4"/>
        <v>185</v>
      </c>
      <c r="X32" s="83">
        <v>0</v>
      </c>
      <c r="Y32" s="83">
        <v>1</v>
      </c>
      <c r="Z32" s="65"/>
      <c r="AA32" t="s">
        <v>4596</v>
      </c>
      <c r="AB32" t="s">
        <v>4597</v>
      </c>
      <c r="AC32" t="s">
        <v>223</v>
      </c>
      <c r="AD32" t="s">
        <v>4598</v>
      </c>
      <c r="AE32" t="s">
        <v>4353</v>
      </c>
      <c r="AF32" t="s">
        <v>4506</v>
      </c>
      <c r="AG32" t="s">
        <v>223</v>
      </c>
      <c r="AH32" t="s">
        <v>4598</v>
      </c>
      <c r="AI32" t="s">
        <v>4353</v>
      </c>
      <c r="AJ32" t="s">
        <v>4506</v>
      </c>
      <c r="AK32" t="s">
        <v>4519</v>
      </c>
      <c r="AL32" t="s">
        <v>4519</v>
      </c>
      <c r="AM32" t="s">
        <v>4562</v>
      </c>
      <c r="AN32" t="s">
        <v>4563</v>
      </c>
      <c r="AO32" s="134">
        <v>108.335324232082</v>
      </c>
      <c r="AP32" s="135">
        <v>111.70512820512801</v>
      </c>
      <c r="AQ32">
        <v>0.42564102564102602</v>
      </c>
      <c r="AR32" s="136">
        <v>1.2119658119658101</v>
      </c>
      <c r="AS32">
        <v>6.8581196581196604</v>
      </c>
    </row>
    <row r="33" spans="1:45" customFormat="1" ht="120">
      <c r="A33">
        <v>435</v>
      </c>
      <c r="B33" s="72" t="s">
        <v>1222</v>
      </c>
      <c r="C33" s="82" t="s">
        <v>59</v>
      </c>
      <c r="D33" s="31">
        <f t="shared" si="0"/>
        <v>5</v>
      </c>
      <c r="E33" s="83" t="s">
        <v>1223</v>
      </c>
      <c r="F33" s="31">
        <f t="shared" si="1"/>
        <v>8</v>
      </c>
      <c r="G33" s="75" t="s">
        <v>1239</v>
      </c>
      <c r="H33" s="81">
        <f t="shared" si="2"/>
        <v>164</v>
      </c>
      <c r="I33" s="92">
        <f t="shared" si="5"/>
        <v>0.80011729225790851</v>
      </c>
      <c r="J33" s="95">
        <v>0.98039987377201598</v>
      </c>
      <c r="K33" s="96">
        <v>0.771900826446281</v>
      </c>
      <c r="L33" s="96">
        <v>0.61983471074380103</v>
      </c>
      <c r="M33" s="96">
        <v>1</v>
      </c>
      <c r="N33" s="31">
        <v>1</v>
      </c>
      <c r="O33" s="97">
        <v>44139</v>
      </c>
      <c r="P33" s="98">
        <f t="shared" si="3"/>
        <v>1</v>
      </c>
      <c r="Q33" s="111"/>
      <c r="R33" s="111"/>
      <c r="S33" s="111"/>
      <c r="T33" s="112" t="s">
        <v>73</v>
      </c>
      <c r="U33" s="75" t="s">
        <v>1240</v>
      </c>
      <c r="V33" s="109" t="s">
        <v>1241</v>
      </c>
      <c r="W33" s="83">
        <f t="shared" si="4"/>
        <v>120</v>
      </c>
      <c r="X33" s="83">
        <v>0</v>
      </c>
      <c r="Y33" s="83">
        <v>0</v>
      </c>
      <c r="Z33" s="65"/>
      <c r="AA33" t="s">
        <v>4599</v>
      </c>
      <c r="AB33" t="s">
        <v>87</v>
      </c>
      <c r="AC33" t="s">
        <v>223</v>
      </c>
      <c r="AD33" t="s">
        <v>4600</v>
      </c>
      <c r="AE33" t="s">
        <v>4353</v>
      </c>
      <c r="AF33" t="s">
        <v>4506</v>
      </c>
      <c r="AG33" t="s">
        <v>4353</v>
      </c>
      <c r="AH33" t="s">
        <v>4506</v>
      </c>
      <c r="AI33" t="s">
        <v>4353</v>
      </c>
      <c r="AJ33" t="s">
        <v>4506</v>
      </c>
      <c r="AK33" t="s">
        <v>4519</v>
      </c>
      <c r="AL33" t="s">
        <v>4519</v>
      </c>
      <c r="AM33" t="s">
        <v>4562</v>
      </c>
      <c r="AN33" t="s">
        <v>4563</v>
      </c>
      <c r="AO33" s="134">
        <v>108.287788215201</v>
      </c>
      <c r="AP33" s="135">
        <v>111.690924657534</v>
      </c>
      <c r="AQ33">
        <v>0.426369863013699</v>
      </c>
      <c r="AR33" s="136">
        <v>1.2123287671232901</v>
      </c>
      <c r="AS33">
        <v>6.8698630136986303</v>
      </c>
    </row>
    <row r="34" spans="1:45" customFormat="1" ht="120">
      <c r="A34">
        <v>770</v>
      </c>
      <c r="B34" s="72" t="s">
        <v>2098</v>
      </c>
      <c r="C34" s="82" t="s">
        <v>59</v>
      </c>
      <c r="D34" s="31">
        <f t="shared" ref="D34:D65" si="6">IF(C34="投诉",4,IF(C34="建议",1,IF(C34="举报",2,IF(C34="求助",3,5))))</f>
        <v>5</v>
      </c>
      <c r="E34" s="83" t="s">
        <v>1223</v>
      </c>
      <c r="F34" s="31">
        <f t="shared" ref="F34:F65" si="7">IF(E34="12345app",1,IF(E34="e福州app",2,IF(E34="qq",3,IF(E34="电话",4,IF(E34="短信",5,IF(E34="网站",6,IF(E34="微博",7,IF(E34="微信",8,9))))))))</f>
        <v>8</v>
      </c>
      <c r="G34" s="75" t="s">
        <v>1239</v>
      </c>
      <c r="H34" s="81">
        <f t="shared" ref="H34:H66" si="8">LEN(U34)</f>
        <v>164</v>
      </c>
      <c r="I34" s="92">
        <f t="shared" si="5"/>
        <v>0.34346492658383093</v>
      </c>
      <c r="J34" s="95">
        <v>6.7095142423860804E-2</v>
      </c>
      <c r="K34" s="96">
        <v>0.771900826446281</v>
      </c>
      <c r="L34" s="96">
        <v>0.61983471074380103</v>
      </c>
      <c r="M34" s="96">
        <v>1</v>
      </c>
      <c r="N34" s="31">
        <v>1</v>
      </c>
      <c r="O34" s="101">
        <v>44139</v>
      </c>
      <c r="P34" s="98">
        <f t="shared" ref="P34:P65" si="9">IF(T34="利己",0,IF(T34="生态",2,1))</f>
        <v>1</v>
      </c>
      <c r="Q34" s="111"/>
      <c r="R34" s="111"/>
      <c r="S34" s="111"/>
      <c r="T34" s="112" t="s">
        <v>73</v>
      </c>
      <c r="U34" s="75" t="s">
        <v>1240</v>
      </c>
      <c r="V34" s="109" t="s">
        <v>1241</v>
      </c>
      <c r="W34" s="83">
        <f t="shared" ref="W34:W65" si="10">LEN(V34)</f>
        <v>120</v>
      </c>
      <c r="X34" s="40">
        <v>0</v>
      </c>
      <c r="Y34" s="40">
        <v>0</v>
      </c>
      <c r="Z34" s="65"/>
      <c r="AA34" t="s">
        <v>4599</v>
      </c>
      <c r="AB34" t="s">
        <v>87</v>
      </c>
      <c r="AC34" t="s">
        <v>223</v>
      </c>
      <c r="AD34" t="s">
        <v>4600</v>
      </c>
      <c r="AE34" t="s">
        <v>4353</v>
      </c>
      <c r="AF34" t="s">
        <v>4506</v>
      </c>
      <c r="AG34" t="s">
        <v>4353</v>
      </c>
      <c r="AH34" t="s">
        <v>4506</v>
      </c>
      <c r="AI34" t="s">
        <v>4353</v>
      </c>
      <c r="AJ34" t="s">
        <v>4506</v>
      </c>
      <c r="AK34" t="s">
        <v>4519</v>
      </c>
      <c r="AL34" t="s">
        <v>4519</v>
      </c>
      <c r="AM34" t="s">
        <v>4562</v>
      </c>
      <c r="AN34" t="s">
        <v>4563</v>
      </c>
      <c r="AO34" s="134">
        <v>108.240170940171</v>
      </c>
      <c r="AP34" s="135">
        <v>111.690924657534</v>
      </c>
      <c r="AQ34">
        <v>0.426369863013699</v>
      </c>
      <c r="AR34" s="136">
        <v>1.2123287671232901</v>
      </c>
      <c r="AS34">
        <v>6.8698630136986303</v>
      </c>
    </row>
    <row r="35" spans="1:45" customFormat="1" ht="75">
      <c r="A35">
        <v>618</v>
      </c>
      <c r="B35" s="72" t="s">
        <v>1707</v>
      </c>
      <c r="C35" s="82" t="s">
        <v>45</v>
      </c>
      <c r="D35" s="31">
        <f t="shared" si="6"/>
        <v>4</v>
      </c>
      <c r="E35" s="83" t="s">
        <v>80</v>
      </c>
      <c r="F35" s="31">
        <f t="shared" si="7"/>
        <v>4</v>
      </c>
      <c r="G35" s="85" t="s">
        <v>1713</v>
      </c>
      <c r="H35" s="81">
        <f t="shared" si="8"/>
        <v>49</v>
      </c>
      <c r="I35" s="92">
        <f t="shared" si="5"/>
        <v>0.37747543214463247</v>
      </c>
      <c r="J35" s="95">
        <v>4.9508642892649403E-3</v>
      </c>
      <c r="K35" s="96">
        <v>0.76918779643582302</v>
      </c>
      <c r="L35" s="96">
        <v>0.75</v>
      </c>
      <c r="M35" s="96">
        <v>0.79796949108955795</v>
      </c>
      <c r="N35" s="31">
        <v>1</v>
      </c>
      <c r="O35" s="97">
        <v>44138</v>
      </c>
      <c r="P35" s="98">
        <f t="shared" si="9"/>
        <v>0</v>
      </c>
      <c r="Q35" s="111"/>
      <c r="R35" s="111"/>
      <c r="S35" s="111"/>
      <c r="T35" s="112" t="s">
        <v>48</v>
      </c>
      <c r="U35" s="85" t="s">
        <v>1714</v>
      </c>
      <c r="V35" s="109" t="s">
        <v>1715</v>
      </c>
      <c r="W35" s="83">
        <f t="shared" si="10"/>
        <v>91</v>
      </c>
      <c r="X35" s="83">
        <v>0</v>
      </c>
      <c r="Y35" s="83">
        <v>2</v>
      </c>
      <c r="Z35" s="65"/>
      <c r="AA35" t="s">
        <v>4512</v>
      </c>
      <c r="AB35" t="s">
        <v>51</v>
      </c>
      <c r="AC35" t="s">
        <v>4353</v>
      </c>
      <c r="AD35" t="s">
        <v>4506</v>
      </c>
      <c r="AE35" t="s">
        <v>4538</v>
      </c>
      <c r="AF35" t="s">
        <v>4601</v>
      </c>
      <c r="AG35" t="s">
        <v>4515</v>
      </c>
      <c r="AH35" t="s">
        <v>4602</v>
      </c>
      <c r="AI35" t="s">
        <v>4353</v>
      </c>
      <c r="AJ35" t="s">
        <v>4506</v>
      </c>
      <c r="AK35" t="s">
        <v>4518</v>
      </c>
      <c r="AL35" t="s">
        <v>4519</v>
      </c>
      <c r="AM35" t="s">
        <v>4520</v>
      </c>
      <c r="AN35" t="s">
        <v>4521</v>
      </c>
      <c r="AO35" s="134">
        <v>108.290846877673</v>
      </c>
      <c r="AP35" s="135">
        <v>111.690924657534</v>
      </c>
      <c r="AQ35">
        <v>0.426369863013699</v>
      </c>
      <c r="AR35" s="136">
        <v>1.2123287671232901</v>
      </c>
      <c r="AS35">
        <v>6.8698630136986303</v>
      </c>
    </row>
    <row r="36" spans="1:45" customFormat="1" ht="150">
      <c r="A36">
        <v>751</v>
      </c>
      <c r="B36" s="72" t="s">
        <v>2053</v>
      </c>
      <c r="C36" s="82" t="s">
        <v>45</v>
      </c>
      <c r="D36" s="31">
        <f t="shared" si="6"/>
        <v>4</v>
      </c>
      <c r="E36" s="83" t="s">
        <v>221</v>
      </c>
      <c r="F36" s="31">
        <f t="shared" si="7"/>
        <v>2</v>
      </c>
      <c r="G36" s="85" t="s">
        <v>2054</v>
      </c>
      <c r="H36" s="81">
        <f t="shared" si="8"/>
        <v>110</v>
      </c>
      <c r="I36" s="92">
        <f t="shared" si="5"/>
        <v>0.85314482084073395</v>
      </c>
      <c r="J36" s="95">
        <v>0.88128964168146795</v>
      </c>
      <c r="K36" s="96">
        <v>0.70547858340826297</v>
      </c>
      <c r="L36" s="96">
        <v>0.82499999999999996</v>
      </c>
      <c r="M36" s="96">
        <v>0.526196458520657</v>
      </c>
      <c r="N36" s="31">
        <v>1</v>
      </c>
      <c r="O36" s="99">
        <v>44134</v>
      </c>
      <c r="P36" s="98">
        <f t="shared" si="9"/>
        <v>1</v>
      </c>
      <c r="Q36" s="111"/>
      <c r="R36" s="111"/>
      <c r="S36" s="111"/>
      <c r="T36" s="112" t="s">
        <v>73</v>
      </c>
      <c r="U36" s="75" t="s">
        <v>4420</v>
      </c>
      <c r="V36" s="88" t="s">
        <v>2056</v>
      </c>
      <c r="W36" s="83">
        <f t="shared" si="10"/>
        <v>218</v>
      </c>
      <c r="X36" s="83">
        <v>1</v>
      </c>
      <c r="Y36" s="83">
        <v>11</v>
      </c>
      <c r="Z36" s="65"/>
      <c r="AA36" t="s">
        <v>4603</v>
      </c>
      <c r="AB36" t="s">
        <v>87</v>
      </c>
      <c r="AC36" t="s">
        <v>4515</v>
      </c>
      <c r="AD36" t="s">
        <v>4604</v>
      </c>
      <c r="AE36" t="s">
        <v>223</v>
      </c>
      <c r="AF36" t="s">
        <v>4605</v>
      </c>
      <c r="AG36" t="s">
        <v>4353</v>
      </c>
      <c r="AH36" t="s">
        <v>4506</v>
      </c>
      <c r="AI36" t="s">
        <v>4353</v>
      </c>
      <c r="AJ36" t="s">
        <v>4506</v>
      </c>
      <c r="AK36" t="s">
        <v>4519</v>
      </c>
      <c r="AL36" t="s">
        <v>4519</v>
      </c>
      <c r="AM36" t="s">
        <v>4528</v>
      </c>
      <c r="AN36" t="s">
        <v>4529</v>
      </c>
      <c r="AO36" s="134">
        <v>108.289383561644</v>
      </c>
      <c r="AP36" s="135">
        <v>111.556603773585</v>
      </c>
      <c r="AQ36">
        <v>0.425385934819897</v>
      </c>
      <c r="AR36" s="136">
        <v>1.21183533447684</v>
      </c>
      <c r="AS36">
        <v>6.8739279588336197</v>
      </c>
    </row>
    <row r="37" spans="1:45" customFormat="1" ht="90">
      <c r="A37">
        <v>198</v>
      </c>
      <c r="B37" s="72" t="s">
        <v>589</v>
      </c>
      <c r="C37" s="82" t="s">
        <v>45</v>
      </c>
      <c r="D37" s="31">
        <f t="shared" si="6"/>
        <v>4</v>
      </c>
      <c r="E37" s="83" t="s">
        <v>46</v>
      </c>
      <c r="F37" s="31">
        <f t="shared" si="7"/>
        <v>6</v>
      </c>
      <c r="G37" s="85" t="s">
        <v>605</v>
      </c>
      <c r="H37" s="81">
        <f t="shared" si="8"/>
        <v>66</v>
      </c>
      <c r="I37" s="92">
        <f t="shared" si="5"/>
        <v>0.86597899645768805</v>
      </c>
      <c r="J37" s="95">
        <v>0.981957992915376</v>
      </c>
      <c r="K37" s="96">
        <v>0.79285714285714304</v>
      </c>
      <c r="L37" s="96">
        <v>0.75</v>
      </c>
      <c r="M37" s="96">
        <v>0.85714285714285698</v>
      </c>
      <c r="N37" s="31">
        <v>1</v>
      </c>
      <c r="O37" s="97">
        <v>44133</v>
      </c>
      <c r="P37" s="98">
        <f t="shared" si="9"/>
        <v>0</v>
      </c>
      <c r="Q37" s="107"/>
      <c r="R37" s="107"/>
      <c r="S37" s="107"/>
      <c r="T37" s="108" t="s">
        <v>48</v>
      </c>
      <c r="U37" s="85" t="s">
        <v>606</v>
      </c>
      <c r="V37" s="109" t="s">
        <v>607</v>
      </c>
      <c r="W37" s="83">
        <f t="shared" si="10"/>
        <v>100</v>
      </c>
      <c r="X37" s="83">
        <v>0</v>
      </c>
      <c r="Y37" s="83">
        <v>1</v>
      </c>
      <c r="Z37" s="65"/>
      <c r="AA37" t="s">
        <v>4564</v>
      </c>
      <c r="AB37" t="s">
        <v>51</v>
      </c>
      <c r="AC37" t="s">
        <v>223</v>
      </c>
      <c r="AD37" t="s">
        <v>4606</v>
      </c>
      <c r="AE37" t="s">
        <v>4515</v>
      </c>
      <c r="AF37" t="s">
        <v>4607</v>
      </c>
      <c r="AG37" t="s">
        <v>4353</v>
      </c>
      <c r="AH37" t="s">
        <v>4506</v>
      </c>
      <c r="AI37" t="s">
        <v>4353</v>
      </c>
      <c r="AJ37" t="s">
        <v>4506</v>
      </c>
      <c r="AK37" t="s">
        <v>4519</v>
      </c>
      <c r="AL37" t="s">
        <v>4519</v>
      </c>
      <c r="AM37" t="s">
        <v>4528</v>
      </c>
      <c r="AN37" t="s">
        <v>4529</v>
      </c>
      <c r="AO37" s="134">
        <v>108.325621251071</v>
      </c>
      <c r="AP37" s="135">
        <v>111.40584694754899</v>
      </c>
      <c r="AQ37">
        <v>0.42648323301805702</v>
      </c>
      <c r="AR37" s="136">
        <v>1.21238177128117</v>
      </c>
      <c r="AS37">
        <v>6.8873602751504697</v>
      </c>
    </row>
    <row r="38" spans="1:45" customFormat="1" ht="135">
      <c r="A38">
        <v>199</v>
      </c>
      <c r="B38" s="72" t="s">
        <v>589</v>
      </c>
      <c r="C38" s="82" t="s">
        <v>119</v>
      </c>
      <c r="D38" s="31">
        <f t="shared" si="6"/>
        <v>1</v>
      </c>
      <c r="E38" s="83" t="s">
        <v>221</v>
      </c>
      <c r="F38" s="31">
        <f t="shared" si="7"/>
        <v>2</v>
      </c>
      <c r="G38" s="75" t="s">
        <v>608</v>
      </c>
      <c r="H38" s="81">
        <f t="shared" si="8"/>
        <v>117</v>
      </c>
      <c r="I38" s="92">
        <f t="shared" si="5"/>
        <v>0.81802835032675847</v>
      </c>
      <c r="J38" s="95">
        <v>0.95423851883533495</v>
      </c>
      <c r="K38" s="96">
        <v>0.75194805194805203</v>
      </c>
      <c r="L38" s="96">
        <v>0.68181818181818199</v>
      </c>
      <c r="M38" s="96">
        <v>0.85714285714285698</v>
      </c>
      <c r="N38" s="31">
        <v>1</v>
      </c>
      <c r="O38" s="97">
        <v>44132</v>
      </c>
      <c r="P38" s="98">
        <f t="shared" si="9"/>
        <v>1</v>
      </c>
      <c r="Q38" s="107"/>
      <c r="R38" s="107"/>
      <c r="S38" s="107"/>
      <c r="T38" s="108" t="s">
        <v>73</v>
      </c>
      <c r="U38" s="85" t="s">
        <v>609</v>
      </c>
      <c r="V38" s="109" t="s">
        <v>610</v>
      </c>
      <c r="W38" s="83">
        <f t="shared" si="10"/>
        <v>190</v>
      </c>
      <c r="X38" s="83">
        <v>0</v>
      </c>
      <c r="Y38" s="83">
        <v>1</v>
      </c>
      <c r="Z38" s="65"/>
      <c r="AA38" t="s">
        <v>4512</v>
      </c>
      <c r="AB38" t="s">
        <v>51</v>
      </c>
      <c r="AC38" t="s">
        <v>223</v>
      </c>
      <c r="AD38" t="s">
        <v>4608</v>
      </c>
      <c r="AE38" t="s">
        <v>4526</v>
      </c>
      <c r="AF38" t="s">
        <v>4609</v>
      </c>
      <c r="AG38" t="s">
        <v>223</v>
      </c>
      <c r="AH38" t="s">
        <v>4608</v>
      </c>
      <c r="AI38" t="s">
        <v>4353</v>
      </c>
      <c r="AJ38" t="s">
        <v>4506</v>
      </c>
      <c r="AK38" t="s">
        <v>4518</v>
      </c>
      <c r="AL38" t="s">
        <v>4541</v>
      </c>
      <c r="AM38" t="s">
        <v>4510</v>
      </c>
      <c r="AN38" t="s">
        <v>4610</v>
      </c>
      <c r="AO38" s="134">
        <v>108.318181818182</v>
      </c>
      <c r="AP38" s="135">
        <v>111.48406546081</v>
      </c>
      <c r="AQ38">
        <v>0.42721791559000899</v>
      </c>
      <c r="AR38" s="136">
        <v>1.21274763135228</v>
      </c>
      <c r="AS38">
        <v>6.8923341946597798</v>
      </c>
    </row>
    <row r="39" spans="1:45" customFormat="1" ht="180">
      <c r="A39" s="65">
        <v>201</v>
      </c>
      <c r="B39" s="72" t="s">
        <v>589</v>
      </c>
      <c r="C39" s="82" t="s">
        <v>45</v>
      </c>
      <c r="D39" s="31">
        <f t="shared" si="6"/>
        <v>4</v>
      </c>
      <c r="E39" s="83" t="s">
        <v>46</v>
      </c>
      <c r="F39" s="31">
        <f t="shared" si="7"/>
        <v>6</v>
      </c>
      <c r="G39" s="85" t="s">
        <v>614</v>
      </c>
      <c r="H39" s="81">
        <f t="shared" si="8"/>
        <v>322</v>
      </c>
      <c r="I39" s="92">
        <f t="shared" si="5"/>
        <v>0.87499999992667443</v>
      </c>
      <c r="J39" s="95">
        <v>0.99999999985334898</v>
      </c>
      <c r="K39" s="96">
        <v>0.76918779643582302</v>
      </c>
      <c r="L39" s="96">
        <v>0.75</v>
      </c>
      <c r="M39" s="96">
        <v>0.79796949108955795</v>
      </c>
      <c r="N39" s="31">
        <v>0</v>
      </c>
      <c r="O39" s="99">
        <v>44131</v>
      </c>
      <c r="P39" s="98">
        <f t="shared" si="9"/>
        <v>1</v>
      </c>
      <c r="Q39" s="107"/>
      <c r="R39" s="107"/>
      <c r="S39" s="107"/>
      <c r="T39" s="108" t="s">
        <v>73</v>
      </c>
      <c r="U39" s="85" t="s">
        <v>615</v>
      </c>
      <c r="V39" s="109" t="s">
        <v>616</v>
      </c>
      <c r="W39" s="83">
        <f t="shared" si="10"/>
        <v>214</v>
      </c>
      <c r="X39" s="83">
        <v>0</v>
      </c>
      <c r="Y39" s="83">
        <v>2</v>
      </c>
      <c r="Z39" s="65"/>
      <c r="AA39" t="s">
        <v>4564</v>
      </c>
      <c r="AB39" t="s">
        <v>51</v>
      </c>
      <c r="AC39" t="s">
        <v>4353</v>
      </c>
      <c r="AD39" t="s">
        <v>4506</v>
      </c>
      <c r="AE39" t="s">
        <v>4530</v>
      </c>
      <c r="AF39" t="s">
        <v>4611</v>
      </c>
      <c r="AG39" t="s">
        <v>223</v>
      </c>
      <c r="AH39" t="s">
        <v>4612</v>
      </c>
      <c r="AI39" t="s">
        <v>4353</v>
      </c>
      <c r="AJ39" t="s">
        <v>4506</v>
      </c>
      <c r="AK39" t="s">
        <v>4519</v>
      </c>
      <c r="AL39" t="s">
        <v>4519</v>
      </c>
      <c r="AM39" t="s">
        <v>4528</v>
      </c>
      <c r="AN39" t="s">
        <v>4529</v>
      </c>
      <c r="AO39" s="134">
        <v>108.38798283261799</v>
      </c>
      <c r="AP39" s="135">
        <v>111.543572044866</v>
      </c>
      <c r="AQ39">
        <v>0.42795513373597899</v>
      </c>
      <c r="AR39" s="136">
        <v>1.21225194132873</v>
      </c>
      <c r="AS39">
        <v>6.8973252804141501</v>
      </c>
    </row>
    <row r="40" spans="1:45" customFormat="1" ht="75">
      <c r="A40" s="65">
        <v>200</v>
      </c>
      <c r="B40" s="72" t="s">
        <v>589</v>
      </c>
      <c r="C40" s="82" t="s">
        <v>45</v>
      </c>
      <c r="D40" s="31">
        <f t="shared" si="6"/>
        <v>4</v>
      </c>
      <c r="E40" s="83" t="s">
        <v>221</v>
      </c>
      <c r="F40" s="31">
        <f t="shared" si="7"/>
        <v>2</v>
      </c>
      <c r="G40" s="75" t="s">
        <v>611</v>
      </c>
      <c r="H40" s="81">
        <f t="shared" si="8"/>
        <v>27</v>
      </c>
      <c r="I40" s="92">
        <f t="shared" si="5"/>
        <v>0.41299942056317901</v>
      </c>
      <c r="J40" s="95">
        <v>0.144180659308176</v>
      </c>
      <c r="K40" s="96">
        <v>0.72827870552673202</v>
      </c>
      <c r="L40" s="96">
        <v>0.68181818181818199</v>
      </c>
      <c r="M40" s="96">
        <v>0.79796949108955795</v>
      </c>
      <c r="N40" s="31">
        <v>0</v>
      </c>
      <c r="O40" s="97">
        <v>44131</v>
      </c>
      <c r="P40" s="98">
        <f t="shared" si="9"/>
        <v>0</v>
      </c>
      <c r="Q40" s="107"/>
      <c r="R40" s="107"/>
      <c r="S40" s="107"/>
      <c r="T40" s="108" t="s">
        <v>48</v>
      </c>
      <c r="U40" s="120" t="s">
        <v>612</v>
      </c>
      <c r="V40" s="109" t="s">
        <v>613</v>
      </c>
      <c r="W40" s="83">
        <f t="shared" si="10"/>
        <v>106</v>
      </c>
      <c r="X40" s="83">
        <v>0</v>
      </c>
      <c r="Y40" s="83">
        <v>2</v>
      </c>
      <c r="Z40" s="65"/>
      <c r="AA40" t="s">
        <v>4564</v>
      </c>
      <c r="AB40" t="s">
        <v>51</v>
      </c>
      <c r="AC40" t="s">
        <v>223</v>
      </c>
      <c r="AD40" t="s">
        <v>4613</v>
      </c>
      <c r="AE40" t="s">
        <v>4515</v>
      </c>
      <c r="AF40" t="s">
        <v>4614</v>
      </c>
      <c r="AG40" t="s">
        <v>223</v>
      </c>
      <c r="AH40" t="s">
        <v>4613</v>
      </c>
      <c r="AI40" t="s">
        <v>4353</v>
      </c>
      <c r="AJ40" t="s">
        <v>4506</v>
      </c>
      <c r="AK40" t="s">
        <v>4519</v>
      </c>
      <c r="AL40" t="s">
        <v>4519</v>
      </c>
      <c r="AM40" t="s">
        <v>4510</v>
      </c>
      <c r="AN40" t="s">
        <v>4550</v>
      </c>
      <c r="AO40" s="134">
        <v>108.204467353952</v>
      </c>
      <c r="AP40" s="135">
        <v>111.543572044866</v>
      </c>
      <c r="AQ40">
        <v>0.42795513373597899</v>
      </c>
      <c r="AR40" s="136">
        <v>1.21225194132873</v>
      </c>
      <c r="AS40">
        <v>6.8973252804141501</v>
      </c>
    </row>
    <row r="41" spans="1:45" customFormat="1" ht="60">
      <c r="A41">
        <v>583</v>
      </c>
      <c r="B41" s="72" t="s">
        <v>1628</v>
      </c>
      <c r="C41" s="82" t="s">
        <v>45</v>
      </c>
      <c r="D41" s="31">
        <f t="shared" si="6"/>
        <v>4</v>
      </c>
      <c r="E41" s="83" t="s">
        <v>80</v>
      </c>
      <c r="F41" s="31">
        <f t="shared" si="7"/>
        <v>4</v>
      </c>
      <c r="G41" s="75" t="s">
        <v>1629</v>
      </c>
      <c r="H41" s="81">
        <f t="shared" si="8"/>
        <v>108</v>
      </c>
      <c r="I41" s="92">
        <f t="shared" si="5"/>
        <v>0.80530426256185006</v>
      </c>
      <c r="J41" s="95">
        <v>0.78560852512370005</v>
      </c>
      <c r="K41" s="96">
        <v>0.79602566813892095</v>
      </c>
      <c r="L41" s="96">
        <v>0.82499999999999996</v>
      </c>
      <c r="M41" s="96">
        <v>0.75256417034730305</v>
      </c>
      <c r="N41" s="31">
        <v>1</v>
      </c>
      <c r="O41" s="97">
        <v>44129</v>
      </c>
      <c r="P41" s="98">
        <f t="shared" si="9"/>
        <v>1</v>
      </c>
      <c r="Q41" s="111"/>
      <c r="R41" s="111"/>
      <c r="S41" s="111"/>
      <c r="T41" s="112" t="s">
        <v>73</v>
      </c>
      <c r="U41" s="85" t="s">
        <v>1630</v>
      </c>
      <c r="V41" s="109" t="s">
        <v>1631</v>
      </c>
      <c r="W41" s="83">
        <f t="shared" si="10"/>
        <v>67</v>
      </c>
      <c r="X41" s="40">
        <v>0</v>
      </c>
      <c r="Y41" s="40">
        <v>3</v>
      </c>
      <c r="Z41" s="65"/>
      <c r="AA41" t="s">
        <v>4564</v>
      </c>
      <c r="AB41" t="s">
        <v>4594</v>
      </c>
      <c r="AC41" t="s">
        <v>4515</v>
      </c>
      <c r="AD41" t="s">
        <v>4561</v>
      </c>
      <c r="AE41" t="s">
        <v>4515</v>
      </c>
      <c r="AF41" t="s">
        <v>4561</v>
      </c>
      <c r="AG41" t="s">
        <v>4353</v>
      </c>
      <c r="AH41" t="s">
        <v>4506</v>
      </c>
      <c r="AI41" t="s">
        <v>4353</v>
      </c>
      <c r="AJ41" t="s">
        <v>4506</v>
      </c>
      <c r="AK41" t="s">
        <v>4519</v>
      </c>
      <c r="AL41" t="s">
        <v>4519</v>
      </c>
      <c r="AM41" t="s">
        <v>4510</v>
      </c>
      <c r="AN41" t="s">
        <v>4550</v>
      </c>
      <c r="AO41" s="134">
        <v>108.20464316423001</v>
      </c>
      <c r="AP41" s="135">
        <v>111.543572044866</v>
      </c>
      <c r="AQ41">
        <v>0.42795513373597899</v>
      </c>
      <c r="AR41" s="136">
        <v>1.21225194132873</v>
      </c>
      <c r="AS41">
        <v>6.8973252804141501</v>
      </c>
    </row>
    <row r="42" spans="1:45" customFormat="1" ht="195">
      <c r="A42">
        <v>1014</v>
      </c>
      <c r="B42" s="72" t="s">
        <v>2752</v>
      </c>
      <c r="C42" s="82" t="s">
        <v>45</v>
      </c>
      <c r="D42" s="31">
        <f t="shared" si="6"/>
        <v>4</v>
      </c>
      <c r="E42" s="83" t="s">
        <v>46</v>
      </c>
      <c r="F42" s="31">
        <f t="shared" si="7"/>
        <v>6</v>
      </c>
      <c r="G42" s="86" t="s">
        <v>2753</v>
      </c>
      <c r="H42" s="81">
        <f t="shared" si="8"/>
        <v>56</v>
      </c>
      <c r="I42" s="92">
        <f t="shared" si="5"/>
        <v>0.37607823238143456</v>
      </c>
      <c r="J42" s="95">
        <v>2.1564647628691301E-3</v>
      </c>
      <c r="K42" s="96">
        <v>0.68837559287164596</v>
      </c>
      <c r="L42" s="96">
        <v>0.75</v>
      </c>
      <c r="M42" s="96">
        <v>0.59593898217911601</v>
      </c>
      <c r="N42" s="31">
        <v>0</v>
      </c>
      <c r="O42" s="97">
        <v>44129</v>
      </c>
      <c r="P42" s="98">
        <f t="shared" si="9"/>
        <v>1</v>
      </c>
      <c r="Q42" s="124"/>
      <c r="R42" s="124"/>
      <c r="S42" s="124"/>
      <c r="T42" s="125" t="s">
        <v>73</v>
      </c>
      <c r="U42" s="85" t="s">
        <v>2754</v>
      </c>
      <c r="V42" s="126" t="s">
        <v>2755</v>
      </c>
      <c r="W42" s="83">
        <f t="shared" si="10"/>
        <v>280</v>
      </c>
      <c r="X42" s="110">
        <v>2</v>
      </c>
      <c r="Y42" s="110">
        <v>8</v>
      </c>
      <c r="Z42" s="65"/>
      <c r="AA42" t="s">
        <v>4564</v>
      </c>
      <c r="AB42" t="s">
        <v>51</v>
      </c>
      <c r="AC42" t="s">
        <v>4353</v>
      </c>
      <c r="AD42" t="s">
        <v>4506</v>
      </c>
      <c r="AE42" t="s">
        <v>4513</v>
      </c>
      <c r="AF42" t="s">
        <v>4615</v>
      </c>
      <c r="AG42" t="s">
        <v>4515</v>
      </c>
      <c r="AH42" t="s">
        <v>4616</v>
      </c>
      <c r="AI42" t="s">
        <v>4353</v>
      </c>
      <c r="AJ42" t="s">
        <v>4506</v>
      </c>
      <c r="AK42" t="s">
        <v>4519</v>
      </c>
      <c r="AL42" t="s">
        <v>4519</v>
      </c>
      <c r="AM42" t="s">
        <v>4528</v>
      </c>
      <c r="AN42" t="s">
        <v>4529</v>
      </c>
      <c r="AO42" s="134">
        <v>108.24956970740099</v>
      </c>
      <c r="AP42" s="135">
        <v>111.543572044866</v>
      </c>
      <c r="AQ42">
        <v>0.42795513373597899</v>
      </c>
      <c r="AR42" s="136">
        <v>1.21225194132873</v>
      </c>
      <c r="AS42">
        <v>6.8973252804141501</v>
      </c>
    </row>
    <row r="43" spans="1:45" customFormat="1" ht="90">
      <c r="A43" s="65">
        <v>697</v>
      </c>
      <c r="B43" s="72" t="s">
        <v>1913</v>
      </c>
      <c r="C43" s="82" t="s">
        <v>45</v>
      </c>
      <c r="D43" s="31">
        <f t="shared" si="6"/>
        <v>4</v>
      </c>
      <c r="E43" s="83" t="s">
        <v>46</v>
      </c>
      <c r="F43" s="31">
        <f t="shared" si="7"/>
        <v>6</v>
      </c>
      <c r="G43" s="86" t="s">
        <v>1917</v>
      </c>
      <c r="H43" s="81">
        <f t="shared" si="8"/>
        <v>121</v>
      </c>
      <c r="I43" s="92">
        <f t="shared" si="5"/>
        <v>0.59706782129340397</v>
      </c>
      <c r="J43" s="95">
        <v>0.44413564258680799</v>
      </c>
      <c r="K43" s="96">
        <v>0.75102566813892102</v>
      </c>
      <c r="L43" s="96">
        <v>0.75</v>
      </c>
      <c r="M43" s="96">
        <v>0.75256417034730305</v>
      </c>
      <c r="N43" s="31">
        <v>1</v>
      </c>
      <c r="O43" s="101">
        <v>44128</v>
      </c>
      <c r="P43" s="98">
        <f t="shared" si="9"/>
        <v>0</v>
      </c>
      <c r="Q43" s="111"/>
      <c r="R43" s="111"/>
      <c r="S43" s="111"/>
      <c r="T43" s="112" t="s">
        <v>48</v>
      </c>
      <c r="U43" s="85" t="s">
        <v>1918</v>
      </c>
      <c r="V43" s="109" t="s">
        <v>1919</v>
      </c>
      <c r="W43" s="83">
        <f t="shared" si="10"/>
        <v>121</v>
      </c>
      <c r="X43" s="110">
        <v>0</v>
      </c>
      <c r="Y43" s="110">
        <v>3</v>
      </c>
      <c r="Z43" s="65"/>
      <c r="AA43" t="s">
        <v>4543</v>
      </c>
      <c r="AB43" t="s">
        <v>51</v>
      </c>
      <c r="AC43" t="s">
        <v>4353</v>
      </c>
      <c r="AD43" t="s">
        <v>4506</v>
      </c>
      <c r="AE43" t="s">
        <v>4515</v>
      </c>
      <c r="AF43" t="s">
        <v>4617</v>
      </c>
      <c r="AG43" t="s">
        <v>4353</v>
      </c>
      <c r="AH43" t="s">
        <v>4506</v>
      </c>
      <c r="AI43" t="s">
        <v>4353</v>
      </c>
      <c r="AJ43" t="s">
        <v>4506</v>
      </c>
      <c r="AK43" t="s">
        <v>4519</v>
      </c>
      <c r="AL43" t="s">
        <v>4552</v>
      </c>
      <c r="AM43" t="s">
        <v>4528</v>
      </c>
      <c r="AN43" t="s">
        <v>4618</v>
      </c>
      <c r="AO43" s="134">
        <v>108.23858742463401</v>
      </c>
      <c r="AP43" s="135">
        <v>111.543572044866</v>
      </c>
      <c r="AQ43">
        <v>0.42795513373597899</v>
      </c>
      <c r="AR43" s="136">
        <v>1.21225194132873</v>
      </c>
      <c r="AS43">
        <v>6.8973252804141501</v>
      </c>
    </row>
    <row r="44" spans="1:45" customFormat="1" ht="60">
      <c r="A44" s="65">
        <v>584</v>
      </c>
      <c r="B44" s="72" t="s">
        <v>1628</v>
      </c>
      <c r="C44" s="82" t="s">
        <v>45</v>
      </c>
      <c r="D44" s="31">
        <f t="shared" si="6"/>
        <v>4</v>
      </c>
      <c r="E44" s="83" t="s">
        <v>80</v>
      </c>
      <c r="F44" s="31">
        <f t="shared" si="7"/>
        <v>4</v>
      </c>
      <c r="G44" s="75" t="s">
        <v>1632</v>
      </c>
      <c r="H44" s="81">
        <f t="shared" si="8"/>
        <v>96</v>
      </c>
      <c r="I44" s="92">
        <f t="shared" si="5"/>
        <v>0.37520377940432514</v>
      </c>
      <c r="J44" s="95">
        <v>4.0755880865028798E-4</v>
      </c>
      <c r="K44" s="96">
        <v>0.72222468700001197</v>
      </c>
      <c r="L44" s="96">
        <v>0.75</v>
      </c>
      <c r="M44" s="96">
        <v>0.68056171750003003</v>
      </c>
      <c r="N44" s="31">
        <v>1</v>
      </c>
      <c r="O44" s="97">
        <v>44127</v>
      </c>
      <c r="P44" s="98">
        <f t="shared" si="9"/>
        <v>1</v>
      </c>
      <c r="Q44" s="111"/>
      <c r="R44" s="111"/>
      <c r="S44" s="111"/>
      <c r="T44" s="112" t="s">
        <v>73</v>
      </c>
      <c r="U44" s="85" t="s">
        <v>1633</v>
      </c>
      <c r="V44" s="109" t="s">
        <v>1634</v>
      </c>
      <c r="W44" s="83">
        <f t="shared" si="10"/>
        <v>65</v>
      </c>
      <c r="X44" s="40">
        <v>0</v>
      </c>
      <c r="Y44" s="40">
        <v>5</v>
      </c>
      <c r="Z44" s="65"/>
      <c r="AA44" t="s">
        <v>4619</v>
      </c>
      <c r="AB44" t="s">
        <v>4594</v>
      </c>
      <c r="AC44" t="s">
        <v>4515</v>
      </c>
      <c r="AD44" t="s">
        <v>4620</v>
      </c>
      <c r="AE44" t="s">
        <v>4515</v>
      </c>
      <c r="AF44" t="s">
        <v>4620</v>
      </c>
      <c r="AG44" t="s">
        <v>4353</v>
      </c>
      <c r="AH44" t="s">
        <v>4506</v>
      </c>
      <c r="AI44" t="s">
        <v>4353</v>
      </c>
      <c r="AJ44" t="s">
        <v>4506</v>
      </c>
      <c r="AK44" t="s">
        <v>4518</v>
      </c>
      <c r="AL44" t="s">
        <v>4552</v>
      </c>
      <c r="AM44" t="s">
        <v>4520</v>
      </c>
      <c r="AN44" t="s">
        <v>4621</v>
      </c>
      <c r="AO44" s="134">
        <v>108.249137931034</v>
      </c>
      <c r="AP44" s="135">
        <v>111.543572044866</v>
      </c>
      <c r="AQ44">
        <v>0.42795513373597899</v>
      </c>
      <c r="AR44" s="136">
        <v>1.21225194132873</v>
      </c>
      <c r="AS44">
        <v>6.8973252804141501</v>
      </c>
    </row>
    <row r="45" spans="1:45" customFormat="1" ht="150">
      <c r="A45" s="65">
        <v>752</v>
      </c>
      <c r="B45" s="72" t="s">
        <v>2053</v>
      </c>
      <c r="C45" s="82" t="s">
        <v>45</v>
      </c>
      <c r="D45" s="31">
        <f t="shared" si="6"/>
        <v>4</v>
      </c>
      <c r="E45" s="83" t="s">
        <v>221</v>
      </c>
      <c r="F45" s="31">
        <f t="shared" si="7"/>
        <v>2</v>
      </c>
      <c r="G45" s="85" t="s">
        <v>2057</v>
      </c>
      <c r="H45" s="81">
        <f t="shared" si="8"/>
        <v>49</v>
      </c>
      <c r="I45" s="92">
        <f t="shared" si="5"/>
        <v>0.87434757008365049</v>
      </c>
      <c r="J45" s="95">
        <v>0.99869514016730099</v>
      </c>
      <c r="K45" s="96">
        <v>0.72222468700001197</v>
      </c>
      <c r="L45" s="96">
        <v>0.75</v>
      </c>
      <c r="M45" s="96">
        <v>0.68056171750003003</v>
      </c>
      <c r="N45" s="31">
        <v>0</v>
      </c>
      <c r="O45" s="97">
        <v>44126</v>
      </c>
      <c r="P45" s="98">
        <f t="shared" si="9"/>
        <v>0</v>
      </c>
      <c r="Q45" s="107"/>
      <c r="R45" s="107"/>
      <c r="S45" s="107"/>
      <c r="T45" s="108" t="s">
        <v>48</v>
      </c>
      <c r="U45" s="75" t="s">
        <v>4421</v>
      </c>
      <c r="V45" s="109" t="s">
        <v>2059</v>
      </c>
      <c r="W45" s="83">
        <f t="shared" si="10"/>
        <v>33</v>
      </c>
      <c r="X45" s="83">
        <v>0</v>
      </c>
      <c r="Y45" s="83">
        <v>5</v>
      </c>
      <c r="Z45" s="65"/>
      <c r="AA45" t="s">
        <v>4564</v>
      </c>
      <c r="AB45" t="s">
        <v>87</v>
      </c>
      <c r="AC45" t="s">
        <v>4513</v>
      </c>
      <c r="AD45" t="s">
        <v>4622</v>
      </c>
      <c r="AE45" t="s">
        <v>4515</v>
      </c>
      <c r="AF45" t="s">
        <v>4623</v>
      </c>
      <c r="AG45" t="s">
        <v>223</v>
      </c>
      <c r="AH45" t="s">
        <v>4531</v>
      </c>
      <c r="AI45" t="s">
        <v>4353</v>
      </c>
      <c r="AJ45" t="s">
        <v>4506</v>
      </c>
      <c r="AK45" t="s">
        <v>4518</v>
      </c>
      <c r="AL45" t="s">
        <v>4519</v>
      </c>
      <c r="AM45" t="s">
        <v>4528</v>
      </c>
      <c r="AN45" t="s">
        <v>4624</v>
      </c>
      <c r="AO45" s="134">
        <v>108.300258843831</v>
      </c>
      <c r="AP45" s="135">
        <v>111.639585133967</v>
      </c>
      <c r="AQ45">
        <v>0.42783059636992199</v>
      </c>
      <c r="AR45" s="136">
        <v>1.21261884183232</v>
      </c>
      <c r="AS45">
        <v>6.9031979256698399</v>
      </c>
    </row>
    <row r="46" spans="1:45" customFormat="1" ht="60">
      <c r="A46">
        <v>1015</v>
      </c>
      <c r="B46" s="72" t="s">
        <v>2752</v>
      </c>
      <c r="C46" s="82" t="s">
        <v>45</v>
      </c>
      <c r="D46" s="31">
        <f t="shared" si="6"/>
        <v>4</v>
      </c>
      <c r="E46" s="83" t="s">
        <v>80</v>
      </c>
      <c r="F46" s="31">
        <f t="shared" si="7"/>
        <v>4</v>
      </c>
      <c r="G46" s="86" t="s">
        <v>2756</v>
      </c>
      <c r="H46" s="81">
        <f t="shared" si="8"/>
        <v>49</v>
      </c>
      <c r="I46" s="92">
        <f t="shared" si="5"/>
        <v>0.35893296924846624</v>
      </c>
      <c r="J46" s="95">
        <v>3.60477566787505E-2</v>
      </c>
      <c r="K46" s="96">
        <v>0.72827870552673202</v>
      </c>
      <c r="L46" s="96">
        <v>0.68181818181818199</v>
      </c>
      <c r="M46" s="96">
        <v>0.79796949108955795</v>
      </c>
      <c r="N46" s="31">
        <v>1</v>
      </c>
      <c r="O46" s="104">
        <v>44124</v>
      </c>
      <c r="P46" s="98">
        <f t="shared" si="9"/>
        <v>1</v>
      </c>
      <c r="Q46" s="124"/>
      <c r="R46" s="124"/>
      <c r="S46" s="124"/>
      <c r="T46" s="125" t="s">
        <v>73</v>
      </c>
      <c r="U46" s="86" t="s">
        <v>2757</v>
      </c>
      <c r="V46" s="109" t="s">
        <v>2758</v>
      </c>
      <c r="W46" s="83">
        <f t="shared" si="10"/>
        <v>29</v>
      </c>
      <c r="X46" s="110">
        <v>0</v>
      </c>
      <c r="Y46" s="110">
        <v>2</v>
      </c>
      <c r="Z46" s="65"/>
      <c r="AA46" t="s">
        <v>4564</v>
      </c>
      <c r="AB46" t="s">
        <v>51</v>
      </c>
      <c r="AC46" t="s">
        <v>4353</v>
      </c>
      <c r="AD46" t="s">
        <v>4506</v>
      </c>
      <c r="AE46" t="s">
        <v>4513</v>
      </c>
      <c r="AF46" t="s">
        <v>4625</v>
      </c>
      <c r="AG46" t="s">
        <v>4353</v>
      </c>
      <c r="AH46" t="s">
        <v>4506</v>
      </c>
      <c r="AI46" t="s">
        <v>4353</v>
      </c>
      <c r="AJ46" t="s">
        <v>4506</v>
      </c>
      <c r="AK46" t="s">
        <v>4519</v>
      </c>
      <c r="AL46" t="s">
        <v>4519</v>
      </c>
      <c r="AM46" t="s">
        <v>4592</v>
      </c>
      <c r="AN46" t="s">
        <v>4626</v>
      </c>
      <c r="AO46" s="134">
        <v>108.351468048359</v>
      </c>
      <c r="AP46" s="135">
        <v>111.639585133967</v>
      </c>
      <c r="AQ46">
        <v>0.42783059636992199</v>
      </c>
      <c r="AR46" s="136">
        <v>1.21261884183232</v>
      </c>
      <c r="AS46">
        <v>6.9031979256698399</v>
      </c>
    </row>
    <row r="47" spans="1:45" customFormat="1" ht="60">
      <c r="A47">
        <v>726</v>
      </c>
      <c r="B47" s="72" t="s">
        <v>1989</v>
      </c>
      <c r="C47" s="82" t="s">
        <v>45</v>
      </c>
      <c r="D47" s="31">
        <f t="shared" si="6"/>
        <v>4</v>
      </c>
      <c r="E47" s="83" t="s">
        <v>80</v>
      </c>
      <c r="F47" s="31">
        <f t="shared" si="7"/>
        <v>4</v>
      </c>
      <c r="G47" s="75" t="s">
        <v>1990</v>
      </c>
      <c r="H47" s="81">
        <f t="shared" si="8"/>
        <v>59</v>
      </c>
      <c r="I47" s="92">
        <f t="shared" si="5"/>
        <v>0.41663125198286965</v>
      </c>
      <c r="J47" s="95">
        <v>8.2625039657393505E-3</v>
      </c>
      <c r="K47" s="96">
        <v>0.76722468700001201</v>
      </c>
      <c r="L47" s="96">
        <v>0.82499999999999996</v>
      </c>
      <c r="M47" s="96">
        <v>0.68056171750003003</v>
      </c>
      <c r="N47" s="31">
        <v>1</v>
      </c>
      <c r="O47" s="99">
        <v>44121</v>
      </c>
      <c r="P47" s="98">
        <f t="shared" si="9"/>
        <v>1</v>
      </c>
      <c r="Q47" s="107"/>
      <c r="R47" s="107"/>
      <c r="S47" s="107"/>
      <c r="T47" s="108" t="s">
        <v>73</v>
      </c>
      <c r="U47" s="85" t="s">
        <v>1991</v>
      </c>
      <c r="V47" s="109" t="s">
        <v>1992</v>
      </c>
      <c r="W47" s="83">
        <f t="shared" si="10"/>
        <v>83</v>
      </c>
      <c r="X47" s="83">
        <v>1</v>
      </c>
      <c r="Y47" s="83">
        <v>5</v>
      </c>
      <c r="Z47" s="65"/>
      <c r="AA47" t="s">
        <v>4522</v>
      </c>
      <c r="AB47" t="s">
        <v>51</v>
      </c>
      <c r="AC47" t="s">
        <v>4353</v>
      </c>
      <c r="AD47" t="s">
        <v>4506</v>
      </c>
      <c r="AE47" t="s">
        <v>4513</v>
      </c>
      <c r="AF47" t="s">
        <v>4627</v>
      </c>
      <c r="AG47" t="s">
        <v>223</v>
      </c>
      <c r="AH47" t="s">
        <v>4540</v>
      </c>
      <c r="AI47" t="s">
        <v>4353</v>
      </c>
      <c r="AJ47" t="s">
        <v>4506</v>
      </c>
      <c r="AK47" t="s">
        <v>4519</v>
      </c>
      <c r="AL47" t="s">
        <v>4519</v>
      </c>
      <c r="AM47" t="s">
        <v>4520</v>
      </c>
      <c r="AN47" t="s">
        <v>4558</v>
      </c>
      <c r="AO47" s="134">
        <v>108.39412273120099</v>
      </c>
      <c r="AP47" s="135">
        <v>111.639585133967</v>
      </c>
      <c r="AQ47">
        <v>0.42783059636992199</v>
      </c>
      <c r="AR47" s="136">
        <v>1.21261884183232</v>
      </c>
      <c r="AS47">
        <v>6.9031979256698399</v>
      </c>
    </row>
    <row r="48" spans="1:45" customFormat="1" ht="60">
      <c r="A48" s="65">
        <v>1073</v>
      </c>
      <c r="B48" s="72" t="s">
        <v>2916</v>
      </c>
      <c r="C48" s="82" t="s">
        <v>45</v>
      </c>
      <c r="D48" s="31">
        <f t="shared" si="6"/>
        <v>4</v>
      </c>
      <c r="E48" s="83" t="s">
        <v>80</v>
      </c>
      <c r="F48" s="31">
        <f t="shared" si="7"/>
        <v>4</v>
      </c>
      <c r="G48" s="85" t="s">
        <v>2917</v>
      </c>
      <c r="H48" s="81">
        <f t="shared" si="8"/>
        <v>61</v>
      </c>
      <c r="I48" s="92">
        <f t="shared" si="5"/>
        <v>0.89387498492377504</v>
      </c>
      <c r="J48" s="95">
        <v>0.96274996984755001</v>
      </c>
      <c r="K48" s="96">
        <v>0.83785714285714297</v>
      </c>
      <c r="L48" s="96">
        <v>0.82499999999999996</v>
      </c>
      <c r="M48" s="96">
        <v>0.85714285714285698</v>
      </c>
      <c r="N48" s="31">
        <v>1</v>
      </c>
      <c r="O48" s="97">
        <v>44115</v>
      </c>
      <c r="P48" s="98">
        <f t="shared" si="9"/>
        <v>1</v>
      </c>
      <c r="Q48" s="113"/>
      <c r="R48" s="113"/>
      <c r="S48" s="113"/>
      <c r="T48" s="119" t="s">
        <v>73</v>
      </c>
      <c r="U48" s="85" t="s">
        <v>2918</v>
      </c>
      <c r="V48" s="109" t="s">
        <v>2919</v>
      </c>
      <c r="W48" s="83">
        <f t="shared" si="10"/>
        <v>82</v>
      </c>
      <c r="X48" s="83">
        <v>0</v>
      </c>
      <c r="Y48" s="83">
        <v>1</v>
      </c>
      <c r="Z48" s="65"/>
      <c r="AA48" t="s">
        <v>4628</v>
      </c>
      <c r="AB48" t="s">
        <v>51</v>
      </c>
      <c r="AC48" t="s">
        <v>4353</v>
      </c>
      <c r="AD48" t="s">
        <v>4506</v>
      </c>
      <c r="AE48" t="s">
        <v>4515</v>
      </c>
      <c r="AF48" t="s">
        <v>4629</v>
      </c>
      <c r="AG48" t="s">
        <v>223</v>
      </c>
      <c r="AH48" t="s">
        <v>4540</v>
      </c>
      <c r="AI48" t="s">
        <v>4353</v>
      </c>
      <c r="AJ48" t="s">
        <v>4506</v>
      </c>
      <c r="AK48" t="s">
        <v>4519</v>
      </c>
      <c r="AL48" t="s">
        <v>4541</v>
      </c>
      <c r="AM48" t="s">
        <v>4510</v>
      </c>
      <c r="AN48" t="s">
        <v>4630</v>
      </c>
      <c r="AO48" s="134">
        <v>108.435121107266</v>
      </c>
      <c r="AP48" s="135">
        <v>111.735701906412</v>
      </c>
      <c r="AQ48">
        <v>0.42894280762565001</v>
      </c>
      <c r="AR48" s="136">
        <v>1.21317157712305</v>
      </c>
      <c r="AS48">
        <v>6.9055459272097099</v>
      </c>
    </row>
    <row r="49" spans="1:45" customFormat="1" ht="75">
      <c r="A49">
        <v>59</v>
      </c>
      <c r="B49" s="72" t="s">
        <v>217</v>
      </c>
      <c r="C49" s="87" t="s">
        <v>45</v>
      </c>
      <c r="D49" s="31">
        <f t="shared" si="6"/>
        <v>4</v>
      </c>
      <c r="E49" s="87" t="s">
        <v>221</v>
      </c>
      <c r="F49" s="31">
        <f t="shared" si="7"/>
        <v>2</v>
      </c>
      <c r="G49" s="85" t="s">
        <v>226</v>
      </c>
      <c r="H49" s="81">
        <f t="shared" si="8"/>
        <v>47</v>
      </c>
      <c r="I49" s="92">
        <f t="shared" si="5"/>
        <v>0.80222593551570154</v>
      </c>
      <c r="J49" s="93">
        <v>0.98461716028760105</v>
      </c>
      <c r="K49" s="102">
        <v>0.65761511216056701</v>
      </c>
      <c r="L49" s="102">
        <v>0.61983471074380203</v>
      </c>
      <c r="M49" s="102">
        <v>0.71428571428571397</v>
      </c>
      <c r="N49" s="31">
        <v>1</v>
      </c>
      <c r="O49" s="97">
        <v>44112</v>
      </c>
      <c r="P49" s="98">
        <f t="shared" si="9"/>
        <v>1</v>
      </c>
      <c r="Q49" s="105"/>
      <c r="R49" s="105"/>
      <c r="S49" s="105"/>
      <c r="T49" s="106" t="s">
        <v>73</v>
      </c>
      <c r="U49" s="80" t="s">
        <v>227</v>
      </c>
      <c r="V49" s="122" t="s">
        <v>228</v>
      </c>
      <c r="W49" s="83">
        <f t="shared" si="10"/>
        <v>68</v>
      </c>
      <c r="X49" s="30">
        <v>0</v>
      </c>
      <c r="Y49" s="30">
        <v>4</v>
      </c>
      <c r="Z49" s="65"/>
      <c r="AA49" t="s">
        <v>4543</v>
      </c>
      <c r="AB49" t="s">
        <v>51</v>
      </c>
      <c r="AC49" t="s">
        <v>4353</v>
      </c>
      <c r="AD49" t="s">
        <v>4506</v>
      </c>
      <c r="AE49" t="s">
        <v>223</v>
      </c>
      <c r="AF49" t="s">
        <v>4631</v>
      </c>
      <c r="AG49" t="s">
        <v>4353</v>
      </c>
      <c r="AH49" t="s">
        <v>4506</v>
      </c>
      <c r="AI49" t="s">
        <v>4353</v>
      </c>
      <c r="AJ49" t="s">
        <v>4506</v>
      </c>
      <c r="AK49" t="s">
        <v>4519</v>
      </c>
      <c r="AL49" t="s">
        <v>4519</v>
      </c>
      <c r="AM49" t="s">
        <v>4528</v>
      </c>
      <c r="AN49" t="s">
        <v>4529</v>
      </c>
      <c r="AO49" s="134">
        <v>108.488311688312</v>
      </c>
      <c r="AP49" s="135">
        <v>111.552083333333</v>
      </c>
      <c r="AQ49">
        <v>0.4296875</v>
      </c>
      <c r="AR49" s="136">
        <v>1.2135416666666701</v>
      </c>
      <c r="AS49">
        <v>6.9105902777777803</v>
      </c>
    </row>
    <row r="50" spans="1:45" customFormat="1" ht="195">
      <c r="A50">
        <v>202</v>
      </c>
      <c r="B50" s="72" t="s">
        <v>589</v>
      </c>
      <c r="C50" s="82" t="s">
        <v>45</v>
      </c>
      <c r="D50" s="31">
        <f t="shared" si="6"/>
        <v>4</v>
      </c>
      <c r="E50" s="83" t="s">
        <v>221</v>
      </c>
      <c r="F50" s="31">
        <f t="shared" si="7"/>
        <v>2</v>
      </c>
      <c r="G50" s="75" t="s">
        <v>617</v>
      </c>
      <c r="H50" s="81">
        <f t="shared" si="8"/>
        <v>85</v>
      </c>
      <c r="I50" s="92">
        <f t="shared" si="5"/>
        <v>0.23300870320406777</v>
      </c>
      <c r="J50" s="95">
        <v>3.26414113769546E-4</v>
      </c>
      <c r="K50" s="96">
        <v>0.62227173823376303</v>
      </c>
      <c r="L50" s="96">
        <v>0.465690992294366</v>
      </c>
      <c r="M50" s="96">
        <v>0.85714285714285698</v>
      </c>
      <c r="N50" s="31">
        <v>0</v>
      </c>
      <c r="O50" s="97">
        <v>44112</v>
      </c>
      <c r="P50" s="98">
        <f t="shared" si="9"/>
        <v>0</v>
      </c>
      <c r="Q50" s="107"/>
      <c r="R50" s="107"/>
      <c r="S50" s="107"/>
      <c r="T50" s="108" t="s">
        <v>48</v>
      </c>
      <c r="U50" s="85" t="s">
        <v>618</v>
      </c>
      <c r="V50" s="109" t="s">
        <v>619</v>
      </c>
      <c r="W50" s="83">
        <f t="shared" si="10"/>
        <v>271</v>
      </c>
      <c r="X50" s="83">
        <v>0</v>
      </c>
      <c r="Y50" s="83">
        <v>1</v>
      </c>
      <c r="Z50" s="65"/>
      <c r="AA50" t="s">
        <v>4632</v>
      </c>
      <c r="AB50" t="s">
        <v>87</v>
      </c>
      <c r="AC50" t="s">
        <v>4513</v>
      </c>
      <c r="AD50" t="s">
        <v>4555</v>
      </c>
      <c r="AE50" t="s">
        <v>4353</v>
      </c>
      <c r="AF50" t="s">
        <v>4506</v>
      </c>
      <c r="AG50" t="s">
        <v>4515</v>
      </c>
      <c r="AH50" t="s">
        <v>4633</v>
      </c>
      <c r="AI50" t="s">
        <v>4353</v>
      </c>
      <c r="AJ50" t="s">
        <v>4506</v>
      </c>
      <c r="AK50" t="s">
        <v>4519</v>
      </c>
      <c r="AL50" t="s">
        <v>4519</v>
      </c>
      <c r="AM50" t="s">
        <v>4510</v>
      </c>
      <c r="AN50" t="s">
        <v>4550</v>
      </c>
      <c r="AO50" s="134">
        <v>108.50866551126499</v>
      </c>
      <c r="AP50" s="135">
        <v>111.552083333333</v>
      </c>
      <c r="AQ50">
        <v>0.4296875</v>
      </c>
      <c r="AR50" s="136">
        <v>1.2135416666666701</v>
      </c>
      <c r="AS50">
        <v>6.9105902777777803</v>
      </c>
    </row>
    <row r="51" spans="1:45" customFormat="1" ht="120">
      <c r="A51">
        <v>203</v>
      </c>
      <c r="B51" s="72" t="s">
        <v>589</v>
      </c>
      <c r="C51" s="82" t="s">
        <v>45</v>
      </c>
      <c r="D51" s="31">
        <f t="shared" si="6"/>
        <v>4</v>
      </c>
      <c r="E51" s="83" t="s">
        <v>80</v>
      </c>
      <c r="F51" s="31">
        <f t="shared" si="7"/>
        <v>4</v>
      </c>
      <c r="G51" s="85" t="s">
        <v>620</v>
      </c>
      <c r="H51" s="81">
        <f t="shared" si="8"/>
        <v>74</v>
      </c>
      <c r="I51" s="92">
        <f t="shared" si="5"/>
        <v>0.41250740859547641</v>
      </c>
      <c r="J51" s="95">
        <v>1.48171909528649E-5</v>
      </c>
      <c r="K51" s="96">
        <v>0.74381421079630905</v>
      </c>
      <c r="L51" s="96">
        <v>0.82499999999999996</v>
      </c>
      <c r="M51" s="96">
        <v>0.62203552699077302</v>
      </c>
      <c r="N51" s="31">
        <v>1</v>
      </c>
      <c r="O51" s="97">
        <v>44107</v>
      </c>
      <c r="P51" s="98">
        <f t="shared" si="9"/>
        <v>0</v>
      </c>
      <c r="Q51" s="107"/>
      <c r="R51" s="107"/>
      <c r="S51" s="107"/>
      <c r="T51" s="108" t="s">
        <v>48</v>
      </c>
      <c r="U51" s="85" t="s">
        <v>621</v>
      </c>
      <c r="V51" s="109" t="s">
        <v>622</v>
      </c>
      <c r="W51" s="83">
        <f t="shared" si="10"/>
        <v>164</v>
      </c>
      <c r="X51" s="83">
        <v>0</v>
      </c>
      <c r="Y51" s="83">
        <v>7</v>
      </c>
      <c r="Z51" s="65"/>
      <c r="AA51" t="s">
        <v>4564</v>
      </c>
      <c r="AB51" t="s">
        <v>67</v>
      </c>
      <c r="AC51" t="s">
        <v>4353</v>
      </c>
      <c r="AD51" t="s">
        <v>4506</v>
      </c>
      <c r="AE51" t="s">
        <v>4353</v>
      </c>
      <c r="AF51" t="s">
        <v>4506</v>
      </c>
      <c r="AG51" t="s">
        <v>4353</v>
      </c>
      <c r="AH51" t="s">
        <v>4506</v>
      </c>
      <c r="AI51" t="s">
        <v>4353</v>
      </c>
      <c r="AJ51" t="s">
        <v>4506</v>
      </c>
      <c r="AK51" t="s">
        <v>4519</v>
      </c>
      <c r="AL51" t="s">
        <v>4552</v>
      </c>
      <c r="AM51" t="s">
        <v>4510</v>
      </c>
      <c r="AN51" t="s">
        <v>4634</v>
      </c>
      <c r="AO51" s="134">
        <v>108.538594969644</v>
      </c>
      <c r="AP51" s="135">
        <v>111.552083333333</v>
      </c>
      <c r="AQ51">
        <v>0.4296875</v>
      </c>
      <c r="AR51" s="136">
        <v>1.2135416666666701</v>
      </c>
      <c r="AS51">
        <v>6.9105902777777803</v>
      </c>
    </row>
    <row r="52" spans="1:45" customFormat="1" ht="60">
      <c r="A52">
        <v>727</v>
      </c>
      <c r="B52" s="72" t="s">
        <v>1989</v>
      </c>
      <c r="C52" s="82" t="s">
        <v>45</v>
      </c>
      <c r="D52" s="31">
        <f t="shared" si="6"/>
        <v>4</v>
      </c>
      <c r="E52" s="83" t="s">
        <v>80</v>
      </c>
      <c r="F52" s="31">
        <f t="shared" si="7"/>
        <v>4</v>
      </c>
      <c r="G52" s="85" t="s">
        <v>1993</v>
      </c>
      <c r="H52" s="81">
        <f t="shared" si="8"/>
        <v>41</v>
      </c>
      <c r="I52" s="92">
        <f t="shared" si="5"/>
        <v>0.41397051026040699</v>
      </c>
      <c r="J52" s="95">
        <v>2.9410205208140199E-3</v>
      </c>
      <c r="K52" s="96">
        <v>0.68896849854491504</v>
      </c>
      <c r="L52" s="96">
        <v>0.82499999999999996</v>
      </c>
      <c r="M52" s="96">
        <v>0.48492124636228701</v>
      </c>
      <c r="N52" s="31">
        <v>1</v>
      </c>
      <c r="O52" s="97">
        <v>44104</v>
      </c>
      <c r="P52" s="98">
        <f t="shared" si="9"/>
        <v>1</v>
      </c>
      <c r="Q52" s="113"/>
      <c r="R52" s="113"/>
      <c r="S52" s="113"/>
      <c r="T52" s="114" t="s">
        <v>73</v>
      </c>
      <c r="U52" s="85" t="s">
        <v>1994</v>
      </c>
      <c r="V52" s="109" t="s">
        <v>1995</v>
      </c>
      <c r="W52" s="83">
        <f t="shared" si="10"/>
        <v>74</v>
      </c>
      <c r="X52" s="83">
        <v>0</v>
      </c>
      <c r="Y52" s="83">
        <v>13</v>
      </c>
      <c r="Z52" s="65"/>
      <c r="AA52" t="s">
        <v>4522</v>
      </c>
      <c r="AB52" t="s">
        <v>51</v>
      </c>
      <c r="AC52" t="s">
        <v>4353</v>
      </c>
      <c r="AD52" t="s">
        <v>4506</v>
      </c>
      <c r="AE52" t="s">
        <v>4513</v>
      </c>
      <c r="AF52" t="s">
        <v>4609</v>
      </c>
      <c r="AG52" t="s">
        <v>223</v>
      </c>
      <c r="AH52" t="s">
        <v>4635</v>
      </c>
      <c r="AI52" t="s">
        <v>4353</v>
      </c>
      <c r="AJ52" t="s">
        <v>4506</v>
      </c>
      <c r="AK52" t="s">
        <v>4519</v>
      </c>
      <c r="AL52" t="s">
        <v>4519</v>
      </c>
      <c r="AM52" t="s">
        <v>4510</v>
      </c>
      <c r="AN52" t="s">
        <v>4550</v>
      </c>
      <c r="AO52" s="134">
        <v>108.597222222222</v>
      </c>
      <c r="AP52" s="135">
        <v>111.552083333333</v>
      </c>
      <c r="AQ52">
        <v>0.4296875</v>
      </c>
      <c r="AR52" s="136">
        <v>1.2135416666666701</v>
      </c>
      <c r="AS52">
        <v>6.9105902777777803</v>
      </c>
    </row>
    <row r="53" spans="1:45" customFormat="1" ht="75">
      <c r="A53" s="65">
        <v>60</v>
      </c>
      <c r="B53" s="72" t="s">
        <v>217</v>
      </c>
      <c r="C53" s="87" t="s">
        <v>59</v>
      </c>
      <c r="D53" s="31">
        <f t="shared" si="6"/>
        <v>5</v>
      </c>
      <c r="E53" s="87" t="s">
        <v>80</v>
      </c>
      <c r="F53" s="31">
        <f t="shared" si="7"/>
        <v>4</v>
      </c>
      <c r="G53" s="80" t="s">
        <v>229</v>
      </c>
      <c r="H53" s="81">
        <f t="shared" si="8"/>
        <v>47</v>
      </c>
      <c r="I53" s="92">
        <f t="shared" ref="I53:I67" si="11">(J53+L53)/2</f>
        <v>0.51253955155551556</v>
      </c>
      <c r="J53" s="93">
        <v>0.34326092129284902</v>
      </c>
      <c r="K53" s="102">
        <v>0.75194805194805203</v>
      </c>
      <c r="L53" s="102">
        <v>0.68181818181818199</v>
      </c>
      <c r="M53" s="102">
        <v>0.85714285714285698</v>
      </c>
      <c r="N53" s="31">
        <v>1</v>
      </c>
      <c r="O53" s="103">
        <v>44089</v>
      </c>
      <c r="P53" s="98">
        <f t="shared" si="9"/>
        <v>0</v>
      </c>
      <c r="Q53" s="105"/>
      <c r="R53" s="105"/>
      <c r="S53" s="105"/>
      <c r="T53" s="106" t="s">
        <v>48</v>
      </c>
      <c r="U53" s="90" t="s">
        <v>230</v>
      </c>
      <c r="V53" s="122" t="s">
        <v>231</v>
      </c>
      <c r="W53" s="83">
        <f t="shared" si="10"/>
        <v>94</v>
      </c>
      <c r="X53" s="121">
        <v>0</v>
      </c>
      <c r="Y53" s="121">
        <v>1</v>
      </c>
      <c r="Z53" s="65"/>
      <c r="AA53" t="s">
        <v>4543</v>
      </c>
      <c r="AB53" t="s">
        <v>71</v>
      </c>
      <c r="AC53" t="s">
        <v>4353</v>
      </c>
      <c r="AD53" t="s">
        <v>4506</v>
      </c>
      <c r="AE53" t="s">
        <v>4353</v>
      </c>
      <c r="AF53" t="s">
        <v>4506</v>
      </c>
      <c r="AG53" t="s">
        <v>223</v>
      </c>
      <c r="AH53" t="s">
        <v>4606</v>
      </c>
      <c r="AI53" t="s">
        <v>4353</v>
      </c>
      <c r="AJ53" t="s">
        <v>4506</v>
      </c>
      <c r="AK53" t="s">
        <v>4519</v>
      </c>
      <c r="AL53" t="s">
        <v>4519</v>
      </c>
      <c r="AM53" t="s">
        <v>4528</v>
      </c>
      <c r="AN53" t="s">
        <v>4529</v>
      </c>
      <c r="AO53" s="134">
        <v>108.650738488271</v>
      </c>
      <c r="AP53" s="135">
        <v>111.56733275412699</v>
      </c>
      <c r="AQ53">
        <v>0.43006081668114698</v>
      </c>
      <c r="AR53" s="136">
        <v>1.2137271937445699</v>
      </c>
      <c r="AS53">
        <v>6.9157254561251102</v>
      </c>
    </row>
    <row r="54" spans="1:45" customFormat="1" ht="90">
      <c r="A54" s="65">
        <v>204</v>
      </c>
      <c r="B54" s="72" t="s">
        <v>589</v>
      </c>
      <c r="C54" s="82" t="s">
        <v>45</v>
      </c>
      <c r="D54" s="31">
        <f t="shared" si="6"/>
        <v>4</v>
      </c>
      <c r="E54" s="83" t="s">
        <v>221</v>
      </c>
      <c r="F54" s="31">
        <f t="shared" si="7"/>
        <v>2</v>
      </c>
      <c r="G54" s="75" t="s">
        <v>623</v>
      </c>
      <c r="H54" s="81">
        <f t="shared" si="8"/>
        <v>55</v>
      </c>
      <c r="I54" s="92">
        <f t="shared" si="11"/>
        <v>0.38400326012524649</v>
      </c>
      <c r="J54" s="95">
        <v>0.20452041957431</v>
      </c>
      <c r="K54" s="96">
        <v>0.63911732854463099</v>
      </c>
      <c r="L54" s="96">
        <v>0.56348610067618299</v>
      </c>
      <c r="M54" s="96">
        <v>0.75256417034730305</v>
      </c>
      <c r="N54" s="31">
        <v>1</v>
      </c>
      <c r="O54" s="97">
        <v>44078</v>
      </c>
      <c r="P54" s="98">
        <f t="shared" si="9"/>
        <v>0</v>
      </c>
      <c r="Q54" s="107"/>
      <c r="R54" s="107"/>
      <c r="S54" s="107"/>
      <c r="T54" s="108" t="s">
        <v>48</v>
      </c>
      <c r="U54" s="85" t="s">
        <v>624</v>
      </c>
      <c r="V54" s="109" t="s">
        <v>625</v>
      </c>
      <c r="W54" s="83">
        <f t="shared" si="10"/>
        <v>116</v>
      </c>
      <c r="X54" s="83">
        <v>0</v>
      </c>
      <c r="Y54" s="83">
        <v>3</v>
      </c>
      <c r="Z54" s="65"/>
      <c r="AA54" t="s">
        <v>4564</v>
      </c>
      <c r="AB54" t="s">
        <v>51</v>
      </c>
      <c r="AC54" t="s">
        <v>223</v>
      </c>
      <c r="AD54" t="s">
        <v>4549</v>
      </c>
      <c r="AE54" t="s">
        <v>4513</v>
      </c>
      <c r="AF54" t="s">
        <v>4548</v>
      </c>
      <c r="AG54" t="s">
        <v>223</v>
      </c>
      <c r="AH54" t="s">
        <v>4549</v>
      </c>
      <c r="AI54" t="s">
        <v>4353</v>
      </c>
      <c r="AJ54" t="s">
        <v>4506</v>
      </c>
      <c r="AK54" t="s">
        <v>4519</v>
      </c>
      <c r="AL54" t="s">
        <v>4519</v>
      </c>
      <c r="AM54" t="s">
        <v>4562</v>
      </c>
      <c r="AN54" t="s">
        <v>4563</v>
      </c>
      <c r="AO54" s="134">
        <v>108.697391304348</v>
      </c>
      <c r="AP54" s="135">
        <v>111.56832027850299</v>
      </c>
      <c r="AQ54">
        <v>0.42993907745866</v>
      </c>
      <c r="AR54" s="136">
        <v>1.2140992167101801</v>
      </c>
      <c r="AS54">
        <v>6.9199303742384703</v>
      </c>
    </row>
    <row r="55" spans="1:45" customFormat="1" ht="90">
      <c r="A55" s="65">
        <v>1</v>
      </c>
      <c r="B55" s="79" t="s">
        <v>44</v>
      </c>
      <c r="C55" s="87" t="s">
        <v>45</v>
      </c>
      <c r="D55" s="31">
        <f t="shared" si="6"/>
        <v>4</v>
      </c>
      <c r="E55" s="87" t="s">
        <v>46</v>
      </c>
      <c r="F55" s="31">
        <f t="shared" si="7"/>
        <v>6</v>
      </c>
      <c r="G55" s="85" t="s">
        <v>47</v>
      </c>
      <c r="H55" s="81">
        <f t="shared" si="8"/>
        <v>166</v>
      </c>
      <c r="I55" s="92">
        <f t="shared" si="11"/>
        <v>0.37500535868632728</v>
      </c>
      <c r="J55" s="93">
        <v>1.0717372654567301E-5</v>
      </c>
      <c r="K55" s="102">
        <v>0.71002915755524698</v>
      </c>
      <c r="L55" s="102">
        <v>0.75</v>
      </c>
      <c r="M55" s="102">
        <v>0.65007289388811795</v>
      </c>
      <c r="N55" s="31" t="s">
        <v>223</v>
      </c>
      <c r="O55" s="32">
        <v>44077</v>
      </c>
      <c r="P55" s="98">
        <f t="shared" si="9"/>
        <v>0</v>
      </c>
      <c r="Q55" s="111">
        <v>2.5499999999999998</v>
      </c>
      <c r="R55" s="111">
        <v>0</v>
      </c>
      <c r="S55" s="111">
        <v>0</v>
      </c>
      <c r="T55" s="112" t="s">
        <v>48</v>
      </c>
      <c r="U55" s="85" t="s">
        <v>49</v>
      </c>
      <c r="V55" s="109" t="s">
        <v>50</v>
      </c>
      <c r="W55" s="83">
        <f t="shared" si="10"/>
        <v>106</v>
      </c>
      <c r="X55" s="30">
        <v>1</v>
      </c>
      <c r="Y55" s="30">
        <v>6</v>
      </c>
      <c r="Z55" s="65"/>
      <c r="AA55" t="s">
        <v>4556</v>
      </c>
      <c r="AB55" t="s">
        <v>51</v>
      </c>
      <c r="AC55" t="s">
        <v>4515</v>
      </c>
      <c r="AD55" t="s">
        <v>4607</v>
      </c>
      <c r="AE55" t="s">
        <v>4513</v>
      </c>
      <c r="AF55" t="s">
        <v>4620</v>
      </c>
      <c r="AG55" t="s">
        <v>4353</v>
      </c>
      <c r="AH55" t="s">
        <v>4506</v>
      </c>
      <c r="AI55" t="s">
        <v>4353</v>
      </c>
      <c r="AJ55" t="s">
        <v>4506</v>
      </c>
      <c r="AK55" t="s">
        <v>4519</v>
      </c>
      <c r="AL55" t="s">
        <v>4519</v>
      </c>
      <c r="AM55" t="s">
        <v>4510</v>
      </c>
      <c r="AN55" t="s">
        <v>4550</v>
      </c>
      <c r="AO55" s="134">
        <v>108.647519582245</v>
      </c>
      <c r="AP55" s="135">
        <v>111.56832027850299</v>
      </c>
      <c r="AQ55">
        <v>0.42993907745866</v>
      </c>
      <c r="AR55" s="136">
        <v>1.2140992167101801</v>
      </c>
      <c r="AS55">
        <v>6.9199303742384703</v>
      </c>
    </row>
    <row r="56" spans="1:45" customFormat="1" ht="120">
      <c r="A56">
        <v>771</v>
      </c>
      <c r="B56" s="72" t="s">
        <v>2098</v>
      </c>
      <c r="C56" s="82" t="s">
        <v>45</v>
      </c>
      <c r="D56" s="31">
        <f t="shared" si="6"/>
        <v>4</v>
      </c>
      <c r="E56" s="83" t="s">
        <v>1223</v>
      </c>
      <c r="F56" s="31">
        <f t="shared" si="7"/>
        <v>8</v>
      </c>
      <c r="G56" s="85" t="s">
        <v>2102</v>
      </c>
      <c r="H56" s="81">
        <f t="shared" si="8"/>
        <v>143</v>
      </c>
      <c r="I56" s="92">
        <f t="shared" si="11"/>
        <v>0.69243416926930346</v>
      </c>
      <c r="J56" s="95">
        <v>0.99999974986557705</v>
      </c>
      <c r="K56" s="96">
        <v>0.57377829606096098</v>
      </c>
      <c r="L56" s="96">
        <v>0.38486858867302998</v>
      </c>
      <c r="M56" s="96">
        <v>0.85714285714285698</v>
      </c>
      <c r="N56" s="31">
        <v>1</v>
      </c>
      <c r="O56" s="101">
        <v>44069</v>
      </c>
      <c r="P56" s="98">
        <f t="shared" si="9"/>
        <v>1</v>
      </c>
      <c r="Q56" s="111"/>
      <c r="R56" s="111"/>
      <c r="S56" s="111"/>
      <c r="T56" s="112" t="s">
        <v>73</v>
      </c>
      <c r="U56" s="85" t="s">
        <v>2103</v>
      </c>
      <c r="V56" s="109" t="s">
        <v>2104</v>
      </c>
      <c r="W56" s="83">
        <f t="shared" si="10"/>
        <v>157</v>
      </c>
      <c r="X56" s="40">
        <v>0</v>
      </c>
      <c r="Y56" s="40">
        <v>1</v>
      </c>
      <c r="Z56" s="65"/>
      <c r="AA56" t="s">
        <v>4636</v>
      </c>
      <c r="AB56" t="s">
        <v>51</v>
      </c>
      <c r="AC56" t="s">
        <v>223</v>
      </c>
      <c r="AD56" t="s">
        <v>4637</v>
      </c>
      <c r="AE56" t="s">
        <v>4513</v>
      </c>
      <c r="AF56" t="s">
        <v>4590</v>
      </c>
      <c r="AG56" t="s">
        <v>223</v>
      </c>
      <c r="AH56" t="s">
        <v>4637</v>
      </c>
      <c r="AI56" t="s">
        <v>4353</v>
      </c>
      <c r="AJ56" t="s">
        <v>4506</v>
      </c>
      <c r="AK56" t="s">
        <v>4508</v>
      </c>
      <c r="AL56" t="s">
        <v>4519</v>
      </c>
      <c r="AM56" t="s">
        <v>4528</v>
      </c>
      <c r="AN56" t="s">
        <v>4638</v>
      </c>
      <c r="AO56" s="134">
        <v>108.617595818815</v>
      </c>
      <c r="AP56" s="135">
        <v>111.528745644599</v>
      </c>
      <c r="AQ56">
        <v>0.43031358885017401</v>
      </c>
      <c r="AR56" s="136">
        <v>1.21428571428571</v>
      </c>
      <c r="AS56">
        <v>6.9250871080139396</v>
      </c>
    </row>
    <row r="57" spans="1:45" customFormat="1" ht="120">
      <c r="A57" s="65">
        <v>205</v>
      </c>
      <c r="B57" s="72" t="s">
        <v>589</v>
      </c>
      <c r="C57" s="82" t="s">
        <v>45</v>
      </c>
      <c r="D57" s="31">
        <f t="shared" si="6"/>
        <v>4</v>
      </c>
      <c r="E57" s="83" t="s">
        <v>46</v>
      </c>
      <c r="F57" s="31">
        <f t="shared" si="7"/>
        <v>6</v>
      </c>
      <c r="G57" s="85" t="s">
        <v>4368</v>
      </c>
      <c r="H57" s="81">
        <f t="shared" si="8"/>
        <v>67</v>
      </c>
      <c r="I57" s="92">
        <f t="shared" si="11"/>
        <v>0.82039097036355302</v>
      </c>
      <c r="J57" s="95">
        <v>0.95896375890892405</v>
      </c>
      <c r="K57" s="96">
        <v>0.75194805194805203</v>
      </c>
      <c r="L57" s="96">
        <v>0.68181818181818199</v>
      </c>
      <c r="M57" s="96">
        <v>0.85714285714285698</v>
      </c>
      <c r="N57" s="31">
        <v>0</v>
      </c>
      <c r="O57" s="97">
        <v>44067</v>
      </c>
      <c r="P57" s="98">
        <f t="shared" si="9"/>
        <v>0</v>
      </c>
      <c r="Q57" s="107"/>
      <c r="R57" s="107"/>
      <c r="S57" s="107"/>
      <c r="T57" s="108" t="s">
        <v>48</v>
      </c>
      <c r="U57" s="85" t="s">
        <v>4369</v>
      </c>
      <c r="V57" s="109" t="s">
        <v>628</v>
      </c>
      <c r="W57" s="83">
        <f t="shared" si="10"/>
        <v>159</v>
      </c>
      <c r="X57" s="83">
        <v>0</v>
      </c>
      <c r="Y57" s="83">
        <v>1</v>
      </c>
      <c r="Z57" s="65"/>
      <c r="AA57" t="s">
        <v>4603</v>
      </c>
      <c r="AB57" t="s">
        <v>4594</v>
      </c>
      <c r="AC57" t="s">
        <v>4515</v>
      </c>
      <c r="AD57" t="s">
        <v>4639</v>
      </c>
      <c r="AE57" t="s">
        <v>4515</v>
      </c>
      <c r="AF57" t="s">
        <v>4639</v>
      </c>
      <c r="AG57" t="s">
        <v>223</v>
      </c>
      <c r="AH57" t="s">
        <v>4640</v>
      </c>
      <c r="AI57" t="s">
        <v>4353</v>
      </c>
      <c r="AJ57" t="s">
        <v>4506</v>
      </c>
      <c r="AK57" t="s">
        <v>4519</v>
      </c>
      <c r="AL57" t="s">
        <v>4519</v>
      </c>
      <c r="AM57" t="s">
        <v>4562</v>
      </c>
      <c r="AN57" t="s">
        <v>4563</v>
      </c>
      <c r="AO57" s="134">
        <v>108.653879686138</v>
      </c>
      <c r="AP57" s="135">
        <v>111.487358326068</v>
      </c>
      <c r="AQ57">
        <v>0.43068875326939798</v>
      </c>
      <c r="AR57" s="136">
        <v>1.2144725370531799</v>
      </c>
      <c r="AS57">
        <v>6.9302528334786402</v>
      </c>
    </row>
    <row r="58" spans="1:45" s="65" customFormat="1" ht="120">
      <c r="A58">
        <v>206</v>
      </c>
      <c r="B58" s="72" t="s">
        <v>589</v>
      </c>
      <c r="C58" s="82" t="s">
        <v>59</v>
      </c>
      <c r="D58" s="31">
        <f t="shared" si="6"/>
        <v>5</v>
      </c>
      <c r="E58" s="83" t="s">
        <v>46</v>
      </c>
      <c r="F58" s="31">
        <f t="shared" si="7"/>
        <v>6</v>
      </c>
      <c r="G58" s="75" t="s">
        <v>589</v>
      </c>
      <c r="H58" s="81">
        <f t="shared" si="8"/>
        <v>53</v>
      </c>
      <c r="I58" s="92">
        <f t="shared" si="11"/>
        <v>0.34578002240036299</v>
      </c>
      <c r="J58" s="95">
        <v>9.7418629825439806E-3</v>
      </c>
      <c r="K58" s="96">
        <v>0.75194805194805203</v>
      </c>
      <c r="L58" s="96">
        <v>0.68181818181818199</v>
      </c>
      <c r="M58" s="96">
        <v>0.85714285714285698</v>
      </c>
      <c r="N58" s="31">
        <v>0</v>
      </c>
      <c r="O58" s="97">
        <v>44061</v>
      </c>
      <c r="P58" s="98">
        <f t="shared" si="9"/>
        <v>0</v>
      </c>
      <c r="Q58" s="107"/>
      <c r="R58" s="107"/>
      <c r="S58" s="107"/>
      <c r="T58" s="108" t="s">
        <v>48</v>
      </c>
      <c r="U58" s="85" t="s">
        <v>629</v>
      </c>
      <c r="V58" s="109" t="s">
        <v>630</v>
      </c>
      <c r="W58" s="83">
        <f t="shared" si="10"/>
        <v>161</v>
      </c>
      <c r="X58" s="83">
        <v>0</v>
      </c>
      <c r="Y58" s="83">
        <v>1</v>
      </c>
      <c r="AA58" t="s">
        <v>4564</v>
      </c>
      <c r="AB58" t="s">
        <v>51</v>
      </c>
      <c r="AC58" t="s">
        <v>4515</v>
      </c>
      <c r="AD58" t="s">
        <v>4639</v>
      </c>
      <c r="AE58" t="s">
        <v>4513</v>
      </c>
      <c r="AF58" t="s">
        <v>4641</v>
      </c>
      <c r="AG58" t="s">
        <v>223</v>
      </c>
      <c r="AH58" t="s">
        <v>4640</v>
      </c>
      <c r="AI58" t="s">
        <v>4353</v>
      </c>
      <c r="AJ58" t="s">
        <v>4506</v>
      </c>
      <c r="AK58" t="s">
        <v>4519</v>
      </c>
      <c r="AL58" t="s">
        <v>4519</v>
      </c>
      <c r="AM58" t="s">
        <v>4562</v>
      </c>
      <c r="AN58" t="s">
        <v>4563</v>
      </c>
      <c r="AO58" s="132">
        <v>108.70244328097699</v>
      </c>
      <c r="AP58" s="133">
        <v>111.479475982533</v>
      </c>
      <c r="AQ58" s="65">
        <v>0.43144104803493399</v>
      </c>
      <c r="AR58" s="65">
        <v>1.21484716157205</v>
      </c>
      <c r="AS58" s="65">
        <v>6.9397379912663801</v>
      </c>
    </row>
    <row r="59" spans="1:45" s="65" customFormat="1" ht="60">
      <c r="A59" s="65">
        <v>585</v>
      </c>
      <c r="B59" s="72" t="s">
        <v>1628</v>
      </c>
      <c r="C59" s="82" t="s">
        <v>45</v>
      </c>
      <c r="D59" s="31">
        <f t="shared" si="6"/>
        <v>4</v>
      </c>
      <c r="E59" s="83" t="s">
        <v>46</v>
      </c>
      <c r="F59" s="31">
        <f t="shared" si="7"/>
        <v>6</v>
      </c>
      <c r="G59" s="75" t="s">
        <v>1635</v>
      </c>
      <c r="H59" s="81">
        <f t="shared" si="8"/>
        <v>91</v>
      </c>
      <c r="I59" s="92">
        <f t="shared" si="11"/>
        <v>0.41250655739793635</v>
      </c>
      <c r="J59" s="95">
        <v>1.31147958727373E-5</v>
      </c>
      <c r="K59" s="96">
        <v>0.81418779643582295</v>
      </c>
      <c r="L59" s="96">
        <v>0.82499999999999996</v>
      </c>
      <c r="M59" s="96">
        <v>0.79796949108955795</v>
      </c>
      <c r="N59" s="31">
        <v>0</v>
      </c>
      <c r="O59" s="97">
        <v>44061</v>
      </c>
      <c r="P59" s="98">
        <f t="shared" si="9"/>
        <v>1</v>
      </c>
      <c r="Q59" s="111"/>
      <c r="R59" s="111"/>
      <c r="S59" s="111"/>
      <c r="T59" s="112" t="s">
        <v>73</v>
      </c>
      <c r="U59" s="85" t="s">
        <v>1636</v>
      </c>
      <c r="V59" s="109" t="s">
        <v>1637</v>
      </c>
      <c r="W59" s="83">
        <f t="shared" si="10"/>
        <v>71</v>
      </c>
      <c r="X59" s="40">
        <v>0</v>
      </c>
      <c r="Y59" s="40">
        <v>2</v>
      </c>
      <c r="AA59" t="s">
        <v>4603</v>
      </c>
      <c r="AB59" t="s">
        <v>51</v>
      </c>
      <c r="AC59" t="s">
        <v>223</v>
      </c>
      <c r="AD59" t="s">
        <v>4584</v>
      </c>
      <c r="AE59" t="s">
        <v>4513</v>
      </c>
      <c r="AF59" t="s">
        <v>4642</v>
      </c>
      <c r="AG59" t="s">
        <v>4353</v>
      </c>
      <c r="AH59" t="s">
        <v>4506</v>
      </c>
      <c r="AI59" t="s">
        <v>4353</v>
      </c>
      <c r="AJ59" t="s">
        <v>4506</v>
      </c>
      <c r="AK59" t="s">
        <v>4518</v>
      </c>
      <c r="AL59" t="s">
        <v>4519</v>
      </c>
      <c r="AM59" t="s">
        <v>4528</v>
      </c>
      <c r="AN59" t="s">
        <v>4624</v>
      </c>
      <c r="AO59" s="132">
        <v>108.717903930131</v>
      </c>
      <c r="AP59" s="133">
        <v>111.479475982533</v>
      </c>
      <c r="AQ59" s="65">
        <v>0.43144104803493399</v>
      </c>
      <c r="AR59" s="65">
        <v>1.21484716157205</v>
      </c>
      <c r="AS59" s="65">
        <v>6.9397379912663801</v>
      </c>
    </row>
    <row r="60" spans="1:45" s="65" customFormat="1" ht="45">
      <c r="A60" s="65">
        <v>61</v>
      </c>
      <c r="B60" s="72" t="s">
        <v>217</v>
      </c>
      <c r="C60" s="87" t="s">
        <v>45</v>
      </c>
      <c r="D60" s="31">
        <f t="shared" si="6"/>
        <v>4</v>
      </c>
      <c r="E60" s="87" t="s">
        <v>80</v>
      </c>
      <c r="F60" s="31">
        <f t="shared" si="7"/>
        <v>4</v>
      </c>
      <c r="G60" s="80" t="s">
        <v>232</v>
      </c>
      <c r="H60" s="81">
        <f t="shared" si="8"/>
        <v>50</v>
      </c>
      <c r="I60" s="92">
        <f t="shared" si="11"/>
        <v>0.37652621875595516</v>
      </c>
      <c r="J60" s="93">
        <v>3.05243751191031E-3</v>
      </c>
      <c r="K60" s="102">
        <v>0.72222468700001197</v>
      </c>
      <c r="L60" s="102">
        <v>0.75</v>
      </c>
      <c r="M60" s="102">
        <v>0.68056171750003003</v>
      </c>
      <c r="N60" s="31">
        <v>1</v>
      </c>
      <c r="O60" s="97">
        <v>44055</v>
      </c>
      <c r="P60" s="98">
        <f t="shared" si="9"/>
        <v>1</v>
      </c>
      <c r="Q60" s="105"/>
      <c r="R60" s="105"/>
      <c r="S60" s="105"/>
      <c r="T60" s="106" t="s">
        <v>73</v>
      </c>
      <c r="U60" s="80" t="s">
        <v>4354</v>
      </c>
      <c r="V60" s="109" t="s">
        <v>234</v>
      </c>
      <c r="W60" s="83">
        <f t="shared" si="10"/>
        <v>63</v>
      </c>
      <c r="X60" s="30">
        <v>1</v>
      </c>
      <c r="Y60" s="30">
        <v>5</v>
      </c>
      <c r="AA60" t="s">
        <v>4564</v>
      </c>
      <c r="AB60" t="s">
        <v>51</v>
      </c>
      <c r="AC60" t="s">
        <v>223</v>
      </c>
      <c r="AD60" t="s">
        <v>4643</v>
      </c>
      <c r="AE60" t="s">
        <v>4530</v>
      </c>
      <c r="AF60" t="s">
        <v>4644</v>
      </c>
      <c r="AG60" t="s">
        <v>4353</v>
      </c>
      <c r="AH60" t="s">
        <v>4506</v>
      </c>
      <c r="AI60" t="s">
        <v>4353</v>
      </c>
      <c r="AJ60" t="s">
        <v>4506</v>
      </c>
      <c r="AK60" t="s">
        <v>4519</v>
      </c>
      <c r="AL60" t="s">
        <v>4519</v>
      </c>
      <c r="AM60" t="s">
        <v>4510</v>
      </c>
      <c r="AN60" t="s">
        <v>4550</v>
      </c>
      <c r="AO60" s="132">
        <v>108.769230769231</v>
      </c>
      <c r="AP60" s="133">
        <v>111.557305336833</v>
      </c>
      <c r="AQ60" s="65">
        <v>0.43132108486439202</v>
      </c>
      <c r="AR60" s="65">
        <v>1.2152230971128599</v>
      </c>
      <c r="AS60" s="65">
        <v>6.9431321084864397</v>
      </c>
    </row>
    <row r="61" spans="1:45" s="65" customFormat="1" ht="60">
      <c r="A61" s="65">
        <v>973</v>
      </c>
      <c r="B61" s="72" t="s">
        <v>2638</v>
      </c>
      <c r="C61" s="87" t="s">
        <v>45</v>
      </c>
      <c r="D61" s="31">
        <f t="shared" si="6"/>
        <v>4</v>
      </c>
      <c r="E61" s="87" t="s">
        <v>80</v>
      </c>
      <c r="F61" s="31">
        <f t="shared" si="7"/>
        <v>4</v>
      </c>
      <c r="G61" s="85" t="s">
        <v>2639</v>
      </c>
      <c r="H61" s="81">
        <f t="shared" si="8"/>
        <v>80</v>
      </c>
      <c r="I61" s="92">
        <f t="shared" si="11"/>
        <v>0.41264745737770347</v>
      </c>
      <c r="J61" s="93">
        <v>2.9491475540699403E-4</v>
      </c>
      <c r="K61" s="102">
        <v>0.76722468700001201</v>
      </c>
      <c r="L61" s="102">
        <v>0.82499999999999996</v>
      </c>
      <c r="M61" s="102">
        <v>0.68056171750003003</v>
      </c>
      <c r="N61" s="31">
        <v>1</v>
      </c>
      <c r="O61" s="97">
        <v>44055</v>
      </c>
      <c r="P61" s="98">
        <f t="shared" si="9"/>
        <v>0</v>
      </c>
      <c r="Q61" s="111"/>
      <c r="R61" s="111"/>
      <c r="S61" s="111"/>
      <c r="T61" s="112" t="s">
        <v>48</v>
      </c>
      <c r="U61" s="80" t="s">
        <v>2640</v>
      </c>
      <c r="V61" s="109" t="s">
        <v>2641</v>
      </c>
      <c r="W61" s="83">
        <f t="shared" si="10"/>
        <v>71</v>
      </c>
      <c r="X61" s="30">
        <v>0</v>
      </c>
      <c r="Y61" s="30">
        <v>5</v>
      </c>
      <c r="AA61" t="s">
        <v>4522</v>
      </c>
      <c r="AB61" t="s">
        <v>51</v>
      </c>
      <c r="AC61" t="s">
        <v>223</v>
      </c>
      <c r="AD61" t="s">
        <v>4631</v>
      </c>
      <c r="AE61" t="s">
        <v>4513</v>
      </c>
      <c r="AF61" t="s">
        <v>4645</v>
      </c>
      <c r="AG61" t="s">
        <v>4353</v>
      </c>
      <c r="AH61" t="s">
        <v>4506</v>
      </c>
      <c r="AI61" t="s">
        <v>4353</v>
      </c>
      <c r="AJ61" t="s">
        <v>4506</v>
      </c>
      <c r="AK61" t="s">
        <v>4519</v>
      </c>
      <c r="AL61" t="s">
        <v>4519</v>
      </c>
      <c r="AM61" t="s">
        <v>4592</v>
      </c>
      <c r="AN61" t="s">
        <v>4626</v>
      </c>
      <c r="AO61" s="132">
        <v>108.794400699913</v>
      </c>
      <c r="AP61" s="133">
        <v>111.557305336833</v>
      </c>
      <c r="AQ61" s="65">
        <v>0.43132108486439202</v>
      </c>
      <c r="AR61" s="65">
        <v>1.2152230971128599</v>
      </c>
      <c r="AS61" s="65">
        <v>6.9431321084864397</v>
      </c>
    </row>
    <row r="62" spans="1:45" s="65" customFormat="1" ht="45">
      <c r="A62">
        <v>62</v>
      </c>
      <c r="B62" s="72" t="s">
        <v>217</v>
      </c>
      <c r="C62" s="87" t="s">
        <v>59</v>
      </c>
      <c r="D62" s="31">
        <f t="shared" si="6"/>
        <v>5</v>
      </c>
      <c r="E62" s="87" t="s">
        <v>221</v>
      </c>
      <c r="F62" s="31">
        <f t="shared" si="7"/>
        <v>2</v>
      </c>
      <c r="G62" s="90" t="s">
        <v>235</v>
      </c>
      <c r="H62" s="81">
        <f t="shared" si="8"/>
        <v>15</v>
      </c>
      <c r="I62" s="92">
        <f t="shared" si="11"/>
        <v>0.55846614002077244</v>
      </c>
      <c r="J62" s="93">
        <v>0.435114098223363</v>
      </c>
      <c r="K62" s="102">
        <v>0.80909090909090897</v>
      </c>
      <c r="L62" s="102">
        <v>0.68181818181818199</v>
      </c>
      <c r="M62" s="102">
        <v>1</v>
      </c>
      <c r="N62" s="31">
        <v>1</v>
      </c>
      <c r="O62" s="97">
        <v>44050</v>
      </c>
      <c r="P62" s="98">
        <f t="shared" si="9"/>
        <v>0</v>
      </c>
      <c r="Q62" s="105"/>
      <c r="R62" s="105"/>
      <c r="S62" s="105"/>
      <c r="T62" s="106" t="s">
        <v>48</v>
      </c>
      <c r="U62" s="120" t="s">
        <v>235</v>
      </c>
      <c r="V62" s="109" t="s">
        <v>236</v>
      </c>
      <c r="W62" s="83">
        <f t="shared" si="10"/>
        <v>40</v>
      </c>
      <c r="X62" s="121">
        <v>0</v>
      </c>
      <c r="Y62" s="121">
        <v>0</v>
      </c>
      <c r="AA62" t="s">
        <v>4543</v>
      </c>
      <c r="AB62" t="s">
        <v>51</v>
      </c>
      <c r="AC62" t="s">
        <v>4353</v>
      </c>
      <c r="AD62" t="s">
        <v>4506</v>
      </c>
      <c r="AE62" t="s">
        <v>4515</v>
      </c>
      <c r="AF62" t="s">
        <v>4646</v>
      </c>
      <c r="AG62" t="s">
        <v>4353</v>
      </c>
      <c r="AH62" t="s">
        <v>4506</v>
      </c>
      <c r="AI62" t="s">
        <v>4353</v>
      </c>
      <c r="AJ62" t="s">
        <v>4506</v>
      </c>
      <c r="AK62" t="s">
        <v>4519</v>
      </c>
      <c r="AL62" t="s">
        <v>4519</v>
      </c>
      <c r="AM62" t="s">
        <v>4562</v>
      </c>
      <c r="AN62" t="s">
        <v>4563</v>
      </c>
      <c r="AO62" s="132">
        <v>108.87653239929899</v>
      </c>
      <c r="AP62" s="133">
        <v>111.61996497373001</v>
      </c>
      <c r="AQ62" s="65">
        <v>0.43169877408056001</v>
      </c>
      <c r="AR62" s="65">
        <v>1.215411558669</v>
      </c>
      <c r="AS62" s="65">
        <v>6.9492119089316997</v>
      </c>
    </row>
    <row r="63" spans="1:45" s="65" customFormat="1" ht="120">
      <c r="A63">
        <v>63</v>
      </c>
      <c r="B63" s="72" t="s">
        <v>217</v>
      </c>
      <c r="C63" s="87" t="s">
        <v>59</v>
      </c>
      <c r="D63" s="31">
        <f t="shared" si="6"/>
        <v>5</v>
      </c>
      <c r="E63" s="87" t="s">
        <v>221</v>
      </c>
      <c r="F63" s="31">
        <f t="shared" si="7"/>
        <v>2</v>
      </c>
      <c r="G63" s="80" t="s">
        <v>237</v>
      </c>
      <c r="H63" s="81">
        <f t="shared" si="8"/>
        <v>32</v>
      </c>
      <c r="I63" s="92">
        <f t="shared" si="11"/>
        <v>0.69334215276534006</v>
      </c>
      <c r="J63" s="93">
        <v>0.70486612371249802</v>
      </c>
      <c r="K63" s="102">
        <v>0.75194805194805203</v>
      </c>
      <c r="L63" s="102">
        <v>0.68181818181818199</v>
      </c>
      <c r="M63" s="102">
        <v>0.85714285714285698</v>
      </c>
      <c r="N63" s="31">
        <v>1</v>
      </c>
      <c r="O63" s="97">
        <v>44046</v>
      </c>
      <c r="P63" s="98">
        <f t="shared" si="9"/>
        <v>0</v>
      </c>
      <c r="Q63" s="105"/>
      <c r="R63" s="105"/>
      <c r="S63" s="105"/>
      <c r="T63" s="106" t="s">
        <v>48</v>
      </c>
      <c r="U63" s="85" t="s">
        <v>238</v>
      </c>
      <c r="V63" s="109" t="s">
        <v>239</v>
      </c>
      <c r="W63" s="83">
        <f t="shared" si="10"/>
        <v>171</v>
      </c>
      <c r="X63" s="30">
        <v>0</v>
      </c>
      <c r="Y63" s="30">
        <v>1</v>
      </c>
      <c r="AA63" t="s">
        <v>4543</v>
      </c>
      <c r="AB63" t="s">
        <v>51</v>
      </c>
      <c r="AC63" t="s">
        <v>223</v>
      </c>
      <c r="AD63" t="s">
        <v>4608</v>
      </c>
      <c r="AE63" t="s">
        <v>4515</v>
      </c>
      <c r="AF63" t="s">
        <v>4647</v>
      </c>
      <c r="AG63" t="s">
        <v>223</v>
      </c>
      <c r="AH63" t="s">
        <v>4608</v>
      </c>
      <c r="AI63" t="s">
        <v>4353</v>
      </c>
      <c r="AJ63" t="s">
        <v>4506</v>
      </c>
      <c r="AK63" t="s">
        <v>4519</v>
      </c>
      <c r="AL63" t="s">
        <v>4519</v>
      </c>
      <c r="AM63" t="s">
        <v>4528</v>
      </c>
      <c r="AN63" t="s">
        <v>4529</v>
      </c>
      <c r="AO63" s="132">
        <v>108.943908851884</v>
      </c>
      <c r="AP63" s="133">
        <v>111.730396475771</v>
      </c>
      <c r="AQ63" s="65">
        <v>0.43348017621145402</v>
      </c>
      <c r="AR63" s="65">
        <v>1.21674008810573</v>
      </c>
      <c r="AS63" s="65">
        <v>6.9656387665198203</v>
      </c>
    </row>
    <row r="64" spans="1:45" s="65" customFormat="1" ht="60">
      <c r="A64" s="65">
        <v>1016</v>
      </c>
      <c r="B64" s="72" t="s">
        <v>2752</v>
      </c>
      <c r="C64" s="82" t="s">
        <v>45</v>
      </c>
      <c r="D64" s="31">
        <f t="shared" si="6"/>
        <v>4</v>
      </c>
      <c r="E64" s="83" t="s">
        <v>221</v>
      </c>
      <c r="F64" s="31">
        <f t="shared" si="7"/>
        <v>2</v>
      </c>
      <c r="G64" s="91" t="s">
        <v>2759</v>
      </c>
      <c r="H64" s="81">
        <f t="shared" si="8"/>
        <v>86</v>
      </c>
      <c r="I64" s="92">
        <f t="shared" si="11"/>
        <v>0.41804852227597106</v>
      </c>
      <c r="J64" s="95">
        <v>8.6097044551942101E-2</v>
      </c>
      <c r="K64" s="96">
        <v>0.76918779643582302</v>
      </c>
      <c r="L64" s="96">
        <v>0.75</v>
      </c>
      <c r="M64" s="96">
        <v>0.79796949108955795</v>
      </c>
      <c r="N64" s="31">
        <v>1</v>
      </c>
      <c r="O64" s="97">
        <v>44046</v>
      </c>
      <c r="P64" s="98">
        <f t="shared" si="9"/>
        <v>1</v>
      </c>
      <c r="Q64" s="124"/>
      <c r="R64" s="124"/>
      <c r="S64" s="124"/>
      <c r="T64" s="125" t="s">
        <v>73</v>
      </c>
      <c r="U64" s="89" t="s">
        <v>2760</v>
      </c>
      <c r="V64" s="109" t="s">
        <v>2761</v>
      </c>
      <c r="W64" s="83">
        <f t="shared" si="10"/>
        <v>68</v>
      </c>
      <c r="X64" s="110">
        <v>0</v>
      </c>
      <c r="Y64" s="110">
        <v>2</v>
      </c>
      <c r="AA64" t="s">
        <v>4543</v>
      </c>
      <c r="AB64" t="s">
        <v>4594</v>
      </c>
      <c r="AC64" t="s">
        <v>4515</v>
      </c>
      <c r="AD64" t="s">
        <v>4517</v>
      </c>
      <c r="AE64" t="s">
        <v>4515</v>
      </c>
      <c r="AF64" t="s">
        <v>4517</v>
      </c>
      <c r="AG64" t="s">
        <v>223</v>
      </c>
      <c r="AH64" t="s">
        <v>4584</v>
      </c>
      <c r="AI64" t="s">
        <v>4353</v>
      </c>
      <c r="AJ64" t="s">
        <v>4506</v>
      </c>
      <c r="AK64" t="s">
        <v>4519</v>
      </c>
      <c r="AL64" t="s">
        <v>4552</v>
      </c>
      <c r="AM64" t="s">
        <v>4510</v>
      </c>
      <c r="AN64" t="s">
        <v>4634</v>
      </c>
      <c r="AO64" s="132">
        <v>108.964035087719</v>
      </c>
      <c r="AP64" s="133">
        <v>111.730396475771</v>
      </c>
      <c r="AQ64" s="65">
        <v>0.43348017621145402</v>
      </c>
      <c r="AR64" s="65">
        <v>1.21674008810573</v>
      </c>
      <c r="AS64" s="65">
        <v>6.9656387665198203</v>
      </c>
    </row>
    <row r="65" spans="1:45" customFormat="1" ht="75">
      <c r="A65">
        <v>207</v>
      </c>
      <c r="B65" s="72" t="s">
        <v>589</v>
      </c>
      <c r="C65" s="82" t="s">
        <v>59</v>
      </c>
      <c r="D65" s="31">
        <f t="shared" si="6"/>
        <v>5</v>
      </c>
      <c r="E65" s="83" t="s">
        <v>221</v>
      </c>
      <c r="F65" s="31">
        <f t="shared" si="7"/>
        <v>2</v>
      </c>
      <c r="G65" s="85" t="s">
        <v>631</v>
      </c>
      <c r="H65" s="81">
        <f t="shared" si="8"/>
        <v>35</v>
      </c>
      <c r="I65" s="92">
        <f t="shared" si="11"/>
        <v>0.3169703748444031</v>
      </c>
      <c r="J65" s="95">
        <v>1.4106038945004199E-2</v>
      </c>
      <c r="K65" s="96">
        <v>0.71475796930342395</v>
      </c>
      <c r="L65" s="96">
        <v>0.61983471074380203</v>
      </c>
      <c r="M65" s="96">
        <v>0.85714285714285698</v>
      </c>
      <c r="N65" s="31">
        <v>1</v>
      </c>
      <c r="O65" s="97">
        <v>44045</v>
      </c>
      <c r="P65" s="98">
        <f t="shared" si="9"/>
        <v>0</v>
      </c>
      <c r="Q65" s="107"/>
      <c r="R65" s="107"/>
      <c r="S65" s="107"/>
      <c r="T65" s="108" t="s">
        <v>48</v>
      </c>
      <c r="U65" s="85" t="s">
        <v>632</v>
      </c>
      <c r="V65" s="109" t="s">
        <v>633</v>
      </c>
      <c r="W65" s="83">
        <f t="shared" si="10"/>
        <v>93</v>
      </c>
      <c r="X65" s="83">
        <v>0</v>
      </c>
      <c r="Y65" s="83">
        <v>1</v>
      </c>
      <c r="Z65" s="65"/>
      <c r="AA65" t="s">
        <v>4564</v>
      </c>
      <c r="AB65" t="s">
        <v>51</v>
      </c>
      <c r="AC65" t="s">
        <v>4353</v>
      </c>
      <c r="AD65" t="s">
        <v>4506</v>
      </c>
      <c r="AE65" t="s">
        <v>4515</v>
      </c>
      <c r="AF65" t="s">
        <v>4648</v>
      </c>
      <c r="AG65" t="s">
        <v>223</v>
      </c>
      <c r="AH65" t="s">
        <v>4649</v>
      </c>
      <c r="AI65" t="s">
        <v>4353</v>
      </c>
      <c r="AJ65" t="s">
        <v>4506</v>
      </c>
      <c r="AK65" t="s">
        <v>4519</v>
      </c>
      <c r="AL65" t="s">
        <v>4552</v>
      </c>
      <c r="AM65" t="s">
        <v>4592</v>
      </c>
      <c r="AN65" t="s">
        <v>4650</v>
      </c>
      <c r="AO65" s="134">
        <v>109.028972783143</v>
      </c>
      <c r="AP65" s="135">
        <v>111.730396475771</v>
      </c>
      <c r="AQ65">
        <v>0.43348017621145402</v>
      </c>
      <c r="AR65" s="136">
        <v>1.21674008810573</v>
      </c>
      <c r="AS65">
        <v>6.9656387665198203</v>
      </c>
    </row>
    <row r="66" spans="1:45" customFormat="1" ht="45">
      <c r="A66">
        <v>974</v>
      </c>
      <c r="B66" s="72" t="s">
        <v>2638</v>
      </c>
      <c r="C66" s="87" t="s">
        <v>45</v>
      </c>
      <c r="D66" s="31">
        <f t="shared" ref="D66:D97" si="12">IF(C66="投诉",4,IF(C66="建议",1,IF(C66="举报",2,IF(C66="求助",3,5))))</f>
        <v>4</v>
      </c>
      <c r="E66" s="87" t="s">
        <v>80</v>
      </c>
      <c r="F66" s="31">
        <f t="shared" ref="F66:F97" si="13">IF(E66="12345app",1,IF(E66="e福州app",2,IF(E66="qq",3,IF(E66="电话",4,IF(E66="短信",5,IF(E66="网站",6,IF(E66="微博",7,IF(E66="微信",8,9))))))))</f>
        <v>4</v>
      </c>
      <c r="G66" s="85" t="s">
        <v>2639</v>
      </c>
      <c r="H66" s="81">
        <f t="shared" si="8"/>
        <v>41</v>
      </c>
      <c r="I66" s="92">
        <f t="shared" si="11"/>
        <v>0.689859101437442</v>
      </c>
      <c r="J66" s="93">
        <v>0.55471820287488405</v>
      </c>
      <c r="K66" s="102">
        <v>0.79602566813892095</v>
      </c>
      <c r="L66" s="102">
        <v>0.82499999999999996</v>
      </c>
      <c r="M66" s="102">
        <v>0.75256417034730305</v>
      </c>
      <c r="N66" s="31">
        <v>1</v>
      </c>
      <c r="O66" s="97">
        <v>44043</v>
      </c>
      <c r="P66" s="98">
        <f t="shared" ref="P66:P102" si="14">IF(T66="利己",0,IF(T66="生态",2,1))</f>
        <v>0</v>
      </c>
      <c r="Q66" s="107"/>
      <c r="R66" s="107"/>
      <c r="S66" s="107"/>
      <c r="T66" s="108" t="s">
        <v>48</v>
      </c>
      <c r="U66" s="80" t="s">
        <v>2642</v>
      </c>
      <c r="V66" s="109" t="s">
        <v>2643</v>
      </c>
      <c r="W66" s="83">
        <f t="shared" ref="W66" si="15">LEN(V66)</f>
        <v>51</v>
      </c>
      <c r="X66" s="30">
        <v>0</v>
      </c>
      <c r="Y66" s="30">
        <v>3</v>
      </c>
      <c r="Z66" s="65"/>
      <c r="AA66" t="s">
        <v>4522</v>
      </c>
      <c r="AB66" t="s">
        <v>51</v>
      </c>
      <c r="AC66" t="s">
        <v>4353</v>
      </c>
      <c r="AD66" t="s">
        <v>4506</v>
      </c>
      <c r="AE66" t="s">
        <v>4513</v>
      </c>
      <c r="AF66" t="s">
        <v>4651</v>
      </c>
      <c r="AG66" t="s">
        <v>4353</v>
      </c>
      <c r="AH66" t="s">
        <v>4506</v>
      </c>
      <c r="AI66" t="s">
        <v>4353</v>
      </c>
      <c r="AJ66" t="s">
        <v>4506</v>
      </c>
      <c r="AK66" t="s">
        <v>4519</v>
      </c>
      <c r="AL66" t="s">
        <v>4519</v>
      </c>
      <c r="AM66" t="s">
        <v>4592</v>
      </c>
      <c r="AN66" t="s">
        <v>4626</v>
      </c>
      <c r="AO66" s="134">
        <v>109.08875219683701</v>
      </c>
      <c r="AP66" s="135">
        <v>111.857899382171</v>
      </c>
      <c r="AQ66">
        <v>0.429832303618711</v>
      </c>
      <c r="AR66" s="136">
        <v>1.216240070609</v>
      </c>
      <c r="AS66">
        <v>6.9346866725507503</v>
      </c>
    </row>
    <row r="67" spans="1:45" customFormat="1" ht="46">
      <c r="A67" s="65">
        <v>728</v>
      </c>
      <c r="B67" s="69" t="s">
        <v>1989</v>
      </c>
      <c r="C67" s="69" t="s">
        <v>45</v>
      </c>
      <c r="D67" s="31">
        <f t="shared" si="12"/>
        <v>4</v>
      </c>
      <c r="E67" s="69" t="s">
        <v>80</v>
      </c>
      <c r="F67" s="31">
        <f t="shared" si="13"/>
        <v>4</v>
      </c>
      <c r="G67" s="137" t="s">
        <v>1996</v>
      </c>
      <c r="H67" s="138">
        <v>80</v>
      </c>
      <c r="I67" s="92">
        <f t="shared" si="11"/>
        <v>0.4445423238190187</v>
      </c>
      <c r="J67" s="95">
        <v>6.4084647638037506E-2</v>
      </c>
      <c r="K67" s="137">
        <v>0.83785714285714297</v>
      </c>
      <c r="L67" s="137">
        <v>0.82499999999999996</v>
      </c>
      <c r="M67" s="137">
        <v>0.85714285714285698</v>
      </c>
      <c r="N67" s="136">
        <v>1</v>
      </c>
      <c r="O67" s="154">
        <v>44042</v>
      </c>
      <c r="P67" s="98">
        <f t="shared" si="14"/>
        <v>1</v>
      </c>
      <c r="Q67" s="113">
        <v>5.0999999999999996</v>
      </c>
      <c r="R67" s="113">
        <v>4.95</v>
      </c>
      <c r="S67" s="113">
        <v>3.74</v>
      </c>
      <c r="T67" s="114" t="s">
        <v>73</v>
      </c>
      <c r="U67" s="136" t="s">
        <v>1997</v>
      </c>
      <c r="V67" s="137" t="s">
        <v>1998</v>
      </c>
      <c r="W67" s="69">
        <v>66</v>
      </c>
      <c r="X67" s="69">
        <v>1</v>
      </c>
      <c r="Y67" s="69">
        <v>1</v>
      </c>
      <c r="Z67" s="69"/>
      <c r="AA67" t="s">
        <v>4628</v>
      </c>
      <c r="AB67" t="s">
        <v>67</v>
      </c>
      <c r="AC67" t="s">
        <v>4353</v>
      </c>
      <c r="AD67" t="s">
        <v>4506</v>
      </c>
      <c r="AE67" t="s">
        <v>4353</v>
      </c>
      <c r="AF67" t="s">
        <v>4506</v>
      </c>
      <c r="AG67" t="s">
        <v>4353</v>
      </c>
      <c r="AH67" t="s">
        <v>4506</v>
      </c>
      <c r="AI67" t="s">
        <v>4353</v>
      </c>
      <c r="AJ67" t="s">
        <v>4506</v>
      </c>
      <c r="AK67" t="s">
        <v>4519</v>
      </c>
      <c r="AL67" t="s">
        <v>4552</v>
      </c>
      <c r="AM67" t="s">
        <v>4520</v>
      </c>
      <c r="AN67" t="s">
        <v>4652</v>
      </c>
      <c r="AO67" s="134">
        <v>109.11433597185599</v>
      </c>
      <c r="AP67" s="135">
        <v>111.857899382171</v>
      </c>
      <c r="AQ67">
        <v>0.429832303618711</v>
      </c>
      <c r="AR67" s="136">
        <v>1.216240070609</v>
      </c>
      <c r="AS67">
        <v>6.9346866725507503</v>
      </c>
    </row>
    <row r="68" spans="1:45" customFormat="1" ht="75">
      <c r="A68">
        <v>975</v>
      </c>
      <c r="B68" s="72" t="s">
        <v>2638</v>
      </c>
      <c r="C68" s="87" t="s">
        <v>45</v>
      </c>
      <c r="D68" s="31">
        <f t="shared" si="12"/>
        <v>4</v>
      </c>
      <c r="E68" s="87" t="s">
        <v>80</v>
      </c>
      <c r="F68" s="31">
        <f t="shared" si="13"/>
        <v>4</v>
      </c>
      <c r="G68" s="80" t="s">
        <v>2644</v>
      </c>
      <c r="H68" s="81">
        <f>LEN(U68)</f>
        <v>53</v>
      </c>
      <c r="I68" s="92">
        <f t="shared" ref="I68:I131" si="16">(J68+L68)/2</f>
        <v>0.35847945124723446</v>
      </c>
      <c r="J68" s="93">
        <v>3.5140720676286902E-2</v>
      </c>
      <c r="K68" s="102">
        <v>0.69480519480519498</v>
      </c>
      <c r="L68" s="102">
        <v>0.68181818181818199</v>
      </c>
      <c r="M68" s="102">
        <v>0.71428571428571397</v>
      </c>
      <c r="N68" s="31">
        <v>1</v>
      </c>
      <c r="O68" s="97">
        <v>44042</v>
      </c>
      <c r="P68" s="98">
        <f t="shared" si="14"/>
        <v>0</v>
      </c>
      <c r="Q68" s="113"/>
      <c r="R68" s="113"/>
      <c r="S68" s="113"/>
      <c r="T68" s="114" t="s">
        <v>48</v>
      </c>
      <c r="U68" s="85" t="s">
        <v>2645</v>
      </c>
      <c r="V68" s="109" t="s">
        <v>2643</v>
      </c>
      <c r="W68" s="83">
        <f>LEN(V68)</f>
        <v>51</v>
      </c>
      <c r="X68" s="30">
        <v>0</v>
      </c>
      <c r="Y68" s="30">
        <v>4</v>
      </c>
      <c r="Z68" s="65"/>
      <c r="AA68" t="s">
        <v>4653</v>
      </c>
      <c r="AB68" t="s">
        <v>51</v>
      </c>
      <c r="AC68" t="s">
        <v>4353</v>
      </c>
      <c r="AD68" t="s">
        <v>4506</v>
      </c>
      <c r="AE68" t="s">
        <v>4513</v>
      </c>
      <c r="AF68" t="s">
        <v>4651</v>
      </c>
      <c r="AG68" t="s">
        <v>4353</v>
      </c>
      <c r="AH68" t="s">
        <v>4506</v>
      </c>
      <c r="AI68" t="s">
        <v>4353</v>
      </c>
      <c r="AJ68" t="s">
        <v>4506</v>
      </c>
      <c r="AK68" t="s">
        <v>4519</v>
      </c>
      <c r="AL68" t="s">
        <v>4519</v>
      </c>
      <c r="AM68" t="s">
        <v>4592</v>
      </c>
      <c r="AN68" t="s">
        <v>4626</v>
      </c>
      <c r="AO68" s="134">
        <v>109.16373239436599</v>
      </c>
      <c r="AP68" s="135">
        <v>111.857899382171</v>
      </c>
      <c r="AQ68">
        <v>0.429832303618711</v>
      </c>
      <c r="AR68" s="136">
        <v>1.216240070609</v>
      </c>
      <c r="AS68">
        <v>6.9346866725507503</v>
      </c>
    </row>
    <row r="69" spans="1:45" customFormat="1" ht="75">
      <c r="A69" s="65">
        <v>208</v>
      </c>
      <c r="B69" s="72" t="s">
        <v>589</v>
      </c>
      <c r="C69" s="82" t="s">
        <v>45</v>
      </c>
      <c r="D69" s="31">
        <f t="shared" si="12"/>
        <v>4</v>
      </c>
      <c r="E69" s="83" t="s">
        <v>80</v>
      </c>
      <c r="F69" s="31">
        <f t="shared" si="13"/>
        <v>4</v>
      </c>
      <c r="G69" s="75" t="s">
        <v>634</v>
      </c>
      <c r="H69" s="81">
        <f>LEN(U69)</f>
        <v>48</v>
      </c>
      <c r="I69" s="92">
        <f t="shared" si="16"/>
        <v>0.41295507792285707</v>
      </c>
      <c r="J69" s="95">
        <v>9.1015584571418895E-4</v>
      </c>
      <c r="K69" s="96">
        <v>0.81418779643582295</v>
      </c>
      <c r="L69" s="96">
        <v>0.82499999999999996</v>
      </c>
      <c r="M69" s="96">
        <v>0.79796949108955795</v>
      </c>
      <c r="N69" s="31">
        <v>1</v>
      </c>
      <c r="O69" s="97">
        <v>44037</v>
      </c>
      <c r="P69" s="98">
        <f t="shared" si="14"/>
        <v>0</v>
      </c>
      <c r="Q69" s="107"/>
      <c r="R69" s="107"/>
      <c r="S69" s="107"/>
      <c r="T69" s="108" t="s">
        <v>48</v>
      </c>
      <c r="U69" s="85" t="s">
        <v>635</v>
      </c>
      <c r="V69" s="109" t="s">
        <v>636</v>
      </c>
      <c r="W69" s="83">
        <f>LEN(V69)</f>
        <v>96</v>
      </c>
      <c r="X69" s="83">
        <v>0</v>
      </c>
      <c r="Y69" s="83">
        <v>2</v>
      </c>
      <c r="Z69" s="65"/>
      <c r="AA69" t="s">
        <v>4512</v>
      </c>
      <c r="AB69" t="s">
        <v>51</v>
      </c>
      <c r="AC69" t="s">
        <v>4353</v>
      </c>
      <c r="AD69" t="s">
        <v>4506</v>
      </c>
      <c r="AE69" t="s">
        <v>4515</v>
      </c>
      <c r="AF69" t="s">
        <v>4654</v>
      </c>
      <c r="AG69" t="s">
        <v>223</v>
      </c>
      <c r="AH69" t="s">
        <v>4655</v>
      </c>
      <c r="AI69" t="s">
        <v>4353</v>
      </c>
      <c r="AJ69" t="s">
        <v>4506</v>
      </c>
      <c r="AK69" t="s">
        <v>4518</v>
      </c>
      <c r="AL69" t="s">
        <v>4519</v>
      </c>
      <c r="AM69" t="s">
        <v>4520</v>
      </c>
      <c r="AN69" t="s">
        <v>4521</v>
      </c>
      <c r="AO69" s="134">
        <v>109.217621145374</v>
      </c>
      <c r="AP69" s="135">
        <v>111.814323607427</v>
      </c>
      <c r="AQ69">
        <v>0.43059239610963801</v>
      </c>
      <c r="AR69" s="136">
        <v>1.2166224580017699</v>
      </c>
      <c r="AS69">
        <v>6.9389920424403204</v>
      </c>
    </row>
    <row r="70" spans="1:45" customFormat="1" ht="76">
      <c r="A70" s="65">
        <v>772</v>
      </c>
      <c r="B70" s="69" t="s">
        <v>2098</v>
      </c>
      <c r="C70" s="69" t="s">
        <v>59</v>
      </c>
      <c r="D70" s="31">
        <f t="shared" si="12"/>
        <v>5</v>
      </c>
      <c r="E70" s="69" t="s">
        <v>1223</v>
      </c>
      <c r="F70" s="31">
        <f t="shared" si="13"/>
        <v>8</v>
      </c>
      <c r="G70" s="137" t="s">
        <v>2105</v>
      </c>
      <c r="H70" s="138">
        <v>31</v>
      </c>
      <c r="I70" s="92">
        <f t="shared" si="16"/>
        <v>0.84078562752786301</v>
      </c>
      <c r="J70" s="95">
        <v>0.99975307323754403</v>
      </c>
      <c r="K70" s="137">
        <v>0.75194805194805203</v>
      </c>
      <c r="L70" s="137">
        <v>0.68181818181818199</v>
      </c>
      <c r="M70" s="137">
        <v>0.85714285714285698</v>
      </c>
      <c r="N70" s="136">
        <v>1</v>
      </c>
      <c r="O70" s="154">
        <v>44034</v>
      </c>
      <c r="P70" s="98">
        <f t="shared" si="14"/>
        <v>1</v>
      </c>
      <c r="Q70" s="111">
        <v>7.65</v>
      </c>
      <c r="R70" s="111">
        <v>0</v>
      </c>
      <c r="S70" s="111">
        <v>0</v>
      </c>
      <c r="T70" s="112" t="s">
        <v>73</v>
      </c>
      <c r="U70" s="169" t="s">
        <v>2106</v>
      </c>
      <c r="V70" s="137" t="s">
        <v>2107</v>
      </c>
      <c r="W70" s="69">
        <v>96</v>
      </c>
      <c r="X70" s="69">
        <v>1</v>
      </c>
      <c r="Y70" s="69">
        <v>1</v>
      </c>
      <c r="Z70" s="69"/>
      <c r="AA70" t="s">
        <v>4522</v>
      </c>
      <c r="AB70" t="s">
        <v>51</v>
      </c>
      <c r="AC70" t="s">
        <v>223</v>
      </c>
      <c r="AD70" t="s">
        <v>4649</v>
      </c>
      <c r="AE70" t="s">
        <v>4513</v>
      </c>
      <c r="AF70" t="s">
        <v>4656</v>
      </c>
      <c r="AG70" t="s">
        <v>4353</v>
      </c>
      <c r="AH70" t="s">
        <v>4506</v>
      </c>
      <c r="AI70" t="s">
        <v>4353</v>
      </c>
      <c r="AJ70" t="s">
        <v>4506</v>
      </c>
      <c r="AK70" t="s">
        <v>4519</v>
      </c>
      <c r="AL70" t="s">
        <v>4519</v>
      </c>
      <c r="AM70" t="s">
        <v>4562</v>
      </c>
      <c r="AN70" t="s">
        <v>4563</v>
      </c>
      <c r="AO70" s="134">
        <v>109.225749559083</v>
      </c>
      <c r="AP70" s="135">
        <v>111.806737588652</v>
      </c>
      <c r="AQ70">
        <v>0.42996453900709197</v>
      </c>
      <c r="AR70" s="136">
        <v>1.2171985815602799</v>
      </c>
      <c r="AS70">
        <v>6.9547872340425503</v>
      </c>
    </row>
    <row r="71" spans="1:45" customFormat="1" ht="135">
      <c r="A71" s="65">
        <v>209</v>
      </c>
      <c r="B71" s="72" t="s">
        <v>589</v>
      </c>
      <c r="C71" s="82" t="s">
        <v>45</v>
      </c>
      <c r="D71" s="31">
        <f t="shared" si="12"/>
        <v>4</v>
      </c>
      <c r="E71" s="83" t="s">
        <v>46</v>
      </c>
      <c r="F71" s="31">
        <f t="shared" si="13"/>
        <v>6</v>
      </c>
      <c r="G71" s="75" t="s">
        <v>637</v>
      </c>
      <c r="H71" s="81">
        <f>LEN(U71)</f>
        <v>100</v>
      </c>
      <c r="I71" s="92">
        <f t="shared" si="16"/>
        <v>0.31114191708694722</v>
      </c>
      <c r="J71" s="95">
        <v>2.4491234300924002E-3</v>
      </c>
      <c r="K71" s="96">
        <v>0.71475796930342395</v>
      </c>
      <c r="L71" s="96">
        <v>0.61983471074380203</v>
      </c>
      <c r="M71" s="96">
        <v>0.85714285714285698</v>
      </c>
      <c r="N71" s="31">
        <v>0</v>
      </c>
      <c r="O71" s="97">
        <v>44034</v>
      </c>
      <c r="P71" s="98">
        <f t="shared" si="14"/>
        <v>1</v>
      </c>
      <c r="Q71" s="107"/>
      <c r="R71" s="107"/>
      <c r="S71" s="107"/>
      <c r="T71" s="108" t="s">
        <v>73</v>
      </c>
      <c r="U71" s="85" t="s">
        <v>4370</v>
      </c>
      <c r="V71" s="109" t="s">
        <v>639</v>
      </c>
      <c r="W71" s="83">
        <f>LEN(V71)</f>
        <v>187</v>
      </c>
      <c r="X71" s="83">
        <v>2</v>
      </c>
      <c r="Y71" s="83">
        <v>1</v>
      </c>
      <c r="Z71" s="65"/>
      <c r="AA71" t="s">
        <v>4522</v>
      </c>
      <c r="AB71" t="s">
        <v>51</v>
      </c>
      <c r="AC71" t="s">
        <v>223</v>
      </c>
      <c r="AD71" t="s">
        <v>4657</v>
      </c>
      <c r="AE71" t="s">
        <v>4513</v>
      </c>
      <c r="AF71" t="s">
        <v>4658</v>
      </c>
      <c r="AG71" t="s">
        <v>223</v>
      </c>
      <c r="AH71" t="s">
        <v>4657</v>
      </c>
      <c r="AI71" t="s">
        <v>4353</v>
      </c>
      <c r="AJ71" t="s">
        <v>4506</v>
      </c>
      <c r="AK71" t="s">
        <v>4519</v>
      </c>
      <c r="AL71" t="s">
        <v>4552</v>
      </c>
      <c r="AM71" t="s">
        <v>4519</v>
      </c>
      <c r="AN71" t="s">
        <v>4659</v>
      </c>
      <c r="AO71" s="134">
        <v>109.294792586055</v>
      </c>
      <c r="AP71" s="135">
        <v>111.806737588652</v>
      </c>
      <c r="AQ71">
        <v>0.42996453900709197</v>
      </c>
      <c r="AR71" s="136">
        <v>1.2171985815602799</v>
      </c>
      <c r="AS71">
        <v>6.9547872340425503</v>
      </c>
    </row>
    <row r="72" spans="1:45" customFormat="1" ht="45">
      <c r="A72" s="65">
        <v>976</v>
      </c>
      <c r="B72" s="72" t="s">
        <v>2638</v>
      </c>
      <c r="C72" s="87" t="s">
        <v>45</v>
      </c>
      <c r="D72" s="31">
        <f t="shared" si="12"/>
        <v>4</v>
      </c>
      <c r="E72" s="87" t="s">
        <v>80</v>
      </c>
      <c r="F72" s="31">
        <f t="shared" si="13"/>
        <v>4</v>
      </c>
      <c r="G72" s="80" t="s">
        <v>2646</v>
      </c>
      <c r="H72" s="81">
        <f>LEN(U72)</f>
        <v>37</v>
      </c>
      <c r="I72" s="92">
        <f t="shared" si="16"/>
        <v>0.41262174035719495</v>
      </c>
      <c r="J72" s="93">
        <v>2.4348071438995401E-4</v>
      </c>
      <c r="K72" s="102">
        <v>0.68896849854491504</v>
      </c>
      <c r="L72" s="102">
        <v>0.82499999999999996</v>
      </c>
      <c r="M72" s="102">
        <v>0.48492124636228701</v>
      </c>
      <c r="N72" s="31">
        <v>1</v>
      </c>
      <c r="O72" s="99">
        <v>44034</v>
      </c>
      <c r="P72" s="98">
        <f t="shared" si="14"/>
        <v>0</v>
      </c>
      <c r="Q72" s="113"/>
      <c r="R72" s="113"/>
      <c r="S72" s="113"/>
      <c r="T72" s="114" t="s">
        <v>48</v>
      </c>
      <c r="U72" s="85" t="s">
        <v>2647</v>
      </c>
      <c r="V72" s="109" t="s">
        <v>2643</v>
      </c>
      <c r="W72" s="83">
        <f>LEN(V72)</f>
        <v>51</v>
      </c>
      <c r="X72" s="30">
        <v>0</v>
      </c>
      <c r="Y72" s="30">
        <v>13</v>
      </c>
      <c r="Z72" s="65"/>
      <c r="AA72" t="s">
        <v>4660</v>
      </c>
      <c r="AB72" t="s">
        <v>51</v>
      </c>
      <c r="AC72" t="s">
        <v>4353</v>
      </c>
      <c r="AD72" t="s">
        <v>4506</v>
      </c>
      <c r="AE72" t="s">
        <v>4513</v>
      </c>
      <c r="AF72" t="s">
        <v>4651</v>
      </c>
      <c r="AG72" t="s">
        <v>4353</v>
      </c>
      <c r="AH72" t="s">
        <v>4506</v>
      </c>
      <c r="AI72" t="s">
        <v>4353</v>
      </c>
      <c r="AJ72" t="s">
        <v>4506</v>
      </c>
      <c r="AK72" t="s">
        <v>4519</v>
      </c>
      <c r="AL72" t="s">
        <v>4519</v>
      </c>
      <c r="AM72" t="s">
        <v>4592</v>
      </c>
      <c r="AN72" t="s">
        <v>4626</v>
      </c>
      <c r="AO72" s="134">
        <v>109.358657243816</v>
      </c>
      <c r="AP72" s="135">
        <v>111.806737588652</v>
      </c>
      <c r="AQ72">
        <v>0.42996453900709197</v>
      </c>
      <c r="AR72" s="136">
        <v>1.2171985815602799</v>
      </c>
      <c r="AS72">
        <v>6.9547872340425503</v>
      </c>
    </row>
    <row r="73" spans="1:45" customFormat="1" ht="45">
      <c r="A73">
        <v>586</v>
      </c>
      <c r="B73" s="72" t="s">
        <v>1628</v>
      </c>
      <c r="C73" s="82" t="s">
        <v>45</v>
      </c>
      <c r="D73" s="31">
        <f t="shared" si="12"/>
        <v>4</v>
      </c>
      <c r="E73" s="83" t="s">
        <v>80</v>
      </c>
      <c r="F73" s="31">
        <f t="shared" si="13"/>
        <v>4</v>
      </c>
      <c r="G73" s="85" t="s">
        <v>1638</v>
      </c>
      <c r="H73" s="81">
        <f>LEN(U73)</f>
        <v>46</v>
      </c>
      <c r="I73" s="92">
        <f t="shared" si="16"/>
        <v>0.87089186547271047</v>
      </c>
      <c r="J73" s="95">
        <v>0.99178373094542105</v>
      </c>
      <c r="K73" s="96">
        <v>0.79285714285714304</v>
      </c>
      <c r="L73" s="96">
        <v>0.75</v>
      </c>
      <c r="M73" s="96">
        <v>0.85714285714285698</v>
      </c>
      <c r="N73" s="31">
        <v>1</v>
      </c>
      <c r="O73" s="97">
        <v>44033</v>
      </c>
      <c r="P73" s="98">
        <f t="shared" si="14"/>
        <v>0</v>
      </c>
      <c r="Q73" s="111"/>
      <c r="R73" s="111"/>
      <c r="S73" s="111"/>
      <c r="T73" s="112" t="s">
        <v>48</v>
      </c>
      <c r="U73" s="75" t="s">
        <v>1639</v>
      </c>
      <c r="V73" s="109" t="s">
        <v>1640</v>
      </c>
      <c r="W73" s="83">
        <f>LEN(V73)</f>
        <v>61</v>
      </c>
      <c r="X73" s="40">
        <v>0</v>
      </c>
      <c r="Y73" s="40">
        <v>1</v>
      </c>
      <c r="Z73" s="65"/>
      <c r="AA73" t="s">
        <v>4522</v>
      </c>
      <c r="AB73" t="s">
        <v>51</v>
      </c>
      <c r="AC73" t="s">
        <v>4353</v>
      </c>
      <c r="AD73" t="s">
        <v>4506</v>
      </c>
      <c r="AE73" t="s">
        <v>4515</v>
      </c>
      <c r="AF73" t="s">
        <v>4620</v>
      </c>
      <c r="AG73" t="s">
        <v>4353</v>
      </c>
      <c r="AH73" t="s">
        <v>4506</v>
      </c>
      <c r="AI73" t="s">
        <v>4353</v>
      </c>
      <c r="AJ73" t="s">
        <v>4506</v>
      </c>
      <c r="AK73" t="s">
        <v>4518</v>
      </c>
      <c r="AL73" t="s">
        <v>4519</v>
      </c>
      <c r="AM73" t="s">
        <v>4592</v>
      </c>
      <c r="AN73" t="s">
        <v>4661</v>
      </c>
      <c r="AO73" s="134">
        <v>109.414677276746</v>
      </c>
      <c r="AP73" s="135">
        <v>111.806737588652</v>
      </c>
      <c r="AQ73">
        <v>0.42996453900709197</v>
      </c>
      <c r="AR73" s="136">
        <v>1.2171985815602799</v>
      </c>
      <c r="AS73">
        <v>6.9547872340425503</v>
      </c>
    </row>
    <row r="74" spans="1:45" customFormat="1" ht="45">
      <c r="A74" s="65">
        <v>977</v>
      </c>
      <c r="B74" s="72" t="s">
        <v>2638</v>
      </c>
      <c r="C74" s="87" t="s">
        <v>45</v>
      </c>
      <c r="D74" s="31">
        <f t="shared" si="12"/>
        <v>4</v>
      </c>
      <c r="E74" s="87" t="s">
        <v>80</v>
      </c>
      <c r="F74" s="31">
        <f t="shared" si="13"/>
        <v>4</v>
      </c>
      <c r="G74" s="80" t="s">
        <v>2648</v>
      </c>
      <c r="H74" s="81">
        <f>LEN(U74)</f>
        <v>40</v>
      </c>
      <c r="I74" s="92">
        <f t="shared" si="16"/>
        <v>0.45307203334732143</v>
      </c>
      <c r="J74" s="93">
        <v>8.11440666946429E-2</v>
      </c>
      <c r="K74" s="102">
        <v>0.70547858340826297</v>
      </c>
      <c r="L74" s="102">
        <v>0.82499999999999996</v>
      </c>
      <c r="M74" s="102">
        <v>0.526196458520657</v>
      </c>
      <c r="N74" s="31">
        <v>0</v>
      </c>
      <c r="O74" s="97">
        <v>44032</v>
      </c>
      <c r="P74" s="98">
        <f t="shared" si="14"/>
        <v>0</v>
      </c>
      <c r="Q74" s="124"/>
      <c r="R74" s="124"/>
      <c r="S74" s="124"/>
      <c r="T74" s="170" t="s">
        <v>48</v>
      </c>
      <c r="U74" s="85" t="s">
        <v>2649</v>
      </c>
      <c r="V74" s="109" t="s">
        <v>2650</v>
      </c>
      <c r="W74" s="83">
        <f>LEN(V74)</f>
        <v>51</v>
      </c>
      <c r="X74" s="30">
        <v>3</v>
      </c>
      <c r="Y74" s="30">
        <v>11</v>
      </c>
      <c r="Z74" s="65"/>
      <c r="AA74" t="s">
        <v>4522</v>
      </c>
      <c r="AB74" t="s">
        <v>51</v>
      </c>
      <c r="AC74" t="s">
        <v>223</v>
      </c>
      <c r="AD74" t="s">
        <v>4590</v>
      </c>
      <c r="AE74" t="s">
        <v>4513</v>
      </c>
      <c r="AF74" t="s">
        <v>4662</v>
      </c>
      <c r="AG74" t="s">
        <v>4353</v>
      </c>
      <c r="AH74" t="s">
        <v>4506</v>
      </c>
      <c r="AI74" t="s">
        <v>4353</v>
      </c>
      <c r="AJ74" t="s">
        <v>4506</v>
      </c>
      <c r="AK74" t="s">
        <v>4518</v>
      </c>
      <c r="AL74" t="s">
        <v>4519</v>
      </c>
      <c r="AM74" t="s">
        <v>4592</v>
      </c>
      <c r="AN74" t="s">
        <v>4661</v>
      </c>
      <c r="AO74" s="134">
        <v>109.413274336283</v>
      </c>
      <c r="AP74" s="135">
        <v>111.806737588652</v>
      </c>
      <c r="AQ74">
        <v>0.42996453900709197</v>
      </c>
      <c r="AR74" s="136">
        <v>1.2171985815602799</v>
      </c>
      <c r="AS74">
        <v>6.9547872340425503</v>
      </c>
    </row>
    <row r="75" spans="1:45" customFormat="1" ht="121">
      <c r="A75" s="65">
        <v>773</v>
      </c>
      <c r="B75" s="69" t="s">
        <v>2098</v>
      </c>
      <c r="C75" s="69" t="s">
        <v>45</v>
      </c>
      <c r="D75" s="31">
        <f t="shared" si="12"/>
        <v>4</v>
      </c>
      <c r="E75" s="69" t="s">
        <v>1223</v>
      </c>
      <c r="F75" s="31">
        <f t="shared" si="13"/>
        <v>8</v>
      </c>
      <c r="G75" s="137" t="s">
        <v>2108</v>
      </c>
      <c r="H75" s="138">
        <v>111</v>
      </c>
      <c r="I75" s="92">
        <f t="shared" si="16"/>
        <v>0.35376720833843173</v>
      </c>
      <c r="J75" s="95">
        <v>2.5716234858681498E-2</v>
      </c>
      <c r="K75" s="137">
        <v>0.657905119887218</v>
      </c>
      <c r="L75" s="137">
        <v>0.68181818181818199</v>
      </c>
      <c r="M75" s="137">
        <v>0.62203552699077302</v>
      </c>
      <c r="N75" s="136">
        <v>1</v>
      </c>
      <c r="O75" s="155">
        <v>44032</v>
      </c>
      <c r="P75" s="98">
        <f t="shared" si="14"/>
        <v>1</v>
      </c>
      <c r="Q75" s="111">
        <v>5.0999999999999996</v>
      </c>
      <c r="R75" s="111">
        <v>0</v>
      </c>
      <c r="S75" s="111">
        <v>0</v>
      </c>
      <c r="T75" s="112" t="s">
        <v>73</v>
      </c>
      <c r="U75" s="147" t="s">
        <v>2109</v>
      </c>
      <c r="V75" s="137" t="s">
        <v>2110</v>
      </c>
      <c r="W75" s="69">
        <v>177</v>
      </c>
      <c r="X75" s="171">
        <v>1</v>
      </c>
      <c r="Y75" s="171">
        <v>7</v>
      </c>
      <c r="Z75" s="69"/>
      <c r="AA75" t="s">
        <v>4663</v>
      </c>
      <c r="AB75" t="s">
        <v>71</v>
      </c>
      <c r="AC75" t="s">
        <v>223</v>
      </c>
      <c r="AD75" t="s">
        <v>4598</v>
      </c>
      <c r="AE75" t="s">
        <v>223</v>
      </c>
      <c r="AF75" t="s">
        <v>4598</v>
      </c>
      <c r="AG75" t="s">
        <v>4515</v>
      </c>
      <c r="AH75" t="s">
        <v>4664</v>
      </c>
      <c r="AI75" t="s">
        <v>4353</v>
      </c>
      <c r="AJ75" t="s">
        <v>4506</v>
      </c>
      <c r="AK75" t="s">
        <v>4519</v>
      </c>
      <c r="AL75" t="s">
        <v>4519</v>
      </c>
      <c r="AM75" t="s">
        <v>4510</v>
      </c>
      <c r="AN75" t="s">
        <v>4550</v>
      </c>
      <c r="AO75" s="134">
        <v>109.474756421612</v>
      </c>
      <c r="AP75" s="135">
        <v>111.806737588652</v>
      </c>
      <c r="AQ75">
        <v>0.42996453900709197</v>
      </c>
      <c r="AR75" s="136">
        <v>1.2171985815602799</v>
      </c>
      <c r="AS75">
        <v>6.9547872340425503</v>
      </c>
    </row>
    <row r="76" spans="1:45" customFormat="1" ht="91">
      <c r="A76">
        <v>159</v>
      </c>
      <c r="B76" s="69" t="s">
        <v>499</v>
      </c>
      <c r="C76" s="69" t="s">
        <v>45</v>
      </c>
      <c r="D76" s="31">
        <f t="shared" si="12"/>
        <v>4</v>
      </c>
      <c r="E76" s="69" t="s">
        <v>221</v>
      </c>
      <c r="F76" s="31">
        <f t="shared" si="13"/>
        <v>2</v>
      </c>
      <c r="G76" s="136" t="s">
        <v>500</v>
      </c>
      <c r="H76" s="138">
        <v>54</v>
      </c>
      <c r="I76" s="92">
        <f t="shared" si="16"/>
        <v>0.90804741732174343</v>
      </c>
      <c r="J76" s="95">
        <v>0.99109483464348702</v>
      </c>
      <c r="K76" s="137">
        <v>0.75502915755524702</v>
      </c>
      <c r="L76" s="137">
        <v>0.82499999999999996</v>
      </c>
      <c r="M76" s="137">
        <v>0.65007289388811795</v>
      </c>
      <c r="N76" s="136">
        <v>1</v>
      </c>
      <c r="O76" s="154">
        <v>44023</v>
      </c>
      <c r="P76" s="98">
        <f t="shared" si="14"/>
        <v>1</v>
      </c>
      <c r="Q76" s="111">
        <v>2.5499999999999998</v>
      </c>
      <c r="R76" s="111">
        <v>1.65</v>
      </c>
      <c r="S76" s="111">
        <v>0</v>
      </c>
      <c r="T76" s="112" t="s">
        <v>73</v>
      </c>
      <c r="U76" s="137" t="s">
        <v>501</v>
      </c>
      <c r="V76" s="137" t="s">
        <v>502</v>
      </c>
      <c r="W76" s="69">
        <v>132</v>
      </c>
      <c r="X76" s="69">
        <v>2</v>
      </c>
      <c r="Y76" s="69">
        <v>6</v>
      </c>
      <c r="AA76" t="s">
        <v>4556</v>
      </c>
      <c r="AB76" t="s">
        <v>51</v>
      </c>
      <c r="AC76" t="s">
        <v>223</v>
      </c>
      <c r="AD76" t="s">
        <v>4665</v>
      </c>
      <c r="AE76" t="s">
        <v>4515</v>
      </c>
      <c r="AF76" t="s">
        <v>4666</v>
      </c>
      <c r="AG76" t="s">
        <v>4353</v>
      </c>
      <c r="AH76" t="s">
        <v>4506</v>
      </c>
      <c r="AI76" t="s">
        <v>4353</v>
      </c>
      <c r="AJ76" t="s">
        <v>4506</v>
      </c>
      <c r="AK76" t="s">
        <v>4519</v>
      </c>
      <c r="AL76" t="s">
        <v>4552</v>
      </c>
      <c r="AM76" t="s">
        <v>4528</v>
      </c>
      <c r="AN76" t="s">
        <v>4618</v>
      </c>
      <c r="AO76" s="134">
        <v>109.52393617021301</v>
      </c>
      <c r="AP76" s="135">
        <v>111.681172291297</v>
      </c>
      <c r="AQ76">
        <v>0.42984014209591498</v>
      </c>
      <c r="AR76" s="136">
        <v>1.21758436944938</v>
      </c>
      <c r="AS76">
        <v>6.9573712255772602</v>
      </c>
    </row>
    <row r="77" spans="1:45" customFormat="1" ht="166">
      <c r="A77" s="65">
        <v>1017</v>
      </c>
      <c r="B77" s="69" t="s">
        <v>2752</v>
      </c>
      <c r="C77" s="69" t="s">
        <v>45</v>
      </c>
      <c r="D77" s="31">
        <f t="shared" si="12"/>
        <v>4</v>
      </c>
      <c r="E77" s="69" t="s">
        <v>80</v>
      </c>
      <c r="F77" s="31">
        <f t="shared" si="13"/>
        <v>4</v>
      </c>
      <c r="G77" s="139" t="s">
        <v>2762</v>
      </c>
      <c r="H77" s="138">
        <v>64</v>
      </c>
      <c r="I77" s="92">
        <f t="shared" si="16"/>
        <v>0.8596618843224495</v>
      </c>
      <c r="J77" s="95">
        <v>0.89432376864489904</v>
      </c>
      <c r="K77" s="137">
        <v>0.76722468700001201</v>
      </c>
      <c r="L77" s="137">
        <v>0.82499999999999996</v>
      </c>
      <c r="M77" s="137">
        <v>0.68056171750003003</v>
      </c>
      <c r="N77" s="136">
        <v>1</v>
      </c>
      <c r="O77" s="156">
        <v>44022</v>
      </c>
      <c r="P77" s="98">
        <f t="shared" si="14"/>
        <v>1</v>
      </c>
      <c r="Q77" s="124">
        <v>5.0999999999999996</v>
      </c>
      <c r="R77" s="124">
        <v>0</v>
      </c>
      <c r="S77" s="124">
        <v>0</v>
      </c>
      <c r="T77" s="125" t="s">
        <v>73</v>
      </c>
      <c r="U77" s="89" t="s">
        <v>2763</v>
      </c>
      <c r="V77" s="172" t="s">
        <v>2764</v>
      </c>
      <c r="W77" s="69">
        <v>233</v>
      </c>
      <c r="X77" s="69">
        <v>1</v>
      </c>
      <c r="Y77" s="69">
        <v>5</v>
      </c>
      <c r="Z77" s="69"/>
      <c r="AA77" t="s">
        <v>4660</v>
      </c>
      <c r="AB77" t="s">
        <v>4594</v>
      </c>
      <c r="AC77" t="s">
        <v>4515</v>
      </c>
      <c r="AD77" t="s">
        <v>4667</v>
      </c>
      <c r="AE77" t="s">
        <v>4515</v>
      </c>
      <c r="AF77" t="s">
        <v>4667</v>
      </c>
      <c r="AG77" t="s">
        <v>4353</v>
      </c>
      <c r="AH77" t="s">
        <v>4506</v>
      </c>
      <c r="AI77" t="s">
        <v>4353</v>
      </c>
      <c r="AJ77" t="s">
        <v>4506</v>
      </c>
      <c r="AK77" t="s">
        <v>4519</v>
      </c>
      <c r="AL77" t="s">
        <v>4519</v>
      </c>
      <c r="AM77" t="s">
        <v>4510</v>
      </c>
      <c r="AN77" t="s">
        <v>4550</v>
      </c>
      <c r="AO77" s="134">
        <v>109.564330079858</v>
      </c>
      <c r="AP77" s="135">
        <v>111.681172291297</v>
      </c>
      <c r="AQ77">
        <v>0.42984014209591498</v>
      </c>
      <c r="AR77" s="136">
        <v>1.21758436944938</v>
      </c>
      <c r="AS77">
        <v>6.9573712255772602</v>
      </c>
    </row>
    <row r="78" spans="1:45" customFormat="1" ht="105">
      <c r="A78">
        <v>978</v>
      </c>
      <c r="B78" s="72" t="s">
        <v>2638</v>
      </c>
      <c r="C78" s="87" t="s">
        <v>45</v>
      </c>
      <c r="D78" s="31">
        <f t="shared" si="12"/>
        <v>4</v>
      </c>
      <c r="E78" s="87" t="s">
        <v>46</v>
      </c>
      <c r="F78" s="31">
        <f t="shared" si="13"/>
        <v>6</v>
      </c>
      <c r="G78" s="80" t="s">
        <v>2651</v>
      </c>
      <c r="H78" s="81">
        <f>LEN(U78)</f>
        <v>200</v>
      </c>
      <c r="I78" s="92">
        <f t="shared" si="16"/>
        <v>0.3750000000210818</v>
      </c>
      <c r="J78" s="93">
        <v>4.2163605940004403E-11</v>
      </c>
      <c r="K78" s="102">
        <v>0.79285714285714304</v>
      </c>
      <c r="L78" s="102">
        <v>0.75</v>
      </c>
      <c r="M78" s="102">
        <v>0.85714285714285698</v>
      </c>
      <c r="N78" s="31">
        <v>1</v>
      </c>
      <c r="O78" s="97">
        <v>44018</v>
      </c>
      <c r="P78" s="98">
        <f t="shared" si="14"/>
        <v>0</v>
      </c>
      <c r="Q78" s="124"/>
      <c r="R78" s="124"/>
      <c r="S78" s="124"/>
      <c r="T78" s="170" t="s">
        <v>48</v>
      </c>
      <c r="U78" s="85" t="s">
        <v>2652</v>
      </c>
      <c r="V78" s="109" t="s">
        <v>2653</v>
      </c>
      <c r="W78" s="83">
        <f>LEN(V78)</f>
        <v>100</v>
      </c>
      <c r="X78" s="30">
        <v>0</v>
      </c>
      <c r="Y78" s="30">
        <v>1</v>
      </c>
      <c r="Z78" s="65"/>
      <c r="AA78" t="s">
        <v>4564</v>
      </c>
      <c r="AB78" t="s">
        <v>51</v>
      </c>
      <c r="AC78" t="s">
        <v>223</v>
      </c>
      <c r="AD78" t="s">
        <v>4668</v>
      </c>
      <c r="AE78" t="s">
        <v>4513</v>
      </c>
      <c r="AF78" t="s">
        <v>4531</v>
      </c>
      <c r="AG78" t="s">
        <v>4353</v>
      </c>
      <c r="AH78" t="s">
        <v>4506</v>
      </c>
      <c r="AI78" t="s">
        <v>4353</v>
      </c>
      <c r="AJ78" t="s">
        <v>4506</v>
      </c>
      <c r="AK78" t="s">
        <v>4518</v>
      </c>
      <c r="AL78" t="s">
        <v>4519</v>
      </c>
      <c r="AM78" t="s">
        <v>4592</v>
      </c>
      <c r="AN78" t="s">
        <v>4661</v>
      </c>
      <c r="AO78" s="134">
        <v>109.484014209591</v>
      </c>
      <c r="AP78" s="135">
        <v>111.755575379126</v>
      </c>
      <c r="AQ78">
        <v>0.42283675289919698</v>
      </c>
      <c r="AR78" s="136">
        <v>1.21766280107047</v>
      </c>
      <c r="AS78">
        <v>6.95628902765388</v>
      </c>
    </row>
    <row r="79" spans="1:45" customFormat="1" ht="76">
      <c r="A79" s="65">
        <v>1116</v>
      </c>
      <c r="B79" s="69" t="s">
        <v>3030</v>
      </c>
      <c r="C79" s="69" t="s">
        <v>45</v>
      </c>
      <c r="D79" s="31">
        <f t="shared" si="12"/>
        <v>4</v>
      </c>
      <c r="E79" s="69" t="s">
        <v>80</v>
      </c>
      <c r="F79" s="31">
        <f t="shared" si="13"/>
        <v>4</v>
      </c>
      <c r="G79" s="139" t="s">
        <v>3034</v>
      </c>
      <c r="H79" s="138">
        <v>49</v>
      </c>
      <c r="I79" s="92">
        <f t="shared" si="16"/>
        <v>0.5359394655219345</v>
      </c>
      <c r="J79" s="95">
        <v>0.24687893104386899</v>
      </c>
      <c r="K79" s="137">
        <v>0.76722468700001201</v>
      </c>
      <c r="L79" s="137">
        <v>0.82499999999999996</v>
      </c>
      <c r="M79" s="137">
        <v>0.68056171750003003</v>
      </c>
      <c r="N79" s="136">
        <v>1</v>
      </c>
      <c r="O79" s="157">
        <v>44013</v>
      </c>
      <c r="P79" s="98">
        <f t="shared" si="14"/>
        <v>0</v>
      </c>
      <c r="Q79" s="113">
        <v>0</v>
      </c>
      <c r="R79" s="113">
        <v>1.65</v>
      </c>
      <c r="S79" s="113">
        <v>0</v>
      </c>
      <c r="T79" s="119" t="s">
        <v>48</v>
      </c>
      <c r="U79" s="89" t="s">
        <v>3035</v>
      </c>
      <c r="V79" s="172" t="s">
        <v>3036</v>
      </c>
      <c r="W79" s="69">
        <v>89</v>
      </c>
      <c r="X79" s="69">
        <v>1</v>
      </c>
      <c r="Y79" s="69">
        <v>5</v>
      </c>
      <c r="Z79" s="69"/>
      <c r="AA79" t="s">
        <v>4564</v>
      </c>
      <c r="AB79" t="s">
        <v>51</v>
      </c>
      <c r="AC79" t="s">
        <v>4353</v>
      </c>
      <c r="AD79" t="s">
        <v>4506</v>
      </c>
      <c r="AE79" t="s">
        <v>4513</v>
      </c>
      <c r="AF79" t="s">
        <v>4669</v>
      </c>
      <c r="AG79" t="s">
        <v>223</v>
      </c>
      <c r="AH79" t="s">
        <v>4670</v>
      </c>
      <c r="AI79" t="s">
        <v>4353</v>
      </c>
      <c r="AJ79" t="s">
        <v>4506</v>
      </c>
      <c r="AK79" t="s">
        <v>4518</v>
      </c>
      <c r="AL79" t="s">
        <v>4519</v>
      </c>
      <c r="AM79" t="s">
        <v>4671</v>
      </c>
      <c r="AN79" t="s">
        <v>4672</v>
      </c>
      <c r="AO79" s="134">
        <v>109.52800000000001</v>
      </c>
      <c r="AP79" s="135">
        <v>111.69982078853</v>
      </c>
      <c r="AQ79">
        <v>0.42473118279569899</v>
      </c>
      <c r="AR79" s="136">
        <v>1.2177419354838701</v>
      </c>
      <c r="AS79">
        <v>6.95609318996416</v>
      </c>
    </row>
    <row r="80" spans="1:45" customFormat="1" ht="105">
      <c r="A80">
        <v>210</v>
      </c>
      <c r="B80" s="72" t="s">
        <v>589</v>
      </c>
      <c r="C80" s="82" t="s">
        <v>45</v>
      </c>
      <c r="D80" s="31">
        <f t="shared" si="12"/>
        <v>4</v>
      </c>
      <c r="E80" s="83" t="s">
        <v>80</v>
      </c>
      <c r="F80" s="31">
        <f t="shared" si="13"/>
        <v>4</v>
      </c>
      <c r="G80" s="85" t="s">
        <v>640</v>
      </c>
      <c r="H80" s="81">
        <f>LEN(U80)</f>
        <v>60</v>
      </c>
      <c r="I80" s="92">
        <f t="shared" si="16"/>
        <v>0.34097511949490417</v>
      </c>
      <c r="J80" s="95">
        <v>1.3205717162634301E-4</v>
      </c>
      <c r="K80" s="96">
        <v>0.75194805194805203</v>
      </c>
      <c r="L80" s="96">
        <v>0.68181818181818199</v>
      </c>
      <c r="M80" s="96">
        <v>0.85714285714285698</v>
      </c>
      <c r="N80" s="31">
        <v>1</v>
      </c>
      <c r="O80" s="97">
        <v>44013</v>
      </c>
      <c r="P80" s="98">
        <f t="shared" si="14"/>
        <v>0</v>
      </c>
      <c r="Q80" s="107"/>
      <c r="R80" s="107"/>
      <c r="S80" s="107"/>
      <c r="T80" s="108" t="s">
        <v>48</v>
      </c>
      <c r="U80" s="85" t="s">
        <v>641</v>
      </c>
      <c r="V80" s="109" t="s">
        <v>642</v>
      </c>
      <c r="W80" s="83">
        <f>LEN(V80)</f>
        <v>132</v>
      </c>
      <c r="X80" s="83">
        <v>0</v>
      </c>
      <c r="Y80" s="83">
        <v>1</v>
      </c>
      <c r="Z80" s="65"/>
      <c r="AA80" t="s">
        <v>4673</v>
      </c>
      <c r="AB80" t="s">
        <v>4576</v>
      </c>
      <c r="AC80" t="s">
        <v>4353</v>
      </c>
      <c r="AD80" t="s">
        <v>4506</v>
      </c>
      <c r="AE80" t="s">
        <v>4515</v>
      </c>
      <c r="AF80" t="s">
        <v>4674</v>
      </c>
      <c r="AG80" t="s">
        <v>4515</v>
      </c>
      <c r="AH80" t="s">
        <v>4674</v>
      </c>
      <c r="AI80" t="s">
        <v>4353</v>
      </c>
      <c r="AJ80" t="s">
        <v>4506</v>
      </c>
      <c r="AK80" t="s">
        <v>4519</v>
      </c>
      <c r="AL80" t="s">
        <v>4519</v>
      </c>
      <c r="AM80" t="s">
        <v>4520</v>
      </c>
      <c r="AN80" t="s">
        <v>4558</v>
      </c>
      <c r="AO80" s="134">
        <v>109.582740213523</v>
      </c>
      <c r="AP80" s="135">
        <v>111.69982078853</v>
      </c>
      <c r="AQ80">
        <v>0.42473118279569899</v>
      </c>
      <c r="AR80" s="136">
        <v>1.2177419354838701</v>
      </c>
      <c r="AS80">
        <v>6.95609318996416</v>
      </c>
    </row>
    <row r="81" spans="1:45" customFormat="1" ht="91">
      <c r="A81">
        <v>211</v>
      </c>
      <c r="B81" s="69" t="s">
        <v>589</v>
      </c>
      <c r="C81" s="69" t="s">
        <v>45</v>
      </c>
      <c r="D81" s="31">
        <f t="shared" si="12"/>
        <v>4</v>
      </c>
      <c r="E81" s="69" t="s">
        <v>80</v>
      </c>
      <c r="F81" s="31">
        <f t="shared" si="13"/>
        <v>4</v>
      </c>
      <c r="G81" s="137" t="s">
        <v>643</v>
      </c>
      <c r="H81" s="138">
        <v>48</v>
      </c>
      <c r="I81" s="92">
        <f t="shared" si="16"/>
        <v>0.41253191127894523</v>
      </c>
      <c r="J81" s="95">
        <v>6.3822557890502702E-5</v>
      </c>
      <c r="K81" s="137">
        <v>0.83785714285714297</v>
      </c>
      <c r="L81" s="137">
        <v>0.82499999999999996</v>
      </c>
      <c r="M81" s="137">
        <v>0.85714285714285698</v>
      </c>
      <c r="N81" s="136">
        <v>1</v>
      </c>
      <c r="O81" s="154">
        <v>44013</v>
      </c>
      <c r="P81" s="98">
        <f t="shared" si="14"/>
        <v>0</v>
      </c>
      <c r="Q81" s="107">
        <v>0</v>
      </c>
      <c r="R81" s="107">
        <v>1.65</v>
      </c>
      <c r="S81" s="107">
        <v>0</v>
      </c>
      <c r="T81" s="108" t="s">
        <v>48</v>
      </c>
      <c r="U81" s="137" t="s">
        <v>644</v>
      </c>
      <c r="V81" s="137" t="s">
        <v>645</v>
      </c>
      <c r="W81" s="69">
        <v>118</v>
      </c>
      <c r="X81" s="69">
        <v>1</v>
      </c>
      <c r="Y81" s="69">
        <v>1</v>
      </c>
      <c r="AA81" t="s">
        <v>4564</v>
      </c>
      <c r="AB81" t="s">
        <v>51</v>
      </c>
      <c r="AC81" t="s">
        <v>223</v>
      </c>
      <c r="AD81" t="s">
        <v>4675</v>
      </c>
      <c r="AE81" t="s">
        <v>4513</v>
      </c>
      <c r="AF81" t="s">
        <v>4676</v>
      </c>
      <c r="AG81" t="s">
        <v>223</v>
      </c>
      <c r="AH81" t="s">
        <v>4675</v>
      </c>
      <c r="AI81" t="s">
        <v>4353</v>
      </c>
      <c r="AJ81" t="s">
        <v>4506</v>
      </c>
      <c r="AK81" t="s">
        <v>4519</v>
      </c>
      <c r="AL81" t="s">
        <v>4519</v>
      </c>
      <c r="AM81" t="s">
        <v>4520</v>
      </c>
      <c r="AN81" t="s">
        <v>4558</v>
      </c>
      <c r="AO81" s="134">
        <v>109.636687444345</v>
      </c>
      <c r="AP81" s="135">
        <v>111.69982078853</v>
      </c>
      <c r="AQ81">
        <v>0.42473118279569899</v>
      </c>
      <c r="AR81" s="136">
        <v>1.2177419354838701</v>
      </c>
      <c r="AS81">
        <v>6.95609318996416</v>
      </c>
    </row>
    <row r="82" spans="1:45" customFormat="1" ht="76">
      <c r="A82" s="65">
        <v>212</v>
      </c>
      <c r="B82" s="69" t="s">
        <v>589</v>
      </c>
      <c r="C82" s="69" t="s">
        <v>45</v>
      </c>
      <c r="D82" s="31">
        <f t="shared" si="12"/>
        <v>4</v>
      </c>
      <c r="E82" s="69" t="s">
        <v>80</v>
      </c>
      <c r="F82" s="31">
        <f t="shared" si="13"/>
        <v>4</v>
      </c>
      <c r="G82" s="140" t="s">
        <v>646</v>
      </c>
      <c r="H82" s="138">
        <v>58</v>
      </c>
      <c r="I82" s="92">
        <f t="shared" si="16"/>
        <v>0.41287893121690178</v>
      </c>
      <c r="J82" s="95">
        <v>7.5786243380360197E-4</v>
      </c>
      <c r="K82" s="137">
        <v>0.83785714285714297</v>
      </c>
      <c r="L82" s="137">
        <v>0.82499999999999996</v>
      </c>
      <c r="M82" s="137">
        <v>0.85714285714285698</v>
      </c>
      <c r="N82" s="136">
        <v>1</v>
      </c>
      <c r="O82" s="154">
        <v>44011</v>
      </c>
      <c r="P82" s="98">
        <f t="shared" si="14"/>
        <v>2</v>
      </c>
      <c r="Q82" s="111">
        <v>2.5499999999999998</v>
      </c>
      <c r="R82" s="111">
        <v>1.65</v>
      </c>
      <c r="S82" s="111">
        <v>0</v>
      </c>
      <c r="T82" s="112" t="s">
        <v>64</v>
      </c>
      <c r="U82" s="137" t="s">
        <v>647</v>
      </c>
      <c r="V82" s="137" t="s">
        <v>648</v>
      </c>
      <c r="W82" s="69">
        <v>109</v>
      </c>
      <c r="X82" s="173">
        <v>1</v>
      </c>
      <c r="Y82" s="173">
        <v>1</v>
      </c>
      <c r="AA82" t="s">
        <v>4512</v>
      </c>
      <c r="AB82" t="s">
        <v>51</v>
      </c>
      <c r="AC82" t="s">
        <v>223</v>
      </c>
      <c r="AD82" t="s">
        <v>4549</v>
      </c>
      <c r="AE82" t="s">
        <v>4513</v>
      </c>
      <c r="AF82" t="s">
        <v>4548</v>
      </c>
      <c r="AG82" t="s">
        <v>223</v>
      </c>
      <c r="AH82" t="s">
        <v>4549</v>
      </c>
      <c r="AI82" t="s">
        <v>4353</v>
      </c>
      <c r="AJ82" t="s">
        <v>4506</v>
      </c>
      <c r="AK82" t="s">
        <v>4519</v>
      </c>
      <c r="AL82" t="s">
        <v>4552</v>
      </c>
      <c r="AM82" t="s">
        <v>4510</v>
      </c>
      <c r="AN82" t="s">
        <v>4634</v>
      </c>
      <c r="AO82" s="134">
        <v>109.68270944741499</v>
      </c>
      <c r="AP82" s="135">
        <v>111.76576576576601</v>
      </c>
      <c r="AQ82">
        <v>0.42522522522522499</v>
      </c>
      <c r="AR82" s="136">
        <v>1.21891891891892</v>
      </c>
      <c r="AS82">
        <v>6.9765765765765799</v>
      </c>
    </row>
    <row r="83" spans="1:45" customFormat="1" ht="45">
      <c r="A83">
        <v>587</v>
      </c>
      <c r="B83" s="72" t="s">
        <v>1628</v>
      </c>
      <c r="C83" s="82" t="s">
        <v>45</v>
      </c>
      <c r="D83" s="31">
        <f t="shared" si="12"/>
        <v>4</v>
      </c>
      <c r="E83" s="83" t="s">
        <v>221</v>
      </c>
      <c r="F83" s="31">
        <f t="shared" si="13"/>
        <v>2</v>
      </c>
      <c r="G83" s="85" t="s">
        <v>1641</v>
      </c>
      <c r="H83" s="81">
        <f>LEN(U83)</f>
        <v>49</v>
      </c>
      <c r="I83" s="92">
        <f t="shared" si="16"/>
        <v>0.37502271306743429</v>
      </c>
      <c r="J83" s="95">
        <v>4.5426134868575802E-5</v>
      </c>
      <c r="K83" s="96">
        <v>0.76918779643582302</v>
      </c>
      <c r="L83" s="96">
        <v>0.75</v>
      </c>
      <c r="M83" s="96">
        <v>0.79796949108955795</v>
      </c>
      <c r="N83" s="31">
        <v>1</v>
      </c>
      <c r="O83" s="99">
        <v>44011</v>
      </c>
      <c r="P83" s="98">
        <f t="shared" si="14"/>
        <v>1</v>
      </c>
      <c r="Q83" s="111"/>
      <c r="R83" s="111"/>
      <c r="S83" s="111"/>
      <c r="T83" s="112" t="s">
        <v>73</v>
      </c>
      <c r="U83" s="85" t="s">
        <v>1642</v>
      </c>
      <c r="V83" s="109" t="s">
        <v>1643</v>
      </c>
      <c r="W83" s="83">
        <f>LEN(V83)</f>
        <v>63</v>
      </c>
      <c r="X83" s="40">
        <v>0</v>
      </c>
      <c r="Y83" s="40">
        <v>2</v>
      </c>
      <c r="Z83" s="65"/>
      <c r="AA83" t="s">
        <v>4564</v>
      </c>
      <c r="AB83" t="s">
        <v>51</v>
      </c>
      <c r="AC83" t="s">
        <v>223</v>
      </c>
      <c r="AD83" t="s">
        <v>4507</v>
      </c>
      <c r="AE83" t="s">
        <v>4515</v>
      </c>
      <c r="AF83" t="s">
        <v>4565</v>
      </c>
      <c r="AG83" t="s">
        <v>4353</v>
      </c>
      <c r="AH83" t="s">
        <v>4506</v>
      </c>
      <c r="AI83" t="s">
        <v>4353</v>
      </c>
      <c r="AJ83" t="s">
        <v>4506</v>
      </c>
      <c r="AK83" t="s">
        <v>4519</v>
      </c>
      <c r="AL83" t="s">
        <v>4519</v>
      </c>
      <c r="AM83" t="s">
        <v>4562</v>
      </c>
      <c r="AN83" t="s">
        <v>4563</v>
      </c>
      <c r="AO83" s="134">
        <v>109.73684210526299</v>
      </c>
      <c r="AP83" s="135">
        <v>111.76576576576601</v>
      </c>
      <c r="AQ83">
        <v>0.42522522522522499</v>
      </c>
      <c r="AR83" s="136">
        <v>1.21891891891892</v>
      </c>
      <c r="AS83">
        <v>6.9765765765765799</v>
      </c>
    </row>
    <row r="84" spans="1:45" s="66" customFormat="1" ht="75">
      <c r="A84" s="68">
        <v>160</v>
      </c>
      <c r="B84" s="141" t="s">
        <v>499</v>
      </c>
      <c r="C84" s="142" t="s">
        <v>45</v>
      </c>
      <c r="D84" s="143">
        <f t="shared" si="12"/>
        <v>4</v>
      </c>
      <c r="E84" s="144" t="s">
        <v>221</v>
      </c>
      <c r="F84" s="143">
        <f t="shared" si="13"/>
        <v>2</v>
      </c>
      <c r="G84" s="145" t="s">
        <v>503</v>
      </c>
      <c r="H84" s="146">
        <f>LEN(U84)</f>
        <v>56</v>
      </c>
      <c r="I84" s="158">
        <f t="shared" si="16"/>
        <v>0.87315857004266695</v>
      </c>
      <c r="J84" s="95">
        <v>0.99631714008533401</v>
      </c>
      <c r="K84" s="95">
        <v>0.67857142857142805</v>
      </c>
      <c r="L84" s="95">
        <v>0.75</v>
      </c>
      <c r="M84" s="95">
        <v>0.57142857142857095</v>
      </c>
      <c r="N84" s="143">
        <v>1</v>
      </c>
      <c r="O84" s="159">
        <v>44010</v>
      </c>
      <c r="P84" s="98">
        <f t="shared" si="14"/>
        <v>0</v>
      </c>
      <c r="Q84" s="111"/>
      <c r="R84" s="111"/>
      <c r="S84" s="111"/>
      <c r="T84" s="98" t="s">
        <v>48</v>
      </c>
      <c r="U84" s="145" t="s">
        <v>504</v>
      </c>
      <c r="V84" s="174" t="s">
        <v>505</v>
      </c>
      <c r="W84" s="144">
        <f>LEN(V84)</f>
        <v>48</v>
      </c>
      <c r="X84" s="144">
        <v>4</v>
      </c>
      <c r="Y84" s="144">
        <v>9</v>
      </c>
      <c r="Z84" s="68"/>
      <c r="AA84" s="66" t="s">
        <v>4564</v>
      </c>
      <c r="AB84" s="66" t="s">
        <v>51</v>
      </c>
      <c r="AC84" s="66" t="s">
        <v>4353</v>
      </c>
      <c r="AD84" s="66" t="s">
        <v>4506</v>
      </c>
      <c r="AE84" s="66" t="s">
        <v>4513</v>
      </c>
      <c r="AF84" s="66" t="s">
        <v>4677</v>
      </c>
      <c r="AG84" s="66" t="s">
        <v>4353</v>
      </c>
      <c r="AH84" s="66" t="s">
        <v>4506</v>
      </c>
      <c r="AI84" s="66" t="s">
        <v>4353</v>
      </c>
      <c r="AJ84" s="66" t="s">
        <v>4506</v>
      </c>
      <c r="AK84" s="66" t="s">
        <v>4519</v>
      </c>
      <c r="AL84" s="66" t="s">
        <v>4519</v>
      </c>
      <c r="AM84" s="66" t="s">
        <v>4528</v>
      </c>
      <c r="AN84" s="66" t="s">
        <v>4529</v>
      </c>
      <c r="AO84" s="179">
        <v>109.78482142857099</v>
      </c>
      <c r="AP84" s="180">
        <v>111.789900811542</v>
      </c>
      <c r="AQ84" s="66">
        <v>0.42560865644724999</v>
      </c>
      <c r="AR84" s="181">
        <v>1.2191163210099201</v>
      </c>
      <c r="AS84" s="66">
        <v>6.9756537421100102</v>
      </c>
    </row>
    <row r="85" spans="1:45" customFormat="1" ht="91">
      <c r="A85" s="65">
        <v>213</v>
      </c>
      <c r="B85" s="69" t="s">
        <v>589</v>
      </c>
      <c r="C85" s="69" t="s">
        <v>45</v>
      </c>
      <c r="D85" s="31">
        <f t="shared" si="12"/>
        <v>4</v>
      </c>
      <c r="E85" s="69" t="s">
        <v>221</v>
      </c>
      <c r="F85" s="31">
        <f t="shared" si="13"/>
        <v>2</v>
      </c>
      <c r="G85" s="137" t="s">
        <v>649</v>
      </c>
      <c r="H85" s="138">
        <v>27</v>
      </c>
      <c r="I85" s="92">
        <f t="shared" si="16"/>
        <v>0.68421881430947851</v>
      </c>
      <c r="J85" s="95">
        <v>0.80495152794277403</v>
      </c>
      <c r="K85" s="137">
        <v>0.68094880326285301</v>
      </c>
      <c r="L85" s="137">
        <v>0.56348610067618299</v>
      </c>
      <c r="M85" s="137">
        <v>0.85714285714285698</v>
      </c>
      <c r="N85" s="136">
        <v>1</v>
      </c>
      <c r="O85" s="154">
        <v>44010</v>
      </c>
      <c r="P85" s="98">
        <f t="shared" si="14"/>
        <v>1</v>
      </c>
      <c r="Q85" s="111">
        <v>0</v>
      </c>
      <c r="R85" s="111">
        <v>0</v>
      </c>
      <c r="S85" s="111">
        <v>0</v>
      </c>
      <c r="T85" s="112" t="s">
        <v>73</v>
      </c>
      <c r="U85" s="169" t="s">
        <v>650</v>
      </c>
      <c r="V85" s="137" t="s">
        <v>651</v>
      </c>
      <c r="W85" s="69">
        <v>124</v>
      </c>
      <c r="X85" s="69">
        <v>1</v>
      </c>
      <c r="Y85" s="69">
        <v>1</v>
      </c>
      <c r="AA85" t="s">
        <v>4678</v>
      </c>
      <c r="AB85" t="s">
        <v>51</v>
      </c>
      <c r="AC85" t="s">
        <v>223</v>
      </c>
      <c r="AD85" t="s">
        <v>4679</v>
      </c>
      <c r="AE85" t="s">
        <v>4515</v>
      </c>
      <c r="AF85" t="s">
        <v>4674</v>
      </c>
      <c r="AG85" t="s">
        <v>223</v>
      </c>
      <c r="AH85" t="s">
        <v>4679</v>
      </c>
      <c r="AI85" t="s">
        <v>4353</v>
      </c>
      <c r="AJ85" t="s">
        <v>4506</v>
      </c>
      <c r="AK85" t="s">
        <v>4519</v>
      </c>
      <c r="AL85" t="s">
        <v>4519</v>
      </c>
      <c r="AM85" t="s">
        <v>4510</v>
      </c>
      <c r="AN85" t="s">
        <v>4550</v>
      </c>
      <c r="AO85" s="134">
        <v>109.858802502234</v>
      </c>
      <c r="AP85" s="135">
        <v>111.789900811542</v>
      </c>
      <c r="AQ85">
        <v>0.42522522522522499</v>
      </c>
      <c r="AR85" s="136">
        <v>1.2191163210099201</v>
      </c>
      <c r="AS85">
        <v>6.9756537421100102</v>
      </c>
    </row>
    <row r="86" spans="1:45" customFormat="1" ht="91">
      <c r="A86" s="65">
        <v>65</v>
      </c>
      <c r="B86" s="69" t="s">
        <v>217</v>
      </c>
      <c r="C86" s="69" t="s">
        <v>45</v>
      </c>
      <c r="D86" s="31">
        <f t="shared" si="12"/>
        <v>4</v>
      </c>
      <c r="E86" s="69" t="s">
        <v>80</v>
      </c>
      <c r="F86" s="31">
        <f t="shared" si="13"/>
        <v>4</v>
      </c>
      <c r="G86" s="137" t="s">
        <v>242</v>
      </c>
      <c r="H86" s="138">
        <v>109</v>
      </c>
      <c r="I86" s="92">
        <f t="shared" si="16"/>
        <v>0.7485584283015545</v>
      </c>
      <c r="J86" s="95">
        <v>0.67211685660310905</v>
      </c>
      <c r="K86" s="137">
        <v>0.71429841941895</v>
      </c>
      <c r="L86" s="137">
        <v>0.82499999999999996</v>
      </c>
      <c r="M86" s="137">
        <v>0.54824604854737402</v>
      </c>
      <c r="N86" s="136">
        <v>1</v>
      </c>
      <c r="O86" s="154">
        <v>44008</v>
      </c>
      <c r="P86" s="98">
        <f t="shared" si="14"/>
        <v>1</v>
      </c>
      <c r="Q86" s="113">
        <v>0</v>
      </c>
      <c r="R86" s="113">
        <v>0</v>
      </c>
      <c r="S86" s="113">
        <v>0</v>
      </c>
      <c r="T86" s="114" t="s">
        <v>73</v>
      </c>
      <c r="U86" s="136" t="s">
        <v>243</v>
      </c>
      <c r="V86" s="137" t="s">
        <v>244</v>
      </c>
      <c r="W86" s="69">
        <v>117</v>
      </c>
      <c r="X86" s="69">
        <v>5</v>
      </c>
      <c r="Y86" s="69">
        <v>10</v>
      </c>
      <c r="AA86" t="s">
        <v>4522</v>
      </c>
      <c r="AB86" t="s">
        <v>87</v>
      </c>
      <c r="AC86" t="s">
        <v>4513</v>
      </c>
      <c r="AD86" t="s">
        <v>4680</v>
      </c>
      <c r="AE86" t="s">
        <v>223</v>
      </c>
      <c r="AF86" t="s">
        <v>4681</v>
      </c>
      <c r="AG86" t="s">
        <v>4353</v>
      </c>
      <c r="AH86" t="s">
        <v>4506</v>
      </c>
      <c r="AI86" t="s">
        <v>4353</v>
      </c>
      <c r="AJ86" t="s">
        <v>4506</v>
      </c>
      <c r="AK86" t="s">
        <v>4519</v>
      </c>
      <c r="AL86" t="s">
        <v>4519</v>
      </c>
      <c r="AM86" t="s">
        <v>4520</v>
      </c>
      <c r="AN86" t="s">
        <v>4558</v>
      </c>
      <c r="AO86" s="134">
        <v>109.860465116279</v>
      </c>
      <c r="AP86" s="135">
        <v>111.789900811542</v>
      </c>
      <c r="AQ86">
        <v>0.42560865644724999</v>
      </c>
      <c r="AR86" s="136">
        <v>1.2191163210099201</v>
      </c>
      <c r="AS86">
        <v>6.9756537421100102</v>
      </c>
    </row>
    <row r="87" spans="1:45" customFormat="1" ht="121">
      <c r="A87">
        <v>214</v>
      </c>
      <c r="B87" s="69" t="s">
        <v>589</v>
      </c>
      <c r="C87" s="69" t="s">
        <v>45</v>
      </c>
      <c r="D87" s="31">
        <f t="shared" si="12"/>
        <v>4</v>
      </c>
      <c r="E87" s="69" t="s">
        <v>221</v>
      </c>
      <c r="F87" s="31">
        <f t="shared" si="13"/>
        <v>2</v>
      </c>
      <c r="G87" s="140" t="s">
        <v>652</v>
      </c>
      <c r="H87" s="138">
        <v>57</v>
      </c>
      <c r="I87" s="92">
        <f t="shared" si="16"/>
        <v>0.29555951454330159</v>
      </c>
      <c r="J87" s="95">
        <v>2.7632928410420199E-2</v>
      </c>
      <c r="K87" s="137">
        <v>0.63911732854463099</v>
      </c>
      <c r="L87" s="137">
        <v>0.56348610067618299</v>
      </c>
      <c r="M87" s="137">
        <v>0.75256417034730305</v>
      </c>
      <c r="N87" s="136">
        <v>1</v>
      </c>
      <c r="O87" s="154">
        <v>44008</v>
      </c>
      <c r="P87" s="98">
        <f t="shared" si="14"/>
        <v>1</v>
      </c>
      <c r="Q87" s="107">
        <v>2.5499999999999998</v>
      </c>
      <c r="R87" s="107">
        <v>1.65</v>
      </c>
      <c r="S87" s="107">
        <v>0</v>
      </c>
      <c r="T87" s="108" t="s">
        <v>73</v>
      </c>
      <c r="U87" s="137" t="s">
        <v>653</v>
      </c>
      <c r="V87" s="137" t="s">
        <v>654</v>
      </c>
      <c r="W87" s="69">
        <v>170</v>
      </c>
      <c r="X87" s="173">
        <v>1</v>
      </c>
      <c r="Y87" s="173">
        <v>3</v>
      </c>
      <c r="AA87" t="s">
        <v>4564</v>
      </c>
      <c r="AB87" t="s">
        <v>51</v>
      </c>
      <c r="AC87" t="s">
        <v>223</v>
      </c>
      <c r="AD87" t="s">
        <v>4682</v>
      </c>
      <c r="AE87" t="s">
        <v>4513</v>
      </c>
      <c r="AF87" t="s">
        <v>4683</v>
      </c>
      <c r="AG87" t="s">
        <v>223</v>
      </c>
      <c r="AH87" t="s">
        <v>4682</v>
      </c>
      <c r="AI87" t="s">
        <v>4353</v>
      </c>
      <c r="AJ87" t="s">
        <v>4506</v>
      </c>
      <c r="AK87" t="s">
        <v>4519</v>
      </c>
      <c r="AL87" t="s">
        <v>4519</v>
      </c>
      <c r="AM87" t="s">
        <v>4510</v>
      </c>
      <c r="AN87" t="s">
        <v>4550</v>
      </c>
      <c r="AO87" s="134">
        <v>109.861235452104</v>
      </c>
      <c r="AP87" s="135">
        <v>111.789900811542</v>
      </c>
      <c r="AQ87">
        <v>0.42560865644724999</v>
      </c>
      <c r="AR87" s="136">
        <v>1.2191163210099201</v>
      </c>
      <c r="AS87">
        <v>6.9756537421100102</v>
      </c>
    </row>
    <row r="88" spans="1:45" customFormat="1" ht="91">
      <c r="A88" s="65">
        <v>64</v>
      </c>
      <c r="B88" s="69" t="s">
        <v>217</v>
      </c>
      <c r="C88" s="69" t="s">
        <v>45</v>
      </c>
      <c r="D88" s="31">
        <f t="shared" si="12"/>
        <v>4</v>
      </c>
      <c r="E88" s="69" t="s">
        <v>80</v>
      </c>
      <c r="F88" s="31">
        <f t="shared" si="13"/>
        <v>4</v>
      </c>
      <c r="G88" s="137" t="s">
        <v>159</v>
      </c>
      <c r="H88" s="138">
        <v>108</v>
      </c>
      <c r="I88" s="92">
        <f t="shared" si="16"/>
        <v>0.37712921406900579</v>
      </c>
      <c r="J88" s="95">
        <v>4.2584281380115803E-3</v>
      </c>
      <c r="K88" s="137">
        <v>0.66047858340826304</v>
      </c>
      <c r="L88" s="137">
        <v>0.75</v>
      </c>
      <c r="M88" s="137">
        <v>0.526196458520657</v>
      </c>
      <c r="N88" s="136">
        <v>1</v>
      </c>
      <c r="O88" s="160">
        <v>44008</v>
      </c>
      <c r="P88" s="98">
        <f t="shared" si="14"/>
        <v>0</v>
      </c>
      <c r="Q88" s="111">
        <v>2.5499999999999998</v>
      </c>
      <c r="R88" s="111">
        <v>1.65</v>
      </c>
      <c r="S88" s="111">
        <v>0</v>
      </c>
      <c r="T88" s="112" t="s">
        <v>48</v>
      </c>
      <c r="U88" s="137" t="s">
        <v>240</v>
      </c>
      <c r="V88" s="137" t="s">
        <v>241</v>
      </c>
      <c r="W88" s="69">
        <v>121</v>
      </c>
      <c r="X88" s="69">
        <v>3</v>
      </c>
      <c r="Y88" s="69">
        <v>11</v>
      </c>
      <c r="AA88" t="s">
        <v>4522</v>
      </c>
      <c r="AB88" t="s">
        <v>51</v>
      </c>
      <c r="AC88" t="s">
        <v>4353</v>
      </c>
      <c r="AD88" t="s">
        <v>4506</v>
      </c>
      <c r="AE88" t="s">
        <v>4515</v>
      </c>
      <c r="AF88" t="s">
        <v>4684</v>
      </c>
      <c r="AG88" t="s">
        <v>223</v>
      </c>
      <c r="AH88" t="s">
        <v>4675</v>
      </c>
      <c r="AI88" t="s">
        <v>4353</v>
      </c>
      <c r="AJ88" t="s">
        <v>4506</v>
      </c>
      <c r="AK88" t="s">
        <v>4518</v>
      </c>
      <c r="AL88" t="s">
        <v>4519</v>
      </c>
      <c r="AM88" t="s">
        <v>4510</v>
      </c>
      <c r="AN88" t="s">
        <v>4523</v>
      </c>
      <c r="AO88" s="134">
        <v>109.908602150538</v>
      </c>
      <c r="AP88" s="135">
        <v>111.789900811542</v>
      </c>
      <c r="AQ88">
        <v>0.42560865644724999</v>
      </c>
      <c r="AR88" s="136">
        <v>1.2191163210099201</v>
      </c>
      <c r="AS88">
        <v>6.9756537421100102</v>
      </c>
    </row>
    <row r="89" spans="1:45" customFormat="1" ht="60">
      <c r="A89">
        <v>979</v>
      </c>
      <c r="B89" s="72" t="s">
        <v>2638</v>
      </c>
      <c r="C89" s="87" t="s">
        <v>45</v>
      </c>
      <c r="D89" s="31">
        <f t="shared" si="12"/>
        <v>4</v>
      </c>
      <c r="E89" s="87" t="s">
        <v>80</v>
      </c>
      <c r="F89" s="31">
        <f t="shared" si="13"/>
        <v>4</v>
      </c>
      <c r="G89" s="85" t="s">
        <v>2646</v>
      </c>
      <c r="H89" s="81">
        <f>LEN(U89)</f>
        <v>50</v>
      </c>
      <c r="I89" s="92">
        <f t="shared" si="16"/>
        <v>0.56669189370451045</v>
      </c>
      <c r="J89" s="93">
        <v>0.308383787409021</v>
      </c>
      <c r="K89" s="102">
        <v>0.78071428571428603</v>
      </c>
      <c r="L89" s="102">
        <v>0.82499999999999996</v>
      </c>
      <c r="M89" s="102">
        <v>0.71428571428571397</v>
      </c>
      <c r="N89" s="31">
        <v>1</v>
      </c>
      <c r="O89" s="97">
        <v>44007</v>
      </c>
      <c r="P89" s="98">
        <f t="shared" si="14"/>
        <v>0</v>
      </c>
      <c r="Q89" s="124"/>
      <c r="R89" s="124"/>
      <c r="S89" s="124"/>
      <c r="T89" s="170" t="s">
        <v>48</v>
      </c>
      <c r="U89" s="85" t="s">
        <v>2654</v>
      </c>
      <c r="V89" s="109" t="s">
        <v>2655</v>
      </c>
      <c r="W89" s="83">
        <f>LEN(V89)</f>
        <v>73</v>
      </c>
      <c r="X89" s="30">
        <v>0</v>
      </c>
      <c r="Y89" s="30">
        <v>4</v>
      </c>
      <c r="Z89" s="65"/>
      <c r="AA89" t="s">
        <v>4522</v>
      </c>
      <c r="AB89" t="s">
        <v>51</v>
      </c>
      <c r="AC89" t="s">
        <v>223</v>
      </c>
      <c r="AD89" t="s">
        <v>4685</v>
      </c>
      <c r="AE89" t="s">
        <v>4513</v>
      </c>
      <c r="AF89" t="s">
        <v>4686</v>
      </c>
      <c r="AG89" t="s">
        <v>4353</v>
      </c>
      <c r="AH89" t="s">
        <v>4506</v>
      </c>
      <c r="AI89" t="s">
        <v>4353</v>
      </c>
      <c r="AJ89" t="s">
        <v>4506</v>
      </c>
      <c r="AK89" t="s">
        <v>4519</v>
      </c>
      <c r="AL89" t="s">
        <v>4519</v>
      </c>
      <c r="AM89" t="s">
        <v>4592</v>
      </c>
      <c r="AN89" t="s">
        <v>4626</v>
      </c>
      <c r="AO89" s="134">
        <v>109.96233183856501</v>
      </c>
      <c r="AP89" s="135">
        <v>111.789900811542</v>
      </c>
      <c r="AQ89">
        <v>0.42560865644724999</v>
      </c>
      <c r="AR89" s="136">
        <v>1.2191163210099201</v>
      </c>
      <c r="AS89">
        <v>6.9756537421100102</v>
      </c>
    </row>
    <row r="90" spans="1:45" customFormat="1" ht="60">
      <c r="A90" s="65">
        <v>980</v>
      </c>
      <c r="B90" s="72" t="s">
        <v>2638</v>
      </c>
      <c r="C90" s="87" t="s">
        <v>45</v>
      </c>
      <c r="D90" s="31">
        <f t="shared" si="12"/>
        <v>4</v>
      </c>
      <c r="E90" s="87" t="s">
        <v>80</v>
      </c>
      <c r="F90" s="31">
        <f t="shared" si="13"/>
        <v>4</v>
      </c>
      <c r="G90" s="85" t="s">
        <v>2656</v>
      </c>
      <c r="H90" s="81">
        <f>LEN(U90)</f>
        <v>41</v>
      </c>
      <c r="I90" s="92">
        <f t="shared" si="16"/>
        <v>0.42635696958906</v>
      </c>
      <c r="J90" s="93">
        <v>2.7713939178120001E-2</v>
      </c>
      <c r="K90" s="102">
        <v>0.78071428571428603</v>
      </c>
      <c r="L90" s="102">
        <v>0.82499999999999996</v>
      </c>
      <c r="M90" s="102">
        <v>0.71428571428571397</v>
      </c>
      <c r="N90" s="31">
        <v>1</v>
      </c>
      <c r="O90" s="97">
        <v>44007</v>
      </c>
      <c r="P90" s="98">
        <f t="shared" si="14"/>
        <v>0</v>
      </c>
      <c r="Q90" s="124"/>
      <c r="R90" s="124"/>
      <c r="S90" s="124"/>
      <c r="T90" s="170" t="s">
        <v>48</v>
      </c>
      <c r="U90" s="85" t="s">
        <v>2657</v>
      </c>
      <c r="V90" s="109" t="s">
        <v>2655</v>
      </c>
      <c r="W90" s="83">
        <f>LEN(V90)</f>
        <v>73</v>
      </c>
      <c r="X90" s="30">
        <v>0</v>
      </c>
      <c r="Y90" s="30">
        <v>4</v>
      </c>
      <c r="Z90" s="65"/>
      <c r="AA90" t="s">
        <v>4522</v>
      </c>
      <c r="AB90" t="s">
        <v>51</v>
      </c>
      <c r="AC90" t="s">
        <v>223</v>
      </c>
      <c r="AD90" t="s">
        <v>4685</v>
      </c>
      <c r="AE90" t="s">
        <v>4513</v>
      </c>
      <c r="AF90" t="s">
        <v>4686</v>
      </c>
      <c r="AG90" t="s">
        <v>4353</v>
      </c>
      <c r="AH90" t="s">
        <v>4506</v>
      </c>
      <c r="AI90" t="s">
        <v>4353</v>
      </c>
      <c r="AJ90" t="s">
        <v>4506</v>
      </c>
      <c r="AK90" t="s">
        <v>4519</v>
      </c>
      <c r="AL90" t="s">
        <v>4519</v>
      </c>
      <c r="AM90" t="s">
        <v>4592</v>
      </c>
      <c r="AN90" t="s">
        <v>4626</v>
      </c>
      <c r="AO90" s="134">
        <v>110.024236983842</v>
      </c>
      <c r="AP90" s="135">
        <v>111.789900811542</v>
      </c>
      <c r="AQ90">
        <v>0.42560865644724999</v>
      </c>
      <c r="AR90" s="136">
        <v>1.2191163210099201</v>
      </c>
      <c r="AS90">
        <v>6.9756537421100102</v>
      </c>
    </row>
    <row r="91" spans="1:45" customFormat="1" ht="76">
      <c r="A91" s="65">
        <v>161</v>
      </c>
      <c r="B91" s="69" t="s">
        <v>499</v>
      </c>
      <c r="C91" s="69" t="s">
        <v>45</v>
      </c>
      <c r="D91" s="31">
        <f t="shared" si="12"/>
        <v>4</v>
      </c>
      <c r="E91" s="69" t="s">
        <v>221</v>
      </c>
      <c r="F91" s="31">
        <f t="shared" si="13"/>
        <v>2</v>
      </c>
      <c r="G91" s="137" t="s">
        <v>506</v>
      </c>
      <c r="H91" s="138">
        <v>57</v>
      </c>
      <c r="I91" s="92">
        <f t="shared" si="16"/>
        <v>0.36089204637723848</v>
      </c>
      <c r="J91" s="95">
        <v>3.9965910936295E-2</v>
      </c>
      <c r="K91" s="137">
        <v>0.66912006664615598</v>
      </c>
      <c r="L91" s="137">
        <v>0.68181818181818199</v>
      </c>
      <c r="M91" s="137">
        <v>0.65007289388811795</v>
      </c>
      <c r="N91" s="136">
        <v>1</v>
      </c>
      <c r="O91" s="161">
        <v>44006</v>
      </c>
      <c r="P91" s="98">
        <f t="shared" si="14"/>
        <v>1</v>
      </c>
      <c r="Q91" s="111">
        <v>0</v>
      </c>
      <c r="R91" s="111">
        <v>0</v>
      </c>
      <c r="S91" s="111">
        <v>0</v>
      </c>
      <c r="T91" s="112" t="s">
        <v>4687</v>
      </c>
      <c r="U91" s="137" t="s">
        <v>508</v>
      </c>
      <c r="V91" s="137" t="s">
        <v>505</v>
      </c>
      <c r="W91" s="69">
        <v>48</v>
      </c>
      <c r="X91" s="69">
        <v>3</v>
      </c>
      <c r="Y91" s="69">
        <v>6</v>
      </c>
      <c r="AA91" t="s">
        <v>4543</v>
      </c>
      <c r="AB91" t="s">
        <v>51</v>
      </c>
      <c r="AC91" t="s">
        <v>4353</v>
      </c>
      <c r="AD91" t="s">
        <v>4506</v>
      </c>
      <c r="AE91" t="s">
        <v>4513</v>
      </c>
      <c r="AF91" t="s">
        <v>4677</v>
      </c>
      <c r="AG91" t="s">
        <v>4353</v>
      </c>
      <c r="AH91" t="s">
        <v>4506</v>
      </c>
      <c r="AI91" t="s">
        <v>4353</v>
      </c>
      <c r="AJ91" t="s">
        <v>4506</v>
      </c>
      <c r="AK91" t="s">
        <v>4519</v>
      </c>
      <c r="AL91" t="s">
        <v>4519</v>
      </c>
      <c r="AM91" t="s">
        <v>4562</v>
      </c>
      <c r="AN91" t="s">
        <v>4563</v>
      </c>
      <c r="AO91" s="134">
        <v>110.07187780772701</v>
      </c>
      <c r="AP91" s="135">
        <v>111.789900811542</v>
      </c>
      <c r="AQ91">
        <v>0.42560865644724999</v>
      </c>
      <c r="AR91" s="136">
        <v>1.2191163210099201</v>
      </c>
      <c r="AS91">
        <v>6.9756537421100102</v>
      </c>
    </row>
    <row r="92" spans="1:45" customFormat="1" ht="91">
      <c r="A92" s="65">
        <v>753</v>
      </c>
      <c r="B92" s="69" t="s">
        <v>2053</v>
      </c>
      <c r="C92" s="69" t="s">
        <v>45</v>
      </c>
      <c r="D92" s="31">
        <f t="shared" si="12"/>
        <v>4</v>
      </c>
      <c r="E92" s="69" t="s">
        <v>46</v>
      </c>
      <c r="F92" s="31">
        <f t="shared" si="13"/>
        <v>6</v>
      </c>
      <c r="G92" s="137" t="s">
        <v>2060</v>
      </c>
      <c r="H92" s="138">
        <v>155</v>
      </c>
      <c r="I92" s="92">
        <f t="shared" si="16"/>
        <v>0.41250827530951939</v>
      </c>
      <c r="J92" s="95">
        <v>1.65506190388243E-5</v>
      </c>
      <c r="K92" s="137">
        <v>0.54274777125891605</v>
      </c>
      <c r="L92" s="137">
        <v>0.82499999999999996</v>
      </c>
      <c r="M92" s="137">
        <v>0.119369428147289</v>
      </c>
      <c r="N92" s="136">
        <v>0</v>
      </c>
      <c r="O92" s="154">
        <v>44005</v>
      </c>
      <c r="P92" s="98">
        <f t="shared" si="14"/>
        <v>2</v>
      </c>
      <c r="Q92" s="111">
        <v>0</v>
      </c>
      <c r="R92" s="111">
        <v>0</v>
      </c>
      <c r="S92" s="111">
        <v>0</v>
      </c>
      <c r="T92" s="112" t="s">
        <v>64</v>
      </c>
      <c r="U92" s="137" t="s">
        <v>2061</v>
      </c>
      <c r="V92" s="137" t="s">
        <v>2062</v>
      </c>
      <c r="W92" s="69">
        <v>28</v>
      </c>
      <c r="X92" s="69">
        <v>3</v>
      </c>
      <c r="Y92" s="69">
        <v>38</v>
      </c>
      <c r="Z92" s="69"/>
      <c r="AA92" t="s">
        <v>4653</v>
      </c>
      <c r="AB92" t="s">
        <v>51</v>
      </c>
      <c r="AC92" t="s">
        <v>4353</v>
      </c>
      <c r="AD92" t="s">
        <v>4506</v>
      </c>
      <c r="AE92" t="s">
        <v>223</v>
      </c>
      <c r="AF92" t="s">
        <v>4620</v>
      </c>
      <c r="AG92" t="s">
        <v>4353</v>
      </c>
      <c r="AH92" t="s">
        <v>4506</v>
      </c>
      <c r="AI92" t="s">
        <v>4353</v>
      </c>
      <c r="AJ92" t="s">
        <v>4506</v>
      </c>
      <c r="AK92" t="s">
        <v>4519</v>
      </c>
      <c r="AL92" t="s">
        <v>4509</v>
      </c>
      <c r="AM92" t="s">
        <v>4528</v>
      </c>
      <c r="AN92" t="s">
        <v>4688</v>
      </c>
      <c r="AO92" s="134">
        <v>110.031474820144</v>
      </c>
      <c r="AP92" s="135">
        <v>111.818592057762</v>
      </c>
      <c r="AQ92">
        <v>0.425992779783394</v>
      </c>
      <c r="AR92" s="136">
        <v>1.21931407942238</v>
      </c>
      <c r="AS92">
        <v>6.9792418772563201</v>
      </c>
    </row>
    <row r="93" spans="1:45" customFormat="1" ht="61">
      <c r="A93">
        <v>1134</v>
      </c>
      <c r="B93" s="69" t="s">
        <v>3082</v>
      </c>
      <c r="C93" s="69" t="s">
        <v>119</v>
      </c>
      <c r="D93" s="31">
        <f t="shared" si="12"/>
        <v>1</v>
      </c>
      <c r="E93" s="69" t="s">
        <v>80</v>
      </c>
      <c r="F93" s="31">
        <f t="shared" si="13"/>
        <v>4</v>
      </c>
      <c r="G93" s="139" t="s">
        <v>3083</v>
      </c>
      <c r="H93" s="138">
        <v>35</v>
      </c>
      <c r="I93" s="92">
        <f t="shared" si="16"/>
        <v>0.64500592652882749</v>
      </c>
      <c r="J93" s="95">
        <v>0.46501185305765502</v>
      </c>
      <c r="K93" s="137">
        <v>0.733375592871646</v>
      </c>
      <c r="L93" s="137">
        <v>0.82499999999999996</v>
      </c>
      <c r="M93" s="137">
        <v>0.59593898217911601</v>
      </c>
      <c r="N93" s="136">
        <v>1</v>
      </c>
      <c r="O93" s="157">
        <v>44002</v>
      </c>
      <c r="P93" s="98">
        <f t="shared" si="14"/>
        <v>1</v>
      </c>
      <c r="Q93" s="113">
        <v>0</v>
      </c>
      <c r="R93" s="113">
        <v>1.65</v>
      </c>
      <c r="S93" s="113">
        <v>0</v>
      </c>
      <c r="T93" s="119" t="s">
        <v>73</v>
      </c>
      <c r="U93" s="89" t="s">
        <v>3084</v>
      </c>
      <c r="V93" s="172" t="s">
        <v>3085</v>
      </c>
      <c r="W93" s="69">
        <v>85</v>
      </c>
      <c r="X93" s="69">
        <v>1</v>
      </c>
      <c r="Y93" s="69">
        <v>8</v>
      </c>
      <c r="Z93" s="69"/>
      <c r="AA93" t="s">
        <v>4522</v>
      </c>
      <c r="AB93" t="s">
        <v>51</v>
      </c>
      <c r="AC93" t="s">
        <v>223</v>
      </c>
      <c r="AD93" t="s">
        <v>4689</v>
      </c>
      <c r="AE93" t="s">
        <v>4515</v>
      </c>
      <c r="AF93" t="s">
        <v>4602</v>
      </c>
      <c r="AG93" t="s">
        <v>223</v>
      </c>
      <c r="AH93" t="s">
        <v>4689</v>
      </c>
      <c r="AI93" t="s">
        <v>4353</v>
      </c>
      <c r="AJ93" t="s">
        <v>4506</v>
      </c>
      <c r="AK93" t="s">
        <v>4519</v>
      </c>
      <c r="AL93" t="s">
        <v>4541</v>
      </c>
      <c r="AM93" t="s">
        <v>4592</v>
      </c>
      <c r="AN93" t="s">
        <v>4690</v>
      </c>
      <c r="AO93" s="134">
        <v>110.11521152115201</v>
      </c>
      <c r="AP93" s="135">
        <v>111.818592057762</v>
      </c>
      <c r="AQ93">
        <v>0.425992779783394</v>
      </c>
      <c r="AR93" s="136">
        <v>1.21931407942238</v>
      </c>
      <c r="AS93">
        <v>6.9792418772563201</v>
      </c>
    </row>
    <row r="94" spans="1:45" customFormat="1" ht="61">
      <c r="A94" s="65">
        <v>1085</v>
      </c>
      <c r="B94" s="69" t="s">
        <v>2948</v>
      </c>
      <c r="C94" s="69" t="s">
        <v>45</v>
      </c>
      <c r="D94" s="31">
        <f t="shared" si="12"/>
        <v>4</v>
      </c>
      <c r="E94" s="69" t="s">
        <v>46</v>
      </c>
      <c r="F94" s="31">
        <f t="shared" si="13"/>
        <v>6</v>
      </c>
      <c r="G94" s="89" t="s">
        <v>2952</v>
      </c>
      <c r="H94" s="138">
        <v>17</v>
      </c>
      <c r="I94" s="92">
        <f t="shared" si="16"/>
        <v>0.41958034761472318</v>
      </c>
      <c r="J94" s="95">
        <v>8.9160695229446404E-2</v>
      </c>
      <c r="K94" s="137">
        <v>0.75102566813892102</v>
      </c>
      <c r="L94" s="137">
        <v>0.75</v>
      </c>
      <c r="M94" s="137">
        <v>0.75256417034730305</v>
      </c>
      <c r="N94" s="136">
        <v>0</v>
      </c>
      <c r="O94" s="157">
        <v>44002</v>
      </c>
      <c r="P94" s="98">
        <f t="shared" si="14"/>
        <v>1</v>
      </c>
      <c r="Q94" s="113">
        <v>2.5499999999999998</v>
      </c>
      <c r="R94" s="113">
        <v>6.6</v>
      </c>
      <c r="S94" s="113">
        <v>0</v>
      </c>
      <c r="T94" s="119" t="s">
        <v>73</v>
      </c>
      <c r="U94" s="139" t="s">
        <v>2953</v>
      </c>
      <c r="V94" s="172" t="s">
        <v>2954</v>
      </c>
      <c r="W94" s="69">
        <v>80</v>
      </c>
      <c r="X94" s="69">
        <v>1</v>
      </c>
      <c r="Y94" s="69">
        <v>3</v>
      </c>
      <c r="Z94" s="69"/>
      <c r="AA94" t="s">
        <v>4564</v>
      </c>
      <c r="AB94" t="s">
        <v>51</v>
      </c>
      <c r="AC94" t="s">
        <v>223</v>
      </c>
      <c r="AD94" t="s">
        <v>4691</v>
      </c>
      <c r="AE94" t="s">
        <v>4538</v>
      </c>
      <c r="AF94" t="s">
        <v>4692</v>
      </c>
      <c r="AG94" t="s">
        <v>223</v>
      </c>
      <c r="AH94" t="s">
        <v>4691</v>
      </c>
      <c r="AI94" t="s">
        <v>4353</v>
      </c>
      <c r="AJ94" t="s">
        <v>4506</v>
      </c>
      <c r="AK94" t="s">
        <v>4519</v>
      </c>
      <c r="AL94" t="s">
        <v>4519</v>
      </c>
      <c r="AM94" t="s">
        <v>4528</v>
      </c>
      <c r="AN94" t="s">
        <v>4529</v>
      </c>
      <c r="AO94" s="134">
        <v>110.18288288288301</v>
      </c>
      <c r="AP94" s="135">
        <v>111.818592057762</v>
      </c>
      <c r="AQ94">
        <v>0.425992779783394</v>
      </c>
      <c r="AR94" s="136">
        <v>1.21931407942238</v>
      </c>
      <c r="AS94">
        <v>6.9792418772563201</v>
      </c>
    </row>
    <row r="95" spans="1:45" customFormat="1" ht="121">
      <c r="A95">
        <v>215</v>
      </c>
      <c r="B95" s="69" t="s">
        <v>589</v>
      </c>
      <c r="C95" s="69" t="s">
        <v>45</v>
      </c>
      <c r="D95" s="31">
        <f t="shared" si="12"/>
        <v>4</v>
      </c>
      <c r="E95" s="69" t="s">
        <v>46</v>
      </c>
      <c r="F95" s="31">
        <f t="shared" si="13"/>
        <v>6</v>
      </c>
      <c r="G95" s="137" t="s">
        <v>655</v>
      </c>
      <c r="H95" s="138">
        <v>34</v>
      </c>
      <c r="I95" s="92">
        <f t="shared" si="16"/>
        <v>0.62091040334248548</v>
      </c>
      <c r="J95" s="95">
        <v>0.41682080668497101</v>
      </c>
      <c r="K95" s="137">
        <v>0.66642857142857104</v>
      </c>
      <c r="L95" s="137">
        <v>0.82499999999999996</v>
      </c>
      <c r="M95" s="137">
        <v>0.42857142857142899</v>
      </c>
      <c r="N95" s="136">
        <v>0</v>
      </c>
      <c r="O95" s="154">
        <v>44001</v>
      </c>
      <c r="P95" s="98">
        <f t="shared" si="14"/>
        <v>1</v>
      </c>
      <c r="Q95" s="111">
        <v>0</v>
      </c>
      <c r="R95" s="111">
        <v>0</v>
      </c>
      <c r="S95" s="111">
        <v>0</v>
      </c>
      <c r="T95" s="112" t="s">
        <v>73</v>
      </c>
      <c r="U95" s="137" t="s">
        <v>656</v>
      </c>
      <c r="V95" s="137" t="s">
        <v>657</v>
      </c>
      <c r="W95" s="69">
        <v>126</v>
      </c>
      <c r="X95" s="69">
        <v>1</v>
      </c>
      <c r="Y95" s="69">
        <v>16</v>
      </c>
      <c r="AA95" t="s">
        <v>4564</v>
      </c>
      <c r="AB95" t="s">
        <v>51</v>
      </c>
      <c r="AC95" t="s">
        <v>4353</v>
      </c>
      <c r="AD95" t="s">
        <v>4506</v>
      </c>
      <c r="AE95" t="s">
        <v>223</v>
      </c>
      <c r="AF95" t="s">
        <v>4681</v>
      </c>
      <c r="AG95" t="s">
        <v>4353</v>
      </c>
      <c r="AH95" t="s">
        <v>4506</v>
      </c>
      <c r="AI95" t="s">
        <v>4353</v>
      </c>
      <c r="AJ95" t="s">
        <v>4506</v>
      </c>
      <c r="AK95" t="s">
        <v>4519</v>
      </c>
      <c r="AL95" t="s">
        <v>4552</v>
      </c>
      <c r="AM95" t="s">
        <v>4528</v>
      </c>
      <c r="AN95" t="s">
        <v>4618</v>
      </c>
      <c r="AO95" s="134">
        <v>110.25157799819701</v>
      </c>
      <c r="AP95" s="135">
        <v>111.818592057762</v>
      </c>
      <c r="AQ95">
        <v>0.425992779783394</v>
      </c>
      <c r="AR95" s="136">
        <v>1.21931407942238</v>
      </c>
      <c r="AS95">
        <v>6.9792418772563201</v>
      </c>
    </row>
    <row r="96" spans="1:45" customFormat="1" ht="76">
      <c r="A96">
        <v>66</v>
      </c>
      <c r="B96" s="69" t="s">
        <v>217</v>
      </c>
      <c r="C96" s="69" t="s">
        <v>45</v>
      </c>
      <c r="D96" s="31">
        <f t="shared" si="12"/>
        <v>4</v>
      </c>
      <c r="E96" s="69" t="s">
        <v>221</v>
      </c>
      <c r="F96" s="31">
        <f t="shared" si="13"/>
        <v>2</v>
      </c>
      <c r="G96" s="137" t="s">
        <v>245</v>
      </c>
      <c r="H96" s="138">
        <v>24</v>
      </c>
      <c r="I96" s="92">
        <f t="shared" si="16"/>
        <v>0.66518863406298756</v>
      </c>
      <c r="J96" s="95">
        <v>0.64855908630779302</v>
      </c>
      <c r="K96" s="137">
        <v>0.75194805194805203</v>
      </c>
      <c r="L96" s="137">
        <v>0.68181818181818199</v>
      </c>
      <c r="M96" s="137">
        <v>0.85714285714285698</v>
      </c>
      <c r="N96" s="136">
        <v>1</v>
      </c>
      <c r="O96" s="154">
        <v>43999</v>
      </c>
      <c r="P96" s="98">
        <f t="shared" si="14"/>
        <v>1</v>
      </c>
      <c r="Q96" s="107">
        <v>2.5499999999999998</v>
      </c>
      <c r="R96" s="107">
        <v>1.65</v>
      </c>
      <c r="S96" s="107">
        <v>0</v>
      </c>
      <c r="T96" s="108" t="s">
        <v>73</v>
      </c>
      <c r="U96" s="169" t="s">
        <v>245</v>
      </c>
      <c r="V96" s="137" t="s">
        <v>246</v>
      </c>
      <c r="W96" s="69">
        <v>93</v>
      </c>
      <c r="X96" s="69">
        <v>1</v>
      </c>
      <c r="Y96" s="69">
        <v>1</v>
      </c>
      <c r="AA96" t="s">
        <v>4603</v>
      </c>
      <c r="AB96" t="s">
        <v>71</v>
      </c>
      <c r="AC96" t="s">
        <v>4353</v>
      </c>
      <c r="AD96" t="s">
        <v>4506</v>
      </c>
      <c r="AE96" t="s">
        <v>4353</v>
      </c>
      <c r="AF96" t="s">
        <v>4506</v>
      </c>
      <c r="AG96" t="s">
        <v>223</v>
      </c>
      <c r="AH96" t="s">
        <v>4693</v>
      </c>
      <c r="AI96" t="s">
        <v>4353</v>
      </c>
      <c r="AJ96" t="s">
        <v>4506</v>
      </c>
      <c r="AK96" t="s">
        <v>4519</v>
      </c>
      <c r="AL96" t="s">
        <v>4519</v>
      </c>
      <c r="AM96" t="s">
        <v>4528</v>
      </c>
      <c r="AN96" t="s">
        <v>4529</v>
      </c>
      <c r="AO96" s="134">
        <v>110.329422382671</v>
      </c>
      <c r="AP96" s="135">
        <v>111.952855847688</v>
      </c>
      <c r="AQ96">
        <v>0.42792384406165002</v>
      </c>
      <c r="AR96" s="136">
        <v>1.22030825022665</v>
      </c>
      <c r="AS96">
        <v>7.0027198549410699</v>
      </c>
    </row>
    <row r="97" spans="1:45" customFormat="1" ht="76">
      <c r="A97" s="65">
        <v>437</v>
      </c>
      <c r="B97" s="69" t="s">
        <v>1222</v>
      </c>
      <c r="C97" s="69" t="s">
        <v>45</v>
      </c>
      <c r="D97" s="31">
        <f t="shared" si="12"/>
        <v>4</v>
      </c>
      <c r="E97" s="69" t="s">
        <v>221</v>
      </c>
      <c r="F97" s="31">
        <f t="shared" si="13"/>
        <v>2</v>
      </c>
      <c r="G97" s="137" t="s">
        <v>1245</v>
      </c>
      <c r="H97" s="138">
        <v>28</v>
      </c>
      <c r="I97" s="92">
        <f t="shared" si="16"/>
        <v>0.87499987493278852</v>
      </c>
      <c r="J97" s="95">
        <v>0.99999974986557705</v>
      </c>
      <c r="K97" s="137">
        <v>0.79285714285714304</v>
      </c>
      <c r="L97" s="137">
        <v>0.75</v>
      </c>
      <c r="M97" s="137">
        <v>0.85714285714285698</v>
      </c>
      <c r="N97" s="136">
        <v>1</v>
      </c>
      <c r="O97" s="154">
        <v>43998</v>
      </c>
      <c r="P97" s="98">
        <f t="shared" si="14"/>
        <v>1</v>
      </c>
      <c r="Q97" s="111">
        <v>5.0999999999999996</v>
      </c>
      <c r="R97" s="111">
        <v>0</v>
      </c>
      <c r="S97" s="111">
        <v>0</v>
      </c>
      <c r="T97" s="112" t="s">
        <v>73</v>
      </c>
      <c r="U97" s="169" t="s">
        <v>1246</v>
      </c>
      <c r="V97" s="137" t="s">
        <v>1247</v>
      </c>
      <c r="W97" s="69">
        <v>110</v>
      </c>
      <c r="X97" s="69">
        <v>1</v>
      </c>
      <c r="Y97" s="69">
        <v>1</v>
      </c>
      <c r="AA97" t="s">
        <v>4564</v>
      </c>
      <c r="AB97" t="s">
        <v>51</v>
      </c>
      <c r="AC97" t="s">
        <v>4515</v>
      </c>
      <c r="AD97" t="s">
        <v>4575</v>
      </c>
      <c r="AE97" t="s">
        <v>4513</v>
      </c>
      <c r="AF97" t="s">
        <v>4694</v>
      </c>
      <c r="AG97" t="s">
        <v>223</v>
      </c>
      <c r="AH97" t="s">
        <v>4574</v>
      </c>
      <c r="AI97" t="s">
        <v>4353</v>
      </c>
      <c r="AJ97" t="s">
        <v>4506</v>
      </c>
      <c r="AK97" t="s">
        <v>4519</v>
      </c>
      <c r="AL97" t="s">
        <v>4519</v>
      </c>
      <c r="AM97" t="s">
        <v>4528</v>
      </c>
      <c r="AN97" t="s">
        <v>4529</v>
      </c>
      <c r="AO97" s="134">
        <v>110.40740740740701</v>
      </c>
      <c r="AP97" s="135">
        <v>111.89727272727301</v>
      </c>
      <c r="AQ97">
        <v>0.42909090909090902</v>
      </c>
      <c r="AR97" s="136">
        <v>1.2209090909090901</v>
      </c>
      <c r="AS97">
        <v>7.0172727272727302</v>
      </c>
    </row>
    <row r="98" spans="1:45" customFormat="1" ht="76">
      <c r="A98" s="65">
        <v>216</v>
      </c>
      <c r="B98" s="69" t="s">
        <v>589</v>
      </c>
      <c r="C98" s="69" t="s">
        <v>59</v>
      </c>
      <c r="D98" s="31">
        <f t="shared" ref="D98:D102" si="17">IF(C98="投诉",4,IF(C98="建议",1,IF(C98="举报",2,IF(C98="求助",3,5))))</f>
        <v>5</v>
      </c>
      <c r="E98" s="69" t="s">
        <v>80</v>
      </c>
      <c r="F98" s="31">
        <f t="shared" ref="F98:F102" si="18">IF(E98="12345app",1,IF(E98="e福州app",2,IF(E98="qq",3,IF(E98="电话",4,IF(E98="短信",5,IF(E98="网站",6,IF(E98="微博",7,IF(E98="微信",8,9))))))))</f>
        <v>4</v>
      </c>
      <c r="G98" s="137" t="s">
        <v>658</v>
      </c>
      <c r="H98" s="138">
        <v>24</v>
      </c>
      <c r="I98" s="92">
        <f t="shared" si="16"/>
        <v>0.41168742729468011</v>
      </c>
      <c r="J98" s="95">
        <v>7.3374854589360203E-2</v>
      </c>
      <c r="K98" s="137">
        <v>0.79285714285714304</v>
      </c>
      <c r="L98" s="137">
        <v>0.75</v>
      </c>
      <c r="M98" s="137">
        <v>0.85714285714285698</v>
      </c>
      <c r="N98" s="136">
        <v>1</v>
      </c>
      <c r="O98" s="154">
        <v>43998</v>
      </c>
      <c r="P98" s="98">
        <f t="shared" si="14"/>
        <v>1</v>
      </c>
      <c r="Q98" s="111">
        <v>0</v>
      </c>
      <c r="R98" s="111">
        <v>0</v>
      </c>
      <c r="S98" s="111">
        <v>0</v>
      </c>
      <c r="T98" s="112" t="s">
        <v>73</v>
      </c>
      <c r="U98" s="169" t="s">
        <v>659</v>
      </c>
      <c r="V98" s="137" t="s">
        <v>660</v>
      </c>
      <c r="W98" s="69">
        <v>93</v>
      </c>
      <c r="X98" s="69">
        <v>1</v>
      </c>
      <c r="Y98" s="69">
        <v>1</v>
      </c>
      <c r="AA98" t="s">
        <v>4522</v>
      </c>
      <c r="AB98" t="s">
        <v>51</v>
      </c>
      <c r="AC98" t="s">
        <v>223</v>
      </c>
      <c r="AD98" t="s">
        <v>4655</v>
      </c>
      <c r="AE98" t="s">
        <v>4513</v>
      </c>
      <c r="AF98" t="s">
        <v>4695</v>
      </c>
      <c r="AG98" t="s">
        <v>4353</v>
      </c>
      <c r="AH98" t="s">
        <v>4506</v>
      </c>
      <c r="AI98" t="s">
        <v>4353</v>
      </c>
      <c r="AJ98" t="s">
        <v>4506</v>
      </c>
      <c r="AK98" t="s">
        <v>4519</v>
      </c>
      <c r="AL98" t="s">
        <v>4519</v>
      </c>
      <c r="AM98" t="s">
        <v>4562</v>
      </c>
      <c r="AN98" t="s">
        <v>4563</v>
      </c>
      <c r="AO98" s="134">
        <v>110.446654611212</v>
      </c>
      <c r="AP98" s="135">
        <v>111.89727272727301</v>
      </c>
      <c r="AQ98">
        <v>0.42909090909090902</v>
      </c>
      <c r="AR98" s="136">
        <v>1.2209090909090901</v>
      </c>
      <c r="AS98">
        <v>7.0172727272727302</v>
      </c>
    </row>
    <row r="99" spans="1:45" customFormat="1" ht="120">
      <c r="A99" s="65">
        <v>436</v>
      </c>
      <c r="B99" s="72" t="s">
        <v>1222</v>
      </c>
      <c r="C99" s="82" t="s">
        <v>45</v>
      </c>
      <c r="D99" s="31">
        <f t="shared" si="17"/>
        <v>4</v>
      </c>
      <c r="E99" s="83" t="s">
        <v>221</v>
      </c>
      <c r="F99" s="31">
        <f t="shared" si="18"/>
        <v>2</v>
      </c>
      <c r="G99" s="85" t="s">
        <v>1242</v>
      </c>
      <c r="H99" s="81">
        <f>LEN(U99)</f>
        <v>67</v>
      </c>
      <c r="I99" s="92">
        <f t="shared" si="16"/>
        <v>0.3752921945241488</v>
      </c>
      <c r="J99" s="95">
        <v>5.8438904829760695E-4</v>
      </c>
      <c r="K99" s="96">
        <v>0.62868666593100497</v>
      </c>
      <c r="L99" s="96">
        <v>0.75</v>
      </c>
      <c r="M99" s="96">
        <v>0.44671666482751199</v>
      </c>
      <c r="N99" s="31">
        <v>1</v>
      </c>
      <c r="O99" s="99">
        <v>43998</v>
      </c>
      <c r="P99" s="98">
        <f t="shared" si="14"/>
        <v>1</v>
      </c>
      <c r="Q99" s="111"/>
      <c r="R99" s="111"/>
      <c r="S99" s="111"/>
      <c r="T99" s="112" t="s">
        <v>73</v>
      </c>
      <c r="U99" s="75" t="s">
        <v>1243</v>
      </c>
      <c r="V99" s="88" t="s">
        <v>1244</v>
      </c>
      <c r="W99" s="83">
        <f>LEN(V99)</f>
        <v>182</v>
      </c>
      <c r="X99" s="83">
        <v>0</v>
      </c>
      <c r="Y99" s="83">
        <v>15</v>
      </c>
      <c r="Z99" s="65"/>
      <c r="AA99" t="s">
        <v>4543</v>
      </c>
      <c r="AB99" t="s">
        <v>358</v>
      </c>
      <c r="AC99" t="s">
        <v>4515</v>
      </c>
      <c r="AD99" t="s">
        <v>4664</v>
      </c>
      <c r="AE99" t="s">
        <v>223</v>
      </c>
      <c r="AF99" t="s">
        <v>4598</v>
      </c>
      <c r="AG99" t="s">
        <v>4353</v>
      </c>
      <c r="AH99" t="s">
        <v>4506</v>
      </c>
      <c r="AI99" t="s">
        <v>4530</v>
      </c>
      <c r="AJ99" t="s">
        <v>4696</v>
      </c>
      <c r="AK99" t="s">
        <v>4519</v>
      </c>
      <c r="AL99" t="s">
        <v>4552</v>
      </c>
      <c r="AM99" t="s">
        <v>4528</v>
      </c>
      <c r="AN99" t="s">
        <v>4618</v>
      </c>
      <c r="AO99" s="134">
        <v>110.521266968326</v>
      </c>
      <c r="AP99" s="135">
        <v>111.89727272727301</v>
      </c>
      <c r="AQ99">
        <v>0.42909090909090902</v>
      </c>
      <c r="AR99" s="136">
        <v>1.2209090909090901</v>
      </c>
      <c r="AS99">
        <v>7.0172727272727302</v>
      </c>
    </row>
    <row r="100" spans="1:45" customFormat="1" ht="121">
      <c r="A100" s="65">
        <v>217</v>
      </c>
      <c r="B100" s="69" t="s">
        <v>589</v>
      </c>
      <c r="C100" s="69" t="s">
        <v>45</v>
      </c>
      <c r="D100" s="31">
        <f t="shared" si="17"/>
        <v>4</v>
      </c>
      <c r="E100" s="69" t="s">
        <v>80</v>
      </c>
      <c r="F100" s="31">
        <f t="shared" si="18"/>
        <v>4</v>
      </c>
      <c r="G100" s="147" t="s">
        <v>661</v>
      </c>
      <c r="H100" s="138">
        <v>123</v>
      </c>
      <c r="I100" s="92">
        <f t="shared" si="16"/>
        <v>0.34234453535552134</v>
      </c>
      <c r="J100" s="95">
        <v>2.8708888928606902E-3</v>
      </c>
      <c r="K100" s="137">
        <v>0.75194805194805203</v>
      </c>
      <c r="L100" s="137">
        <v>0.68181818181818199</v>
      </c>
      <c r="M100" s="137">
        <v>0.85714285714285698</v>
      </c>
      <c r="N100" s="136">
        <v>1</v>
      </c>
      <c r="O100" s="154">
        <v>43997</v>
      </c>
      <c r="P100" s="98">
        <f t="shared" si="14"/>
        <v>0</v>
      </c>
      <c r="Q100" s="107">
        <v>0</v>
      </c>
      <c r="R100" s="107">
        <v>0</v>
      </c>
      <c r="S100" s="107">
        <v>0</v>
      </c>
      <c r="T100" s="108" t="s">
        <v>48</v>
      </c>
      <c r="U100" s="147" t="s">
        <v>662</v>
      </c>
      <c r="V100" s="137" t="s">
        <v>663</v>
      </c>
      <c r="W100" s="69">
        <v>172</v>
      </c>
      <c r="X100" s="147">
        <v>1</v>
      </c>
      <c r="Y100" s="147">
        <v>1</v>
      </c>
      <c r="AA100" t="s">
        <v>4697</v>
      </c>
      <c r="AB100" t="s">
        <v>51</v>
      </c>
      <c r="AC100" t="s">
        <v>223</v>
      </c>
      <c r="AD100" t="s">
        <v>4698</v>
      </c>
      <c r="AE100" t="s">
        <v>4580</v>
      </c>
      <c r="AF100" t="s">
        <v>4699</v>
      </c>
      <c r="AG100" t="s">
        <v>223</v>
      </c>
      <c r="AH100" t="s">
        <v>4698</v>
      </c>
      <c r="AI100" t="s">
        <v>4353</v>
      </c>
      <c r="AJ100" t="s">
        <v>4506</v>
      </c>
      <c r="AK100" t="s">
        <v>4519</v>
      </c>
      <c r="AL100" t="s">
        <v>4519</v>
      </c>
      <c r="AM100" t="s">
        <v>4510</v>
      </c>
      <c r="AN100" t="s">
        <v>4550</v>
      </c>
      <c r="AO100" s="134">
        <v>110.50996376811599</v>
      </c>
      <c r="AP100" s="135">
        <v>111.895359417652</v>
      </c>
      <c r="AQ100">
        <v>0.429481346678799</v>
      </c>
      <c r="AR100" s="136">
        <v>1.2211101000909901</v>
      </c>
      <c r="AS100">
        <v>7.0200181983621501</v>
      </c>
    </row>
    <row r="101" spans="1:45" customFormat="1" ht="61">
      <c r="A101" s="65">
        <v>652</v>
      </c>
      <c r="B101" s="69" t="s">
        <v>1790</v>
      </c>
      <c r="C101" s="69" t="s">
        <v>45</v>
      </c>
      <c r="D101" s="31">
        <f t="shared" si="17"/>
        <v>4</v>
      </c>
      <c r="E101" s="69" t="s">
        <v>221</v>
      </c>
      <c r="F101" s="31">
        <f t="shared" si="18"/>
        <v>2</v>
      </c>
      <c r="G101" s="137" t="s">
        <v>1791</v>
      </c>
      <c r="H101" s="138">
        <v>26</v>
      </c>
      <c r="I101" s="92">
        <f t="shared" si="16"/>
        <v>0.341729425515444</v>
      </c>
      <c r="J101" s="95">
        <v>1.6406692127059999E-3</v>
      </c>
      <c r="K101" s="137">
        <v>0.71011657722983001</v>
      </c>
      <c r="L101" s="137">
        <v>0.68181818181818199</v>
      </c>
      <c r="M101" s="137">
        <v>0.75256417034730305</v>
      </c>
      <c r="N101" s="136">
        <v>1</v>
      </c>
      <c r="O101" s="154">
        <v>43997</v>
      </c>
      <c r="P101" s="98">
        <f t="shared" si="14"/>
        <v>0</v>
      </c>
      <c r="Q101" s="111">
        <v>5.0999999999999996</v>
      </c>
      <c r="R101" s="111">
        <v>1.65</v>
      </c>
      <c r="S101" s="111">
        <v>0</v>
      </c>
      <c r="T101" s="112" t="s">
        <v>48</v>
      </c>
      <c r="U101" s="147" t="s">
        <v>1792</v>
      </c>
      <c r="V101" s="137" t="s">
        <v>1793</v>
      </c>
      <c r="W101" s="69">
        <v>84</v>
      </c>
      <c r="X101" s="147">
        <v>1</v>
      </c>
      <c r="Y101" s="147">
        <v>3</v>
      </c>
      <c r="Z101" s="69"/>
      <c r="AA101" t="s">
        <v>4603</v>
      </c>
      <c r="AB101" t="s">
        <v>51</v>
      </c>
      <c r="AC101" t="s">
        <v>223</v>
      </c>
      <c r="AD101" t="s">
        <v>4631</v>
      </c>
      <c r="AE101" t="s">
        <v>4513</v>
      </c>
      <c r="AF101" t="s">
        <v>4645</v>
      </c>
      <c r="AG101" t="s">
        <v>223</v>
      </c>
      <c r="AH101" t="s">
        <v>4631</v>
      </c>
      <c r="AI101" t="s">
        <v>4353</v>
      </c>
      <c r="AJ101" t="s">
        <v>4506</v>
      </c>
      <c r="AK101" t="s">
        <v>4519</v>
      </c>
      <c r="AL101" t="s">
        <v>4519</v>
      </c>
      <c r="AM101" t="s">
        <v>4528</v>
      </c>
      <c r="AN101" t="s">
        <v>4529</v>
      </c>
      <c r="AO101" s="134">
        <v>110.586582048957</v>
      </c>
      <c r="AP101" s="135">
        <v>111.895359417652</v>
      </c>
      <c r="AQ101">
        <v>0.429481346678799</v>
      </c>
      <c r="AR101" s="136">
        <v>1.2211101000909901</v>
      </c>
      <c r="AS101">
        <v>7.0200181983621501</v>
      </c>
    </row>
    <row r="102" spans="1:45" customFormat="1" ht="60">
      <c r="A102" s="65">
        <v>981</v>
      </c>
      <c r="B102" s="72" t="s">
        <v>2638</v>
      </c>
      <c r="C102" s="87" t="s">
        <v>45</v>
      </c>
      <c r="D102" s="31">
        <f t="shared" si="17"/>
        <v>4</v>
      </c>
      <c r="E102" s="87" t="s">
        <v>46</v>
      </c>
      <c r="F102" s="31">
        <f t="shared" si="18"/>
        <v>6</v>
      </c>
      <c r="G102" s="85" t="s">
        <v>2658</v>
      </c>
      <c r="H102" s="81">
        <f>LEN(U102)</f>
        <v>107</v>
      </c>
      <c r="I102" s="92">
        <f t="shared" si="16"/>
        <v>0.37514968906031859</v>
      </c>
      <c r="J102" s="93">
        <v>2.9937812063718399E-4</v>
      </c>
      <c r="K102" s="102">
        <v>0.79285714285714304</v>
      </c>
      <c r="L102" s="102">
        <v>0.75</v>
      </c>
      <c r="M102" s="102">
        <v>0.85714285714285698</v>
      </c>
      <c r="N102" s="31">
        <v>1</v>
      </c>
      <c r="O102" s="99">
        <v>43997</v>
      </c>
      <c r="P102" s="98">
        <f t="shared" si="14"/>
        <v>0</v>
      </c>
      <c r="Q102" s="124"/>
      <c r="R102" s="124"/>
      <c r="S102" s="124"/>
      <c r="T102" s="170" t="s">
        <v>48</v>
      </c>
      <c r="U102" s="85" t="s">
        <v>2659</v>
      </c>
      <c r="V102" s="109" t="s">
        <v>2660</v>
      </c>
      <c r="W102" s="83">
        <f>LEN(V102)</f>
        <v>63</v>
      </c>
      <c r="X102" s="30">
        <v>0</v>
      </c>
      <c r="Y102" s="30">
        <v>1</v>
      </c>
      <c r="Z102" s="65"/>
      <c r="AA102" t="s">
        <v>4653</v>
      </c>
      <c r="AB102" t="s">
        <v>51</v>
      </c>
      <c r="AC102" t="s">
        <v>4353</v>
      </c>
      <c r="AD102" t="s">
        <v>4506</v>
      </c>
      <c r="AE102" t="s">
        <v>4513</v>
      </c>
      <c r="AF102" t="s">
        <v>4700</v>
      </c>
      <c r="AG102" t="s">
        <v>223</v>
      </c>
      <c r="AH102" t="s">
        <v>4568</v>
      </c>
      <c r="AI102" t="s">
        <v>4353</v>
      </c>
      <c r="AJ102" t="s">
        <v>4506</v>
      </c>
      <c r="AK102" t="s">
        <v>4519</v>
      </c>
      <c r="AL102" t="s">
        <v>4519</v>
      </c>
      <c r="AM102" t="s">
        <v>4592</v>
      </c>
      <c r="AN102" t="s">
        <v>4626</v>
      </c>
      <c r="AO102" s="134">
        <v>110.520871143376</v>
      </c>
      <c r="AP102" s="135">
        <v>111.895359417652</v>
      </c>
      <c r="AQ102">
        <v>0.429481346678799</v>
      </c>
      <c r="AR102" s="136">
        <v>1.2211101000909901</v>
      </c>
      <c r="AS102">
        <v>7.0200181983621501</v>
      </c>
    </row>
    <row r="103" spans="1:45" s="67" customFormat="1" ht="40" customHeight="1">
      <c r="B103" s="70" t="s">
        <v>2015</v>
      </c>
      <c r="C103" s="148" t="s">
        <v>45</v>
      </c>
      <c r="D103" s="149">
        <v>4</v>
      </c>
      <c r="E103" s="148" t="s">
        <v>80</v>
      </c>
      <c r="F103" s="149">
        <v>4</v>
      </c>
      <c r="G103" s="150" t="s">
        <v>232</v>
      </c>
      <c r="H103" s="151">
        <v>183</v>
      </c>
      <c r="I103" s="162">
        <f t="shared" si="16"/>
        <v>0.38205616292827765</v>
      </c>
      <c r="J103" s="95">
        <v>8.2294144038373304E-2</v>
      </c>
      <c r="K103" s="163">
        <v>0.71011657722983001</v>
      </c>
      <c r="L103" s="163">
        <v>0.68181818181818199</v>
      </c>
      <c r="M103" s="163">
        <v>0.75256417034730305</v>
      </c>
      <c r="N103" s="164">
        <v>1</v>
      </c>
      <c r="O103" s="165">
        <v>43997</v>
      </c>
      <c r="P103" s="98">
        <v>1</v>
      </c>
      <c r="Q103" s="175"/>
      <c r="R103" s="175"/>
      <c r="S103" s="175"/>
      <c r="T103" s="164"/>
      <c r="U103" s="176" t="s">
        <v>3238</v>
      </c>
      <c r="V103" s="177" t="s">
        <v>3239</v>
      </c>
      <c r="W103" s="148">
        <v>31</v>
      </c>
      <c r="X103" s="178">
        <v>0</v>
      </c>
      <c r="Y103" s="178">
        <v>3</v>
      </c>
      <c r="AO103" s="182">
        <v>110.52406902815601</v>
      </c>
      <c r="AP103" s="183">
        <v>111.895359417652</v>
      </c>
      <c r="AQ103" s="67">
        <v>0.429481346678799</v>
      </c>
      <c r="AR103" s="184">
        <v>1.2211101000909901</v>
      </c>
      <c r="AS103" s="67">
        <v>7.0200181983621501</v>
      </c>
    </row>
    <row r="104" spans="1:45" customFormat="1" ht="31">
      <c r="A104">
        <v>218</v>
      </c>
      <c r="B104" s="69" t="s">
        <v>2015</v>
      </c>
      <c r="C104" s="69" t="s">
        <v>45</v>
      </c>
      <c r="D104" s="31">
        <v>4</v>
      </c>
      <c r="E104" s="69" t="s">
        <v>80</v>
      </c>
      <c r="F104" s="31">
        <v>4</v>
      </c>
      <c r="G104" s="137" t="s">
        <v>1688</v>
      </c>
      <c r="H104" s="138">
        <v>58</v>
      </c>
      <c r="I104" s="92">
        <f t="shared" si="16"/>
        <v>0.41261855899754951</v>
      </c>
      <c r="J104" s="95">
        <v>2.3711799509906799E-4</v>
      </c>
      <c r="K104" s="166">
        <v>0.79602566813892095</v>
      </c>
      <c r="L104" s="166">
        <v>0.82499999999999996</v>
      </c>
      <c r="M104" s="166">
        <v>0.75256417034730305</v>
      </c>
      <c r="N104" s="136">
        <v>1</v>
      </c>
      <c r="O104" s="167">
        <v>43921</v>
      </c>
      <c r="P104" s="98">
        <v>0</v>
      </c>
      <c r="Q104" s="111"/>
      <c r="R104" s="111"/>
      <c r="S104" s="111"/>
      <c r="T104" s="112"/>
      <c r="U104" s="137" t="s">
        <v>3240</v>
      </c>
      <c r="V104" s="137" t="s">
        <v>2038</v>
      </c>
      <c r="W104" s="69">
        <v>38</v>
      </c>
      <c r="X104" s="69">
        <v>0</v>
      </c>
      <c r="Y104" s="69">
        <v>3</v>
      </c>
      <c r="AA104" t="s">
        <v>4543</v>
      </c>
      <c r="AB104" t="s">
        <v>51</v>
      </c>
      <c r="AC104" t="s">
        <v>4515</v>
      </c>
      <c r="AD104" t="s">
        <v>4693</v>
      </c>
      <c r="AE104" t="s">
        <v>4513</v>
      </c>
      <c r="AF104" t="s">
        <v>4701</v>
      </c>
      <c r="AG104" t="s">
        <v>4515</v>
      </c>
      <c r="AH104" t="s">
        <v>4693</v>
      </c>
      <c r="AI104" t="s">
        <v>4353</v>
      </c>
      <c r="AJ104" t="s">
        <v>4506</v>
      </c>
      <c r="AK104" t="s">
        <v>4519</v>
      </c>
      <c r="AL104" t="s">
        <v>4519</v>
      </c>
      <c r="AM104" t="s">
        <v>4528</v>
      </c>
      <c r="AN104" t="s">
        <v>4529</v>
      </c>
      <c r="AO104" s="134">
        <v>110.51636363636401</v>
      </c>
      <c r="AP104" s="135">
        <v>111.895359417652</v>
      </c>
      <c r="AQ104">
        <v>0.429481346678799</v>
      </c>
      <c r="AR104" s="136">
        <v>1.2211101000909901</v>
      </c>
      <c r="AS104">
        <v>7.0200181983621501</v>
      </c>
    </row>
    <row r="105" spans="1:45" customFormat="1" ht="91">
      <c r="A105">
        <v>619</v>
      </c>
      <c r="B105" s="69" t="s">
        <v>1707</v>
      </c>
      <c r="C105" s="69" t="s">
        <v>45</v>
      </c>
      <c r="D105" s="31">
        <f t="shared" ref="D105:D137" si="19">IF(C105="投诉",4,IF(C105="建议",1,IF(C105="举报",2,IF(C105="求助",3,5))))</f>
        <v>4</v>
      </c>
      <c r="E105" s="69" t="s">
        <v>221</v>
      </c>
      <c r="F105" s="31">
        <f t="shared" ref="F105:F137" si="20">IF(E105="12345app",1,IF(E105="e福州app",2,IF(E105="qq",3,IF(E105="电话",4,IF(E105="短信",5,IF(E105="网站",6,IF(E105="微博",7,IF(E105="微信",8,9))))))))</f>
        <v>2</v>
      </c>
      <c r="G105" s="137" t="s">
        <v>1716</v>
      </c>
      <c r="H105" s="138">
        <v>53</v>
      </c>
      <c r="I105" s="92">
        <f t="shared" si="16"/>
        <v>0.58123139784647904</v>
      </c>
      <c r="J105" s="95">
        <v>0.41246279569295802</v>
      </c>
      <c r="K105" s="137">
        <v>0.73571428571428599</v>
      </c>
      <c r="L105" s="137">
        <v>0.75</v>
      </c>
      <c r="M105" s="137">
        <v>0.71428571428571397</v>
      </c>
      <c r="N105" s="136">
        <v>1</v>
      </c>
      <c r="O105" s="168">
        <v>43993</v>
      </c>
      <c r="P105" s="98">
        <f t="shared" ref="P105:P137" si="21">IF(T105="利己",0,IF(T105="生态",2,1))</f>
        <v>0</v>
      </c>
      <c r="Q105" s="111">
        <v>0</v>
      </c>
      <c r="R105" s="111">
        <v>1.65</v>
      </c>
      <c r="S105" s="111">
        <v>0</v>
      </c>
      <c r="T105" s="112" t="s">
        <v>48</v>
      </c>
      <c r="U105" s="137" t="s">
        <v>1717</v>
      </c>
      <c r="V105" s="137" t="s">
        <v>1718</v>
      </c>
      <c r="W105" s="69">
        <v>114</v>
      </c>
      <c r="X105" s="69">
        <v>1</v>
      </c>
      <c r="Y105" s="69">
        <v>4</v>
      </c>
      <c r="Z105" s="69"/>
      <c r="AA105" t="s">
        <v>4564</v>
      </c>
      <c r="AB105" t="s">
        <v>51</v>
      </c>
      <c r="AC105" t="s">
        <v>223</v>
      </c>
      <c r="AD105" t="s">
        <v>4702</v>
      </c>
      <c r="AE105" t="s">
        <v>4538</v>
      </c>
      <c r="AF105" t="s">
        <v>4703</v>
      </c>
      <c r="AG105" t="s">
        <v>223</v>
      </c>
      <c r="AH105" t="s">
        <v>4702</v>
      </c>
      <c r="AI105" t="s">
        <v>4353</v>
      </c>
      <c r="AJ105" t="s">
        <v>4506</v>
      </c>
      <c r="AK105" t="s">
        <v>4519</v>
      </c>
      <c r="AL105" t="s">
        <v>4519</v>
      </c>
      <c r="AM105" t="s">
        <v>4528</v>
      </c>
      <c r="AN105" t="s">
        <v>4529</v>
      </c>
      <c r="AO105" s="134">
        <v>110.568698817106</v>
      </c>
      <c r="AP105" s="135">
        <v>111.90619307832399</v>
      </c>
      <c r="AQ105">
        <v>0.42987249544626599</v>
      </c>
      <c r="AR105" s="136">
        <v>1.22131147540984</v>
      </c>
      <c r="AS105">
        <v>7.0255009107468096</v>
      </c>
    </row>
    <row r="106" spans="1:45" customFormat="1" ht="76">
      <c r="A106" s="65">
        <v>620</v>
      </c>
      <c r="B106" s="69" t="s">
        <v>1707</v>
      </c>
      <c r="C106" s="69" t="s">
        <v>45</v>
      </c>
      <c r="D106" s="31">
        <f t="shared" si="19"/>
        <v>4</v>
      </c>
      <c r="E106" s="69" t="s">
        <v>46</v>
      </c>
      <c r="F106" s="31">
        <f t="shared" si="20"/>
        <v>6</v>
      </c>
      <c r="G106" s="147" t="s">
        <v>1719</v>
      </c>
      <c r="H106" s="138">
        <v>57</v>
      </c>
      <c r="I106" s="92">
        <f t="shared" si="16"/>
        <v>0.93077949209905297</v>
      </c>
      <c r="J106" s="95">
        <v>0.95405898419810597</v>
      </c>
      <c r="K106" s="137">
        <v>0.88735714285714296</v>
      </c>
      <c r="L106" s="137">
        <v>0.90749999999999997</v>
      </c>
      <c r="M106" s="137">
        <v>0.85714285714285698</v>
      </c>
      <c r="N106" s="136">
        <v>1</v>
      </c>
      <c r="O106" s="154">
        <v>43992</v>
      </c>
      <c r="P106" s="98">
        <f t="shared" si="21"/>
        <v>0</v>
      </c>
      <c r="Q106" s="111">
        <v>2.5499999999999998</v>
      </c>
      <c r="R106" s="111">
        <v>1.65</v>
      </c>
      <c r="S106" s="111">
        <v>1.87</v>
      </c>
      <c r="T106" s="112" t="s">
        <v>48</v>
      </c>
      <c r="U106" s="136" t="s">
        <v>1720</v>
      </c>
      <c r="V106" s="137" t="s">
        <v>1721</v>
      </c>
      <c r="W106" s="69">
        <v>100</v>
      </c>
      <c r="X106" s="147">
        <v>1</v>
      </c>
      <c r="Y106" s="147">
        <v>1</v>
      </c>
      <c r="Z106" s="69"/>
      <c r="AA106" t="s">
        <v>4564</v>
      </c>
      <c r="AB106" t="s">
        <v>51</v>
      </c>
      <c r="AC106" t="s">
        <v>223</v>
      </c>
      <c r="AD106" t="s">
        <v>4704</v>
      </c>
      <c r="AE106" t="s">
        <v>4513</v>
      </c>
      <c r="AF106" t="s">
        <v>4517</v>
      </c>
      <c r="AG106" t="s">
        <v>223</v>
      </c>
      <c r="AH106" t="s">
        <v>4704</v>
      </c>
      <c r="AI106" t="s">
        <v>4353</v>
      </c>
      <c r="AJ106" t="s">
        <v>4506</v>
      </c>
      <c r="AK106" t="s">
        <v>4519</v>
      </c>
      <c r="AL106" t="s">
        <v>4519</v>
      </c>
      <c r="AM106" t="s">
        <v>4562</v>
      </c>
      <c r="AN106" t="s">
        <v>4563</v>
      </c>
      <c r="AO106" s="134">
        <v>110.617486338798</v>
      </c>
      <c r="AP106" s="135">
        <v>111.869644484959</v>
      </c>
      <c r="AQ106">
        <v>0.43026435733819501</v>
      </c>
      <c r="AR106" s="136">
        <v>1.2215132178669099</v>
      </c>
      <c r="AS106">
        <v>7.0291704649042801</v>
      </c>
    </row>
    <row r="107" spans="1:45" customFormat="1" ht="106">
      <c r="A107">
        <v>219</v>
      </c>
      <c r="B107" s="69" t="s">
        <v>589</v>
      </c>
      <c r="C107" s="69" t="s">
        <v>45</v>
      </c>
      <c r="D107" s="31">
        <f t="shared" si="19"/>
        <v>4</v>
      </c>
      <c r="E107" s="69" t="s">
        <v>221</v>
      </c>
      <c r="F107" s="31">
        <f t="shared" si="20"/>
        <v>2</v>
      </c>
      <c r="G107" s="137" t="s">
        <v>668</v>
      </c>
      <c r="H107" s="138">
        <v>69</v>
      </c>
      <c r="I107" s="92">
        <f t="shared" si="16"/>
        <v>0.66607258987842854</v>
      </c>
      <c r="J107" s="95">
        <v>0.58214517975685698</v>
      </c>
      <c r="K107" s="137">
        <v>0.75102566813892102</v>
      </c>
      <c r="L107" s="137">
        <v>0.75</v>
      </c>
      <c r="M107" s="137">
        <v>0.75256417034730305</v>
      </c>
      <c r="N107" s="136">
        <v>1</v>
      </c>
      <c r="O107" s="154">
        <v>43989</v>
      </c>
      <c r="P107" s="98">
        <f t="shared" si="21"/>
        <v>0</v>
      </c>
      <c r="Q107" s="111">
        <v>10.199999999999999</v>
      </c>
      <c r="R107" s="111">
        <v>1.65</v>
      </c>
      <c r="S107" s="111">
        <v>0</v>
      </c>
      <c r="T107" s="112" t="s">
        <v>48</v>
      </c>
      <c r="U107" s="137" t="s">
        <v>669</v>
      </c>
      <c r="V107" s="137" t="s">
        <v>670</v>
      </c>
      <c r="W107" s="69">
        <v>152</v>
      </c>
      <c r="X107" s="69">
        <v>1</v>
      </c>
      <c r="Y107" s="69">
        <v>3</v>
      </c>
      <c r="AA107" t="s">
        <v>4522</v>
      </c>
      <c r="AB107" t="s">
        <v>51</v>
      </c>
      <c r="AC107" t="s">
        <v>223</v>
      </c>
      <c r="AD107" t="s">
        <v>4637</v>
      </c>
      <c r="AE107" t="s">
        <v>4513</v>
      </c>
      <c r="AF107" t="s">
        <v>4590</v>
      </c>
      <c r="AG107" t="s">
        <v>4515</v>
      </c>
      <c r="AH107" t="s">
        <v>4705</v>
      </c>
      <c r="AI107" t="s">
        <v>4353</v>
      </c>
      <c r="AJ107" t="s">
        <v>4506</v>
      </c>
      <c r="AK107" t="s">
        <v>4519</v>
      </c>
      <c r="AL107" t="s">
        <v>4552</v>
      </c>
      <c r="AM107" t="s">
        <v>4528</v>
      </c>
      <c r="AN107" t="s">
        <v>4618</v>
      </c>
      <c r="AO107" s="134">
        <v>110.65542388331799</v>
      </c>
      <c r="AP107" s="135">
        <v>111.83302919707999</v>
      </c>
      <c r="AQ107">
        <v>0.43065693430656898</v>
      </c>
      <c r="AR107" s="136">
        <v>1.22171532846715</v>
      </c>
      <c r="AS107">
        <v>7.0255474452554703</v>
      </c>
    </row>
    <row r="108" spans="1:45" customFormat="1" ht="329">
      <c r="A108" s="65">
        <v>220</v>
      </c>
      <c r="B108" s="69" t="s">
        <v>589</v>
      </c>
      <c r="C108" s="69" t="s">
        <v>45</v>
      </c>
      <c r="D108" s="31">
        <f t="shared" si="19"/>
        <v>4</v>
      </c>
      <c r="E108" s="69" t="s">
        <v>46</v>
      </c>
      <c r="F108" s="31">
        <f t="shared" si="20"/>
        <v>6</v>
      </c>
      <c r="G108" s="137" t="s">
        <v>671</v>
      </c>
      <c r="H108" s="138">
        <v>577</v>
      </c>
      <c r="I108" s="92">
        <f t="shared" si="16"/>
        <v>0.13143521273049394</v>
      </c>
      <c r="J108" s="95">
        <v>8.4994389304426901E-10</v>
      </c>
      <c r="K108" s="137">
        <v>0.50057939762376902</v>
      </c>
      <c r="L108" s="137">
        <v>0.26287042461104398</v>
      </c>
      <c r="M108" s="137">
        <v>0.85714285714285698</v>
      </c>
      <c r="N108" s="136">
        <v>1</v>
      </c>
      <c r="O108" s="154">
        <v>43984</v>
      </c>
      <c r="P108" s="98">
        <f t="shared" si="21"/>
        <v>1</v>
      </c>
      <c r="Q108" s="111">
        <v>2.5499999999999998</v>
      </c>
      <c r="R108" s="111">
        <v>1.65</v>
      </c>
      <c r="S108" s="111">
        <v>0</v>
      </c>
      <c r="T108" s="112" t="s">
        <v>73</v>
      </c>
      <c r="U108" s="136" t="s">
        <v>672</v>
      </c>
      <c r="V108" s="137" t="s">
        <v>673</v>
      </c>
      <c r="W108" s="69">
        <v>249</v>
      </c>
      <c r="X108" s="69">
        <v>1</v>
      </c>
      <c r="Y108" s="69">
        <v>1</v>
      </c>
      <c r="AA108" t="s">
        <v>4706</v>
      </c>
      <c r="AB108" t="s">
        <v>51</v>
      </c>
      <c r="AC108" t="s">
        <v>4515</v>
      </c>
      <c r="AD108" t="s">
        <v>4707</v>
      </c>
      <c r="AE108" t="s">
        <v>4530</v>
      </c>
      <c r="AF108" t="s">
        <v>4708</v>
      </c>
      <c r="AG108" t="s">
        <v>223</v>
      </c>
      <c r="AH108" t="s">
        <v>4709</v>
      </c>
      <c r="AI108" t="s">
        <v>4353</v>
      </c>
      <c r="AJ108" t="s">
        <v>4506</v>
      </c>
      <c r="AK108" t="s">
        <v>4519</v>
      </c>
      <c r="AL108" t="s">
        <v>4519</v>
      </c>
      <c r="AM108" t="s">
        <v>4520</v>
      </c>
      <c r="AN108" t="s">
        <v>4558</v>
      </c>
      <c r="AO108" s="134">
        <v>110.229927007299</v>
      </c>
      <c r="AP108" s="135">
        <v>111.740842490842</v>
      </c>
      <c r="AQ108">
        <v>0.43223443223443198</v>
      </c>
      <c r="AR108" s="136">
        <v>1.22252747252747</v>
      </c>
      <c r="AS108">
        <v>7.0421245421245402</v>
      </c>
    </row>
    <row r="109" spans="1:45" customFormat="1" ht="91">
      <c r="A109" s="65">
        <v>221</v>
      </c>
      <c r="B109" s="69" t="s">
        <v>589</v>
      </c>
      <c r="C109" s="69" t="s">
        <v>45</v>
      </c>
      <c r="D109" s="31">
        <f t="shared" si="19"/>
        <v>4</v>
      </c>
      <c r="E109" s="69" t="s">
        <v>80</v>
      </c>
      <c r="F109" s="31">
        <f t="shared" si="20"/>
        <v>4</v>
      </c>
      <c r="G109" s="147" t="s">
        <v>674</v>
      </c>
      <c r="H109" s="138">
        <v>103</v>
      </c>
      <c r="I109" s="92">
        <f t="shared" si="16"/>
        <v>0.53998927332890101</v>
      </c>
      <c r="J109" s="95">
        <v>0.25497854665780201</v>
      </c>
      <c r="K109" s="137">
        <v>0.79602566813892095</v>
      </c>
      <c r="L109" s="137">
        <v>0.82499999999999996</v>
      </c>
      <c r="M109" s="137">
        <v>0.75256417034730305</v>
      </c>
      <c r="N109" s="136">
        <v>1</v>
      </c>
      <c r="O109" s="154">
        <v>43983</v>
      </c>
      <c r="P109" s="98">
        <f t="shared" si="21"/>
        <v>1</v>
      </c>
      <c r="Q109" s="113">
        <v>0</v>
      </c>
      <c r="R109" s="113">
        <v>0</v>
      </c>
      <c r="S109" s="113">
        <v>0</v>
      </c>
      <c r="T109" s="114" t="s">
        <v>73</v>
      </c>
      <c r="U109" s="147" t="s">
        <v>675</v>
      </c>
      <c r="V109" s="137" t="s">
        <v>676</v>
      </c>
      <c r="W109" s="69">
        <v>128</v>
      </c>
      <c r="X109" s="171">
        <v>1</v>
      </c>
      <c r="Y109" s="171">
        <v>3</v>
      </c>
      <c r="AA109" t="s">
        <v>4522</v>
      </c>
      <c r="AB109" t="s">
        <v>51</v>
      </c>
      <c r="AC109" t="s">
        <v>4353</v>
      </c>
      <c r="AD109" t="s">
        <v>4506</v>
      </c>
      <c r="AE109" t="s">
        <v>4515</v>
      </c>
      <c r="AF109" t="s">
        <v>4568</v>
      </c>
      <c r="AG109" t="s">
        <v>223</v>
      </c>
      <c r="AH109" t="s">
        <v>4710</v>
      </c>
      <c r="AI109" t="s">
        <v>4353</v>
      </c>
      <c r="AJ109" t="s">
        <v>4506</v>
      </c>
      <c r="AK109" t="s">
        <v>4519</v>
      </c>
      <c r="AL109" t="s">
        <v>4519</v>
      </c>
      <c r="AM109" t="s">
        <v>4510</v>
      </c>
      <c r="AN109" t="s">
        <v>4550</v>
      </c>
      <c r="AO109" s="134">
        <v>110.236529680365</v>
      </c>
      <c r="AP109" s="135">
        <v>111.780532598714</v>
      </c>
      <c r="AQ109">
        <v>0.43250688705234203</v>
      </c>
      <c r="AR109" s="136">
        <v>1.2231404958677701</v>
      </c>
      <c r="AS109">
        <v>7.0339761248852204</v>
      </c>
    </row>
    <row r="110" spans="1:45" customFormat="1" ht="61">
      <c r="A110">
        <v>222</v>
      </c>
      <c r="B110" s="69" t="s">
        <v>589</v>
      </c>
      <c r="C110" s="69" t="s">
        <v>45</v>
      </c>
      <c r="D110" s="31">
        <f t="shared" si="19"/>
        <v>4</v>
      </c>
      <c r="E110" s="69" t="s">
        <v>80</v>
      </c>
      <c r="F110" s="31">
        <f t="shared" si="20"/>
        <v>4</v>
      </c>
      <c r="G110" s="137" t="s">
        <v>677</v>
      </c>
      <c r="H110" s="138">
        <v>65</v>
      </c>
      <c r="I110" s="92">
        <f t="shared" si="16"/>
        <v>0.85193273137875747</v>
      </c>
      <c r="J110" s="95">
        <v>0.95386546275751505</v>
      </c>
      <c r="K110" s="137">
        <v>0.75102566813892102</v>
      </c>
      <c r="L110" s="137">
        <v>0.75</v>
      </c>
      <c r="M110" s="137">
        <v>0.75256417034730305</v>
      </c>
      <c r="N110" s="136">
        <v>1</v>
      </c>
      <c r="O110" s="154">
        <v>43981</v>
      </c>
      <c r="P110" s="98">
        <f t="shared" si="21"/>
        <v>1</v>
      </c>
      <c r="Q110" s="111">
        <v>0</v>
      </c>
      <c r="R110" s="111">
        <v>4.95</v>
      </c>
      <c r="S110" s="111">
        <v>0</v>
      </c>
      <c r="T110" s="112" t="s">
        <v>73</v>
      </c>
      <c r="U110" s="137" t="s">
        <v>678</v>
      </c>
      <c r="V110" s="137" t="s">
        <v>679</v>
      </c>
      <c r="W110" s="69">
        <v>84</v>
      </c>
      <c r="X110" s="69">
        <v>1</v>
      </c>
      <c r="Y110" s="69">
        <v>3</v>
      </c>
      <c r="AA110" t="s">
        <v>4522</v>
      </c>
      <c r="AB110" t="s">
        <v>51</v>
      </c>
      <c r="AC110" t="s">
        <v>223</v>
      </c>
      <c r="AD110" t="s">
        <v>4691</v>
      </c>
      <c r="AE110" t="s">
        <v>4515</v>
      </c>
      <c r="AF110" t="s">
        <v>4676</v>
      </c>
      <c r="AG110" t="s">
        <v>223</v>
      </c>
      <c r="AH110" t="s">
        <v>4691</v>
      </c>
      <c r="AI110" t="s">
        <v>4353</v>
      </c>
      <c r="AJ110" t="s">
        <v>4506</v>
      </c>
      <c r="AK110" t="s">
        <v>4519</v>
      </c>
      <c r="AL110" t="s">
        <v>4519</v>
      </c>
      <c r="AM110" t="s">
        <v>4520</v>
      </c>
      <c r="AN110" t="s">
        <v>4558</v>
      </c>
      <c r="AO110" s="134">
        <v>110.277879341865</v>
      </c>
      <c r="AP110" s="135">
        <v>111.780532598714</v>
      </c>
      <c r="AQ110">
        <v>0.43250688705234203</v>
      </c>
      <c r="AR110" s="136">
        <v>1.2231404958677701</v>
      </c>
      <c r="AS110">
        <v>7.0339761248852204</v>
      </c>
    </row>
    <row r="111" spans="1:45" customFormat="1" ht="61">
      <c r="A111">
        <v>223</v>
      </c>
      <c r="B111" s="69" t="s">
        <v>589</v>
      </c>
      <c r="C111" s="69" t="s">
        <v>45</v>
      </c>
      <c r="D111" s="31">
        <f t="shared" si="19"/>
        <v>4</v>
      </c>
      <c r="E111" s="69" t="s">
        <v>221</v>
      </c>
      <c r="F111" s="31">
        <f t="shared" si="20"/>
        <v>2</v>
      </c>
      <c r="G111" s="137" t="s">
        <v>680</v>
      </c>
      <c r="H111" s="138">
        <v>11</v>
      </c>
      <c r="I111" s="92">
        <f t="shared" si="16"/>
        <v>0.39938249359995653</v>
      </c>
      <c r="J111" s="95">
        <v>4.8764987199913103E-2</v>
      </c>
      <c r="K111" s="137">
        <v>0.75102566813892102</v>
      </c>
      <c r="L111" s="137">
        <v>0.75</v>
      </c>
      <c r="M111" s="137">
        <v>0.75256417034730305</v>
      </c>
      <c r="N111" s="136">
        <v>1</v>
      </c>
      <c r="O111" s="154">
        <v>43981</v>
      </c>
      <c r="P111" s="98">
        <f t="shared" si="21"/>
        <v>1</v>
      </c>
      <c r="Q111" s="111">
        <v>2.5499999999999998</v>
      </c>
      <c r="R111" s="111">
        <v>1.65</v>
      </c>
      <c r="S111" s="111">
        <v>0</v>
      </c>
      <c r="T111" s="112" t="s">
        <v>73</v>
      </c>
      <c r="U111" s="169" t="s">
        <v>681</v>
      </c>
      <c r="V111" s="137" t="s">
        <v>682</v>
      </c>
      <c r="W111" s="69">
        <v>87</v>
      </c>
      <c r="X111" s="69">
        <v>1</v>
      </c>
      <c r="Y111" s="69">
        <v>3</v>
      </c>
      <c r="AA111" t="s">
        <v>4564</v>
      </c>
      <c r="AB111" t="s">
        <v>51</v>
      </c>
      <c r="AC111" t="s">
        <v>4353</v>
      </c>
      <c r="AD111" t="s">
        <v>4506</v>
      </c>
      <c r="AE111" t="s">
        <v>4513</v>
      </c>
      <c r="AF111" t="s">
        <v>4711</v>
      </c>
      <c r="AG111" t="s">
        <v>223</v>
      </c>
      <c r="AH111" t="s">
        <v>4693</v>
      </c>
      <c r="AI111" t="s">
        <v>4353</v>
      </c>
      <c r="AJ111" t="s">
        <v>4506</v>
      </c>
      <c r="AK111" t="s">
        <v>4519</v>
      </c>
      <c r="AL111" t="s">
        <v>4519</v>
      </c>
      <c r="AM111" t="s">
        <v>4510</v>
      </c>
      <c r="AN111" t="s">
        <v>4550</v>
      </c>
      <c r="AO111" s="134">
        <v>110.36870997255301</v>
      </c>
      <c r="AP111" s="135">
        <v>111.780532598714</v>
      </c>
      <c r="AQ111">
        <v>0.43250688705234203</v>
      </c>
      <c r="AR111" s="136">
        <v>1.2231404958677701</v>
      </c>
      <c r="AS111">
        <v>7.0339761248852204</v>
      </c>
    </row>
    <row r="112" spans="1:45" customFormat="1" ht="76">
      <c r="A112" s="65">
        <v>1044</v>
      </c>
      <c r="B112" s="69" t="s">
        <v>2833</v>
      </c>
      <c r="C112" s="69" t="s">
        <v>45</v>
      </c>
      <c r="D112" s="31">
        <f t="shared" si="19"/>
        <v>4</v>
      </c>
      <c r="E112" s="69" t="s">
        <v>80</v>
      </c>
      <c r="F112" s="31">
        <f t="shared" si="20"/>
        <v>4</v>
      </c>
      <c r="G112" s="89" t="s">
        <v>2834</v>
      </c>
      <c r="H112" s="138">
        <v>29</v>
      </c>
      <c r="I112" s="92">
        <f t="shared" si="16"/>
        <v>0.41278424395282309</v>
      </c>
      <c r="J112" s="95">
        <v>5.6848790564623098E-4</v>
      </c>
      <c r="K112" s="137">
        <v>0.79602566813892095</v>
      </c>
      <c r="L112" s="137">
        <v>0.82499999999999996</v>
      </c>
      <c r="M112" s="137">
        <v>0.75256417034730305</v>
      </c>
      <c r="N112" s="136">
        <v>1</v>
      </c>
      <c r="O112" s="157">
        <v>43980</v>
      </c>
      <c r="P112" s="98">
        <f t="shared" si="21"/>
        <v>1</v>
      </c>
      <c r="Q112" s="113">
        <v>10.199999999999999</v>
      </c>
      <c r="R112" s="113">
        <v>1.65</v>
      </c>
      <c r="S112" s="113">
        <v>0</v>
      </c>
      <c r="T112" s="119" t="s">
        <v>73</v>
      </c>
      <c r="U112" s="89" t="s">
        <v>2835</v>
      </c>
      <c r="V112" s="172" t="s">
        <v>2836</v>
      </c>
      <c r="W112" s="69">
        <v>108</v>
      </c>
      <c r="X112" s="69">
        <v>1</v>
      </c>
      <c r="Y112" s="69">
        <v>3</v>
      </c>
      <c r="Z112" s="69"/>
      <c r="AA112" t="s">
        <v>4522</v>
      </c>
      <c r="AB112" t="s">
        <v>67</v>
      </c>
      <c r="AC112" t="s">
        <v>4353</v>
      </c>
      <c r="AD112" t="s">
        <v>4506</v>
      </c>
      <c r="AE112" t="s">
        <v>4353</v>
      </c>
      <c r="AF112" t="s">
        <v>4506</v>
      </c>
      <c r="AG112" t="s">
        <v>4353</v>
      </c>
      <c r="AH112" t="s">
        <v>4506</v>
      </c>
      <c r="AI112" t="s">
        <v>4353</v>
      </c>
      <c r="AJ112" t="s">
        <v>4506</v>
      </c>
      <c r="AK112" t="s">
        <v>4519</v>
      </c>
      <c r="AL112" t="s">
        <v>4519</v>
      </c>
      <c r="AM112" t="s">
        <v>4510</v>
      </c>
      <c r="AN112" t="s">
        <v>4550</v>
      </c>
      <c r="AO112" s="134">
        <v>110.443223443223</v>
      </c>
      <c r="AP112" s="135">
        <v>111.780532598714</v>
      </c>
      <c r="AQ112">
        <v>0.43250688705234203</v>
      </c>
      <c r="AR112" s="136">
        <v>1.2231404958677701</v>
      </c>
      <c r="AS112">
        <v>7.0339761248852204</v>
      </c>
    </row>
    <row r="113" spans="1:45" customFormat="1" ht="106">
      <c r="A113">
        <v>774</v>
      </c>
      <c r="B113" s="69" t="s">
        <v>2098</v>
      </c>
      <c r="C113" s="69" t="s">
        <v>45</v>
      </c>
      <c r="D113" s="31">
        <f t="shared" si="19"/>
        <v>4</v>
      </c>
      <c r="E113" s="69" t="s">
        <v>46</v>
      </c>
      <c r="F113" s="31">
        <f t="shared" si="20"/>
        <v>6</v>
      </c>
      <c r="G113" s="147" t="s">
        <v>2111</v>
      </c>
      <c r="H113" s="138">
        <v>86</v>
      </c>
      <c r="I113" s="92">
        <f t="shared" si="16"/>
        <v>0.39753001521312697</v>
      </c>
      <c r="J113" s="95">
        <v>0.113241848608072</v>
      </c>
      <c r="K113" s="137">
        <v>0.61956949249917204</v>
      </c>
      <c r="L113" s="137">
        <v>0.68181818181818199</v>
      </c>
      <c r="M113" s="137">
        <v>0.526196458520657</v>
      </c>
      <c r="N113" s="136">
        <v>0</v>
      </c>
      <c r="O113" s="154">
        <v>43979</v>
      </c>
      <c r="P113" s="98">
        <f t="shared" si="21"/>
        <v>1</v>
      </c>
      <c r="Q113" s="111">
        <v>5.0999999999999996</v>
      </c>
      <c r="R113" s="111">
        <v>0</v>
      </c>
      <c r="S113" s="111">
        <v>0</v>
      </c>
      <c r="T113" s="112" t="s">
        <v>73</v>
      </c>
      <c r="U113" s="137" t="s">
        <v>2112</v>
      </c>
      <c r="V113" s="137" t="s">
        <v>2113</v>
      </c>
      <c r="W113" s="69">
        <v>152</v>
      </c>
      <c r="X113" s="147">
        <v>1</v>
      </c>
      <c r="Y113" s="147">
        <v>11</v>
      </c>
      <c r="Z113" s="69"/>
      <c r="AA113" t="s">
        <v>4543</v>
      </c>
      <c r="AB113" t="s">
        <v>51</v>
      </c>
      <c r="AC113" t="s">
        <v>223</v>
      </c>
      <c r="AD113" t="s">
        <v>4712</v>
      </c>
      <c r="AE113" t="s">
        <v>4538</v>
      </c>
      <c r="AF113" t="s">
        <v>4713</v>
      </c>
      <c r="AG113" t="s">
        <v>4515</v>
      </c>
      <c r="AH113" t="s">
        <v>4714</v>
      </c>
      <c r="AI113" t="s">
        <v>4353</v>
      </c>
      <c r="AJ113" t="s">
        <v>4506</v>
      </c>
      <c r="AK113" t="s">
        <v>4519</v>
      </c>
      <c r="AL113" t="s">
        <v>4552</v>
      </c>
      <c r="AM113" t="s">
        <v>4528</v>
      </c>
      <c r="AN113" t="s">
        <v>4618</v>
      </c>
      <c r="AO113" s="134">
        <v>110.465627864345</v>
      </c>
      <c r="AP113" s="135">
        <v>111.85110294117599</v>
      </c>
      <c r="AQ113">
        <v>0.43290441176470601</v>
      </c>
      <c r="AR113" s="136">
        <v>1.2233455882352899</v>
      </c>
      <c r="AS113">
        <v>7.0386029411764701</v>
      </c>
    </row>
    <row r="114" spans="1:45" customFormat="1" ht="120">
      <c r="A114">
        <v>982</v>
      </c>
      <c r="B114" s="72" t="s">
        <v>2638</v>
      </c>
      <c r="C114" s="87" t="s">
        <v>45</v>
      </c>
      <c r="D114" s="31">
        <f t="shared" si="19"/>
        <v>4</v>
      </c>
      <c r="E114" s="87" t="s">
        <v>46</v>
      </c>
      <c r="F114" s="31">
        <f t="shared" si="20"/>
        <v>6</v>
      </c>
      <c r="G114" s="85" t="s">
        <v>2658</v>
      </c>
      <c r="H114" s="81">
        <f>LEN(U114)</f>
        <v>213</v>
      </c>
      <c r="I114" s="92">
        <f t="shared" si="16"/>
        <v>0.30991889279600898</v>
      </c>
      <c r="J114" s="93">
        <v>3.07484821593373E-6</v>
      </c>
      <c r="K114" s="102">
        <v>0.69108862288210404</v>
      </c>
      <c r="L114" s="102">
        <v>0.61983471074380203</v>
      </c>
      <c r="M114" s="102">
        <v>0.79796949108955795</v>
      </c>
      <c r="N114" s="31">
        <v>1</v>
      </c>
      <c r="O114" s="99">
        <v>43977</v>
      </c>
      <c r="P114" s="98">
        <f t="shared" si="21"/>
        <v>0</v>
      </c>
      <c r="Q114" s="124"/>
      <c r="R114" s="124"/>
      <c r="S114" s="124"/>
      <c r="T114" s="170" t="s">
        <v>48</v>
      </c>
      <c r="U114" s="85" t="s">
        <v>2661</v>
      </c>
      <c r="V114" s="109" t="s">
        <v>2662</v>
      </c>
      <c r="W114" s="83">
        <f>LEN(V114)</f>
        <v>35</v>
      </c>
      <c r="X114" s="30">
        <v>0</v>
      </c>
      <c r="Y114" s="30">
        <v>2</v>
      </c>
      <c r="Z114" s="65"/>
      <c r="AA114" t="s">
        <v>4564</v>
      </c>
      <c r="AB114" t="s">
        <v>51</v>
      </c>
      <c r="AC114" t="s">
        <v>223</v>
      </c>
      <c r="AD114" t="s">
        <v>4531</v>
      </c>
      <c r="AE114" t="s">
        <v>4515</v>
      </c>
      <c r="AF114" t="s">
        <v>4623</v>
      </c>
      <c r="AG114" t="s">
        <v>4353</v>
      </c>
      <c r="AH114" t="s">
        <v>4506</v>
      </c>
      <c r="AI114" t="s">
        <v>4353</v>
      </c>
      <c r="AJ114" t="s">
        <v>4506</v>
      </c>
      <c r="AK114" t="s">
        <v>4519</v>
      </c>
      <c r="AL114" t="s">
        <v>4519</v>
      </c>
      <c r="AM114" t="s">
        <v>4715</v>
      </c>
      <c r="AN114" t="s">
        <v>4716</v>
      </c>
      <c r="AO114" s="134">
        <v>110.371559633028</v>
      </c>
      <c r="AP114" s="135">
        <v>111.860165593376</v>
      </c>
      <c r="AQ114">
        <v>0.43330266789328398</v>
      </c>
      <c r="AR114" s="136">
        <v>1.22355105795768</v>
      </c>
      <c r="AS114">
        <v>7.0404783808647702</v>
      </c>
    </row>
    <row r="115" spans="1:45" customFormat="1" ht="76">
      <c r="A115">
        <v>67</v>
      </c>
      <c r="B115" s="69" t="s">
        <v>217</v>
      </c>
      <c r="C115" s="69" t="s">
        <v>45</v>
      </c>
      <c r="D115" s="31">
        <f t="shared" si="19"/>
        <v>4</v>
      </c>
      <c r="E115" s="69" t="s">
        <v>80</v>
      </c>
      <c r="F115" s="31">
        <f t="shared" si="20"/>
        <v>4</v>
      </c>
      <c r="G115" s="137" t="s">
        <v>247</v>
      </c>
      <c r="H115" s="138">
        <v>34</v>
      </c>
      <c r="I115" s="92">
        <f t="shared" si="16"/>
        <v>0.41999967085102813</v>
      </c>
      <c r="J115" s="95">
        <v>1.49993417020563E-2</v>
      </c>
      <c r="K115" s="137">
        <v>0.76722468700001201</v>
      </c>
      <c r="L115" s="137">
        <v>0.82499999999999996</v>
      </c>
      <c r="M115" s="137">
        <v>0.68056171750003003</v>
      </c>
      <c r="N115" s="136">
        <v>0</v>
      </c>
      <c r="O115" s="154">
        <v>43972</v>
      </c>
      <c r="P115" s="98">
        <f t="shared" si="21"/>
        <v>1</v>
      </c>
      <c r="Q115" s="111">
        <v>2.5499999999999998</v>
      </c>
      <c r="R115" s="111">
        <v>0</v>
      </c>
      <c r="S115" s="111">
        <v>0</v>
      </c>
      <c r="T115" s="112" t="s">
        <v>73</v>
      </c>
      <c r="U115" s="147" t="s">
        <v>248</v>
      </c>
      <c r="V115" s="137" t="s">
        <v>249</v>
      </c>
      <c r="W115" s="69">
        <v>102</v>
      </c>
      <c r="X115" s="171">
        <v>1</v>
      </c>
      <c r="Y115" s="171">
        <v>5</v>
      </c>
      <c r="AA115" t="s">
        <v>4522</v>
      </c>
      <c r="AB115" t="s">
        <v>51</v>
      </c>
      <c r="AC115" t="s">
        <v>223</v>
      </c>
      <c r="AD115" t="s">
        <v>4717</v>
      </c>
      <c r="AE115" t="s">
        <v>4515</v>
      </c>
      <c r="AF115" t="s">
        <v>4718</v>
      </c>
      <c r="AG115" t="s">
        <v>4353</v>
      </c>
      <c r="AH115" t="s">
        <v>4506</v>
      </c>
      <c r="AI115" t="s">
        <v>4353</v>
      </c>
      <c r="AJ115" t="s">
        <v>4506</v>
      </c>
      <c r="AK115" t="s">
        <v>4518</v>
      </c>
      <c r="AL115" t="s">
        <v>4519</v>
      </c>
      <c r="AM115" t="s">
        <v>4510</v>
      </c>
      <c r="AN115" t="s">
        <v>4523</v>
      </c>
      <c r="AO115" s="134">
        <v>110.441689623508</v>
      </c>
      <c r="AP115" s="135">
        <v>111.87741935483901</v>
      </c>
      <c r="AQ115">
        <v>0.43317972350230399</v>
      </c>
      <c r="AR115" s="136">
        <v>1.2230414746543801</v>
      </c>
      <c r="AS115">
        <v>7.0184331797235</v>
      </c>
    </row>
    <row r="116" spans="1:45" customFormat="1" ht="106">
      <c r="A116">
        <v>438</v>
      </c>
      <c r="B116" s="69" t="s">
        <v>1222</v>
      </c>
      <c r="C116" s="69" t="s">
        <v>45</v>
      </c>
      <c r="D116" s="31">
        <f t="shared" si="19"/>
        <v>4</v>
      </c>
      <c r="E116" s="69" t="s">
        <v>46</v>
      </c>
      <c r="F116" s="31">
        <f t="shared" si="20"/>
        <v>6</v>
      </c>
      <c r="G116" s="137" t="s">
        <v>1248</v>
      </c>
      <c r="H116" s="138">
        <v>65</v>
      </c>
      <c r="I116" s="92">
        <f t="shared" si="16"/>
        <v>0.34115846730623267</v>
      </c>
      <c r="J116" s="95">
        <v>4.9875279428335305E-4</v>
      </c>
      <c r="K116" s="137">
        <v>0.69480519480519498</v>
      </c>
      <c r="L116" s="137">
        <v>0.68181818181818199</v>
      </c>
      <c r="M116" s="137">
        <v>0.71428571428571397</v>
      </c>
      <c r="N116" s="136">
        <v>1</v>
      </c>
      <c r="O116" s="154">
        <v>43972</v>
      </c>
      <c r="P116" s="98">
        <f t="shared" si="21"/>
        <v>0</v>
      </c>
      <c r="Q116" s="111">
        <v>2.5499999999999998</v>
      </c>
      <c r="R116" s="111">
        <v>1.65</v>
      </c>
      <c r="S116" s="111">
        <v>0</v>
      </c>
      <c r="T116" s="112" t="s">
        <v>48</v>
      </c>
      <c r="U116" s="137" t="s">
        <v>1249</v>
      </c>
      <c r="V116" s="137" t="s">
        <v>1250</v>
      </c>
      <c r="W116" s="69">
        <v>70</v>
      </c>
      <c r="X116" s="147">
        <v>1</v>
      </c>
      <c r="Y116" s="147">
        <v>4</v>
      </c>
      <c r="AA116" t="s">
        <v>4543</v>
      </c>
      <c r="AB116" t="s">
        <v>4594</v>
      </c>
      <c r="AC116" t="s">
        <v>4515</v>
      </c>
      <c r="AD116" t="s">
        <v>4531</v>
      </c>
      <c r="AE116" t="s">
        <v>4515</v>
      </c>
      <c r="AF116" t="s">
        <v>4531</v>
      </c>
      <c r="AG116" t="s">
        <v>4353</v>
      </c>
      <c r="AH116" t="s">
        <v>4506</v>
      </c>
      <c r="AI116" t="s">
        <v>4353</v>
      </c>
      <c r="AJ116" t="s">
        <v>4506</v>
      </c>
      <c r="AK116" t="s">
        <v>4519</v>
      </c>
      <c r="AL116" t="s">
        <v>4519</v>
      </c>
      <c r="AM116" t="s">
        <v>4562</v>
      </c>
      <c r="AN116" t="s">
        <v>4563</v>
      </c>
      <c r="AO116" s="134">
        <v>110.483455882353</v>
      </c>
      <c r="AP116" s="135">
        <v>111.87741935483901</v>
      </c>
      <c r="AQ116">
        <v>0.43317972350230399</v>
      </c>
      <c r="AR116" s="136">
        <v>1.2230414746543801</v>
      </c>
      <c r="AS116">
        <v>7.0184331797235</v>
      </c>
    </row>
    <row r="117" spans="1:45" customFormat="1" ht="76">
      <c r="A117" s="65">
        <v>1045</v>
      </c>
      <c r="B117" s="69" t="s">
        <v>2833</v>
      </c>
      <c r="C117" s="69" t="s">
        <v>45</v>
      </c>
      <c r="D117" s="31">
        <f t="shared" si="19"/>
        <v>4</v>
      </c>
      <c r="E117" s="69" t="s">
        <v>221</v>
      </c>
      <c r="F117" s="31">
        <f t="shared" si="20"/>
        <v>2</v>
      </c>
      <c r="G117" s="89" t="s">
        <v>2837</v>
      </c>
      <c r="H117" s="138">
        <v>62</v>
      </c>
      <c r="I117" s="92">
        <f t="shared" si="16"/>
        <v>0.402466288326077</v>
      </c>
      <c r="J117" s="95">
        <v>0.18509786590835201</v>
      </c>
      <c r="K117" s="137">
        <v>0.57395216272412397</v>
      </c>
      <c r="L117" s="137">
        <v>0.61983471074380203</v>
      </c>
      <c r="M117" s="137">
        <v>0.50512834069460699</v>
      </c>
      <c r="N117" s="136">
        <v>1</v>
      </c>
      <c r="O117" s="157">
        <v>43971</v>
      </c>
      <c r="P117" s="98">
        <f t="shared" si="21"/>
        <v>2</v>
      </c>
      <c r="Q117" s="113">
        <v>0</v>
      </c>
      <c r="R117" s="113">
        <v>0</v>
      </c>
      <c r="S117" s="113">
        <v>0</v>
      </c>
      <c r="T117" s="119" t="s">
        <v>64</v>
      </c>
      <c r="U117" s="89" t="s">
        <v>2838</v>
      </c>
      <c r="V117" s="172" t="s">
        <v>2839</v>
      </c>
      <c r="W117" s="69">
        <v>99</v>
      </c>
      <c r="X117" s="69">
        <v>1</v>
      </c>
      <c r="Y117" s="69">
        <v>12</v>
      </c>
      <c r="Z117" s="69"/>
      <c r="AA117" t="s">
        <v>4564</v>
      </c>
      <c r="AB117" t="s">
        <v>51</v>
      </c>
      <c r="AC117" t="s">
        <v>4353</v>
      </c>
      <c r="AD117" t="s">
        <v>4506</v>
      </c>
      <c r="AE117" t="s">
        <v>4530</v>
      </c>
      <c r="AF117" t="s">
        <v>4719</v>
      </c>
      <c r="AG117" t="s">
        <v>4353</v>
      </c>
      <c r="AH117" t="s">
        <v>4506</v>
      </c>
      <c r="AI117" t="s">
        <v>223</v>
      </c>
      <c r="AJ117" t="s">
        <v>4615</v>
      </c>
      <c r="AK117" t="s">
        <v>4519</v>
      </c>
      <c r="AL117" t="s">
        <v>4519</v>
      </c>
      <c r="AM117" t="s">
        <v>4528</v>
      </c>
      <c r="AN117" t="s">
        <v>4529</v>
      </c>
      <c r="AO117" s="134">
        <v>110.52805887764499</v>
      </c>
      <c r="AP117" s="135">
        <v>111.87741935483901</v>
      </c>
      <c r="AQ117">
        <v>0.43317972350230399</v>
      </c>
      <c r="AR117" s="136">
        <v>1.2230414746543801</v>
      </c>
      <c r="AS117">
        <v>7.0184331797235</v>
      </c>
    </row>
    <row r="118" spans="1:45" customFormat="1" ht="46">
      <c r="A118">
        <v>439</v>
      </c>
      <c r="B118" s="69" t="s">
        <v>1222</v>
      </c>
      <c r="C118" s="69" t="s">
        <v>59</v>
      </c>
      <c r="D118" s="31">
        <f t="shared" si="19"/>
        <v>5</v>
      </c>
      <c r="E118" s="69" t="s">
        <v>46</v>
      </c>
      <c r="F118" s="31">
        <f t="shared" si="20"/>
        <v>6</v>
      </c>
      <c r="G118" s="137" t="s">
        <v>1251</v>
      </c>
      <c r="H118" s="138">
        <v>80</v>
      </c>
      <c r="I118" s="92">
        <f t="shared" si="16"/>
        <v>0.83529412880075748</v>
      </c>
      <c r="J118" s="95">
        <v>0.98877007578333298</v>
      </c>
      <c r="K118" s="137">
        <v>0.75194805194805203</v>
      </c>
      <c r="L118" s="137">
        <v>0.68181818181818199</v>
      </c>
      <c r="M118" s="137">
        <v>0.85714285714285698</v>
      </c>
      <c r="N118" s="136">
        <v>1</v>
      </c>
      <c r="O118" s="154">
        <v>43969</v>
      </c>
      <c r="P118" s="98">
        <f t="shared" si="21"/>
        <v>2</v>
      </c>
      <c r="Q118" s="111">
        <v>2.5499999999999998</v>
      </c>
      <c r="R118" s="111">
        <v>0</v>
      </c>
      <c r="S118" s="111">
        <v>0</v>
      </c>
      <c r="T118" s="112" t="s">
        <v>64</v>
      </c>
      <c r="U118" s="137" t="s">
        <v>1252</v>
      </c>
      <c r="V118" s="136" t="s">
        <v>1253</v>
      </c>
      <c r="W118" s="69">
        <v>65</v>
      </c>
      <c r="X118" s="69">
        <v>1</v>
      </c>
      <c r="Y118" s="69">
        <v>1</v>
      </c>
      <c r="AA118" t="s">
        <v>4603</v>
      </c>
      <c r="AB118" t="s">
        <v>51</v>
      </c>
      <c r="AC118" t="s">
        <v>4353</v>
      </c>
      <c r="AD118" t="s">
        <v>4506</v>
      </c>
      <c r="AE118" t="s">
        <v>4515</v>
      </c>
      <c r="AF118" t="s">
        <v>4620</v>
      </c>
      <c r="AG118" t="s">
        <v>4353</v>
      </c>
      <c r="AH118" t="s">
        <v>4506</v>
      </c>
      <c r="AI118" t="s">
        <v>4353</v>
      </c>
      <c r="AJ118" t="s">
        <v>4506</v>
      </c>
      <c r="AK118" t="s">
        <v>4519</v>
      </c>
      <c r="AL118" t="s">
        <v>4519</v>
      </c>
      <c r="AM118" t="s">
        <v>4592</v>
      </c>
      <c r="AN118" t="s">
        <v>4626</v>
      </c>
      <c r="AO118" s="134">
        <v>110.55616942909801</v>
      </c>
      <c r="AP118" s="135">
        <v>111.855822550832</v>
      </c>
      <c r="AQ118">
        <v>0.43438077634011102</v>
      </c>
      <c r="AR118" s="136">
        <v>1.22365988909427</v>
      </c>
      <c r="AS118">
        <v>7.03142329020333</v>
      </c>
    </row>
    <row r="119" spans="1:45" customFormat="1" ht="241">
      <c r="A119" s="65">
        <v>588</v>
      </c>
      <c r="B119" s="69" t="s">
        <v>1628</v>
      </c>
      <c r="C119" s="69" t="s">
        <v>45</v>
      </c>
      <c r="D119" s="31">
        <f t="shared" si="19"/>
        <v>4</v>
      </c>
      <c r="E119" s="69" t="s">
        <v>46</v>
      </c>
      <c r="F119" s="31">
        <f t="shared" si="20"/>
        <v>6</v>
      </c>
      <c r="G119" s="137" t="s">
        <v>1644</v>
      </c>
      <c r="H119" s="138">
        <v>446</v>
      </c>
      <c r="I119" s="92">
        <f t="shared" si="16"/>
        <v>0.73274771955618101</v>
      </c>
      <c r="J119" s="95">
        <v>0.99980444681799596</v>
      </c>
      <c r="K119" s="137">
        <v>0.59860239181244301</v>
      </c>
      <c r="L119" s="137">
        <v>0.465690992294366</v>
      </c>
      <c r="M119" s="137">
        <v>0.79796949108955795</v>
      </c>
      <c r="N119" s="136">
        <v>1</v>
      </c>
      <c r="O119" s="154">
        <v>43968</v>
      </c>
      <c r="P119" s="98">
        <f t="shared" si="21"/>
        <v>0</v>
      </c>
      <c r="Q119" s="111">
        <v>0</v>
      </c>
      <c r="R119" s="111">
        <v>1.65</v>
      </c>
      <c r="S119" s="111">
        <v>1.87</v>
      </c>
      <c r="T119" s="112" t="s">
        <v>48</v>
      </c>
      <c r="U119" s="137" t="s">
        <v>1645</v>
      </c>
      <c r="V119" s="136" t="s">
        <v>1646</v>
      </c>
      <c r="W119" s="69">
        <v>239</v>
      </c>
      <c r="X119" s="69">
        <v>1</v>
      </c>
      <c r="Y119" s="69">
        <v>2</v>
      </c>
      <c r="AA119" t="s">
        <v>4551</v>
      </c>
      <c r="AB119" t="s">
        <v>87</v>
      </c>
      <c r="AC119" t="s">
        <v>223</v>
      </c>
      <c r="AD119" t="s">
        <v>4720</v>
      </c>
      <c r="AE119" t="s">
        <v>4353</v>
      </c>
      <c r="AF119" t="s">
        <v>4506</v>
      </c>
      <c r="AG119" t="s">
        <v>4353</v>
      </c>
      <c r="AH119" t="s">
        <v>4506</v>
      </c>
      <c r="AI119" t="s">
        <v>4353</v>
      </c>
      <c r="AJ119" t="s">
        <v>4506</v>
      </c>
      <c r="AK119" t="s">
        <v>4519</v>
      </c>
      <c r="AL119" t="s">
        <v>4552</v>
      </c>
      <c r="AM119" t="s">
        <v>4592</v>
      </c>
      <c r="AN119" t="s">
        <v>4650</v>
      </c>
      <c r="AO119" s="134">
        <v>110.247004608295</v>
      </c>
      <c r="AP119" s="135">
        <v>111.855822550832</v>
      </c>
      <c r="AQ119">
        <v>0.43438077634011102</v>
      </c>
      <c r="AR119" s="136">
        <v>1.22365988909427</v>
      </c>
      <c r="AS119">
        <v>7.03142329020333</v>
      </c>
    </row>
    <row r="120" spans="1:45" customFormat="1" ht="61">
      <c r="A120" s="65">
        <v>681</v>
      </c>
      <c r="B120" s="69" t="s">
        <v>1871</v>
      </c>
      <c r="C120" s="69" t="s">
        <v>45</v>
      </c>
      <c r="D120" s="31">
        <f t="shared" si="19"/>
        <v>4</v>
      </c>
      <c r="E120" s="69" t="s">
        <v>46</v>
      </c>
      <c r="F120" s="31">
        <f t="shared" si="20"/>
        <v>6</v>
      </c>
      <c r="G120" s="147" t="s">
        <v>1872</v>
      </c>
      <c r="H120" s="138">
        <v>28</v>
      </c>
      <c r="I120" s="92">
        <f t="shared" si="16"/>
        <v>0.79000249115554144</v>
      </c>
      <c r="J120" s="95">
        <v>0.89818680049290101</v>
      </c>
      <c r="K120" s="137">
        <v>0.58777757502191397</v>
      </c>
      <c r="L120" s="137">
        <v>0.68181818181818199</v>
      </c>
      <c r="M120" s="137">
        <v>0.44671666482751199</v>
      </c>
      <c r="N120" s="136">
        <v>0</v>
      </c>
      <c r="O120" s="154">
        <v>43968</v>
      </c>
      <c r="P120" s="98">
        <f t="shared" si="21"/>
        <v>0</v>
      </c>
      <c r="Q120" s="111">
        <v>0</v>
      </c>
      <c r="R120" s="111">
        <v>0</v>
      </c>
      <c r="S120" s="111">
        <v>0</v>
      </c>
      <c r="T120" s="112" t="s">
        <v>48</v>
      </c>
      <c r="U120" s="169" t="s">
        <v>1873</v>
      </c>
      <c r="V120" s="137" t="s">
        <v>1874</v>
      </c>
      <c r="W120" s="69">
        <v>85</v>
      </c>
      <c r="X120" s="147">
        <v>2</v>
      </c>
      <c r="Y120" s="147">
        <v>15</v>
      </c>
      <c r="Z120" s="69"/>
      <c r="AA120" t="s">
        <v>4603</v>
      </c>
      <c r="AB120" t="s">
        <v>51</v>
      </c>
      <c r="AC120" t="s">
        <v>223</v>
      </c>
      <c r="AD120" t="s">
        <v>4693</v>
      </c>
      <c r="AE120" t="s">
        <v>4513</v>
      </c>
      <c r="AF120" t="s">
        <v>4711</v>
      </c>
      <c r="AG120" t="s">
        <v>4353</v>
      </c>
      <c r="AH120" t="s">
        <v>4506</v>
      </c>
      <c r="AI120" t="s">
        <v>4353</v>
      </c>
      <c r="AJ120" t="s">
        <v>4506</v>
      </c>
      <c r="AK120" t="s">
        <v>4519</v>
      </c>
      <c r="AL120" t="s">
        <v>4519</v>
      </c>
      <c r="AM120" t="s">
        <v>4528</v>
      </c>
      <c r="AN120" t="s">
        <v>4529</v>
      </c>
      <c r="AO120" s="134">
        <v>110.322878228782</v>
      </c>
      <c r="AP120" s="135">
        <v>111.855822550832</v>
      </c>
      <c r="AQ120">
        <v>0.43438077634011102</v>
      </c>
      <c r="AR120" s="136">
        <v>1.22365988909427</v>
      </c>
      <c r="AS120">
        <v>7.03142329020333</v>
      </c>
    </row>
    <row r="121" spans="1:45" customFormat="1" ht="60">
      <c r="A121">
        <v>983</v>
      </c>
      <c r="B121" s="72" t="s">
        <v>2638</v>
      </c>
      <c r="C121" s="87" t="s">
        <v>45</v>
      </c>
      <c r="D121" s="31">
        <f t="shared" si="19"/>
        <v>4</v>
      </c>
      <c r="E121" s="87" t="s">
        <v>80</v>
      </c>
      <c r="F121" s="31">
        <f t="shared" si="20"/>
        <v>4</v>
      </c>
      <c r="G121" s="85" t="s">
        <v>2648</v>
      </c>
      <c r="H121" s="81">
        <f>LEN(U121)</f>
        <v>94</v>
      </c>
      <c r="I121" s="92">
        <f t="shared" si="16"/>
        <v>0.36670540201380741</v>
      </c>
      <c r="J121" s="93">
        <v>5.1592622209432802E-2</v>
      </c>
      <c r="K121" s="102">
        <v>0.69480519480519498</v>
      </c>
      <c r="L121" s="102">
        <v>0.68181818181818199</v>
      </c>
      <c r="M121" s="102">
        <v>0.71428571428571397</v>
      </c>
      <c r="N121" s="31">
        <v>1</v>
      </c>
      <c r="O121" s="99">
        <v>43965</v>
      </c>
      <c r="P121" s="98">
        <f t="shared" si="21"/>
        <v>0</v>
      </c>
      <c r="Q121" s="124"/>
      <c r="R121" s="124"/>
      <c r="S121" s="124"/>
      <c r="T121" s="170" t="s">
        <v>48</v>
      </c>
      <c r="U121" s="86" t="s">
        <v>2663</v>
      </c>
      <c r="V121" s="109" t="s">
        <v>2664</v>
      </c>
      <c r="W121" s="83">
        <f>LEN(V121)</f>
        <v>55</v>
      </c>
      <c r="X121" s="121">
        <v>0</v>
      </c>
      <c r="Y121" s="121">
        <v>4</v>
      </c>
      <c r="Z121" s="65"/>
      <c r="AA121" t="s">
        <v>4522</v>
      </c>
      <c r="AB121" t="s">
        <v>51</v>
      </c>
      <c r="AC121" t="s">
        <v>223</v>
      </c>
      <c r="AD121" t="s">
        <v>4721</v>
      </c>
      <c r="AE121" t="s">
        <v>4513</v>
      </c>
      <c r="AF121" t="s">
        <v>4651</v>
      </c>
      <c r="AG121" t="s">
        <v>4353</v>
      </c>
      <c r="AH121" t="s">
        <v>4506</v>
      </c>
      <c r="AI121" t="s">
        <v>4353</v>
      </c>
      <c r="AJ121" t="s">
        <v>4506</v>
      </c>
      <c r="AK121" t="s">
        <v>4518</v>
      </c>
      <c r="AL121" t="s">
        <v>4519</v>
      </c>
      <c r="AM121" t="s">
        <v>4715</v>
      </c>
      <c r="AN121" t="s">
        <v>4722</v>
      </c>
      <c r="AO121" s="134">
        <v>110.337950138504</v>
      </c>
      <c r="AP121" s="135">
        <v>111.855822550832</v>
      </c>
      <c r="AQ121">
        <v>0.43438077634011102</v>
      </c>
      <c r="AR121" s="136">
        <v>1.22365988909427</v>
      </c>
      <c r="AS121">
        <v>7.03142329020333</v>
      </c>
    </row>
    <row r="122" spans="1:45" customFormat="1" ht="46">
      <c r="A122" s="65">
        <v>788</v>
      </c>
      <c r="B122" s="69" t="s">
        <v>2147</v>
      </c>
      <c r="C122" s="69" t="s">
        <v>45</v>
      </c>
      <c r="D122" s="31">
        <f t="shared" si="19"/>
        <v>4</v>
      </c>
      <c r="E122" s="69" t="s">
        <v>221</v>
      </c>
      <c r="F122" s="31">
        <f t="shared" si="20"/>
        <v>2</v>
      </c>
      <c r="G122" s="152" t="s">
        <v>2151</v>
      </c>
      <c r="H122" s="138">
        <v>48</v>
      </c>
      <c r="I122" s="92">
        <f t="shared" si="16"/>
        <v>0.62080153468898247</v>
      </c>
      <c r="J122" s="95">
        <v>0.491603069377965</v>
      </c>
      <c r="K122" s="137">
        <v>0.76918779643582302</v>
      </c>
      <c r="L122" s="137">
        <v>0.75</v>
      </c>
      <c r="M122" s="137">
        <v>0.79796949108955795</v>
      </c>
      <c r="N122" s="136">
        <v>1</v>
      </c>
      <c r="O122" s="154">
        <v>43957</v>
      </c>
      <c r="P122" s="98">
        <f t="shared" si="21"/>
        <v>0</v>
      </c>
      <c r="Q122" s="111">
        <v>0</v>
      </c>
      <c r="R122" s="111">
        <v>0</v>
      </c>
      <c r="S122" s="111">
        <v>0</v>
      </c>
      <c r="T122" s="112" t="s">
        <v>48</v>
      </c>
      <c r="U122" s="137" t="s">
        <v>2152</v>
      </c>
      <c r="V122" s="137" t="s">
        <v>2153</v>
      </c>
      <c r="W122" s="69">
        <v>60</v>
      </c>
      <c r="X122" s="152">
        <v>1</v>
      </c>
      <c r="Y122" s="152">
        <v>2</v>
      </c>
      <c r="Z122" s="69"/>
      <c r="AA122" t="s">
        <v>4653</v>
      </c>
      <c r="AB122" t="s">
        <v>71</v>
      </c>
      <c r="AC122" t="s">
        <v>4353</v>
      </c>
      <c r="AD122" t="s">
        <v>4506</v>
      </c>
      <c r="AE122" t="s">
        <v>223</v>
      </c>
      <c r="AF122" t="s">
        <v>4684</v>
      </c>
      <c r="AG122" t="s">
        <v>4513</v>
      </c>
      <c r="AH122" t="s">
        <v>4723</v>
      </c>
      <c r="AI122" t="s">
        <v>4515</v>
      </c>
      <c r="AJ122" t="s">
        <v>4724</v>
      </c>
      <c r="AK122" t="s">
        <v>4518</v>
      </c>
      <c r="AL122" t="s">
        <v>4519</v>
      </c>
      <c r="AM122" t="s">
        <v>4520</v>
      </c>
      <c r="AN122" t="s">
        <v>4521</v>
      </c>
      <c r="AO122" s="134">
        <v>110.22550831792999</v>
      </c>
      <c r="AP122" s="135">
        <v>111.883008356546</v>
      </c>
      <c r="AQ122">
        <v>0.436397400185701</v>
      </c>
      <c r="AR122" s="136">
        <v>1.2246982358403</v>
      </c>
      <c r="AS122">
        <v>7.0482822655524604</v>
      </c>
    </row>
    <row r="123" spans="1:45" customFormat="1" ht="121">
      <c r="A123" s="65">
        <v>224</v>
      </c>
      <c r="B123" s="69" t="s">
        <v>589</v>
      </c>
      <c r="C123" s="69" t="s">
        <v>59</v>
      </c>
      <c r="D123" s="31">
        <f t="shared" si="19"/>
        <v>5</v>
      </c>
      <c r="E123" s="69" t="s">
        <v>46</v>
      </c>
      <c r="F123" s="31">
        <f t="shared" si="20"/>
        <v>6</v>
      </c>
      <c r="G123" s="153" t="s">
        <v>683</v>
      </c>
      <c r="H123" s="138">
        <v>232</v>
      </c>
      <c r="I123" s="92">
        <f t="shared" si="16"/>
        <v>0.34090965352451302</v>
      </c>
      <c r="J123" s="95">
        <v>1.1252308440568E-6</v>
      </c>
      <c r="K123" s="137">
        <v>0.75194805194805203</v>
      </c>
      <c r="L123" s="137">
        <v>0.68181818181818199</v>
      </c>
      <c r="M123" s="137">
        <v>0.85714285714285698</v>
      </c>
      <c r="N123" s="136">
        <v>0</v>
      </c>
      <c r="O123" s="154">
        <v>43957</v>
      </c>
      <c r="P123" s="98">
        <f t="shared" si="21"/>
        <v>0</v>
      </c>
      <c r="Q123" s="107">
        <v>0</v>
      </c>
      <c r="R123" s="107">
        <v>8.25</v>
      </c>
      <c r="S123" s="107">
        <v>0</v>
      </c>
      <c r="T123" s="108" t="s">
        <v>48</v>
      </c>
      <c r="U123" s="137" t="s">
        <v>684</v>
      </c>
      <c r="V123" s="137" t="s">
        <v>685</v>
      </c>
      <c r="W123" s="69">
        <v>176</v>
      </c>
      <c r="X123" s="69">
        <v>1</v>
      </c>
      <c r="Y123" s="69">
        <v>1</v>
      </c>
      <c r="AA123" t="s">
        <v>4603</v>
      </c>
      <c r="AB123" t="s">
        <v>51</v>
      </c>
      <c r="AC123" t="s">
        <v>223</v>
      </c>
      <c r="AD123" t="s">
        <v>4725</v>
      </c>
      <c r="AE123" t="s">
        <v>4513</v>
      </c>
      <c r="AF123" t="s">
        <v>4726</v>
      </c>
      <c r="AG123" t="s">
        <v>4515</v>
      </c>
      <c r="AH123" t="s">
        <v>4727</v>
      </c>
      <c r="AI123" t="s">
        <v>4353</v>
      </c>
      <c r="AJ123" t="s">
        <v>4506</v>
      </c>
      <c r="AK123" t="s">
        <v>4518</v>
      </c>
      <c r="AL123" t="s">
        <v>4519</v>
      </c>
      <c r="AM123" t="s">
        <v>4715</v>
      </c>
      <c r="AN123" t="s">
        <v>4722</v>
      </c>
      <c r="AO123" s="134">
        <v>110.283071230342</v>
      </c>
      <c r="AP123" s="135">
        <v>111.883008356546</v>
      </c>
      <c r="AQ123">
        <v>0.436397400185701</v>
      </c>
      <c r="AR123" s="136">
        <v>1.2246982358403</v>
      </c>
      <c r="AS123">
        <v>7.0482822655524604</v>
      </c>
    </row>
    <row r="124" spans="1:45" customFormat="1" ht="61">
      <c r="A124">
        <v>698</v>
      </c>
      <c r="B124" s="69" t="s">
        <v>1913</v>
      </c>
      <c r="C124" s="69" t="s">
        <v>45</v>
      </c>
      <c r="D124" s="31">
        <f t="shared" si="19"/>
        <v>4</v>
      </c>
      <c r="E124" s="69" t="s">
        <v>221</v>
      </c>
      <c r="F124" s="31">
        <f t="shared" si="20"/>
        <v>2</v>
      </c>
      <c r="G124" s="147" t="s">
        <v>1920</v>
      </c>
      <c r="H124" s="138">
        <v>99</v>
      </c>
      <c r="I124" s="92">
        <f t="shared" si="16"/>
        <v>0.25623487458113026</v>
      </c>
      <c r="J124" s="95">
        <v>2.0965763845748301E-4</v>
      </c>
      <c r="K124" s="137">
        <v>0.62654385135010504</v>
      </c>
      <c r="L124" s="137">
        <v>0.51226009152380303</v>
      </c>
      <c r="M124" s="137">
        <v>0.79796949108955795</v>
      </c>
      <c r="N124" s="136">
        <v>1</v>
      </c>
      <c r="O124" s="154">
        <v>43956</v>
      </c>
      <c r="P124" s="98">
        <f t="shared" si="21"/>
        <v>1</v>
      </c>
      <c r="Q124" s="111">
        <v>0</v>
      </c>
      <c r="R124" s="111">
        <v>0</v>
      </c>
      <c r="S124" s="111">
        <v>0</v>
      </c>
      <c r="T124" s="112" t="s">
        <v>73</v>
      </c>
      <c r="U124" s="137" t="s">
        <v>1921</v>
      </c>
      <c r="V124" s="137" t="s">
        <v>1922</v>
      </c>
      <c r="W124" s="69">
        <v>76</v>
      </c>
      <c r="X124" s="147">
        <v>1</v>
      </c>
      <c r="Y124" s="147">
        <v>2</v>
      </c>
      <c r="Z124" s="69"/>
      <c r="AA124" t="s">
        <v>4728</v>
      </c>
      <c r="AB124" t="s">
        <v>51</v>
      </c>
      <c r="AC124" t="s">
        <v>4353</v>
      </c>
      <c r="AD124" t="s">
        <v>4506</v>
      </c>
      <c r="AE124" t="s">
        <v>4515</v>
      </c>
      <c r="AF124" t="s">
        <v>4729</v>
      </c>
      <c r="AG124" t="s">
        <v>223</v>
      </c>
      <c r="AH124" t="s">
        <v>4639</v>
      </c>
      <c r="AI124" t="s">
        <v>4353</v>
      </c>
      <c r="AJ124" t="s">
        <v>4506</v>
      </c>
      <c r="AK124" t="s">
        <v>4519</v>
      </c>
      <c r="AL124" t="s">
        <v>4519</v>
      </c>
      <c r="AM124" t="s">
        <v>4562</v>
      </c>
      <c r="AN124" t="s">
        <v>4563</v>
      </c>
      <c r="AO124" s="134">
        <v>110.29351851851899</v>
      </c>
      <c r="AP124" s="135">
        <v>111.883008356546</v>
      </c>
      <c r="AQ124">
        <v>0.436397400185701</v>
      </c>
      <c r="AR124" s="136">
        <v>1.2246982358403</v>
      </c>
      <c r="AS124">
        <v>7.0482822655524604</v>
      </c>
    </row>
    <row r="125" spans="1:45" customFormat="1" ht="46">
      <c r="A125" s="65">
        <v>789</v>
      </c>
      <c r="B125" s="69" t="s">
        <v>2147</v>
      </c>
      <c r="C125" s="69" t="s">
        <v>45</v>
      </c>
      <c r="D125" s="31">
        <f t="shared" si="19"/>
        <v>4</v>
      </c>
      <c r="E125" s="69" t="s">
        <v>221</v>
      </c>
      <c r="F125" s="31">
        <f t="shared" si="20"/>
        <v>2</v>
      </c>
      <c r="G125" s="147" t="s">
        <v>2154</v>
      </c>
      <c r="H125" s="138">
        <v>48</v>
      </c>
      <c r="I125" s="92">
        <f t="shared" si="16"/>
        <v>0.76151401724045553</v>
      </c>
      <c r="J125" s="95">
        <v>0.77302803448091095</v>
      </c>
      <c r="K125" s="137">
        <v>0.71002915755524698</v>
      </c>
      <c r="L125" s="137">
        <v>0.75</v>
      </c>
      <c r="M125" s="137">
        <v>0.65007289388811795</v>
      </c>
      <c r="N125" s="136">
        <v>1</v>
      </c>
      <c r="O125" s="154">
        <v>43953</v>
      </c>
      <c r="P125" s="98">
        <f t="shared" si="21"/>
        <v>0</v>
      </c>
      <c r="Q125" s="111">
        <v>0</v>
      </c>
      <c r="R125" s="111">
        <v>3.3</v>
      </c>
      <c r="S125" s="111">
        <v>0</v>
      </c>
      <c r="T125" s="112" t="s">
        <v>48</v>
      </c>
      <c r="U125" s="137" t="s">
        <v>2155</v>
      </c>
      <c r="V125" s="137" t="s">
        <v>2153</v>
      </c>
      <c r="W125" s="69">
        <v>60</v>
      </c>
      <c r="X125" s="147">
        <v>1</v>
      </c>
      <c r="Y125" s="147">
        <v>6</v>
      </c>
      <c r="Z125" s="69"/>
      <c r="AA125" t="s">
        <v>4543</v>
      </c>
      <c r="AB125" t="s">
        <v>71</v>
      </c>
      <c r="AC125" t="s">
        <v>4353</v>
      </c>
      <c r="AD125" t="s">
        <v>4506</v>
      </c>
      <c r="AE125" t="s">
        <v>223</v>
      </c>
      <c r="AF125" t="s">
        <v>4684</v>
      </c>
      <c r="AG125" t="s">
        <v>4513</v>
      </c>
      <c r="AH125" t="s">
        <v>4723</v>
      </c>
      <c r="AI125" t="s">
        <v>4515</v>
      </c>
      <c r="AJ125" t="s">
        <v>4724</v>
      </c>
      <c r="AK125" t="s">
        <v>4518</v>
      </c>
      <c r="AL125" t="s">
        <v>4552</v>
      </c>
      <c r="AM125" t="s">
        <v>4510</v>
      </c>
      <c r="AN125" t="s">
        <v>4553</v>
      </c>
      <c r="AO125" s="134">
        <v>110.35125115848</v>
      </c>
      <c r="AP125" s="135">
        <v>111.883008356546</v>
      </c>
      <c r="AQ125">
        <v>0.436397400185701</v>
      </c>
      <c r="AR125" s="136">
        <v>1.2246982358403</v>
      </c>
      <c r="AS125">
        <v>7.0482822655524604</v>
      </c>
    </row>
    <row r="126" spans="1:45" customFormat="1" ht="121">
      <c r="A126">
        <v>775</v>
      </c>
      <c r="B126" s="69" t="s">
        <v>2098</v>
      </c>
      <c r="C126" s="69" t="s">
        <v>45</v>
      </c>
      <c r="D126" s="31">
        <f t="shared" si="19"/>
        <v>4</v>
      </c>
      <c r="E126" s="69" t="s">
        <v>4422</v>
      </c>
      <c r="F126" s="31">
        <f t="shared" si="20"/>
        <v>9</v>
      </c>
      <c r="G126" s="137" t="s">
        <v>2114</v>
      </c>
      <c r="H126" s="138">
        <v>193</v>
      </c>
      <c r="I126" s="92">
        <f t="shared" si="16"/>
        <v>0.7528143670887415</v>
      </c>
      <c r="J126" s="95">
        <v>0.99336864265367997</v>
      </c>
      <c r="K126" s="137">
        <v>0.567385212469529</v>
      </c>
      <c r="L126" s="137">
        <v>0.51226009152380303</v>
      </c>
      <c r="M126" s="137">
        <v>0.65007289388811795</v>
      </c>
      <c r="N126" s="136">
        <v>1</v>
      </c>
      <c r="O126" s="154">
        <v>43952</v>
      </c>
      <c r="P126" s="98">
        <f t="shared" si="21"/>
        <v>2</v>
      </c>
      <c r="Q126" s="107">
        <v>2.5499999999999998</v>
      </c>
      <c r="R126" s="107">
        <v>1.65</v>
      </c>
      <c r="S126" s="107">
        <v>0</v>
      </c>
      <c r="T126" s="108" t="s">
        <v>64</v>
      </c>
      <c r="U126" s="137" t="s">
        <v>2115</v>
      </c>
      <c r="V126" s="137" t="s">
        <v>2116</v>
      </c>
      <c r="W126" s="69">
        <v>158</v>
      </c>
      <c r="X126" s="69">
        <v>1</v>
      </c>
      <c r="Y126" s="69">
        <v>6</v>
      </c>
      <c r="Z126" s="69"/>
      <c r="AA126" t="s">
        <v>4730</v>
      </c>
      <c r="AB126" t="s">
        <v>51</v>
      </c>
      <c r="AC126" t="s">
        <v>223</v>
      </c>
      <c r="AD126" t="s">
        <v>4536</v>
      </c>
      <c r="AE126" t="s">
        <v>4513</v>
      </c>
      <c r="AF126" t="s">
        <v>4731</v>
      </c>
      <c r="AG126" t="s">
        <v>4515</v>
      </c>
      <c r="AH126" t="s">
        <v>4535</v>
      </c>
      <c r="AI126" t="s">
        <v>4353</v>
      </c>
      <c r="AJ126" t="s">
        <v>4506</v>
      </c>
      <c r="AK126" t="s">
        <v>4519</v>
      </c>
      <c r="AL126" t="s">
        <v>4519</v>
      </c>
      <c r="AM126" t="s">
        <v>4528</v>
      </c>
      <c r="AN126" t="s">
        <v>4529</v>
      </c>
      <c r="AO126" s="134">
        <v>110.27458256029701</v>
      </c>
      <c r="AP126" s="135">
        <v>111.883008356546</v>
      </c>
      <c r="AQ126">
        <v>0.436397400185701</v>
      </c>
      <c r="AR126" s="136">
        <v>1.2246982358403</v>
      </c>
      <c r="AS126">
        <v>7.0482822655524604</v>
      </c>
    </row>
    <row r="127" spans="1:45" customFormat="1" ht="60">
      <c r="A127" s="65">
        <v>984</v>
      </c>
      <c r="B127" s="72" t="s">
        <v>2638</v>
      </c>
      <c r="C127" s="87" t="s">
        <v>45</v>
      </c>
      <c r="D127" s="31">
        <f t="shared" si="19"/>
        <v>4</v>
      </c>
      <c r="E127" s="87" t="s">
        <v>80</v>
      </c>
      <c r="F127" s="31">
        <f t="shared" si="20"/>
        <v>4</v>
      </c>
      <c r="G127" s="85" t="s">
        <v>2665</v>
      </c>
      <c r="H127" s="81">
        <f>LEN(U127)</f>
        <v>109</v>
      </c>
      <c r="I127" s="92">
        <f t="shared" si="16"/>
        <v>0.42190807178156331</v>
      </c>
      <c r="J127" s="93">
        <v>1.8816143563126699E-2</v>
      </c>
      <c r="K127" s="102">
        <v>0.83785714285714297</v>
      </c>
      <c r="L127" s="102">
        <v>0.82499999999999996</v>
      </c>
      <c r="M127" s="102">
        <v>0.85714285714285698</v>
      </c>
      <c r="N127" s="31">
        <v>1</v>
      </c>
      <c r="O127" s="97">
        <v>43949</v>
      </c>
      <c r="P127" s="98">
        <f t="shared" si="21"/>
        <v>0</v>
      </c>
      <c r="Q127" s="124"/>
      <c r="R127" s="124"/>
      <c r="S127" s="124"/>
      <c r="T127" s="170" t="s">
        <v>48</v>
      </c>
      <c r="U127" s="85" t="s">
        <v>2666</v>
      </c>
      <c r="V127" s="109" t="s">
        <v>2667</v>
      </c>
      <c r="W127" s="83">
        <f>LEN(V127)</f>
        <v>78</v>
      </c>
      <c r="X127" s="30">
        <v>0</v>
      </c>
      <c r="Y127" s="30">
        <v>1</v>
      </c>
      <c r="Z127" s="65"/>
      <c r="AA127" t="s">
        <v>4522</v>
      </c>
      <c r="AB127" t="s">
        <v>51</v>
      </c>
      <c r="AC127" t="s">
        <v>223</v>
      </c>
      <c r="AD127" t="s">
        <v>4631</v>
      </c>
      <c r="AE127" t="s">
        <v>4513</v>
      </c>
      <c r="AF127" t="s">
        <v>4645</v>
      </c>
      <c r="AG127" t="s">
        <v>223</v>
      </c>
      <c r="AH127" t="s">
        <v>4631</v>
      </c>
      <c r="AI127" t="s">
        <v>4353</v>
      </c>
      <c r="AJ127" t="s">
        <v>4506</v>
      </c>
      <c r="AK127" t="s">
        <v>4519</v>
      </c>
      <c r="AL127" t="s">
        <v>4519</v>
      </c>
      <c r="AM127" t="s">
        <v>4715</v>
      </c>
      <c r="AN127" t="s">
        <v>4716</v>
      </c>
      <c r="AO127" s="134">
        <v>110.27576601671301</v>
      </c>
      <c r="AP127" s="135">
        <v>111.91985088536801</v>
      </c>
      <c r="AQ127">
        <v>0.43802423112767902</v>
      </c>
      <c r="AR127" s="136">
        <v>1.2255358807082899</v>
      </c>
      <c r="AS127">
        <v>7.0698974836905899</v>
      </c>
    </row>
    <row r="128" spans="1:45" customFormat="1" ht="91">
      <c r="A128">
        <v>1074</v>
      </c>
      <c r="B128" s="69" t="s">
        <v>2916</v>
      </c>
      <c r="C128" s="69" t="s">
        <v>45</v>
      </c>
      <c r="D128" s="31">
        <f t="shared" si="19"/>
        <v>4</v>
      </c>
      <c r="E128" s="69" t="s">
        <v>664</v>
      </c>
      <c r="F128" s="31">
        <f t="shared" si="20"/>
        <v>1</v>
      </c>
      <c r="G128" s="139" t="s">
        <v>2920</v>
      </c>
      <c r="H128" s="138">
        <v>65</v>
      </c>
      <c r="I128" s="92">
        <f t="shared" si="16"/>
        <v>0.41250072472535787</v>
      </c>
      <c r="J128" s="95">
        <v>1.44945071578473E-6</v>
      </c>
      <c r="K128" s="137">
        <v>0.89500000000000002</v>
      </c>
      <c r="L128" s="137">
        <v>0.82499999999999996</v>
      </c>
      <c r="M128" s="137">
        <v>1</v>
      </c>
      <c r="N128" s="136">
        <v>1</v>
      </c>
      <c r="O128" s="157">
        <v>43949</v>
      </c>
      <c r="P128" s="98">
        <f t="shared" si="21"/>
        <v>0</v>
      </c>
      <c r="Q128" s="113">
        <v>0</v>
      </c>
      <c r="R128" s="113">
        <v>1.65</v>
      </c>
      <c r="S128" s="113">
        <v>1.87</v>
      </c>
      <c r="T128" s="119" t="s">
        <v>48</v>
      </c>
      <c r="U128" s="89" t="s">
        <v>2921</v>
      </c>
      <c r="V128" s="172" t="s">
        <v>2922</v>
      </c>
      <c r="W128" s="69">
        <v>125</v>
      </c>
      <c r="X128" s="69">
        <v>1</v>
      </c>
      <c r="Y128" s="69">
        <v>0</v>
      </c>
      <c r="Z128" s="69"/>
      <c r="AA128" t="s">
        <v>4543</v>
      </c>
      <c r="AB128" t="s">
        <v>51</v>
      </c>
      <c r="AC128" t="s">
        <v>223</v>
      </c>
      <c r="AD128" t="s">
        <v>4675</v>
      </c>
      <c r="AE128" t="s">
        <v>4515</v>
      </c>
      <c r="AF128" t="s">
        <v>4684</v>
      </c>
      <c r="AG128" t="s">
        <v>4353</v>
      </c>
      <c r="AH128" t="s">
        <v>4506</v>
      </c>
      <c r="AI128" t="s">
        <v>4353</v>
      </c>
      <c r="AJ128" t="s">
        <v>4506</v>
      </c>
      <c r="AK128" t="s">
        <v>4519</v>
      </c>
      <c r="AL128" t="s">
        <v>4519</v>
      </c>
      <c r="AM128" t="s">
        <v>4528</v>
      </c>
      <c r="AN128" t="s">
        <v>4529</v>
      </c>
      <c r="AO128" s="134">
        <v>110.317843866171</v>
      </c>
      <c r="AP128" s="135">
        <v>111.91985088536801</v>
      </c>
      <c r="AQ128">
        <v>0.43802423112767902</v>
      </c>
      <c r="AR128" s="136">
        <v>1.2255358807082899</v>
      </c>
      <c r="AS128">
        <v>7.0698974836905899</v>
      </c>
    </row>
    <row r="129" spans="1:45" customFormat="1" ht="76">
      <c r="A129" s="65">
        <v>225</v>
      </c>
      <c r="B129" s="69" t="s">
        <v>589</v>
      </c>
      <c r="C129" s="69" t="s">
        <v>45</v>
      </c>
      <c r="D129" s="31">
        <f t="shared" si="19"/>
        <v>4</v>
      </c>
      <c r="E129" s="69" t="s">
        <v>46</v>
      </c>
      <c r="F129" s="31">
        <f t="shared" si="20"/>
        <v>6</v>
      </c>
      <c r="G129" s="153" t="s">
        <v>686</v>
      </c>
      <c r="H129" s="138">
        <v>55</v>
      </c>
      <c r="I129" s="92">
        <f t="shared" si="16"/>
        <v>0.47587337026677246</v>
      </c>
      <c r="J129" s="95">
        <v>0.12674674053354501</v>
      </c>
      <c r="K129" s="137">
        <v>0.81418779643582295</v>
      </c>
      <c r="L129" s="137">
        <v>0.82499999999999996</v>
      </c>
      <c r="M129" s="137">
        <v>0.79796949108955795</v>
      </c>
      <c r="N129" s="136">
        <v>0</v>
      </c>
      <c r="O129" s="154">
        <v>43947</v>
      </c>
      <c r="P129" s="98">
        <f t="shared" si="21"/>
        <v>0</v>
      </c>
      <c r="Q129" s="111">
        <v>0</v>
      </c>
      <c r="R129" s="111">
        <v>0</v>
      </c>
      <c r="S129" s="111">
        <v>0</v>
      </c>
      <c r="T129" s="112" t="s">
        <v>48</v>
      </c>
      <c r="U129" s="137" t="s">
        <v>687</v>
      </c>
      <c r="V129" s="137" t="s">
        <v>688</v>
      </c>
      <c r="W129" s="69">
        <v>46</v>
      </c>
      <c r="X129" s="69">
        <v>1</v>
      </c>
      <c r="Y129" s="69">
        <v>2</v>
      </c>
      <c r="AA129" t="s">
        <v>4543</v>
      </c>
      <c r="AB129" t="s">
        <v>4732</v>
      </c>
      <c r="AC129" t="s">
        <v>223</v>
      </c>
      <c r="AD129" t="s">
        <v>4554</v>
      </c>
      <c r="AE129" t="s">
        <v>223</v>
      </c>
      <c r="AF129" t="s">
        <v>4554</v>
      </c>
      <c r="AG129" t="s">
        <v>223</v>
      </c>
      <c r="AH129" t="s">
        <v>4554</v>
      </c>
      <c r="AI129" t="s">
        <v>4353</v>
      </c>
      <c r="AJ129" t="s">
        <v>4506</v>
      </c>
      <c r="AK129" t="s">
        <v>4518</v>
      </c>
      <c r="AL129" t="s">
        <v>4519</v>
      </c>
      <c r="AM129" t="s">
        <v>4510</v>
      </c>
      <c r="AN129" t="s">
        <v>4523</v>
      </c>
      <c r="AO129" s="134">
        <v>110.369302325581</v>
      </c>
      <c r="AP129" s="135">
        <v>111.980410447761</v>
      </c>
      <c r="AQ129">
        <v>0.43656716417910402</v>
      </c>
      <c r="AR129" s="136">
        <v>1.22574626865672</v>
      </c>
      <c r="AS129">
        <v>7.0634328358209002</v>
      </c>
    </row>
    <row r="130" spans="1:45" customFormat="1" ht="121">
      <c r="A130">
        <v>890</v>
      </c>
      <c r="B130" s="69" t="s">
        <v>2418</v>
      </c>
      <c r="C130" s="69" t="s">
        <v>45</v>
      </c>
      <c r="D130" s="31">
        <f t="shared" si="19"/>
        <v>4</v>
      </c>
      <c r="E130" s="69" t="s">
        <v>46</v>
      </c>
      <c r="F130" s="31">
        <f t="shared" si="20"/>
        <v>6</v>
      </c>
      <c r="G130" s="137" t="s">
        <v>2425</v>
      </c>
      <c r="H130" s="138">
        <v>103</v>
      </c>
      <c r="I130" s="92">
        <f t="shared" si="16"/>
        <v>0.23284554194951149</v>
      </c>
      <c r="J130" s="95">
        <v>9.1604656971000496E-8</v>
      </c>
      <c r="K130" s="137">
        <v>0.59860239181244301</v>
      </c>
      <c r="L130" s="137">
        <v>0.465690992294366</v>
      </c>
      <c r="M130" s="137">
        <v>0.79796949108955795</v>
      </c>
      <c r="N130" s="136">
        <v>1</v>
      </c>
      <c r="O130" s="154">
        <v>43947</v>
      </c>
      <c r="P130" s="98">
        <f t="shared" si="21"/>
        <v>2</v>
      </c>
      <c r="Q130" s="111">
        <v>0</v>
      </c>
      <c r="R130" s="111">
        <v>0</v>
      </c>
      <c r="S130" s="111">
        <v>0</v>
      </c>
      <c r="T130" s="112" t="s">
        <v>64</v>
      </c>
      <c r="U130" s="137" t="s">
        <v>2426</v>
      </c>
      <c r="V130" s="137" t="s">
        <v>4437</v>
      </c>
      <c r="W130" s="69">
        <v>159</v>
      </c>
      <c r="X130" s="69">
        <v>1</v>
      </c>
      <c r="Y130" s="69">
        <v>2</v>
      </c>
      <c r="Z130" s="69"/>
      <c r="AA130" t="s">
        <v>4636</v>
      </c>
      <c r="AB130" t="s">
        <v>51</v>
      </c>
      <c r="AC130" t="s">
        <v>4353</v>
      </c>
      <c r="AD130" t="s">
        <v>4506</v>
      </c>
      <c r="AE130" t="s">
        <v>4515</v>
      </c>
      <c r="AF130" t="s">
        <v>4705</v>
      </c>
      <c r="AG130" t="s">
        <v>223</v>
      </c>
      <c r="AH130" t="s">
        <v>4637</v>
      </c>
      <c r="AI130" t="s">
        <v>4353</v>
      </c>
      <c r="AJ130" t="s">
        <v>4506</v>
      </c>
      <c r="AK130" t="s">
        <v>4519</v>
      </c>
      <c r="AL130" t="s">
        <v>4519</v>
      </c>
      <c r="AM130" t="s">
        <v>4528</v>
      </c>
      <c r="AN130" t="s">
        <v>4529</v>
      </c>
      <c r="AO130" s="134">
        <v>110.376163873371</v>
      </c>
      <c r="AP130" s="135">
        <v>111.980410447761</v>
      </c>
      <c r="AQ130">
        <v>0.43656716417910402</v>
      </c>
      <c r="AR130" s="136">
        <v>1.22574626865672</v>
      </c>
      <c r="AS130">
        <v>7.0634328358209002</v>
      </c>
    </row>
    <row r="131" spans="1:45" customFormat="1" ht="91">
      <c r="A131">
        <v>226</v>
      </c>
      <c r="B131" s="69" t="s">
        <v>589</v>
      </c>
      <c r="C131" s="69" t="s">
        <v>45</v>
      </c>
      <c r="D131" s="31">
        <f t="shared" si="19"/>
        <v>4</v>
      </c>
      <c r="E131" s="69" t="s">
        <v>46</v>
      </c>
      <c r="F131" s="31">
        <f t="shared" si="20"/>
        <v>6</v>
      </c>
      <c r="G131" s="147" t="s">
        <v>689</v>
      </c>
      <c r="H131" s="138">
        <v>68</v>
      </c>
      <c r="I131" s="92">
        <f t="shared" si="16"/>
        <v>0.39683799266117803</v>
      </c>
      <c r="J131" s="95">
        <v>4.3675985322356101E-2</v>
      </c>
      <c r="K131" s="137">
        <v>0.51680274886598299</v>
      </c>
      <c r="L131" s="137">
        <v>0.75</v>
      </c>
      <c r="M131" s="137">
        <v>0.16700687216495699</v>
      </c>
      <c r="N131" s="136">
        <v>1</v>
      </c>
      <c r="O131" s="154">
        <v>43938</v>
      </c>
      <c r="P131" s="98">
        <f t="shared" si="21"/>
        <v>1</v>
      </c>
      <c r="Q131" s="111">
        <v>0</v>
      </c>
      <c r="R131" s="111">
        <v>3.3</v>
      </c>
      <c r="S131" s="111">
        <v>3.74</v>
      </c>
      <c r="T131" s="112" t="s">
        <v>73</v>
      </c>
      <c r="U131" s="137" t="s">
        <v>690</v>
      </c>
      <c r="V131" s="137" t="s">
        <v>691</v>
      </c>
      <c r="W131" s="69">
        <v>135</v>
      </c>
      <c r="X131" s="147">
        <v>2</v>
      </c>
      <c r="Y131" s="147">
        <v>34</v>
      </c>
      <c r="AA131" t="s">
        <v>4733</v>
      </c>
      <c r="AB131" t="s">
        <v>51</v>
      </c>
      <c r="AC131" t="s">
        <v>4353</v>
      </c>
      <c r="AD131" t="s">
        <v>4506</v>
      </c>
      <c r="AE131" t="s">
        <v>4515</v>
      </c>
      <c r="AF131" t="s">
        <v>4734</v>
      </c>
      <c r="AG131" t="s">
        <v>223</v>
      </c>
      <c r="AH131" t="s">
        <v>4633</v>
      </c>
      <c r="AI131" t="s">
        <v>4353</v>
      </c>
      <c r="AJ131" t="s">
        <v>4506</v>
      </c>
      <c r="AK131" t="s">
        <v>4519</v>
      </c>
      <c r="AL131" t="s">
        <v>4519</v>
      </c>
      <c r="AM131" t="s">
        <v>4528</v>
      </c>
      <c r="AN131" t="s">
        <v>4529</v>
      </c>
      <c r="AO131" s="134">
        <v>110.415657036347</v>
      </c>
      <c r="AP131" s="135">
        <v>111.980410447761</v>
      </c>
      <c r="AQ131">
        <v>0.43656716417910402</v>
      </c>
      <c r="AR131" s="136">
        <v>1.22574626865672</v>
      </c>
      <c r="AS131">
        <v>7.0634328358209002</v>
      </c>
    </row>
    <row r="132" spans="1:45" customFormat="1" ht="46">
      <c r="A132">
        <v>227</v>
      </c>
      <c r="B132" s="69" t="s">
        <v>589</v>
      </c>
      <c r="C132" s="69" t="s">
        <v>45</v>
      </c>
      <c r="D132" s="31">
        <f t="shared" si="19"/>
        <v>4</v>
      </c>
      <c r="E132" s="69" t="s">
        <v>80</v>
      </c>
      <c r="F132" s="31">
        <f t="shared" si="20"/>
        <v>4</v>
      </c>
      <c r="G132" s="147" t="s">
        <v>159</v>
      </c>
      <c r="H132" s="138">
        <v>57</v>
      </c>
      <c r="I132" s="92">
        <f t="shared" ref="I132:I195" si="22">(J132+L132)/2</f>
        <v>0.4591044088960371</v>
      </c>
      <c r="J132" s="95">
        <v>9.3208817792074294E-2</v>
      </c>
      <c r="K132" s="137">
        <v>0.68119100647006003</v>
      </c>
      <c r="L132" s="137">
        <v>0.82499999999999996</v>
      </c>
      <c r="M132" s="137">
        <v>0.46547751617515098</v>
      </c>
      <c r="N132" s="136">
        <v>1</v>
      </c>
      <c r="O132" s="154">
        <v>43933</v>
      </c>
      <c r="P132" s="98">
        <f t="shared" si="21"/>
        <v>0</v>
      </c>
      <c r="Q132" s="111">
        <v>2.5499999999999998</v>
      </c>
      <c r="R132" s="111">
        <v>1.65</v>
      </c>
      <c r="S132" s="111">
        <v>0</v>
      </c>
      <c r="T132" s="112" t="s">
        <v>48</v>
      </c>
      <c r="U132" s="137" t="s">
        <v>692</v>
      </c>
      <c r="V132" s="137" t="s">
        <v>693</v>
      </c>
      <c r="W132" s="69">
        <v>47</v>
      </c>
      <c r="X132" s="147">
        <v>3</v>
      </c>
      <c r="Y132" s="147">
        <v>14</v>
      </c>
      <c r="AA132" t="s">
        <v>4512</v>
      </c>
      <c r="AB132" t="s">
        <v>358</v>
      </c>
      <c r="AC132" t="s">
        <v>223</v>
      </c>
      <c r="AD132" t="s">
        <v>4648</v>
      </c>
      <c r="AE132" t="s">
        <v>4353</v>
      </c>
      <c r="AF132" t="s">
        <v>4506</v>
      </c>
      <c r="AG132" t="s">
        <v>4353</v>
      </c>
      <c r="AH132" t="s">
        <v>4506</v>
      </c>
      <c r="AI132" t="s">
        <v>4513</v>
      </c>
      <c r="AJ132" t="s">
        <v>4735</v>
      </c>
      <c r="AK132" t="s">
        <v>4518</v>
      </c>
      <c r="AL132" t="s">
        <v>4519</v>
      </c>
      <c r="AM132" t="s">
        <v>4520</v>
      </c>
      <c r="AN132" t="s">
        <v>4521</v>
      </c>
      <c r="AO132" s="134">
        <v>110.465485074627</v>
      </c>
      <c r="AP132" s="135">
        <v>112.005617977528</v>
      </c>
      <c r="AQ132">
        <v>0.43539325842696602</v>
      </c>
      <c r="AR132" s="136">
        <v>1.2247191011236001</v>
      </c>
      <c r="AS132">
        <v>7.06460674157303</v>
      </c>
    </row>
    <row r="133" spans="1:45" customFormat="1" ht="91">
      <c r="A133">
        <v>891</v>
      </c>
      <c r="B133" s="69" t="s">
        <v>2418</v>
      </c>
      <c r="C133" s="69" t="s">
        <v>59</v>
      </c>
      <c r="D133" s="31">
        <f t="shared" si="19"/>
        <v>5</v>
      </c>
      <c r="E133" s="69" t="s">
        <v>46</v>
      </c>
      <c r="F133" s="31">
        <f t="shared" si="20"/>
        <v>6</v>
      </c>
      <c r="G133" s="136" t="s">
        <v>2428</v>
      </c>
      <c r="H133" s="138">
        <v>52</v>
      </c>
      <c r="I133" s="92">
        <f t="shared" si="22"/>
        <v>0.25644333977771061</v>
      </c>
      <c r="J133" s="95">
        <v>6.2658803161819198E-4</v>
      </c>
      <c r="K133" s="137">
        <v>0.60838172305320304</v>
      </c>
      <c r="L133" s="137">
        <v>0.51226009152380303</v>
      </c>
      <c r="M133" s="137">
        <v>0.75256417034730305</v>
      </c>
      <c r="N133" s="136">
        <v>1</v>
      </c>
      <c r="O133" s="154">
        <v>43933</v>
      </c>
      <c r="P133" s="98">
        <f t="shared" si="21"/>
        <v>1</v>
      </c>
      <c r="Q133" s="111">
        <v>0</v>
      </c>
      <c r="R133" s="111">
        <v>0</v>
      </c>
      <c r="S133" s="111">
        <v>0</v>
      </c>
      <c r="T133" s="112" t="s">
        <v>73</v>
      </c>
      <c r="U133" s="137" t="s">
        <v>2429</v>
      </c>
      <c r="V133" s="137" t="s">
        <v>2430</v>
      </c>
      <c r="W133" s="69">
        <v>96</v>
      </c>
      <c r="X133" s="69">
        <v>2</v>
      </c>
      <c r="Y133" s="69">
        <v>3</v>
      </c>
      <c r="Z133" s="69"/>
      <c r="AA133" t="s">
        <v>4564</v>
      </c>
      <c r="AB133" t="s">
        <v>67</v>
      </c>
      <c r="AC133" t="s">
        <v>4353</v>
      </c>
      <c r="AD133" t="s">
        <v>4506</v>
      </c>
      <c r="AE133" t="s">
        <v>4353</v>
      </c>
      <c r="AF133" t="s">
        <v>4506</v>
      </c>
      <c r="AG133" t="s">
        <v>4353</v>
      </c>
      <c r="AH133" t="s">
        <v>4506</v>
      </c>
      <c r="AI133" t="s">
        <v>4353</v>
      </c>
      <c r="AJ133" t="s">
        <v>4506</v>
      </c>
      <c r="AK133" t="s">
        <v>4519</v>
      </c>
      <c r="AL133" t="s">
        <v>4519</v>
      </c>
      <c r="AM133" t="s">
        <v>4528</v>
      </c>
      <c r="AN133" t="s">
        <v>4529</v>
      </c>
      <c r="AO133" s="134">
        <v>110.520074696545</v>
      </c>
      <c r="AP133" s="135">
        <v>112.005617977528</v>
      </c>
      <c r="AQ133">
        <v>0.43539325842696602</v>
      </c>
      <c r="AR133" s="136">
        <v>1.2247191011236001</v>
      </c>
      <c r="AS133">
        <v>7.06460674157303</v>
      </c>
    </row>
    <row r="134" spans="1:45" customFormat="1" ht="106">
      <c r="A134">
        <v>754</v>
      </c>
      <c r="B134" s="69" t="s">
        <v>2053</v>
      </c>
      <c r="C134" s="69" t="s">
        <v>59</v>
      </c>
      <c r="D134" s="31">
        <f t="shared" si="19"/>
        <v>5</v>
      </c>
      <c r="E134" s="69" t="s">
        <v>221</v>
      </c>
      <c r="F134" s="31">
        <f t="shared" si="20"/>
        <v>2</v>
      </c>
      <c r="G134" s="169" t="s">
        <v>2053</v>
      </c>
      <c r="H134" s="138">
        <v>49</v>
      </c>
      <c r="I134" s="92">
        <f t="shared" si="22"/>
        <v>0.3671863594197094</v>
      </c>
      <c r="J134" s="95">
        <v>5.2554537021236802E-2</v>
      </c>
      <c r="K134" s="137">
        <v>0.71011657722983001</v>
      </c>
      <c r="L134" s="137">
        <v>0.68181818181818199</v>
      </c>
      <c r="M134" s="137">
        <v>0.75256417034730305</v>
      </c>
      <c r="N134" s="136">
        <v>1</v>
      </c>
      <c r="O134" s="154">
        <v>43932</v>
      </c>
      <c r="P134" s="98">
        <f t="shared" si="21"/>
        <v>0</v>
      </c>
      <c r="Q134" s="111">
        <v>0</v>
      </c>
      <c r="R134" s="111">
        <v>0</v>
      </c>
      <c r="S134" s="111">
        <v>0</v>
      </c>
      <c r="T134" s="112" t="s">
        <v>48</v>
      </c>
      <c r="U134" s="147" t="s">
        <v>2063</v>
      </c>
      <c r="V134" s="137" t="s">
        <v>2064</v>
      </c>
      <c r="W134" s="69">
        <v>153</v>
      </c>
      <c r="X134" s="171">
        <v>2</v>
      </c>
      <c r="Y134" s="171">
        <v>3</v>
      </c>
      <c r="Z134" s="69"/>
      <c r="AA134" t="s">
        <v>4543</v>
      </c>
      <c r="AB134" t="s">
        <v>4594</v>
      </c>
      <c r="AC134" t="s">
        <v>223</v>
      </c>
      <c r="AD134" t="s">
        <v>4736</v>
      </c>
      <c r="AE134" t="s">
        <v>223</v>
      </c>
      <c r="AF134" t="s">
        <v>4736</v>
      </c>
      <c r="AG134" t="s">
        <v>4353</v>
      </c>
      <c r="AH134" t="s">
        <v>4506</v>
      </c>
      <c r="AI134" t="s">
        <v>4353</v>
      </c>
      <c r="AJ134" t="s">
        <v>4506</v>
      </c>
      <c r="AK134" t="s">
        <v>4519</v>
      </c>
      <c r="AL134" t="s">
        <v>4519</v>
      </c>
      <c r="AM134" t="s">
        <v>4562</v>
      </c>
      <c r="AN134" t="s">
        <v>4563</v>
      </c>
      <c r="AO134" s="134">
        <v>110.571028037383</v>
      </c>
      <c r="AP134" s="135">
        <v>112.005617977528</v>
      </c>
      <c r="AQ134">
        <v>0.43539325842696602</v>
      </c>
      <c r="AR134" s="136">
        <v>1.2247191011236001</v>
      </c>
      <c r="AS134">
        <v>7.06460674157303</v>
      </c>
    </row>
    <row r="135" spans="1:45" customFormat="1" ht="106">
      <c r="A135" s="65">
        <v>653</v>
      </c>
      <c r="B135" s="69" t="s">
        <v>1790</v>
      </c>
      <c r="C135" s="69" t="s">
        <v>45</v>
      </c>
      <c r="D135" s="31">
        <f t="shared" si="19"/>
        <v>4</v>
      </c>
      <c r="E135" s="69" t="s">
        <v>221</v>
      </c>
      <c r="F135" s="31">
        <f t="shared" si="20"/>
        <v>2</v>
      </c>
      <c r="G135" s="137" t="s">
        <v>1794</v>
      </c>
      <c r="H135" s="138">
        <v>56</v>
      </c>
      <c r="I135" s="92">
        <f t="shared" si="22"/>
        <v>0.41250113812897393</v>
      </c>
      <c r="J135" s="95">
        <v>2.2762579479085298E-6</v>
      </c>
      <c r="K135" s="137">
        <v>0.76722468700001201</v>
      </c>
      <c r="L135" s="137">
        <v>0.82499999999999996</v>
      </c>
      <c r="M135" s="137">
        <v>0.68056171750003003</v>
      </c>
      <c r="N135" s="136">
        <v>1</v>
      </c>
      <c r="O135" s="154">
        <v>43932</v>
      </c>
      <c r="P135" s="98">
        <f t="shared" si="21"/>
        <v>0</v>
      </c>
      <c r="Q135" s="111">
        <v>0</v>
      </c>
      <c r="R135" s="111">
        <v>1.65</v>
      </c>
      <c r="S135" s="111">
        <v>0</v>
      </c>
      <c r="T135" s="112" t="s">
        <v>48</v>
      </c>
      <c r="U135" s="137" t="s">
        <v>1795</v>
      </c>
      <c r="V135" s="137" t="s">
        <v>1796</v>
      </c>
      <c r="W135" s="69">
        <v>150</v>
      </c>
      <c r="X135" s="69">
        <v>2</v>
      </c>
      <c r="Y135" s="69">
        <v>5</v>
      </c>
      <c r="Z135" s="69"/>
      <c r="AA135" t="s">
        <v>4556</v>
      </c>
      <c r="AB135" t="s">
        <v>51</v>
      </c>
      <c r="AC135" t="s">
        <v>4353</v>
      </c>
      <c r="AD135" t="s">
        <v>4506</v>
      </c>
      <c r="AE135" t="s">
        <v>4530</v>
      </c>
      <c r="AF135" t="s">
        <v>4531</v>
      </c>
      <c r="AG135" t="s">
        <v>223</v>
      </c>
      <c r="AH135" t="s">
        <v>4533</v>
      </c>
      <c r="AI135" t="s">
        <v>4353</v>
      </c>
      <c r="AJ135" t="s">
        <v>4506</v>
      </c>
      <c r="AK135" t="s">
        <v>4519</v>
      </c>
      <c r="AL135" t="s">
        <v>4552</v>
      </c>
      <c r="AM135" t="s">
        <v>4510</v>
      </c>
      <c r="AN135" t="s">
        <v>4634</v>
      </c>
      <c r="AO135" s="134">
        <v>110.628624883068</v>
      </c>
      <c r="AP135" s="135">
        <v>112.005617977528</v>
      </c>
      <c r="AQ135">
        <v>0.43539325842696602</v>
      </c>
      <c r="AR135" s="136">
        <v>1.2247191011236001</v>
      </c>
      <c r="AS135">
        <v>7.06460674157303</v>
      </c>
    </row>
    <row r="136" spans="1:45" customFormat="1" ht="151">
      <c r="A136" s="65">
        <v>440</v>
      </c>
      <c r="B136" s="69" t="s">
        <v>1222</v>
      </c>
      <c r="C136" s="69" t="s">
        <v>45</v>
      </c>
      <c r="D136" s="31">
        <f t="shared" si="19"/>
        <v>4</v>
      </c>
      <c r="E136" s="69" t="s">
        <v>46</v>
      </c>
      <c r="F136" s="31">
        <f t="shared" si="20"/>
        <v>6</v>
      </c>
      <c r="G136" s="137" t="s">
        <v>4386</v>
      </c>
      <c r="H136" s="138">
        <v>97</v>
      </c>
      <c r="I136" s="92">
        <f t="shared" si="22"/>
        <v>0.41291666438352131</v>
      </c>
      <c r="J136" s="95">
        <v>8.3332876704267399E-4</v>
      </c>
      <c r="K136" s="137">
        <v>0.66642857142857104</v>
      </c>
      <c r="L136" s="137">
        <v>0.82499999999999996</v>
      </c>
      <c r="M136" s="137">
        <v>0.42857142857142899</v>
      </c>
      <c r="N136" s="136">
        <v>1</v>
      </c>
      <c r="O136" s="154">
        <v>43921</v>
      </c>
      <c r="P136" s="98">
        <f t="shared" si="21"/>
        <v>0</v>
      </c>
      <c r="Q136" s="107">
        <v>2.5499999999999998</v>
      </c>
      <c r="R136" s="107">
        <v>0</v>
      </c>
      <c r="S136" s="107">
        <v>0</v>
      </c>
      <c r="T136" s="108" t="s">
        <v>48</v>
      </c>
      <c r="U136" s="137" t="s">
        <v>4387</v>
      </c>
      <c r="V136" s="137" t="s">
        <v>1256</v>
      </c>
      <c r="W136" s="69">
        <v>22</v>
      </c>
      <c r="X136" s="147">
        <v>3</v>
      </c>
      <c r="Y136" s="147">
        <v>16</v>
      </c>
      <c r="AA136" t="s">
        <v>4543</v>
      </c>
      <c r="AB136" t="s">
        <v>4576</v>
      </c>
      <c r="AC136" t="s">
        <v>4353</v>
      </c>
      <c r="AD136" t="s">
        <v>4506</v>
      </c>
      <c r="AE136" t="s">
        <v>223</v>
      </c>
      <c r="AF136" t="s">
        <v>4609</v>
      </c>
      <c r="AG136" t="s">
        <v>223</v>
      </c>
      <c r="AH136" t="s">
        <v>4609</v>
      </c>
      <c r="AI136" t="s">
        <v>4353</v>
      </c>
      <c r="AJ136" t="s">
        <v>4506</v>
      </c>
      <c r="AK136" t="s">
        <v>4519</v>
      </c>
      <c r="AL136" t="s">
        <v>4519</v>
      </c>
      <c r="AM136" t="s">
        <v>4528</v>
      </c>
      <c r="AN136" t="s">
        <v>4529</v>
      </c>
      <c r="AO136" s="134">
        <v>110.64138576779</v>
      </c>
      <c r="AP136" s="135">
        <v>112.14446529080701</v>
      </c>
      <c r="AQ136">
        <v>0.43621013133208297</v>
      </c>
      <c r="AR136" s="136">
        <v>1.22514071294559</v>
      </c>
      <c r="AS136">
        <v>7.0731707317073198</v>
      </c>
    </row>
    <row r="137" spans="1:45" customFormat="1" ht="91">
      <c r="A137" s="65">
        <v>745</v>
      </c>
      <c r="B137" s="69" t="s">
        <v>2015</v>
      </c>
      <c r="C137" s="69" t="s">
        <v>45</v>
      </c>
      <c r="D137" s="31">
        <f t="shared" si="19"/>
        <v>4</v>
      </c>
      <c r="E137" s="69" t="s">
        <v>80</v>
      </c>
      <c r="F137" s="31">
        <f t="shared" si="20"/>
        <v>4</v>
      </c>
      <c r="G137" s="169" t="s">
        <v>2036</v>
      </c>
      <c r="H137" s="138">
        <v>153</v>
      </c>
      <c r="I137" s="92">
        <f t="shared" si="22"/>
        <v>0.41261855899754951</v>
      </c>
      <c r="J137" s="95">
        <v>2.3711799509906799E-4</v>
      </c>
      <c r="K137" s="137">
        <v>0.81418779643582295</v>
      </c>
      <c r="L137" s="137">
        <v>0.82499999999999996</v>
      </c>
      <c r="M137" s="137">
        <v>0.79796949108955795</v>
      </c>
      <c r="N137" s="136">
        <v>1</v>
      </c>
      <c r="O137" s="154">
        <v>43921</v>
      </c>
      <c r="P137" s="98">
        <f t="shared" si="21"/>
        <v>0</v>
      </c>
      <c r="Q137" s="113">
        <v>0</v>
      </c>
      <c r="R137" s="113">
        <v>3.3</v>
      </c>
      <c r="S137" s="113">
        <v>0</v>
      </c>
      <c r="T137" s="114" t="s">
        <v>48</v>
      </c>
      <c r="U137" s="137" t="s">
        <v>2037</v>
      </c>
      <c r="V137" s="137" t="s">
        <v>2038</v>
      </c>
      <c r="W137" s="69">
        <v>38</v>
      </c>
      <c r="X137" s="69">
        <v>1</v>
      </c>
      <c r="Y137" s="69">
        <v>2</v>
      </c>
      <c r="Z137" s="69"/>
      <c r="AA137" t="s">
        <v>4512</v>
      </c>
      <c r="AB137" t="s">
        <v>358</v>
      </c>
      <c r="AC137" t="s">
        <v>223</v>
      </c>
      <c r="AD137" t="s">
        <v>4737</v>
      </c>
      <c r="AE137" t="s">
        <v>4353</v>
      </c>
      <c r="AF137" t="s">
        <v>4506</v>
      </c>
      <c r="AG137" t="s">
        <v>4353</v>
      </c>
      <c r="AH137" t="s">
        <v>4506</v>
      </c>
      <c r="AI137" t="s">
        <v>4515</v>
      </c>
      <c r="AJ137" t="s">
        <v>4646</v>
      </c>
      <c r="AK137" t="s">
        <v>4519</v>
      </c>
      <c r="AL137" t="s">
        <v>4552</v>
      </c>
      <c r="AM137" t="s">
        <v>4520</v>
      </c>
      <c r="AN137" t="s">
        <v>4652</v>
      </c>
      <c r="AO137" s="134">
        <v>110.690721649485</v>
      </c>
      <c r="AP137" s="135">
        <v>112.14446529080701</v>
      </c>
      <c r="AQ137">
        <v>0.43621013133208297</v>
      </c>
      <c r="AR137" s="136">
        <v>1.22514071294559</v>
      </c>
      <c r="AS137">
        <v>7.0731707317073198</v>
      </c>
    </row>
    <row r="138" spans="1:45" s="67" customFormat="1" ht="40" customHeight="1">
      <c r="B138" s="70" t="s">
        <v>2015</v>
      </c>
      <c r="C138" s="148" t="s">
        <v>45</v>
      </c>
      <c r="D138" s="149">
        <v>4</v>
      </c>
      <c r="E138" s="148" t="s">
        <v>80</v>
      </c>
      <c r="F138" s="149">
        <v>4</v>
      </c>
      <c r="G138" s="185" t="s">
        <v>1688</v>
      </c>
      <c r="H138" s="151">
        <v>58</v>
      </c>
      <c r="I138" s="92">
        <f t="shared" si="22"/>
        <v>0.41261855899754951</v>
      </c>
      <c r="J138" s="95">
        <v>2.3711799509906799E-4</v>
      </c>
      <c r="K138" s="163">
        <v>0.79602566813892095</v>
      </c>
      <c r="L138" s="163">
        <v>0.82499999999999996</v>
      </c>
      <c r="M138" s="163">
        <v>0.75256417034730305</v>
      </c>
      <c r="N138" s="164">
        <v>1</v>
      </c>
      <c r="O138" s="165">
        <v>43921</v>
      </c>
      <c r="P138" s="98">
        <v>0</v>
      </c>
      <c r="Q138" s="175"/>
      <c r="R138" s="175"/>
      <c r="S138" s="175"/>
      <c r="T138" s="164"/>
      <c r="U138" s="184" t="s">
        <v>3240</v>
      </c>
      <c r="V138" s="177" t="s">
        <v>2038</v>
      </c>
      <c r="W138" s="148">
        <v>38</v>
      </c>
      <c r="X138" s="148">
        <v>0</v>
      </c>
      <c r="Y138" s="148">
        <v>3</v>
      </c>
      <c r="AO138" s="182">
        <v>110.65103189493399</v>
      </c>
      <c r="AP138" s="183">
        <v>112.14446529080701</v>
      </c>
      <c r="AQ138" s="67">
        <v>0.43621013133208297</v>
      </c>
      <c r="AR138" s="184">
        <v>1.22514071294559</v>
      </c>
      <c r="AS138" s="67">
        <v>7.0731707317073198</v>
      </c>
    </row>
    <row r="139" spans="1:45" customFormat="1" ht="61">
      <c r="A139" s="65">
        <v>589</v>
      </c>
      <c r="B139" s="69" t="s">
        <v>1628</v>
      </c>
      <c r="C139" s="69" t="s">
        <v>45</v>
      </c>
      <c r="D139" s="31">
        <f t="shared" ref="D139:D202" si="23">IF(C139="投诉",4,IF(C139="建议",1,IF(C139="举报",2,IF(C139="求助",3,5))))</f>
        <v>4</v>
      </c>
      <c r="E139" s="69" t="s">
        <v>80</v>
      </c>
      <c r="F139" s="31">
        <f t="shared" ref="F139:F202" si="24">IF(E139="12345app",1,IF(E139="e福州app",2,IF(E139="qq",3,IF(E139="电话",4,IF(E139="短信",5,IF(E139="网站",6,IF(E139="微博",7,IF(E139="微信",8,9))))))))</f>
        <v>4</v>
      </c>
      <c r="G139" s="147" t="s">
        <v>1647</v>
      </c>
      <c r="H139" s="138">
        <v>50</v>
      </c>
      <c r="I139" s="92">
        <f t="shared" si="22"/>
        <v>0.68612040684477904</v>
      </c>
      <c r="J139" s="95">
        <v>0.54724081368955801</v>
      </c>
      <c r="K139" s="137">
        <v>0.83785714285714297</v>
      </c>
      <c r="L139" s="137">
        <v>0.82499999999999996</v>
      </c>
      <c r="M139" s="137">
        <v>0.85714285714285698</v>
      </c>
      <c r="N139" s="136">
        <v>1</v>
      </c>
      <c r="O139" s="154">
        <v>43913</v>
      </c>
      <c r="P139" s="98">
        <f t="shared" ref="P139:P202" si="25">IF(T139="利己",0,IF(T139="生态",2,1))</f>
        <v>0</v>
      </c>
      <c r="Q139" s="111">
        <v>0</v>
      </c>
      <c r="R139" s="111">
        <v>0</v>
      </c>
      <c r="S139" s="111">
        <v>0</v>
      </c>
      <c r="T139" s="112" t="s">
        <v>48</v>
      </c>
      <c r="U139" s="147" t="s">
        <v>1648</v>
      </c>
      <c r="V139" s="137" t="s">
        <v>1649</v>
      </c>
      <c r="W139" s="69">
        <v>77</v>
      </c>
      <c r="X139" s="147">
        <v>2</v>
      </c>
      <c r="Y139" s="147">
        <v>1</v>
      </c>
      <c r="AA139" t="s">
        <v>4522</v>
      </c>
      <c r="AB139" t="s">
        <v>51</v>
      </c>
      <c r="AC139" t="s">
        <v>4353</v>
      </c>
      <c r="AD139" t="s">
        <v>4506</v>
      </c>
      <c r="AE139" t="s">
        <v>4515</v>
      </c>
      <c r="AF139" t="s">
        <v>4531</v>
      </c>
      <c r="AG139" t="s">
        <v>4353</v>
      </c>
      <c r="AH139" t="s">
        <v>4506</v>
      </c>
      <c r="AI139" t="s">
        <v>4353</v>
      </c>
      <c r="AJ139" t="s">
        <v>4506</v>
      </c>
      <c r="AK139" t="s">
        <v>4518</v>
      </c>
      <c r="AL139" t="s">
        <v>4519</v>
      </c>
      <c r="AM139" t="s">
        <v>4520</v>
      </c>
      <c r="AN139" t="s">
        <v>4521</v>
      </c>
      <c r="AO139" s="134">
        <v>110.707981220657</v>
      </c>
      <c r="AP139" s="135">
        <v>112.242481203008</v>
      </c>
      <c r="AQ139">
        <v>0.43609022556390997</v>
      </c>
      <c r="AR139" s="136">
        <v>1.22556390977444</v>
      </c>
      <c r="AS139">
        <v>7.0827067669172896</v>
      </c>
    </row>
    <row r="140" spans="1:45" customFormat="1" ht="45">
      <c r="A140">
        <v>1046</v>
      </c>
      <c r="B140" s="69" t="s">
        <v>2833</v>
      </c>
      <c r="C140" s="69" t="s">
        <v>45</v>
      </c>
      <c r="D140" s="31">
        <f t="shared" si="23"/>
        <v>4</v>
      </c>
      <c r="E140" s="69" t="s">
        <v>80</v>
      </c>
      <c r="F140" s="31">
        <f t="shared" si="24"/>
        <v>4</v>
      </c>
      <c r="G140" s="139" t="s">
        <v>2840</v>
      </c>
      <c r="H140" s="138">
        <v>68</v>
      </c>
      <c r="I140" s="92">
        <f t="shared" si="22"/>
        <v>0.41265180486174419</v>
      </c>
      <c r="J140" s="95">
        <v>3.0360972348841798E-4</v>
      </c>
      <c r="K140" s="137">
        <v>0.79602566813892095</v>
      </c>
      <c r="L140" s="137">
        <v>0.82499999999999996</v>
      </c>
      <c r="M140" s="137">
        <v>0.75256417034730305</v>
      </c>
      <c r="N140" s="136">
        <v>1</v>
      </c>
      <c r="O140" s="157">
        <v>43910</v>
      </c>
      <c r="P140" s="98">
        <f t="shared" si="25"/>
        <v>0</v>
      </c>
      <c r="Q140" s="113">
        <v>0</v>
      </c>
      <c r="R140" s="113">
        <v>0</v>
      </c>
      <c r="S140" s="113">
        <v>0</v>
      </c>
      <c r="T140" s="119" t="s">
        <v>48</v>
      </c>
      <c r="U140" s="89" t="s">
        <v>2841</v>
      </c>
      <c r="V140" s="172" t="s">
        <v>2842</v>
      </c>
      <c r="W140" s="69">
        <v>43</v>
      </c>
      <c r="X140" s="69">
        <v>1</v>
      </c>
      <c r="Y140" s="69">
        <v>3</v>
      </c>
      <c r="Z140" s="69"/>
      <c r="AA140" t="s">
        <v>4512</v>
      </c>
      <c r="AB140" t="s">
        <v>51</v>
      </c>
      <c r="AC140" t="s">
        <v>223</v>
      </c>
      <c r="AD140" t="s">
        <v>4554</v>
      </c>
      <c r="AE140" t="s">
        <v>4515</v>
      </c>
      <c r="AF140" t="s">
        <v>4577</v>
      </c>
      <c r="AG140" t="s">
        <v>4353</v>
      </c>
      <c r="AH140" t="s">
        <v>4506</v>
      </c>
      <c r="AI140" t="s">
        <v>4353</v>
      </c>
      <c r="AJ140" t="s">
        <v>4506</v>
      </c>
      <c r="AK140" t="s">
        <v>4519</v>
      </c>
      <c r="AL140" t="s">
        <v>4519</v>
      </c>
      <c r="AM140" t="s">
        <v>4520</v>
      </c>
      <c r="AN140" t="s">
        <v>4558</v>
      </c>
      <c r="AO140" s="134">
        <v>110.74812030075201</v>
      </c>
      <c r="AP140" s="135">
        <v>112.24835371589801</v>
      </c>
      <c r="AQ140">
        <v>0.436500470366886</v>
      </c>
      <c r="AR140" s="136">
        <v>1.2257761053621801</v>
      </c>
      <c r="AS140">
        <v>7.0865475070555002</v>
      </c>
    </row>
    <row r="141" spans="1:45" customFormat="1" ht="76">
      <c r="A141">
        <v>654</v>
      </c>
      <c r="B141" s="69" t="s">
        <v>1790</v>
      </c>
      <c r="C141" s="69" t="s">
        <v>45</v>
      </c>
      <c r="D141" s="31">
        <f t="shared" si="23"/>
        <v>4</v>
      </c>
      <c r="E141" s="69" t="s">
        <v>80</v>
      </c>
      <c r="F141" s="31">
        <f t="shared" si="24"/>
        <v>4</v>
      </c>
      <c r="G141" s="169" t="s">
        <v>1797</v>
      </c>
      <c r="H141" s="138">
        <v>48</v>
      </c>
      <c r="I141" s="92">
        <f t="shared" si="22"/>
        <v>0.4152596674905159</v>
      </c>
      <c r="J141" s="95">
        <v>5.5193349810318502E-3</v>
      </c>
      <c r="K141" s="137">
        <v>0.79602566813892095</v>
      </c>
      <c r="L141" s="137">
        <v>0.82499999999999996</v>
      </c>
      <c r="M141" s="137">
        <v>0.75256417034730305</v>
      </c>
      <c r="N141" s="136">
        <v>1</v>
      </c>
      <c r="O141" s="154">
        <v>43907</v>
      </c>
      <c r="P141" s="98">
        <f t="shared" si="25"/>
        <v>0</v>
      </c>
      <c r="Q141" s="111">
        <v>2.5499999999999998</v>
      </c>
      <c r="R141" s="111">
        <v>0</v>
      </c>
      <c r="S141" s="111">
        <v>0</v>
      </c>
      <c r="T141" s="112" t="s">
        <v>48</v>
      </c>
      <c r="U141" s="137" t="s">
        <v>1798</v>
      </c>
      <c r="V141" s="137" t="s">
        <v>1799</v>
      </c>
      <c r="W141" s="69">
        <v>106</v>
      </c>
      <c r="X141" s="69">
        <v>1</v>
      </c>
      <c r="Y141" s="69">
        <v>3</v>
      </c>
      <c r="Z141" s="69"/>
      <c r="AA141" t="s">
        <v>4522</v>
      </c>
      <c r="AB141" t="s">
        <v>51</v>
      </c>
      <c r="AC141" t="s">
        <v>4353</v>
      </c>
      <c r="AD141" t="s">
        <v>4506</v>
      </c>
      <c r="AE141" t="s">
        <v>4530</v>
      </c>
      <c r="AF141" t="s">
        <v>4738</v>
      </c>
      <c r="AG141" t="s">
        <v>223</v>
      </c>
      <c r="AH141" t="s">
        <v>4717</v>
      </c>
      <c r="AI141" t="s">
        <v>4353</v>
      </c>
      <c r="AJ141" t="s">
        <v>4506</v>
      </c>
      <c r="AK141" t="s">
        <v>4518</v>
      </c>
      <c r="AL141" t="s">
        <v>4519</v>
      </c>
      <c r="AM141" t="s">
        <v>4520</v>
      </c>
      <c r="AN141" t="s">
        <v>4521</v>
      </c>
      <c r="AO141" s="134">
        <v>110.80714957667</v>
      </c>
      <c r="AP141" s="135">
        <v>112.174199623352</v>
      </c>
      <c r="AQ141">
        <v>0.435969868173258</v>
      </c>
      <c r="AR141" s="136">
        <v>1.2259887005649699</v>
      </c>
      <c r="AS141">
        <v>7.0903954802259896</v>
      </c>
    </row>
    <row r="142" spans="1:45" customFormat="1" ht="136">
      <c r="A142" s="65">
        <v>228</v>
      </c>
      <c r="B142" s="69" t="s">
        <v>589</v>
      </c>
      <c r="C142" s="69" t="s">
        <v>45</v>
      </c>
      <c r="D142" s="31">
        <f t="shared" si="23"/>
        <v>4</v>
      </c>
      <c r="E142" s="69" t="s">
        <v>221</v>
      </c>
      <c r="F142" s="31">
        <f t="shared" si="24"/>
        <v>2</v>
      </c>
      <c r="G142" s="147" t="s">
        <v>694</v>
      </c>
      <c r="H142" s="138">
        <v>164</v>
      </c>
      <c r="I142" s="92">
        <f t="shared" si="22"/>
        <v>0.41363213826934259</v>
      </c>
      <c r="J142" s="95">
        <v>2.2642765386852201E-3</v>
      </c>
      <c r="K142" s="137">
        <v>0.79602566813892095</v>
      </c>
      <c r="L142" s="137">
        <v>0.82499999999999996</v>
      </c>
      <c r="M142" s="137">
        <v>0.75256417034730305</v>
      </c>
      <c r="N142" s="136">
        <v>1</v>
      </c>
      <c r="O142" s="154">
        <v>43904</v>
      </c>
      <c r="P142" s="98">
        <f t="shared" si="25"/>
        <v>1</v>
      </c>
      <c r="Q142" s="111">
        <v>7.65</v>
      </c>
      <c r="R142" s="111">
        <v>1.65</v>
      </c>
      <c r="S142" s="111">
        <v>0</v>
      </c>
      <c r="T142" s="112" t="s">
        <v>73</v>
      </c>
      <c r="U142" s="136" t="s">
        <v>695</v>
      </c>
      <c r="V142" s="137" t="s">
        <v>696</v>
      </c>
      <c r="W142" s="69">
        <v>191</v>
      </c>
      <c r="X142" s="147">
        <v>3</v>
      </c>
      <c r="Y142" s="147">
        <v>3</v>
      </c>
      <c r="AA142" t="s">
        <v>4653</v>
      </c>
      <c r="AB142" t="s">
        <v>87</v>
      </c>
      <c r="AC142" t="s">
        <v>223</v>
      </c>
      <c r="AD142" t="s">
        <v>4739</v>
      </c>
      <c r="AE142" t="s">
        <v>4353</v>
      </c>
      <c r="AF142" t="s">
        <v>4506</v>
      </c>
      <c r="AG142" t="s">
        <v>4353</v>
      </c>
      <c r="AH142" t="s">
        <v>4506</v>
      </c>
      <c r="AI142" t="s">
        <v>4353</v>
      </c>
      <c r="AJ142" t="s">
        <v>4506</v>
      </c>
      <c r="AK142" t="s">
        <v>4518</v>
      </c>
      <c r="AL142" t="s">
        <v>4552</v>
      </c>
      <c r="AM142" t="s">
        <v>4510</v>
      </c>
      <c r="AN142" t="s">
        <v>4553</v>
      </c>
      <c r="AO142" s="134">
        <v>110.75706214689301</v>
      </c>
      <c r="AP142" s="135">
        <v>112.174199623352</v>
      </c>
      <c r="AQ142">
        <v>0.435969868173258</v>
      </c>
      <c r="AR142" s="136">
        <v>1.2259887005649699</v>
      </c>
      <c r="AS142">
        <v>7.0903954802259896</v>
      </c>
    </row>
    <row r="143" spans="1:45" customFormat="1" ht="61">
      <c r="A143">
        <v>1135</v>
      </c>
      <c r="B143" s="69" t="s">
        <v>3082</v>
      </c>
      <c r="C143" s="69" t="s">
        <v>45</v>
      </c>
      <c r="D143" s="31">
        <f t="shared" si="23"/>
        <v>4</v>
      </c>
      <c r="E143" s="69" t="s">
        <v>221</v>
      </c>
      <c r="F143" s="31">
        <f t="shared" si="24"/>
        <v>2</v>
      </c>
      <c r="G143" s="89" t="s">
        <v>3086</v>
      </c>
      <c r="H143" s="138">
        <v>55</v>
      </c>
      <c r="I143" s="92">
        <f t="shared" si="22"/>
        <v>0.38149021758929619</v>
      </c>
      <c r="J143" s="95">
        <v>1.29804351785924E-2</v>
      </c>
      <c r="K143" s="137">
        <v>0.76918779643582302</v>
      </c>
      <c r="L143" s="137">
        <v>0.75</v>
      </c>
      <c r="M143" s="137">
        <v>0.79796949108955795</v>
      </c>
      <c r="N143" s="136">
        <v>1</v>
      </c>
      <c r="O143" s="157">
        <v>43900</v>
      </c>
      <c r="P143" s="98">
        <f t="shared" si="25"/>
        <v>0</v>
      </c>
      <c r="Q143" s="113">
        <v>0</v>
      </c>
      <c r="R143" s="113">
        <v>1.65</v>
      </c>
      <c r="S143" s="113">
        <v>0</v>
      </c>
      <c r="T143" s="119" t="s">
        <v>48</v>
      </c>
      <c r="U143" s="89" t="s">
        <v>3087</v>
      </c>
      <c r="V143" s="172" t="s">
        <v>3088</v>
      </c>
      <c r="W143" s="69">
        <v>69</v>
      </c>
      <c r="X143" s="69">
        <v>1</v>
      </c>
      <c r="Y143" s="69">
        <v>2</v>
      </c>
      <c r="Z143" s="69"/>
      <c r="AA143" t="s">
        <v>4564</v>
      </c>
      <c r="AB143" t="s">
        <v>4732</v>
      </c>
      <c r="AC143" t="s">
        <v>223</v>
      </c>
      <c r="AD143" t="s">
        <v>4631</v>
      </c>
      <c r="AE143" t="s">
        <v>223</v>
      </c>
      <c r="AF143" t="s">
        <v>4631</v>
      </c>
      <c r="AG143" t="s">
        <v>223</v>
      </c>
      <c r="AH143" t="s">
        <v>4631</v>
      </c>
      <c r="AI143" t="s">
        <v>4353</v>
      </c>
      <c r="AJ143" t="s">
        <v>4506</v>
      </c>
      <c r="AK143" t="s">
        <v>4519</v>
      </c>
      <c r="AL143" t="s">
        <v>4740</v>
      </c>
      <c r="AM143" t="s">
        <v>4510</v>
      </c>
      <c r="AN143" t="s">
        <v>4741</v>
      </c>
      <c r="AO143" s="134">
        <v>110.80961357210199</v>
      </c>
      <c r="AP143" s="135">
        <v>112.21489161168699</v>
      </c>
      <c r="AQ143">
        <v>0.43638077285579602</v>
      </c>
      <c r="AR143" s="136">
        <v>1.22620169651272</v>
      </c>
      <c r="AS143">
        <v>7.0951932139491003</v>
      </c>
    </row>
    <row r="144" spans="1:45" customFormat="1" ht="121">
      <c r="A144" s="65">
        <v>892</v>
      </c>
      <c r="B144" s="69" t="s">
        <v>2418</v>
      </c>
      <c r="C144" s="69" t="s">
        <v>119</v>
      </c>
      <c r="D144" s="31">
        <f t="shared" si="23"/>
        <v>1</v>
      </c>
      <c r="E144" s="69" t="s">
        <v>46</v>
      </c>
      <c r="F144" s="31">
        <f t="shared" si="24"/>
        <v>6</v>
      </c>
      <c r="G144" s="136" t="s">
        <v>2431</v>
      </c>
      <c r="H144" s="138">
        <v>209</v>
      </c>
      <c r="I144" s="92">
        <f t="shared" si="22"/>
        <v>0.41262087750016624</v>
      </c>
      <c r="J144" s="95">
        <v>2.4175500033252201E-4</v>
      </c>
      <c r="K144" s="137">
        <v>0.74381421079630905</v>
      </c>
      <c r="L144" s="137">
        <v>0.82499999999999996</v>
      </c>
      <c r="M144" s="137">
        <v>0.62203552699077302</v>
      </c>
      <c r="N144" s="136">
        <v>1</v>
      </c>
      <c r="O144" s="154">
        <v>43883</v>
      </c>
      <c r="P144" s="98">
        <f t="shared" si="25"/>
        <v>1</v>
      </c>
      <c r="Q144" s="111">
        <v>0</v>
      </c>
      <c r="R144" s="111">
        <v>0</v>
      </c>
      <c r="S144" s="111">
        <v>0</v>
      </c>
      <c r="T144" s="112" t="s">
        <v>73</v>
      </c>
      <c r="U144" s="137" t="s">
        <v>4438</v>
      </c>
      <c r="V144" s="137" t="s">
        <v>2433</v>
      </c>
      <c r="W144" s="69">
        <v>90</v>
      </c>
      <c r="X144" s="69">
        <v>2</v>
      </c>
      <c r="Y144" s="69">
        <v>7</v>
      </c>
      <c r="Z144" s="69"/>
      <c r="AA144" t="s">
        <v>4522</v>
      </c>
      <c r="AB144" t="s">
        <v>71</v>
      </c>
      <c r="AC144" t="s">
        <v>4353</v>
      </c>
      <c r="AD144" t="s">
        <v>4506</v>
      </c>
      <c r="AE144" t="s">
        <v>4353</v>
      </c>
      <c r="AF144" t="s">
        <v>4506</v>
      </c>
      <c r="AG144" t="s">
        <v>223</v>
      </c>
      <c r="AH144" t="s">
        <v>4655</v>
      </c>
      <c r="AI144" t="s">
        <v>4353</v>
      </c>
      <c r="AJ144" t="s">
        <v>4506</v>
      </c>
      <c r="AK144" t="s">
        <v>4519</v>
      </c>
      <c r="AL144" t="s">
        <v>4552</v>
      </c>
      <c r="AM144" t="s">
        <v>4562</v>
      </c>
      <c r="AN144" t="s">
        <v>4742</v>
      </c>
      <c r="AO144" s="134">
        <v>110.71698113207501</v>
      </c>
      <c r="AP144" s="135">
        <v>112.155807365439</v>
      </c>
      <c r="AQ144">
        <v>0.43626062322946202</v>
      </c>
      <c r="AR144" s="136">
        <v>1.2247403210576</v>
      </c>
      <c r="AS144">
        <v>7.0613786591123704</v>
      </c>
    </row>
    <row r="145" spans="1:45" customFormat="1" ht="136">
      <c r="A145" s="65">
        <v>1105</v>
      </c>
      <c r="B145" s="69" t="s">
        <v>3001</v>
      </c>
      <c r="C145" s="69" t="s">
        <v>45</v>
      </c>
      <c r="D145" s="31">
        <f t="shared" si="23"/>
        <v>4</v>
      </c>
      <c r="E145" s="69" t="s">
        <v>46</v>
      </c>
      <c r="F145" s="31">
        <f t="shared" si="24"/>
        <v>6</v>
      </c>
      <c r="G145" s="89" t="s">
        <v>3002</v>
      </c>
      <c r="H145" s="138">
        <v>48</v>
      </c>
      <c r="I145" s="92">
        <f t="shared" si="22"/>
        <v>0.3755581821796487</v>
      </c>
      <c r="J145" s="95">
        <v>1.1163643592974101E-3</v>
      </c>
      <c r="K145" s="137">
        <v>0.65205133627784295</v>
      </c>
      <c r="L145" s="137">
        <v>0.75</v>
      </c>
      <c r="M145" s="137">
        <v>0.50512834069460699</v>
      </c>
      <c r="N145" s="136">
        <v>1</v>
      </c>
      <c r="O145" s="157">
        <v>43852</v>
      </c>
      <c r="P145" s="98">
        <f t="shared" si="25"/>
        <v>0</v>
      </c>
      <c r="Q145" s="113">
        <v>7.65</v>
      </c>
      <c r="R145" s="113">
        <v>0</v>
      </c>
      <c r="S145" s="113">
        <v>0</v>
      </c>
      <c r="T145" s="119" t="s">
        <v>48</v>
      </c>
      <c r="U145" s="89" t="s">
        <v>3003</v>
      </c>
      <c r="V145" s="172" t="s">
        <v>3004</v>
      </c>
      <c r="W145" s="69">
        <v>205</v>
      </c>
      <c r="X145" s="69">
        <v>1</v>
      </c>
      <c r="Y145" s="69">
        <v>12</v>
      </c>
      <c r="Z145" s="69"/>
      <c r="AA145" t="s">
        <v>4653</v>
      </c>
      <c r="AB145" t="s">
        <v>51</v>
      </c>
      <c r="AC145" t="s">
        <v>4515</v>
      </c>
      <c r="AD145" t="s">
        <v>4743</v>
      </c>
      <c r="AE145" t="s">
        <v>4513</v>
      </c>
      <c r="AF145" t="s">
        <v>4744</v>
      </c>
      <c r="AG145" t="s">
        <v>223</v>
      </c>
      <c r="AH145" t="s">
        <v>4745</v>
      </c>
      <c r="AI145" t="s">
        <v>4353</v>
      </c>
      <c r="AJ145" t="s">
        <v>4506</v>
      </c>
      <c r="AK145" t="s">
        <v>4519</v>
      </c>
      <c r="AL145" t="s">
        <v>4519</v>
      </c>
      <c r="AM145" t="s">
        <v>4520</v>
      </c>
      <c r="AN145" t="s">
        <v>4558</v>
      </c>
      <c r="AO145" s="134">
        <v>110.77620396600599</v>
      </c>
      <c r="AP145" s="135">
        <v>112.06805293005699</v>
      </c>
      <c r="AQ145">
        <v>0.43667296786389398</v>
      </c>
      <c r="AR145" s="136">
        <v>1.2249527410207901</v>
      </c>
      <c r="AS145">
        <v>7.05671077504726</v>
      </c>
    </row>
    <row r="146" spans="1:45" customFormat="1" ht="136">
      <c r="A146">
        <v>699</v>
      </c>
      <c r="B146" s="69" t="s">
        <v>1913</v>
      </c>
      <c r="C146" s="69" t="s">
        <v>45</v>
      </c>
      <c r="D146" s="31">
        <f t="shared" si="23"/>
        <v>4</v>
      </c>
      <c r="E146" s="69" t="s">
        <v>221</v>
      </c>
      <c r="F146" s="31">
        <f t="shared" si="24"/>
        <v>2</v>
      </c>
      <c r="G146" s="169" t="s">
        <v>1923</v>
      </c>
      <c r="H146" s="138">
        <v>140</v>
      </c>
      <c r="I146" s="92">
        <f t="shared" si="22"/>
        <v>0.34090909422131438</v>
      </c>
      <c r="J146" s="95">
        <v>6.6244467689102699E-9</v>
      </c>
      <c r="K146" s="137">
        <v>0.43438013627365202</v>
      </c>
      <c r="L146" s="137">
        <v>0.68181818181818199</v>
      </c>
      <c r="M146" s="137">
        <v>6.3223067956857101E-2</v>
      </c>
      <c r="N146" s="136">
        <v>1</v>
      </c>
      <c r="O146" s="154">
        <v>43849</v>
      </c>
      <c r="P146" s="98">
        <f t="shared" si="25"/>
        <v>1</v>
      </c>
      <c r="Q146" s="111">
        <v>0</v>
      </c>
      <c r="R146" s="111">
        <v>0</v>
      </c>
      <c r="S146" s="111">
        <v>0</v>
      </c>
      <c r="T146" s="112" t="s">
        <v>73</v>
      </c>
      <c r="U146" s="137" t="s">
        <v>1924</v>
      </c>
      <c r="V146" s="137" t="s">
        <v>1925</v>
      </c>
      <c r="W146" s="69">
        <v>197</v>
      </c>
      <c r="X146" s="69">
        <v>2</v>
      </c>
      <c r="Y146" s="69">
        <v>43</v>
      </c>
      <c r="Z146" s="69"/>
      <c r="AA146" t="s">
        <v>4564</v>
      </c>
      <c r="AB146" t="s">
        <v>4597</v>
      </c>
      <c r="AC146" t="s">
        <v>223</v>
      </c>
      <c r="AD146" t="s">
        <v>4746</v>
      </c>
      <c r="AE146" t="s">
        <v>4353</v>
      </c>
      <c r="AF146" t="s">
        <v>4506</v>
      </c>
      <c r="AG146" t="s">
        <v>223</v>
      </c>
      <c r="AH146" t="s">
        <v>4746</v>
      </c>
      <c r="AI146" t="s">
        <v>4353</v>
      </c>
      <c r="AJ146" t="s">
        <v>4506</v>
      </c>
      <c r="AK146" t="s">
        <v>4518</v>
      </c>
      <c r="AL146" t="s">
        <v>4519</v>
      </c>
      <c r="AM146" t="s">
        <v>4528</v>
      </c>
      <c r="AN146" t="s">
        <v>4624</v>
      </c>
      <c r="AO146" s="134">
        <v>110.748582230624</v>
      </c>
      <c r="AP146" s="135">
        <v>112.10217596972601</v>
      </c>
      <c r="AQ146">
        <v>0.43519394512772003</v>
      </c>
      <c r="AR146" s="136">
        <v>1.2242194891201501</v>
      </c>
      <c r="AS146">
        <v>7.0529801324503296</v>
      </c>
    </row>
    <row r="147" spans="1:45" customFormat="1" ht="76">
      <c r="A147" s="65">
        <v>729</v>
      </c>
      <c r="B147" s="69" t="s">
        <v>1989</v>
      </c>
      <c r="C147" s="69" t="s">
        <v>45</v>
      </c>
      <c r="D147" s="31">
        <f t="shared" si="23"/>
        <v>4</v>
      </c>
      <c r="E147" s="69" t="s">
        <v>221</v>
      </c>
      <c r="F147" s="31">
        <f t="shared" si="24"/>
        <v>2</v>
      </c>
      <c r="G147" s="137" t="s">
        <v>1999</v>
      </c>
      <c r="H147" s="138">
        <v>76</v>
      </c>
      <c r="I147" s="92">
        <f t="shared" si="22"/>
        <v>0.34443348198826385</v>
      </c>
      <c r="J147" s="95">
        <v>7.0487821583457002E-3</v>
      </c>
      <c r="K147" s="137">
        <v>0.71011657722983001</v>
      </c>
      <c r="L147" s="137">
        <v>0.68181818181818199</v>
      </c>
      <c r="M147" s="137">
        <v>0.75256417034730305</v>
      </c>
      <c r="N147" s="136">
        <v>1</v>
      </c>
      <c r="O147" s="154">
        <v>43842</v>
      </c>
      <c r="P147" s="98">
        <f t="shared" si="25"/>
        <v>0</v>
      </c>
      <c r="Q147" s="113">
        <v>2.5499999999999998</v>
      </c>
      <c r="R147" s="113">
        <v>3.3</v>
      </c>
      <c r="S147" s="113">
        <v>0</v>
      </c>
      <c r="T147" s="114" t="s">
        <v>48</v>
      </c>
      <c r="U147" s="137" t="s">
        <v>2000</v>
      </c>
      <c r="V147" s="137" t="s">
        <v>2001</v>
      </c>
      <c r="W147" s="69">
        <v>98</v>
      </c>
      <c r="X147" s="69">
        <v>2</v>
      </c>
      <c r="Y147" s="69">
        <v>3</v>
      </c>
      <c r="Z147" s="69"/>
      <c r="AA147" t="s">
        <v>4564</v>
      </c>
      <c r="AB147" t="s">
        <v>51</v>
      </c>
      <c r="AC147" t="s">
        <v>223</v>
      </c>
      <c r="AD147" t="s">
        <v>4747</v>
      </c>
      <c r="AE147" t="s">
        <v>4515</v>
      </c>
      <c r="AF147" t="s">
        <v>4748</v>
      </c>
      <c r="AG147" t="s">
        <v>4353</v>
      </c>
      <c r="AH147" t="s">
        <v>4506</v>
      </c>
      <c r="AI147" t="s">
        <v>4353</v>
      </c>
      <c r="AJ147" t="s">
        <v>4506</v>
      </c>
      <c r="AK147" t="s">
        <v>4519</v>
      </c>
      <c r="AL147" t="s">
        <v>4519</v>
      </c>
      <c r="AM147" t="s">
        <v>4520</v>
      </c>
      <c r="AN147" t="s">
        <v>4558</v>
      </c>
      <c r="AO147" s="134">
        <v>110.82403027436099</v>
      </c>
      <c r="AP147" s="135">
        <v>112.301617507136</v>
      </c>
      <c r="AQ147">
        <v>0.43577545195052297</v>
      </c>
      <c r="AR147" s="136">
        <v>1.2254995242626101</v>
      </c>
      <c r="AS147">
        <v>7.0647002854424397</v>
      </c>
    </row>
    <row r="148" spans="1:45" customFormat="1" ht="76">
      <c r="A148">
        <v>655</v>
      </c>
      <c r="B148" s="69" t="s">
        <v>1790</v>
      </c>
      <c r="C148" s="69" t="s">
        <v>45</v>
      </c>
      <c r="D148" s="31">
        <f t="shared" si="23"/>
        <v>4</v>
      </c>
      <c r="E148" s="69" t="s">
        <v>46</v>
      </c>
      <c r="F148" s="31">
        <f t="shared" si="24"/>
        <v>6</v>
      </c>
      <c r="G148" s="169" t="s">
        <v>1800</v>
      </c>
      <c r="H148" s="138">
        <v>31</v>
      </c>
      <c r="I148" s="92">
        <f t="shared" si="22"/>
        <v>0.37664987374640513</v>
      </c>
      <c r="J148" s="95">
        <v>3.2997474928102601E-3</v>
      </c>
      <c r="K148" s="137">
        <v>0.75102566813892102</v>
      </c>
      <c r="L148" s="137">
        <v>0.75</v>
      </c>
      <c r="M148" s="137">
        <v>0.75256417034730305</v>
      </c>
      <c r="N148" s="136">
        <v>1</v>
      </c>
      <c r="O148" s="154">
        <v>43842</v>
      </c>
      <c r="P148" s="98">
        <f t="shared" si="25"/>
        <v>2</v>
      </c>
      <c r="Q148" s="111">
        <v>2.5499999999999998</v>
      </c>
      <c r="R148" s="111">
        <v>1.65</v>
      </c>
      <c r="S148" s="111">
        <v>0</v>
      </c>
      <c r="T148" s="112" t="s">
        <v>64</v>
      </c>
      <c r="U148" s="169" t="s">
        <v>1801</v>
      </c>
      <c r="V148" s="137" t="s">
        <v>1802</v>
      </c>
      <c r="W148" s="69">
        <v>92</v>
      </c>
      <c r="X148" s="69">
        <v>1</v>
      </c>
      <c r="Y148" s="69">
        <v>3</v>
      </c>
      <c r="Z148" s="69"/>
      <c r="AA148" t="s">
        <v>4564</v>
      </c>
      <c r="AB148" t="s">
        <v>51</v>
      </c>
      <c r="AC148" t="s">
        <v>4353</v>
      </c>
      <c r="AD148" t="s">
        <v>4506</v>
      </c>
      <c r="AE148" t="s">
        <v>4513</v>
      </c>
      <c r="AF148" t="s">
        <v>4620</v>
      </c>
      <c r="AG148" t="s">
        <v>4353</v>
      </c>
      <c r="AH148" t="s">
        <v>4506</v>
      </c>
      <c r="AI148" t="s">
        <v>4353</v>
      </c>
      <c r="AJ148" t="s">
        <v>4506</v>
      </c>
      <c r="AK148" t="s">
        <v>4519</v>
      </c>
      <c r="AL148" t="s">
        <v>4519</v>
      </c>
      <c r="AM148" t="s">
        <v>4510</v>
      </c>
      <c r="AN148" t="s">
        <v>4550</v>
      </c>
      <c r="AO148" s="134">
        <v>110.857007575758</v>
      </c>
      <c r="AP148" s="135">
        <v>112.301617507136</v>
      </c>
      <c r="AQ148">
        <v>0.43577545195052297</v>
      </c>
      <c r="AR148" s="136">
        <v>1.2254995242626101</v>
      </c>
      <c r="AS148">
        <v>7.0647002854424397</v>
      </c>
    </row>
    <row r="149" spans="1:45" customFormat="1" ht="91">
      <c r="A149" s="65">
        <v>441</v>
      </c>
      <c r="B149" s="69" t="s">
        <v>1222</v>
      </c>
      <c r="C149" s="69" t="s">
        <v>45</v>
      </c>
      <c r="D149" s="31">
        <f t="shared" si="23"/>
        <v>4</v>
      </c>
      <c r="E149" s="69" t="s">
        <v>46</v>
      </c>
      <c r="F149" s="31">
        <f t="shared" si="24"/>
        <v>6</v>
      </c>
      <c r="G149" s="137" t="s">
        <v>1257</v>
      </c>
      <c r="H149" s="138">
        <v>170</v>
      </c>
      <c r="I149" s="92">
        <f t="shared" si="22"/>
        <v>0.37500018741957686</v>
      </c>
      <c r="J149" s="95">
        <v>3.7483915371616698E-7</v>
      </c>
      <c r="K149" s="137">
        <v>0.72222468700001197</v>
      </c>
      <c r="L149" s="137">
        <v>0.75</v>
      </c>
      <c r="M149" s="137">
        <v>0.68056171750003003</v>
      </c>
      <c r="N149" s="136">
        <v>0</v>
      </c>
      <c r="O149" s="154">
        <v>43840</v>
      </c>
      <c r="P149" s="98">
        <f t="shared" si="25"/>
        <v>0</v>
      </c>
      <c r="Q149" s="111">
        <v>0</v>
      </c>
      <c r="R149" s="111">
        <v>1.65</v>
      </c>
      <c r="S149" s="111">
        <v>1.87</v>
      </c>
      <c r="T149" s="112" t="s">
        <v>48</v>
      </c>
      <c r="U149" s="137" t="s">
        <v>1258</v>
      </c>
      <c r="V149" s="137" t="s">
        <v>1259</v>
      </c>
      <c r="W149" s="69">
        <v>33</v>
      </c>
      <c r="X149" s="69">
        <v>1</v>
      </c>
      <c r="Y149" s="69">
        <v>5</v>
      </c>
      <c r="AA149" t="s">
        <v>4603</v>
      </c>
      <c r="AB149" t="s">
        <v>87</v>
      </c>
      <c r="AC149" t="s">
        <v>4513</v>
      </c>
      <c r="AD149" t="s">
        <v>4514</v>
      </c>
      <c r="AE149" t="s">
        <v>223</v>
      </c>
      <c r="AF149" t="s">
        <v>4517</v>
      </c>
      <c r="AG149" t="s">
        <v>223</v>
      </c>
      <c r="AH149" t="s">
        <v>4517</v>
      </c>
      <c r="AI149" t="s">
        <v>4353</v>
      </c>
      <c r="AJ149" t="s">
        <v>4506</v>
      </c>
      <c r="AK149" t="s">
        <v>4518</v>
      </c>
      <c r="AL149" t="s">
        <v>4519</v>
      </c>
      <c r="AM149" t="s">
        <v>4528</v>
      </c>
      <c r="AN149" t="s">
        <v>4624</v>
      </c>
      <c r="AO149" s="134">
        <v>110.800947867299</v>
      </c>
      <c r="AP149" s="135">
        <v>112.281904761905</v>
      </c>
      <c r="AQ149">
        <v>0.43523809523809498</v>
      </c>
      <c r="AR149" s="136">
        <v>1.22571428571429</v>
      </c>
      <c r="AS149">
        <v>7.06666666666667</v>
      </c>
    </row>
    <row r="150" spans="1:45" customFormat="1" ht="46">
      <c r="A150">
        <v>790</v>
      </c>
      <c r="B150" s="69" t="s">
        <v>2147</v>
      </c>
      <c r="C150" s="69" t="s">
        <v>45</v>
      </c>
      <c r="D150" s="31">
        <f t="shared" si="23"/>
        <v>4</v>
      </c>
      <c r="E150" s="69" t="s">
        <v>80</v>
      </c>
      <c r="F150" s="31">
        <f t="shared" si="24"/>
        <v>4</v>
      </c>
      <c r="G150" s="152" t="s">
        <v>305</v>
      </c>
      <c r="H150" s="138">
        <v>38</v>
      </c>
      <c r="I150" s="92">
        <f t="shared" si="22"/>
        <v>0.42258668376851122</v>
      </c>
      <c r="J150" s="95">
        <v>2.01733675370225E-2</v>
      </c>
      <c r="K150" s="137">
        <v>0.78071428571428603</v>
      </c>
      <c r="L150" s="137">
        <v>0.82499999999999996</v>
      </c>
      <c r="M150" s="137">
        <v>0.71428571428571397</v>
      </c>
      <c r="N150" s="136">
        <v>1</v>
      </c>
      <c r="O150" s="154">
        <v>43839</v>
      </c>
      <c r="P150" s="98">
        <f t="shared" si="25"/>
        <v>0</v>
      </c>
      <c r="Q150" s="111">
        <v>2.5499999999999998</v>
      </c>
      <c r="R150" s="111">
        <v>0</v>
      </c>
      <c r="S150" s="111">
        <v>0</v>
      </c>
      <c r="T150" s="112" t="s">
        <v>48</v>
      </c>
      <c r="U150" s="137" t="s">
        <v>2156</v>
      </c>
      <c r="V150" s="137" t="s">
        <v>2157</v>
      </c>
      <c r="W150" s="69">
        <v>57</v>
      </c>
      <c r="X150" s="171">
        <v>1</v>
      </c>
      <c r="Y150" s="171">
        <v>4</v>
      </c>
      <c r="Z150" s="69"/>
      <c r="AA150" t="s">
        <v>4551</v>
      </c>
      <c r="AB150" t="s">
        <v>71</v>
      </c>
      <c r="AC150" t="s">
        <v>4353</v>
      </c>
      <c r="AD150" t="s">
        <v>4506</v>
      </c>
      <c r="AE150" t="s">
        <v>223</v>
      </c>
      <c r="AF150" t="s">
        <v>4614</v>
      </c>
      <c r="AG150" t="s">
        <v>4515</v>
      </c>
      <c r="AH150" t="s">
        <v>4749</v>
      </c>
      <c r="AI150" t="s">
        <v>4353</v>
      </c>
      <c r="AJ150" t="s">
        <v>4506</v>
      </c>
      <c r="AK150" t="s">
        <v>4518</v>
      </c>
      <c r="AL150" t="s">
        <v>4552</v>
      </c>
      <c r="AM150" t="s">
        <v>4510</v>
      </c>
      <c r="AN150" t="s">
        <v>4553</v>
      </c>
      <c r="AO150" s="134">
        <v>110.870018975332</v>
      </c>
      <c r="AP150" s="135">
        <v>112.320305052431</v>
      </c>
      <c r="AQ150">
        <v>0.43469971401334601</v>
      </c>
      <c r="AR150" s="136">
        <v>1.22592945662536</v>
      </c>
      <c r="AS150">
        <v>7.0676835081029497</v>
      </c>
    </row>
    <row r="151" spans="1:45" customFormat="1" ht="91">
      <c r="A151">
        <v>842</v>
      </c>
      <c r="B151" s="69" t="s">
        <v>2287</v>
      </c>
      <c r="C151" s="69" t="s">
        <v>45</v>
      </c>
      <c r="D151" s="31">
        <f t="shared" si="23"/>
        <v>4</v>
      </c>
      <c r="E151" s="69" t="s">
        <v>221</v>
      </c>
      <c r="F151" s="31">
        <f t="shared" si="24"/>
        <v>2</v>
      </c>
      <c r="G151" s="137" t="s">
        <v>2288</v>
      </c>
      <c r="H151" s="138">
        <v>173</v>
      </c>
      <c r="I151" s="92">
        <f t="shared" si="22"/>
        <v>0.37500000033467107</v>
      </c>
      <c r="J151" s="95">
        <v>6.6934213727165601E-10</v>
      </c>
      <c r="K151" s="137">
        <v>0.66047858340826304</v>
      </c>
      <c r="L151" s="137">
        <v>0.75</v>
      </c>
      <c r="M151" s="137">
        <v>0.526196458520657</v>
      </c>
      <c r="N151" s="136">
        <v>1</v>
      </c>
      <c r="O151" s="154">
        <v>43839</v>
      </c>
      <c r="P151" s="98">
        <f t="shared" si="25"/>
        <v>2</v>
      </c>
      <c r="Q151" s="111">
        <v>0</v>
      </c>
      <c r="R151" s="111">
        <v>1.65</v>
      </c>
      <c r="S151" s="111">
        <v>0</v>
      </c>
      <c r="T151" s="112" t="s">
        <v>64</v>
      </c>
      <c r="U151" s="137" t="s">
        <v>2289</v>
      </c>
      <c r="V151" s="137" t="s">
        <v>2290</v>
      </c>
      <c r="W151" s="69">
        <v>76</v>
      </c>
      <c r="X151" s="69">
        <v>4</v>
      </c>
      <c r="Y151" s="69">
        <v>11</v>
      </c>
      <c r="Z151" s="69"/>
      <c r="AA151" t="s">
        <v>4603</v>
      </c>
      <c r="AB151" t="s">
        <v>51</v>
      </c>
      <c r="AC151" t="s">
        <v>4353</v>
      </c>
      <c r="AD151" t="s">
        <v>4506</v>
      </c>
      <c r="AE151" t="s">
        <v>4513</v>
      </c>
      <c r="AF151" t="s">
        <v>4686</v>
      </c>
      <c r="AG151" t="s">
        <v>223</v>
      </c>
      <c r="AH151" t="s">
        <v>4685</v>
      </c>
      <c r="AI151" t="s">
        <v>4353</v>
      </c>
      <c r="AJ151" t="s">
        <v>4506</v>
      </c>
      <c r="AK151" t="s">
        <v>4508</v>
      </c>
      <c r="AL151" t="s">
        <v>4519</v>
      </c>
      <c r="AM151" t="s">
        <v>4510</v>
      </c>
      <c r="AN151" t="s">
        <v>4572</v>
      </c>
      <c r="AO151" s="134">
        <v>110.811016144349</v>
      </c>
      <c r="AP151" s="135">
        <v>112.320305052431</v>
      </c>
      <c r="AQ151">
        <v>0.43469971401334601</v>
      </c>
      <c r="AR151" s="136">
        <v>1.22592945662536</v>
      </c>
      <c r="AS151">
        <v>7.0676835081029497</v>
      </c>
    </row>
    <row r="152" spans="1:45" customFormat="1" ht="181">
      <c r="A152" s="65">
        <v>229</v>
      </c>
      <c r="B152" s="69" t="s">
        <v>589</v>
      </c>
      <c r="C152" s="69" t="s">
        <v>45</v>
      </c>
      <c r="D152" s="31">
        <f t="shared" si="23"/>
        <v>4</v>
      </c>
      <c r="E152" s="69" t="s">
        <v>46</v>
      </c>
      <c r="F152" s="31">
        <f t="shared" si="24"/>
        <v>6</v>
      </c>
      <c r="G152" s="137" t="s">
        <v>697</v>
      </c>
      <c r="H152" s="138">
        <v>280</v>
      </c>
      <c r="I152" s="92">
        <f t="shared" si="22"/>
        <v>0.41250022426692268</v>
      </c>
      <c r="J152" s="95">
        <v>4.4853384539855799E-7</v>
      </c>
      <c r="K152" s="137">
        <v>0.74381421079630905</v>
      </c>
      <c r="L152" s="137">
        <v>0.82499999999999996</v>
      </c>
      <c r="M152" s="137">
        <v>0.62203552699077302</v>
      </c>
      <c r="N152" s="136">
        <v>0</v>
      </c>
      <c r="O152" s="154">
        <v>43836</v>
      </c>
      <c r="P152" s="98">
        <f t="shared" si="25"/>
        <v>0</v>
      </c>
      <c r="Q152" s="113">
        <v>0</v>
      </c>
      <c r="R152" s="113">
        <v>0</v>
      </c>
      <c r="S152" s="113">
        <v>0</v>
      </c>
      <c r="T152" s="114" t="s">
        <v>48</v>
      </c>
      <c r="U152" s="136" t="s">
        <v>698</v>
      </c>
      <c r="V152" s="137" t="s">
        <v>699</v>
      </c>
      <c r="W152" s="69">
        <v>120</v>
      </c>
      <c r="X152" s="69">
        <v>1</v>
      </c>
      <c r="Y152" s="69">
        <v>7</v>
      </c>
      <c r="AA152" t="s">
        <v>4564</v>
      </c>
      <c r="AB152" t="s">
        <v>51</v>
      </c>
      <c r="AC152" t="s">
        <v>4515</v>
      </c>
      <c r="AD152" t="s">
        <v>4750</v>
      </c>
      <c r="AE152" t="s">
        <v>4530</v>
      </c>
      <c r="AF152" t="s">
        <v>4751</v>
      </c>
      <c r="AG152" t="s">
        <v>223</v>
      </c>
      <c r="AH152" t="s">
        <v>4681</v>
      </c>
      <c r="AI152" t="s">
        <v>4353</v>
      </c>
      <c r="AJ152" t="s">
        <v>4506</v>
      </c>
      <c r="AK152" t="s">
        <v>4518</v>
      </c>
      <c r="AL152" t="s">
        <v>4519</v>
      </c>
      <c r="AM152" t="s">
        <v>4592</v>
      </c>
      <c r="AN152" t="s">
        <v>4661</v>
      </c>
      <c r="AO152" s="134">
        <v>110.650190114068</v>
      </c>
      <c r="AP152" s="135">
        <v>112.41929321872</v>
      </c>
      <c r="AQ152">
        <v>0.43457497612225399</v>
      </c>
      <c r="AR152" s="136">
        <v>1.22636103151862</v>
      </c>
      <c r="AS152">
        <v>7.0697230181470898</v>
      </c>
    </row>
    <row r="153" spans="1:45" customFormat="1" ht="46">
      <c r="A153">
        <v>843</v>
      </c>
      <c r="B153" s="69" t="s">
        <v>2287</v>
      </c>
      <c r="C153" s="69" t="s">
        <v>45</v>
      </c>
      <c r="D153" s="31">
        <f t="shared" si="23"/>
        <v>4</v>
      </c>
      <c r="E153" s="69" t="s">
        <v>221</v>
      </c>
      <c r="F153" s="31">
        <f t="shared" si="24"/>
        <v>2</v>
      </c>
      <c r="G153" s="136" t="s">
        <v>2291</v>
      </c>
      <c r="H153" s="138">
        <v>81</v>
      </c>
      <c r="I153" s="92">
        <f t="shared" si="22"/>
        <v>0.41395662721968807</v>
      </c>
      <c r="J153" s="95">
        <v>2.9132544393761801E-3</v>
      </c>
      <c r="K153" s="137">
        <v>0.733375592871646</v>
      </c>
      <c r="L153" s="137">
        <v>0.82499999999999996</v>
      </c>
      <c r="M153" s="137">
        <v>0.59593898217911601</v>
      </c>
      <c r="N153" s="136">
        <v>1</v>
      </c>
      <c r="O153" s="154">
        <v>43835</v>
      </c>
      <c r="P153" s="98">
        <f t="shared" si="25"/>
        <v>2</v>
      </c>
      <c r="Q153" s="111">
        <v>0</v>
      </c>
      <c r="R153" s="111">
        <v>0</v>
      </c>
      <c r="S153" s="111">
        <v>1.87</v>
      </c>
      <c r="T153" s="112" t="s">
        <v>64</v>
      </c>
      <c r="U153" s="137" t="s">
        <v>2292</v>
      </c>
      <c r="V153" s="137" t="s">
        <v>2293</v>
      </c>
      <c r="W153" s="69">
        <v>63</v>
      </c>
      <c r="X153" s="69">
        <v>2</v>
      </c>
      <c r="Y153" s="69">
        <v>8</v>
      </c>
      <c r="Z153" s="69"/>
      <c r="AA153" t="s">
        <v>4603</v>
      </c>
      <c r="AB153" t="s">
        <v>51</v>
      </c>
      <c r="AC153" t="s">
        <v>4353</v>
      </c>
      <c r="AD153" t="s">
        <v>4506</v>
      </c>
      <c r="AE153" t="s">
        <v>4515</v>
      </c>
      <c r="AF153" t="s">
        <v>4724</v>
      </c>
      <c r="AG153" t="s">
        <v>223</v>
      </c>
      <c r="AH153" t="s">
        <v>4684</v>
      </c>
      <c r="AI153" t="s">
        <v>4353</v>
      </c>
      <c r="AJ153" t="s">
        <v>4506</v>
      </c>
      <c r="AK153" t="s">
        <v>4519</v>
      </c>
      <c r="AL153" t="s">
        <v>4519</v>
      </c>
      <c r="AM153" t="s">
        <v>4528</v>
      </c>
      <c r="AN153" t="s">
        <v>4529</v>
      </c>
      <c r="AO153" s="134">
        <v>110.707897240723</v>
      </c>
      <c r="AP153" s="135">
        <v>112.41929321872</v>
      </c>
      <c r="AQ153">
        <v>0.43457497612225399</v>
      </c>
      <c r="AR153" s="136">
        <v>1.22636103151862</v>
      </c>
      <c r="AS153">
        <v>7.0697230181470898</v>
      </c>
    </row>
    <row r="154" spans="1:45" customFormat="1" ht="106">
      <c r="A154" s="65">
        <v>656</v>
      </c>
      <c r="B154" s="69" t="s">
        <v>1790</v>
      </c>
      <c r="C154" s="69" t="s">
        <v>45</v>
      </c>
      <c r="D154" s="31">
        <f t="shared" si="23"/>
        <v>4</v>
      </c>
      <c r="E154" s="69" t="s">
        <v>46</v>
      </c>
      <c r="F154" s="31">
        <f t="shared" si="24"/>
        <v>6</v>
      </c>
      <c r="G154" s="169" t="s">
        <v>1800</v>
      </c>
      <c r="H154" s="138">
        <v>50</v>
      </c>
      <c r="I154" s="92">
        <f t="shared" si="22"/>
        <v>0.28175876398808164</v>
      </c>
      <c r="J154" s="95">
        <v>3.14272999802912E-5</v>
      </c>
      <c r="K154" s="137">
        <v>0.61031634740572205</v>
      </c>
      <c r="L154" s="137">
        <v>0.56348610067618299</v>
      </c>
      <c r="M154" s="137">
        <v>0.68056171750003003</v>
      </c>
      <c r="N154" s="136">
        <v>1</v>
      </c>
      <c r="O154" s="154">
        <v>43835</v>
      </c>
      <c r="P154" s="98">
        <f t="shared" si="25"/>
        <v>2</v>
      </c>
      <c r="Q154" s="111">
        <v>0</v>
      </c>
      <c r="R154" s="111">
        <v>0</v>
      </c>
      <c r="S154" s="111">
        <v>0</v>
      </c>
      <c r="T154" s="112" t="s">
        <v>64</v>
      </c>
      <c r="U154" s="137" t="s">
        <v>1803</v>
      </c>
      <c r="V154" s="137" t="s">
        <v>1804</v>
      </c>
      <c r="W154" s="69">
        <v>133</v>
      </c>
      <c r="X154" s="69">
        <v>2</v>
      </c>
      <c r="Y154" s="69">
        <v>5</v>
      </c>
      <c r="Z154" s="69"/>
      <c r="AA154" t="s">
        <v>4678</v>
      </c>
      <c r="AB154" t="s">
        <v>51</v>
      </c>
      <c r="AC154" t="s">
        <v>4353</v>
      </c>
      <c r="AD154" t="s">
        <v>4506</v>
      </c>
      <c r="AE154" t="s">
        <v>4513</v>
      </c>
      <c r="AF154" t="s">
        <v>4752</v>
      </c>
      <c r="AG154" t="s">
        <v>4353</v>
      </c>
      <c r="AH154" t="s">
        <v>4506</v>
      </c>
      <c r="AI154" t="s">
        <v>4353</v>
      </c>
      <c r="AJ154" t="s">
        <v>4506</v>
      </c>
      <c r="AK154" t="s">
        <v>4519</v>
      </c>
      <c r="AL154" t="s">
        <v>4519</v>
      </c>
      <c r="AM154" t="s">
        <v>4520</v>
      </c>
      <c r="AN154" t="s">
        <v>4558</v>
      </c>
      <c r="AO154" s="134">
        <v>110.68380952381</v>
      </c>
      <c r="AP154" s="135">
        <v>112.41929321872</v>
      </c>
      <c r="AQ154">
        <v>0.43457497612225399</v>
      </c>
      <c r="AR154" s="136">
        <v>1.22636103151862</v>
      </c>
      <c r="AS154">
        <v>7.0697230181470898</v>
      </c>
    </row>
    <row r="155" spans="1:45" customFormat="1" ht="76">
      <c r="A155" s="65">
        <v>776</v>
      </c>
      <c r="B155" s="69" t="s">
        <v>2098</v>
      </c>
      <c r="C155" s="69" t="s">
        <v>45</v>
      </c>
      <c r="D155" s="31">
        <f t="shared" si="23"/>
        <v>4</v>
      </c>
      <c r="E155" s="69" t="s">
        <v>4422</v>
      </c>
      <c r="F155" s="31">
        <f t="shared" si="24"/>
        <v>9</v>
      </c>
      <c r="G155" s="137" t="s">
        <v>2117</v>
      </c>
      <c r="H155" s="138">
        <v>136</v>
      </c>
      <c r="I155" s="92">
        <f t="shared" si="22"/>
        <v>0.25613030996790842</v>
      </c>
      <c r="J155" s="95">
        <v>5.2841201381159695E-7</v>
      </c>
      <c r="K155" s="137">
        <v>0.62654385135010504</v>
      </c>
      <c r="L155" s="137">
        <v>0.51226009152380303</v>
      </c>
      <c r="M155" s="137">
        <v>0.79796949108955795</v>
      </c>
      <c r="N155" s="136">
        <v>1</v>
      </c>
      <c r="O155" s="154">
        <v>43835</v>
      </c>
      <c r="P155" s="98">
        <f t="shared" si="25"/>
        <v>1</v>
      </c>
      <c r="Q155" s="111">
        <v>5.0999999999999996</v>
      </c>
      <c r="R155" s="111">
        <v>0</v>
      </c>
      <c r="S155" s="111">
        <v>0</v>
      </c>
      <c r="T155" s="112" t="s">
        <v>73</v>
      </c>
      <c r="U155" s="147" t="s">
        <v>2118</v>
      </c>
      <c r="V155" s="137" t="s">
        <v>2119</v>
      </c>
      <c r="W155" s="69">
        <v>87</v>
      </c>
      <c r="X155" s="147">
        <v>1</v>
      </c>
      <c r="Y155" s="147">
        <v>2</v>
      </c>
      <c r="Z155" s="69"/>
      <c r="AA155" t="s">
        <v>4753</v>
      </c>
      <c r="AB155" t="s">
        <v>51</v>
      </c>
      <c r="AC155" t="s">
        <v>223</v>
      </c>
      <c r="AD155" t="s">
        <v>4670</v>
      </c>
      <c r="AE155" t="s">
        <v>4538</v>
      </c>
      <c r="AF155" t="s">
        <v>4754</v>
      </c>
      <c r="AG155" t="s">
        <v>4353</v>
      </c>
      <c r="AH155" t="s">
        <v>4506</v>
      </c>
      <c r="AI155" t="s">
        <v>4353</v>
      </c>
      <c r="AJ155" t="s">
        <v>4506</v>
      </c>
      <c r="AK155" t="s">
        <v>4519</v>
      </c>
      <c r="AL155" t="s">
        <v>4519</v>
      </c>
      <c r="AM155" t="s">
        <v>4520</v>
      </c>
      <c r="AN155" t="s">
        <v>4558</v>
      </c>
      <c r="AO155" s="134">
        <v>110.71210676835101</v>
      </c>
      <c r="AP155" s="135">
        <v>112.41929321872</v>
      </c>
      <c r="AQ155">
        <v>0.43457497612225399</v>
      </c>
      <c r="AR155" s="136">
        <v>1.22636103151862</v>
      </c>
      <c r="AS155">
        <v>7.0697230181470898</v>
      </c>
    </row>
    <row r="156" spans="1:45" customFormat="1" ht="61">
      <c r="A156">
        <v>230</v>
      </c>
      <c r="B156" s="69" t="s">
        <v>589</v>
      </c>
      <c r="C156" s="69" t="s">
        <v>45</v>
      </c>
      <c r="D156" s="31">
        <f t="shared" si="23"/>
        <v>4</v>
      </c>
      <c r="E156" s="69" t="s">
        <v>80</v>
      </c>
      <c r="F156" s="31">
        <f t="shared" si="24"/>
        <v>4</v>
      </c>
      <c r="G156" s="147" t="s">
        <v>700</v>
      </c>
      <c r="H156" s="138">
        <v>75</v>
      </c>
      <c r="I156" s="92">
        <f t="shared" si="22"/>
        <v>0.41250502891038349</v>
      </c>
      <c r="J156" s="95">
        <v>1.0057820767017701E-5</v>
      </c>
      <c r="K156" s="137">
        <v>0.75502915755524702</v>
      </c>
      <c r="L156" s="137">
        <v>0.82499999999999996</v>
      </c>
      <c r="M156" s="137">
        <v>0.65007289388811795</v>
      </c>
      <c r="N156" s="136">
        <v>1</v>
      </c>
      <c r="O156" s="154">
        <v>43833</v>
      </c>
      <c r="P156" s="98">
        <f t="shared" si="25"/>
        <v>0</v>
      </c>
      <c r="Q156" s="113">
        <v>0</v>
      </c>
      <c r="R156" s="113">
        <v>0</v>
      </c>
      <c r="S156" s="113">
        <v>0</v>
      </c>
      <c r="T156" s="114" t="s">
        <v>48</v>
      </c>
      <c r="U156" s="137" t="s">
        <v>701</v>
      </c>
      <c r="V156" s="137" t="s">
        <v>702</v>
      </c>
      <c r="W156" s="69">
        <v>72</v>
      </c>
      <c r="X156" s="147">
        <v>2</v>
      </c>
      <c r="Y156" s="147">
        <v>6</v>
      </c>
      <c r="AA156" t="s">
        <v>4522</v>
      </c>
      <c r="AB156" t="s">
        <v>51</v>
      </c>
      <c r="AC156" t="s">
        <v>4353</v>
      </c>
      <c r="AD156" t="s">
        <v>4506</v>
      </c>
      <c r="AE156" t="s">
        <v>4515</v>
      </c>
      <c r="AF156" t="s">
        <v>4537</v>
      </c>
      <c r="AG156" t="s">
        <v>4353</v>
      </c>
      <c r="AH156" t="s">
        <v>4506</v>
      </c>
      <c r="AI156" t="s">
        <v>4353</v>
      </c>
      <c r="AJ156" t="s">
        <v>4506</v>
      </c>
      <c r="AK156" t="s">
        <v>4519</v>
      </c>
      <c r="AL156" t="s">
        <v>4552</v>
      </c>
      <c r="AM156" t="s">
        <v>4510</v>
      </c>
      <c r="AN156" t="s">
        <v>4634</v>
      </c>
      <c r="AO156" s="134">
        <v>110.74618320610701</v>
      </c>
      <c r="AP156" s="135">
        <v>112.41929321872</v>
      </c>
      <c r="AQ156">
        <v>0.43457497612225399</v>
      </c>
      <c r="AR156" s="136">
        <v>1.22636103151862</v>
      </c>
      <c r="AS156">
        <v>7.0697230181470898</v>
      </c>
    </row>
    <row r="157" spans="1:45" customFormat="1" ht="91">
      <c r="A157" s="65">
        <v>657</v>
      </c>
      <c r="B157" s="69" t="s">
        <v>1790</v>
      </c>
      <c r="C157" s="69" t="s">
        <v>45</v>
      </c>
      <c r="D157" s="31">
        <f t="shared" si="23"/>
        <v>4</v>
      </c>
      <c r="E157" s="69" t="s">
        <v>46</v>
      </c>
      <c r="F157" s="31">
        <f t="shared" si="24"/>
        <v>6</v>
      </c>
      <c r="G157" s="137" t="s">
        <v>1805</v>
      </c>
      <c r="H157" s="138">
        <v>74</v>
      </c>
      <c r="I157" s="92">
        <f t="shared" si="22"/>
        <v>0.87459094202990495</v>
      </c>
      <c r="J157" s="95">
        <v>0.99918188405981001</v>
      </c>
      <c r="K157" s="137">
        <v>0.76918779643582302</v>
      </c>
      <c r="L157" s="137">
        <v>0.75</v>
      </c>
      <c r="M157" s="137">
        <v>0.79796949108955795</v>
      </c>
      <c r="N157" s="136">
        <v>1</v>
      </c>
      <c r="O157" s="154">
        <v>43828</v>
      </c>
      <c r="P157" s="98">
        <f t="shared" si="25"/>
        <v>2</v>
      </c>
      <c r="Q157" s="107">
        <v>0</v>
      </c>
      <c r="R157" s="107">
        <v>3.3</v>
      </c>
      <c r="S157" s="107">
        <v>0</v>
      </c>
      <c r="T157" s="108" t="s">
        <v>64</v>
      </c>
      <c r="U157" s="140" t="s">
        <v>1806</v>
      </c>
      <c r="V157" s="136" t="s">
        <v>1807</v>
      </c>
      <c r="W157" s="69">
        <v>122</v>
      </c>
      <c r="X157" s="173">
        <v>2</v>
      </c>
      <c r="Y157" s="173">
        <v>2</v>
      </c>
      <c r="Z157" s="69"/>
      <c r="AA157" t="s">
        <v>4543</v>
      </c>
      <c r="AB157" t="s">
        <v>51</v>
      </c>
      <c r="AC157" t="s">
        <v>4353</v>
      </c>
      <c r="AD157" t="s">
        <v>4506</v>
      </c>
      <c r="AE157" t="s">
        <v>4530</v>
      </c>
      <c r="AF157" t="s">
        <v>4724</v>
      </c>
      <c r="AG157" t="s">
        <v>223</v>
      </c>
      <c r="AH157" t="s">
        <v>4675</v>
      </c>
      <c r="AI157" t="s">
        <v>4353</v>
      </c>
      <c r="AJ157" t="s">
        <v>4506</v>
      </c>
      <c r="AK157" t="s">
        <v>4519</v>
      </c>
      <c r="AL157" t="s">
        <v>4519</v>
      </c>
      <c r="AM157" t="s">
        <v>4528</v>
      </c>
      <c r="AN157" t="s">
        <v>4529</v>
      </c>
      <c r="AO157" s="134">
        <v>110.78127984718201</v>
      </c>
      <c r="AP157" s="135">
        <v>112.40613026819901</v>
      </c>
      <c r="AQ157">
        <v>0.43486590038314199</v>
      </c>
      <c r="AR157" s="136">
        <v>1.22701149425287</v>
      </c>
      <c r="AS157">
        <v>7.0833333333333304</v>
      </c>
    </row>
    <row r="158" spans="1:45" customFormat="1" ht="91">
      <c r="A158">
        <v>658</v>
      </c>
      <c r="B158" s="69" t="s">
        <v>1790</v>
      </c>
      <c r="C158" s="69" t="s">
        <v>45</v>
      </c>
      <c r="D158" s="31">
        <f t="shared" si="23"/>
        <v>4</v>
      </c>
      <c r="E158" s="69" t="s">
        <v>46</v>
      </c>
      <c r="F158" s="31">
        <f t="shared" si="24"/>
        <v>6</v>
      </c>
      <c r="G158" s="169" t="s">
        <v>1800</v>
      </c>
      <c r="H158" s="138">
        <v>82</v>
      </c>
      <c r="I158" s="92">
        <f t="shared" si="22"/>
        <v>0.37763612820918746</v>
      </c>
      <c r="J158" s="95">
        <v>0.19178615574219199</v>
      </c>
      <c r="K158" s="137">
        <v>0.65727945684153299</v>
      </c>
      <c r="L158" s="137">
        <v>0.56348610067618299</v>
      </c>
      <c r="M158" s="137">
        <v>0.79796949108955795</v>
      </c>
      <c r="N158" s="136">
        <v>1</v>
      </c>
      <c r="O158" s="154">
        <v>43828</v>
      </c>
      <c r="P158" s="98">
        <f t="shared" si="25"/>
        <v>2</v>
      </c>
      <c r="Q158" s="111">
        <v>10.199999999999999</v>
      </c>
      <c r="R158" s="111">
        <v>0</v>
      </c>
      <c r="S158" s="111">
        <v>0</v>
      </c>
      <c r="T158" s="112" t="s">
        <v>64</v>
      </c>
      <c r="U158" s="137" t="s">
        <v>1808</v>
      </c>
      <c r="V158" s="137" t="s">
        <v>1809</v>
      </c>
      <c r="W158" s="69">
        <v>130</v>
      </c>
      <c r="X158" s="69">
        <v>1</v>
      </c>
      <c r="Y158" s="69">
        <v>2</v>
      </c>
      <c r="Z158" s="69"/>
      <c r="AA158" t="s">
        <v>4678</v>
      </c>
      <c r="AB158" t="s">
        <v>51</v>
      </c>
      <c r="AC158" t="s">
        <v>4515</v>
      </c>
      <c r="AD158" t="s">
        <v>4584</v>
      </c>
      <c r="AE158" t="s">
        <v>4513</v>
      </c>
      <c r="AF158" t="s">
        <v>4755</v>
      </c>
      <c r="AG158" t="s">
        <v>4353</v>
      </c>
      <c r="AH158" t="s">
        <v>4506</v>
      </c>
      <c r="AI158" t="s">
        <v>4353</v>
      </c>
      <c r="AJ158" t="s">
        <v>4506</v>
      </c>
      <c r="AK158" t="s">
        <v>4519</v>
      </c>
      <c r="AL158" t="s">
        <v>4519</v>
      </c>
      <c r="AM158" t="s">
        <v>4510</v>
      </c>
      <c r="AN158" t="s">
        <v>4550</v>
      </c>
      <c r="AO158" s="134">
        <v>110.80879541109</v>
      </c>
      <c r="AP158" s="135">
        <v>112.40613026819901</v>
      </c>
      <c r="AQ158">
        <v>0.43486590038314199</v>
      </c>
      <c r="AR158" s="136">
        <v>1.22701149425287</v>
      </c>
      <c r="AS158">
        <v>7.0833333333333304</v>
      </c>
    </row>
    <row r="159" spans="1:45" customFormat="1" ht="76">
      <c r="A159">
        <v>231</v>
      </c>
      <c r="B159" s="69" t="s">
        <v>589</v>
      </c>
      <c r="C159" s="69" t="s">
        <v>45</v>
      </c>
      <c r="D159" s="31">
        <f t="shared" si="23"/>
        <v>4</v>
      </c>
      <c r="E159" s="69" t="s">
        <v>221</v>
      </c>
      <c r="F159" s="31">
        <f t="shared" si="24"/>
        <v>2</v>
      </c>
      <c r="G159" s="137" t="s">
        <v>703</v>
      </c>
      <c r="H159" s="138">
        <v>99</v>
      </c>
      <c r="I159" s="92">
        <f t="shared" si="22"/>
        <v>0.37552889268629486</v>
      </c>
      <c r="J159" s="95">
        <v>1.05778537258972E-3</v>
      </c>
      <c r="K159" s="137">
        <v>0.75102566813892102</v>
      </c>
      <c r="L159" s="137">
        <v>0.75</v>
      </c>
      <c r="M159" s="137">
        <v>0.75256417034730305</v>
      </c>
      <c r="N159" s="136">
        <v>1</v>
      </c>
      <c r="O159" s="154">
        <v>43827</v>
      </c>
      <c r="P159" s="98">
        <f t="shared" si="25"/>
        <v>1</v>
      </c>
      <c r="Q159" s="111">
        <v>2.5499999999999998</v>
      </c>
      <c r="R159" s="111">
        <v>0</v>
      </c>
      <c r="S159" s="111">
        <v>0</v>
      </c>
      <c r="T159" s="112" t="s">
        <v>73</v>
      </c>
      <c r="U159" s="137" t="s">
        <v>704</v>
      </c>
      <c r="V159" s="137" t="s">
        <v>705</v>
      </c>
      <c r="W159" s="69">
        <v>99</v>
      </c>
      <c r="X159" s="69">
        <v>1</v>
      </c>
      <c r="Y159" s="69">
        <v>3</v>
      </c>
      <c r="AA159" t="s">
        <v>4543</v>
      </c>
      <c r="AB159" t="s">
        <v>51</v>
      </c>
      <c r="AC159" t="s">
        <v>223</v>
      </c>
      <c r="AD159" t="s">
        <v>4747</v>
      </c>
      <c r="AE159" t="s">
        <v>4513</v>
      </c>
      <c r="AF159" t="s">
        <v>4756</v>
      </c>
      <c r="AG159" t="s">
        <v>223</v>
      </c>
      <c r="AH159" t="s">
        <v>4747</v>
      </c>
      <c r="AI159" t="s">
        <v>4353</v>
      </c>
      <c r="AJ159" t="s">
        <v>4506</v>
      </c>
      <c r="AK159" t="s">
        <v>4519</v>
      </c>
      <c r="AL159" t="s">
        <v>4552</v>
      </c>
      <c r="AM159" t="s">
        <v>4528</v>
      </c>
      <c r="AN159" t="s">
        <v>4618</v>
      </c>
      <c r="AO159" s="134">
        <v>110.82009569378</v>
      </c>
      <c r="AP159" s="135">
        <v>112.40613026819901</v>
      </c>
      <c r="AQ159">
        <v>0.43486590038314199</v>
      </c>
      <c r="AR159" s="136">
        <v>1.22701149425287</v>
      </c>
      <c r="AS159">
        <v>7.0833333333333304</v>
      </c>
    </row>
    <row r="160" spans="1:45" customFormat="1" ht="106">
      <c r="A160">
        <v>442</v>
      </c>
      <c r="B160" s="69" t="s">
        <v>1222</v>
      </c>
      <c r="C160" s="69" t="s">
        <v>45</v>
      </c>
      <c r="D160" s="31">
        <f t="shared" si="23"/>
        <v>4</v>
      </c>
      <c r="E160" s="69" t="s">
        <v>46</v>
      </c>
      <c r="F160" s="31">
        <f t="shared" si="24"/>
        <v>6</v>
      </c>
      <c r="G160" s="137" t="s">
        <v>4388</v>
      </c>
      <c r="H160" s="138">
        <v>159</v>
      </c>
      <c r="I160" s="92">
        <f t="shared" si="22"/>
        <v>0.28231267401726651</v>
      </c>
      <c r="J160" s="95">
        <v>1.1392473583500299E-3</v>
      </c>
      <c r="K160" s="137">
        <v>0.55739007982466005</v>
      </c>
      <c r="L160" s="137">
        <v>0.56348610067618299</v>
      </c>
      <c r="M160" s="137">
        <v>0.54824604854737402</v>
      </c>
      <c r="N160" s="136">
        <v>1</v>
      </c>
      <c r="O160" s="154">
        <v>43826</v>
      </c>
      <c r="P160" s="98">
        <f t="shared" si="25"/>
        <v>0</v>
      </c>
      <c r="Q160" s="111">
        <v>0</v>
      </c>
      <c r="R160" s="111">
        <v>0</v>
      </c>
      <c r="S160" s="111">
        <v>1.87</v>
      </c>
      <c r="T160" s="112" t="s">
        <v>48</v>
      </c>
      <c r="U160" s="137" t="s">
        <v>4389</v>
      </c>
      <c r="V160" s="137" t="s">
        <v>1262</v>
      </c>
      <c r="W160" s="69">
        <v>34</v>
      </c>
      <c r="X160" s="69">
        <v>2</v>
      </c>
      <c r="Y160" s="69">
        <v>10</v>
      </c>
      <c r="AA160" t="s">
        <v>4757</v>
      </c>
      <c r="AB160" t="s">
        <v>71</v>
      </c>
      <c r="AC160" t="s">
        <v>4353</v>
      </c>
      <c r="AD160" t="s">
        <v>4506</v>
      </c>
      <c r="AE160" t="s">
        <v>223</v>
      </c>
      <c r="AF160" t="s">
        <v>4517</v>
      </c>
      <c r="AG160" t="s">
        <v>4515</v>
      </c>
      <c r="AH160" t="s">
        <v>4516</v>
      </c>
      <c r="AI160" t="s">
        <v>4353</v>
      </c>
      <c r="AJ160" t="s">
        <v>4506</v>
      </c>
      <c r="AK160" t="s">
        <v>4519</v>
      </c>
      <c r="AL160" t="s">
        <v>4519</v>
      </c>
      <c r="AM160" t="s">
        <v>4510</v>
      </c>
      <c r="AN160" t="s">
        <v>4550</v>
      </c>
      <c r="AO160" s="134">
        <v>110.773946360153</v>
      </c>
      <c r="AP160" s="135">
        <v>112.40613026819901</v>
      </c>
      <c r="AQ160">
        <v>0.43486590038314199</v>
      </c>
      <c r="AR160" s="136">
        <v>1.22701149425287</v>
      </c>
      <c r="AS160">
        <v>7.0833333333333304</v>
      </c>
    </row>
    <row r="161" spans="1:45" s="68" customFormat="1" ht="76">
      <c r="A161" s="68">
        <v>893</v>
      </c>
      <c r="B161" s="71" t="s">
        <v>2418</v>
      </c>
      <c r="C161" s="71" t="s">
        <v>45</v>
      </c>
      <c r="D161" s="143">
        <f t="shared" si="23"/>
        <v>4</v>
      </c>
      <c r="E161" s="71" t="s">
        <v>221</v>
      </c>
      <c r="F161" s="143">
        <f t="shared" si="24"/>
        <v>2</v>
      </c>
      <c r="G161" s="186" t="s">
        <v>2434</v>
      </c>
      <c r="H161" s="187">
        <v>72</v>
      </c>
      <c r="I161" s="92">
        <f t="shared" si="22"/>
        <v>0.37550681382715473</v>
      </c>
      <c r="J161" s="95">
        <v>1.0136276543094599E-3</v>
      </c>
      <c r="K161" s="186">
        <v>0.76918779643582302</v>
      </c>
      <c r="L161" s="186">
        <v>0.75</v>
      </c>
      <c r="M161" s="186">
        <v>0.79796949108955795</v>
      </c>
      <c r="N161" s="181">
        <v>0</v>
      </c>
      <c r="O161" s="192">
        <v>43810</v>
      </c>
      <c r="P161" s="98">
        <f t="shared" si="25"/>
        <v>0</v>
      </c>
      <c r="Q161" s="111">
        <v>5.0999999999999996</v>
      </c>
      <c r="R161" s="111">
        <v>0</v>
      </c>
      <c r="S161" s="111">
        <v>0</v>
      </c>
      <c r="T161" s="98" t="s">
        <v>48</v>
      </c>
      <c r="U161" s="186" t="s">
        <v>2435</v>
      </c>
      <c r="V161" s="186" t="s">
        <v>2436</v>
      </c>
      <c r="W161" s="71">
        <v>64</v>
      </c>
      <c r="X161" s="71">
        <v>1</v>
      </c>
      <c r="Y161" s="71">
        <v>2</v>
      </c>
      <c r="Z161" s="71"/>
      <c r="AA161" s="66" t="s">
        <v>4564</v>
      </c>
      <c r="AB161" s="66" t="s">
        <v>4758</v>
      </c>
      <c r="AC161" s="66" t="s">
        <v>4353</v>
      </c>
      <c r="AD161" s="66" t="s">
        <v>4506</v>
      </c>
      <c r="AE161" s="66" t="s">
        <v>223</v>
      </c>
      <c r="AF161" s="66" t="s">
        <v>4684</v>
      </c>
      <c r="AG161" s="66" t="s">
        <v>223</v>
      </c>
      <c r="AH161" s="66" t="s">
        <v>4684</v>
      </c>
      <c r="AI161" s="66" t="s">
        <v>223</v>
      </c>
      <c r="AJ161" s="66" t="s">
        <v>4684</v>
      </c>
      <c r="AK161" s="66" t="s">
        <v>4518</v>
      </c>
      <c r="AL161" s="66" t="s">
        <v>4519</v>
      </c>
      <c r="AM161" s="66" t="s">
        <v>4520</v>
      </c>
      <c r="AN161" s="66" t="s">
        <v>4521</v>
      </c>
      <c r="AO161" s="74">
        <v>110.811121764142</v>
      </c>
      <c r="AP161" s="197">
        <v>112.44817658349299</v>
      </c>
      <c r="AQ161" s="68">
        <v>0.43570057581573901</v>
      </c>
      <c r="AR161" s="68">
        <v>1.2274472168905901</v>
      </c>
      <c r="AS161" s="68">
        <v>7.09021113243762</v>
      </c>
    </row>
    <row r="162" spans="1:45" customFormat="1" ht="76">
      <c r="A162" s="65">
        <v>621</v>
      </c>
      <c r="B162" s="69" t="s">
        <v>1707</v>
      </c>
      <c r="C162" s="69" t="s">
        <v>45</v>
      </c>
      <c r="D162" s="31">
        <f t="shared" si="23"/>
        <v>4</v>
      </c>
      <c r="E162" s="69" t="s">
        <v>80</v>
      </c>
      <c r="F162" s="31">
        <f t="shared" si="24"/>
        <v>4</v>
      </c>
      <c r="G162" s="147" t="s">
        <v>1722</v>
      </c>
      <c r="H162" s="138">
        <v>43</v>
      </c>
      <c r="I162" s="92">
        <f t="shared" si="22"/>
        <v>0.37718388028496597</v>
      </c>
      <c r="J162" s="95">
        <v>4.3677605699319298E-3</v>
      </c>
      <c r="K162" s="137">
        <v>0.72222468700001197</v>
      </c>
      <c r="L162" s="137">
        <v>0.75</v>
      </c>
      <c r="M162" s="137">
        <v>0.68056171750003003</v>
      </c>
      <c r="N162" s="136">
        <v>1</v>
      </c>
      <c r="O162" s="154">
        <v>43805</v>
      </c>
      <c r="P162" s="98">
        <f t="shared" si="25"/>
        <v>1</v>
      </c>
      <c r="Q162" s="113">
        <v>2.5499999999999998</v>
      </c>
      <c r="R162" s="113">
        <v>0</v>
      </c>
      <c r="S162" s="113">
        <v>0</v>
      </c>
      <c r="T162" s="114" t="s">
        <v>73</v>
      </c>
      <c r="U162" s="137" t="s">
        <v>1723</v>
      </c>
      <c r="V162" s="137" t="s">
        <v>1724</v>
      </c>
      <c r="W162" s="69">
        <v>117</v>
      </c>
      <c r="X162" s="147">
        <v>1</v>
      </c>
      <c r="Y162" s="147">
        <v>5</v>
      </c>
      <c r="Z162" s="69"/>
      <c r="AA162" t="s">
        <v>4556</v>
      </c>
      <c r="AB162" t="s">
        <v>4566</v>
      </c>
      <c r="AC162" t="s">
        <v>4353</v>
      </c>
      <c r="AD162" t="s">
        <v>4506</v>
      </c>
      <c r="AE162" t="s">
        <v>223</v>
      </c>
      <c r="AF162" t="s">
        <v>4588</v>
      </c>
      <c r="AG162" t="s">
        <v>4353</v>
      </c>
      <c r="AH162" t="s">
        <v>4506</v>
      </c>
      <c r="AI162" t="s">
        <v>223</v>
      </c>
      <c r="AJ162" t="s">
        <v>4588</v>
      </c>
      <c r="AK162" t="s">
        <v>4519</v>
      </c>
      <c r="AL162" t="s">
        <v>4552</v>
      </c>
      <c r="AM162" t="s">
        <v>4528</v>
      </c>
      <c r="AN162" t="s">
        <v>4618</v>
      </c>
      <c r="AO162" s="134">
        <v>110.876199616123</v>
      </c>
      <c r="AP162" s="135">
        <v>112.44817658349299</v>
      </c>
      <c r="AQ162">
        <v>0.43570057581573901</v>
      </c>
      <c r="AR162" s="136">
        <v>1.2274472168905901</v>
      </c>
      <c r="AS162">
        <v>7.09021113243762</v>
      </c>
    </row>
    <row r="163" spans="1:45" customFormat="1" ht="61">
      <c r="A163" s="65">
        <v>232</v>
      </c>
      <c r="B163" s="69" t="s">
        <v>589</v>
      </c>
      <c r="C163" s="69" t="s">
        <v>59</v>
      </c>
      <c r="D163" s="31">
        <f t="shared" si="23"/>
        <v>5</v>
      </c>
      <c r="E163" s="69" t="s">
        <v>221</v>
      </c>
      <c r="F163" s="31">
        <f t="shared" si="24"/>
        <v>2</v>
      </c>
      <c r="G163" s="137" t="s">
        <v>706</v>
      </c>
      <c r="H163" s="138">
        <v>40</v>
      </c>
      <c r="I163" s="92">
        <f t="shared" si="22"/>
        <v>0.30667606620823673</v>
      </c>
      <c r="J163" s="95">
        <v>4.9866031740290501E-2</v>
      </c>
      <c r="K163" s="137">
        <v>0.65727945684153299</v>
      </c>
      <c r="L163" s="137">
        <v>0.56348610067618299</v>
      </c>
      <c r="M163" s="137">
        <v>0.79796949108955795</v>
      </c>
      <c r="N163" s="136">
        <v>1</v>
      </c>
      <c r="O163" s="154">
        <v>43802</v>
      </c>
      <c r="P163" s="98">
        <f t="shared" si="25"/>
        <v>0</v>
      </c>
      <c r="Q163" s="111">
        <v>0</v>
      </c>
      <c r="R163" s="111">
        <v>0</v>
      </c>
      <c r="S163" s="111">
        <v>0</v>
      </c>
      <c r="T163" s="112" t="s">
        <v>48</v>
      </c>
      <c r="U163" s="137" t="s">
        <v>707</v>
      </c>
      <c r="V163" s="137" t="s">
        <v>708</v>
      </c>
      <c r="W163" s="69">
        <v>51</v>
      </c>
      <c r="X163" s="69">
        <v>1</v>
      </c>
      <c r="Y163" s="69">
        <v>2</v>
      </c>
      <c r="AA163" t="s">
        <v>4757</v>
      </c>
      <c r="AB163" t="s">
        <v>51</v>
      </c>
      <c r="AC163" t="s">
        <v>223</v>
      </c>
      <c r="AD163" t="s">
        <v>4759</v>
      </c>
      <c r="AE163" t="s">
        <v>4513</v>
      </c>
      <c r="AF163" t="s">
        <v>4516</v>
      </c>
      <c r="AG163" t="s">
        <v>4353</v>
      </c>
      <c r="AH163" t="s">
        <v>4506</v>
      </c>
      <c r="AI163" t="s">
        <v>4353</v>
      </c>
      <c r="AJ163" t="s">
        <v>4506</v>
      </c>
      <c r="AK163" t="s">
        <v>4519</v>
      </c>
      <c r="AL163" t="s">
        <v>4519</v>
      </c>
      <c r="AM163" t="s">
        <v>4528</v>
      </c>
      <c r="AN163" t="s">
        <v>4529</v>
      </c>
      <c r="AO163" s="134">
        <v>110.944284341979</v>
      </c>
      <c r="AP163" s="135">
        <v>112.560693641618</v>
      </c>
      <c r="AQ163">
        <v>0.43352601156069398</v>
      </c>
      <c r="AR163" s="136">
        <v>1.22832369942197</v>
      </c>
      <c r="AS163">
        <v>7.1001926782273603</v>
      </c>
    </row>
    <row r="164" spans="1:45" customFormat="1" ht="121">
      <c r="A164" s="65">
        <v>233</v>
      </c>
      <c r="B164" s="69" t="s">
        <v>589</v>
      </c>
      <c r="C164" s="69" t="s">
        <v>45</v>
      </c>
      <c r="D164" s="31">
        <f t="shared" si="23"/>
        <v>4</v>
      </c>
      <c r="E164" s="69" t="s">
        <v>46</v>
      </c>
      <c r="F164" s="31">
        <f t="shared" si="24"/>
        <v>6</v>
      </c>
      <c r="G164" s="137" t="s">
        <v>709</v>
      </c>
      <c r="H164" s="138">
        <v>103</v>
      </c>
      <c r="I164" s="92">
        <f t="shared" si="22"/>
        <v>0.56621903653578443</v>
      </c>
      <c r="J164" s="95">
        <v>0.56895197239538597</v>
      </c>
      <c r="K164" s="137">
        <v>0.63911732854463099</v>
      </c>
      <c r="L164" s="137">
        <v>0.56348610067618299</v>
      </c>
      <c r="M164" s="137">
        <v>0.75256417034730305</v>
      </c>
      <c r="N164" s="136">
        <v>1</v>
      </c>
      <c r="O164" s="154">
        <v>43799</v>
      </c>
      <c r="P164" s="98">
        <f t="shared" si="25"/>
        <v>0</v>
      </c>
      <c r="Q164" s="111">
        <v>10.199999999999999</v>
      </c>
      <c r="R164" s="111">
        <v>0</v>
      </c>
      <c r="S164" s="111">
        <v>0</v>
      </c>
      <c r="T164" s="112" t="s">
        <v>48</v>
      </c>
      <c r="U164" s="137" t="s">
        <v>710</v>
      </c>
      <c r="V164" s="137" t="s">
        <v>711</v>
      </c>
      <c r="W164" s="69">
        <v>138</v>
      </c>
      <c r="X164" s="69">
        <v>4</v>
      </c>
      <c r="Y164" s="69">
        <v>3</v>
      </c>
      <c r="AA164" t="s">
        <v>4603</v>
      </c>
      <c r="AB164" t="s">
        <v>51</v>
      </c>
      <c r="AC164" t="s">
        <v>4515</v>
      </c>
      <c r="AD164" t="s">
        <v>4666</v>
      </c>
      <c r="AE164" t="s">
        <v>4538</v>
      </c>
      <c r="AF164" t="s">
        <v>4760</v>
      </c>
      <c r="AG164" t="s">
        <v>4353</v>
      </c>
      <c r="AH164" t="s">
        <v>4506</v>
      </c>
      <c r="AI164" t="s">
        <v>4353</v>
      </c>
      <c r="AJ164" t="s">
        <v>4506</v>
      </c>
      <c r="AK164" t="s">
        <v>4519</v>
      </c>
      <c r="AL164" t="s">
        <v>4519</v>
      </c>
      <c r="AM164" t="s">
        <v>4528</v>
      </c>
      <c r="AN164" t="s">
        <v>4529</v>
      </c>
      <c r="AO164" s="134">
        <v>110.95192307692299</v>
      </c>
      <c r="AP164" s="135">
        <v>112.560693641618</v>
      </c>
      <c r="AQ164">
        <v>0.43352601156069398</v>
      </c>
      <c r="AR164" s="136">
        <v>1.22832369942197</v>
      </c>
      <c r="AS164">
        <v>7.1001926782273603</v>
      </c>
    </row>
    <row r="165" spans="1:45" customFormat="1" ht="46">
      <c r="A165">
        <v>1086</v>
      </c>
      <c r="B165" s="69" t="s">
        <v>2948</v>
      </c>
      <c r="C165" s="69" t="s">
        <v>45</v>
      </c>
      <c r="D165" s="31">
        <f t="shared" si="23"/>
        <v>4</v>
      </c>
      <c r="E165" s="69" t="s">
        <v>80</v>
      </c>
      <c r="F165" s="31">
        <f t="shared" si="24"/>
        <v>4</v>
      </c>
      <c r="G165" s="139" t="s">
        <v>2900</v>
      </c>
      <c r="H165" s="138">
        <v>48</v>
      </c>
      <c r="I165" s="92">
        <f t="shared" si="22"/>
        <v>0.81406584824328698</v>
      </c>
      <c r="J165" s="95">
        <v>0.80313169648657401</v>
      </c>
      <c r="K165" s="137">
        <v>0.78071428571428603</v>
      </c>
      <c r="L165" s="137">
        <v>0.82499999999999996</v>
      </c>
      <c r="M165" s="137">
        <v>0.71428571428571397</v>
      </c>
      <c r="N165" s="136">
        <v>1</v>
      </c>
      <c r="O165" s="157">
        <v>43798</v>
      </c>
      <c r="P165" s="98">
        <f t="shared" si="25"/>
        <v>0</v>
      </c>
      <c r="Q165" s="113">
        <v>2.5499999999999998</v>
      </c>
      <c r="R165" s="113">
        <v>3.3</v>
      </c>
      <c r="S165" s="113">
        <v>0</v>
      </c>
      <c r="T165" s="119" t="s">
        <v>48</v>
      </c>
      <c r="U165" s="89" t="s">
        <v>2955</v>
      </c>
      <c r="V165" s="172" t="s">
        <v>2956</v>
      </c>
      <c r="W165" s="69">
        <v>58</v>
      </c>
      <c r="X165" s="69">
        <v>1</v>
      </c>
      <c r="Y165" s="69">
        <v>4</v>
      </c>
      <c r="Z165" s="69"/>
      <c r="AA165" t="s">
        <v>4522</v>
      </c>
      <c r="AB165" t="s">
        <v>51</v>
      </c>
      <c r="AC165" t="s">
        <v>4353</v>
      </c>
      <c r="AD165" t="s">
        <v>4506</v>
      </c>
      <c r="AE165" t="s">
        <v>4513</v>
      </c>
      <c r="AF165" t="s">
        <v>4761</v>
      </c>
      <c r="AG165" t="s">
        <v>4353</v>
      </c>
      <c r="AH165" t="s">
        <v>4506</v>
      </c>
      <c r="AI165" t="s">
        <v>4353</v>
      </c>
      <c r="AJ165" t="s">
        <v>4506</v>
      </c>
      <c r="AK165" t="s">
        <v>4519</v>
      </c>
      <c r="AL165" t="s">
        <v>4519</v>
      </c>
      <c r="AM165" t="s">
        <v>4510</v>
      </c>
      <c r="AN165" t="s">
        <v>4550</v>
      </c>
      <c r="AO165" s="134">
        <v>111.012512030799</v>
      </c>
      <c r="AP165" s="135">
        <v>112.61583011582999</v>
      </c>
      <c r="AQ165">
        <v>0.43339768339768298</v>
      </c>
      <c r="AR165" s="136">
        <v>1.22779922779923</v>
      </c>
      <c r="AS165">
        <v>7.1081081081081097</v>
      </c>
    </row>
    <row r="166" spans="1:45" customFormat="1" ht="76">
      <c r="A166" s="65">
        <v>68</v>
      </c>
      <c r="B166" s="69" t="s">
        <v>217</v>
      </c>
      <c r="C166" s="69" t="s">
        <v>119</v>
      </c>
      <c r="D166" s="31">
        <f t="shared" si="23"/>
        <v>1</v>
      </c>
      <c r="E166" s="69" t="s">
        <v>221</v>
      </c>
      <c r="F166" s="31">
        <f t="shared" si="24"/>
        <v>2</v>
      </c>
      <c r="G166" s="137" t="s">
        <v>250</v>
      </c>
      <c r="H166" s="138">
        <v>71</v>
      </c>
      <c r="I166" s="92">
        <f t="shared" si="22"/>
        <v>0.87499461961548142</v>
      </c>
      <c r="J166" s="95">
        <v>0.99998923923096295</v>
      </c>
      <c r="K166" s="137">
        <v>0.79285714285714304</v>
      </c>
      <c r="L166" s="137">
        <v>0.75</v>
      </c>
      <c r="M166" s="137">
        <v>0.85714285714285698</v>
      </c>
      <c r="N166" s="136">
        <v>0</v>
      </c>
      <c r="O166" s="193">
        <v>43796</v>
      </c>
      <c r="P166" s="98">
        <f t="shared" si="25"/>
        <v>2</v>
      </c>
      <c r="Q166" s="111">
        <v>0</v>
      </c>
      <c r="R166" s="111">
        <v>1.65</v>
      </c>
      <c r="S166" s="111">
        <v>0</v>
      </c>
      <c r="T166" s="112" t="s">
        <v>64</v>
      </c>
      <c r="U166" s="137" t="s">
        <v>251</v>
      </c>
      <c r="V166" s="137" t="s">
        <v>252</v>
      </c>
      <c r="W166" s="69">
        <v>90</v>
      </c>
      <c r="X166" s="69">
        <v>1</v>
      </c>
      <c r="Y166" s="69">
        <v>1</v>
      </c>
      <c r="AA166" t="s">
        <v>4564</v>
      </c>
      <c r="AB166" t="s">
        <v>51</v>
      </c>
      <c r="AC166" t="s">
        <v>223</v>
      </c>
      <c r="AD166" t="s">
        <v>4689</v>
      </c>
      <c r="AE166" t="s">
        <v>4515</v>
      </c>
      <c r="AF166" t="s">
        <v>4602</v>
      </c>
      <c r="AG166" t="s">
        <v>4353</v>
      </c>
      <c r="AH166" t="s">
        <v>4506</v>
      </c>
      <c r="AI166" t="s">
        <v>4353</v>
      </c>
      <c r="AJ166" t="s">
        <v>4506</v>
      </c>
      <c r="AK166" t="s">
        <v>4519</v>
      </c>
      <c r="AL166" t="s">
        <v>4552</v>
      </c>
      <c r="AM166" t="s">
        <v>4562</v>
      </c>
      <c r="AN166" t="s">
        <v>4742</v>
      </c>
      <c r="AO166" s="134">
        <v>111.05105973025</v>
      </c>
      <c r="AP166" s="135">
        <v>112.704743465634</v>
      </c>
      <c r="AQ166">
        <v>0.43368828654404601</v>
      </c>
      <c r="AR166" s="136">
        <v>1.2284607938044501</v>
      </c>
      <c r="AS166">
        <v>7.1064859632139399</v>
      </c>
    </row>
    <row r="167" spans="1:45" customFormat="1" ht="46">
      <c r="A167" s="65">
        <v>844</v>
      </c>
      <c r="B167" s="69" t="s">
        <v>2287</v>
      </c>
      <c r="C167" s="69" t="s">
        <v>59</v>
      </c>
      <c r="D167" s="31">
        <f t="shared" si="23"/>
        <v>5</v>
      </c>
      <c r="E167" s="69" t="s">
        <v>664</v>
      </c>
      <c r="F167" s="31">
        <f t="shared" si="24"/>
        <v>1</v>
      </c>
      <c r="G167" s="188" t="s">
        <v>2294</v>
      </c>
      <c r="H167" s="138">
        <v>26</v>
      </c>
      <c r="I167" s="92">
        <f t="shared" si="22"/>
        <v>0.36283268465882978</v>
      </c>
      <c r="J167" s="95">
        <v>4.3847187499477601E-2</v>
      </c>
      <c r="K167" s="137">
        <v>0.72827870552673202</v>
      </c>
      <c r="L167" s="137">
        <v>0.68181818181818199</v>
      </c>
      <c r="M167" s="137">
        <v>0.79796949108955795</v>
      </c>
      <c r="N167" s="136">
        <v>1</v>
      </c>
      <c r="O167" s="154">
        <v>43796</v>
      </c>
      <c r="P167" s="98">
        <f t="shared" si="25"/>
        <v>1</v>
      </c>
      <c r="Q167" s="111">
        <v>0</v>
      </c>
      <c r="R167" s="111">
        <v>3.3</v>
      </c>
      <c r="S167" s="111">
        <v>1.87</v>
      </c>
      <c r="T167" s="112" t="s">
        <v>73</v>
      </c>
      <c r="U167" s="169" t="s">
        <v>2295</v>
      </c>
      <c r="V167" s="137" t="s">
        <v>2296</v>
      </c>
      <c r="W167" s="69">
        <v>57</v>
      </c>
      <c r="X167" s="195">
        <v>2</v>
      </c>
      <c r="Y167" s="195">
        <v>2</v>
      </c>
      <c r="Z167" s="69"/>
      <c r="AA167" t="s">
        <v>4564</v>
      </c>
      <c r="AB167" t="s">
        <v>4576</v>
      </c>
      <c r="AC167" t="s">
        <v>223</v>
      </c>
      <c r="AD167" t="s">
        <v>4762</v>
      </c>
      <c r="AE167" t="s">
        <v>4515</v>
      </c>
      <c r="AF167" t="s">
        <v>4763</v>
      </c>
      <c r="AG167" t="s">
        <v>4515</v>
      </c>
      <c r="AH167" t="s">
        <v>4763</v>
      </c>
      <c r="AI167" t="s">
        <v>4353</v>
      </c>
      <c r="AJ167" t="s">
        <v>4506</v>
      </c>
      <c r="AK167" t="s">
        <v>4519</v>
      </c>
      <c r="AL167" t="s">
        <v>4519</v>
      </c>
      <c r="AM167" t="s">
        <v>4528</v>
      </c>
      <c r="AN167" t="s">
        <v>4529</v>
      </c>
      <c r="AO167" s="134">
        <v>111.133076181292</v>
      </c>
      <c r="AP167" s="135">
        <v>112.704743465634</v>
      </c>
      <c r="AQ167">
        <v>0.43495145631068</v>
      </c>
      <c r="AR167" s="136">
        <v>1.2284607938044501</v>
      </c>
      <c r="AS167">
        <v>7.1064859632139399</v>
      </c>
    </row>
    <row r="168" spans="1:45" customFormat="1" ht="90">
      <c r="A168" s="65">
        <v>985</v>
      </c>
      <c r="B168" s="69" t="s">
        <v>2638</v>
      </c>
      <c r="C168" s="69" t="s">
        <v>119</v>
      </c>
      <c r="D168" s="31">
        <f t="shared" si="23"/>
        <v>1</v>
      </c>
      <c r="E168" s="69" t="s">
        <v>46</v>
      </c>
      <c r="F168" s="31">
        <f t="shared" si="24"/>
        <v>6</v>
      </c>
      <c r="G168" s="139" t="s">
        <v>2668</v>
      </c>
      <c r="H168" s="138">
        <v>148</v>
      </c>
      <c r="I168" s="92">
        <f t="shared" si="22"/>
        <v>0.9124999950031385</v>
      </c>
      <c r="J168" s="95">
        <v>0.99999999000627704</v>
      </c>
      <c r="K168" s="137">
        <v>0.72357142857142898</v>
      </c>
      <c r="L168" s="137">
        <v>0.82499999999999996</v>
      </c>
      <c r="M168" s="137">
        <v>0.57142857142857095</v>
      </c>
      <c r="N168" s="136">
        <v>1</v>
      </c>
      <c r="O168" s="157">
        <v>43795</v>
      </c>
      <c r="P168" s="98">
        <f t="shared" si="25"/>
        <v>1</v>
      </c>
      <c r="Q168" s="124">
        <v>2.5499999999999998</v>
      </c>
      <c r="R168" s="124">
        <v>0</v>
      </c>
      <c r="S168" s="124">
        <v>0</v>
      </c>
      <c r="T168" s="170" t="s">
        <v>73</v>
      </c>
      <c r="U168" s="89" t="s">
        <v>2669</v>
      </c>
      <c r="V168" s="172" t="s">
        <v>2670</v>
      </c>
      <c r="W168" s="69">
        <v>86</v>
      </c>
      <c r="X168" s="69">
        <v>2</v>
      </c>
      <c r="Y168" s="69">
        <v>9</v>
      </c>
      <c r="Z168" s="69"/>
      <c r="AA168" t="s">
        <v>4764</v>
      </c>
      <c r="AB168" t="s">
        <v>51</v>
      </c>
      <c r="AC168" t="s">
        <v>223</v>
      </c>
      <c r="AD168" t="s">
        <v>4555</v>
      </c>
      <c r="AE168" t="s">
        <v>4513</v>
      </c>
      <c r="AF168" t="s">
        <v>4765</v>
      </c>
      <c r="AG168" t="s">
        <v>4353</v>
      </c>
      <c r="AH168" t="s">
        <v>4506</v>
      </c>
      <c r="AI168" t="s">
        <v>4353</v>
      </c>
      <c r="AJ168" t="s">
        <v>4506</v>
      </c>
      <c r="AK168" t="s">
        <v>4518</v>
      </c>
      <c r="AL168" t="s">
        <v>4552</v>
      </c>
      <c r="AM168" t="s">
        <v>4766</v>
      </c>
      <c r="AN168" t="s">
        <v>4767</v>
      </c>
      <c r="AO168" s="134">
        <v>111.204633204633</v>
      </c>
      <c r="AP168" s="135">
        <v>112.674757281553</v>
      </c>
      <c r="AQ168">
        <v>0.43495145631068</v>
      </c>
      <c r="AR168" s="136">
        <v>1.2291262135922301</v>
      </c>
      <c r="AS168">
        <v>7.1213592233009697</v>
      </c>
    </row>
    <row r="169" spans="1:45" customFormat="1" ht="61">
      <c r="A169" s="65">
        <v>845</v>
      </c>
      <c r="B169" s="69" t="s">
        <v>2287</v>
      </c>
      <c r="C169" s="69" t="s">
        <v>59</v>
      </c>
      <c r="D169" s="31">
        <f t="shared" si="23"/>
        <v>5</v>
      </c>
      <c r="E169" s="69" t="s">
        <v>221</v>
      </c>
      <c r="F169" s="31">
        <f t="shared" si="24"/>
        <v>2</v>
      </c>
      <c r="G169" s="169" t="s">
        <v>2297</v>
      </c>
      <c r="H169" s="138">
        <v>37</v>
      </c>
      <c r="I169" s="92">
        <f t="shared" si="22"/>
        <v>0.85039879552692599</v>
      </c>
      <c r="J169" s="95">
        <v>0.95079759105385198</v>
      </c>
      <c r="K169" s="137">
        <v>0.85</v>
      </c>
      <c r="L169" s="137">
        <v>0.75</v>
      </c>
      <c r="M169" s="137">
        <v>1</v>
      </c>
      <c r="N169" s="136">
        <v>1</v>
      </c>
      <c r="O169" s="154">
        <v>43795</v>
      </c>
      <c r="P169" s="98">
        <f t="shared" si="25"/>
        <v>2</v>
      </c>
      <c r="Q169" s="111">
        <v>2.5499999999999998</v>
      </c>
      <c r="R169" s="111">
        <v>3.3</v>
      </c>
      <c r="S169" s="111">
        <v>0</v>
      </c>
      <c r="T169" s="112" t="s">
        <v>64</v>
      </c>
      <c r="U169" s="137" t="s">
        <v>2298</v>
      </c>
      <c r="V169" s="136" t="s">
        <v>2299</v>
      </c>
      <c r="W169" s="69">
        <v>79</v>
      </c>
      <c r="X169" s="69">
        <v>1</v>
      </c>
      <c r="Y169" s="69">
        <v>0</v>
      </c>
      <c r="Z169" s="69"/>
      <c r="AA169" t="s">
        <v>4543</v>
      </c>
      <c r="AB169" t="s">
        <v>51</v>
      </c>
      <c r="AC169" t="s">
        <v>4353</v>
      </c>
      <c r="AD169" t="s">
        <v>4506</v>
      </c>
      <c r="AE169" t="s">
        <v>223</v>
      </c>
      <c r="AF169" t="s">
        <v>4540</v>
      </c>
      <c r="AG169" t="s">
        <v>4353</v>
      </c>
      <c r="AH169" t="s">
        <v>4506</v>
      </c>
      <c r="AI169" t="s">
        <v>4353</v>
      </c>
      <c r="AJ169" t="s">
        <v>4506</v>
      </c>
      <c r="AK169" t="s">
        <v>4519</v>
      </c>
      <c r="AL169" t="s">
        <v>4519</v>
      </c>
      <c r="AM169" t="s">
        <v>4562</v>
      </c>
      <c r="AN169" t="s">
        <v>4563</v>
      </c>
      <c r="AO169" s="134">
        <v>111.16908212560401</v>
      </c>
      <c r="AP169" s="135">
        <v>112.674757281553</v>
      </c>
      <c r="AQ169">
        <v>0.43495145631068</v>
      </c>
      <c r="AR169" s="136">
        <v>1.2291262135922301</v>
      </c>
      <c r="AS169">
        <v>7.1213592233009697</v>
      </c>
    </row>
    <row r="170" spans="1:45" customFormat="1" ht="91">
      <c r="A170">
        <v>659</v>
      </c>
      <c r="B170" s="69" t="s">
        <v>1790</v>
      </c>
      <c r="C170" s="69" t="s">
        <v>45</v>
      </c>
      <c r="D170" s="31">
        <f t="shared" si="23"/>
        <v>4</v>
      </c>
      <c r="E170" s="69" t="s">
        <v>80</v>
      </c>
      <c r="F170" s="31">
        <f t="shared" si="24"/>
        <v>4</v>
      </c>
      <c r="G170" s="169" t="s">
        <v>1810</v>
      </c>
      <c r="H170" s="138">
        <v>79</v>
      </c>
      <c r="I170" s="92">
        <f t="shared" si="22"/>
        <v>0.486548429652854</v>
      </c>
      <c r="J170" s="95">
        <v>0.14809685930570801</v>
      </c>
      <c r="K170" s="137">
        <v>0.78071428571428603</v>
      </c>
      <c r="L170" s="137">
        <v>0.82499999999999996</v>
      </c>
      <c r="M170" s="137">
        <v>0.71428571428571397</v>
      </c>
      <c r="N170" s="136">
        <v>1</v>
      </c>
      <c r="O170" s="154">
        <v>43794</v>
      </c>
      <c r="P170" s="98">
        <f t="shared" si="25"/>
        <v>0</v>
      </c>
      <c r="Q170" s="111">
        <v>2.5499999999999998</v>
      </c>
      <c r="R170" s="111">
        <v>1.65</v>
      </c>
      <c r="S170" s="111">
        <v>0</v>
      </c>
      <c r="T170" s="112" t="s">
        <v>48</v>
      </c>
      <c r="U170" s="147" t="s">
        <v>1811</v>
      </c>
      <c r="V170" s="137" t="s">
        <v>1812</v>
      </c>
      <c r="W170" s="69">
        <v>111</v>
      </c>
      <c r="X170" s="171">
        <v>2</v>
      </c>
      <c r="Y170" s="171">
        <v>4</v>
      </c>
      <c r="Z170" s="69"/>
      <c r="AA170" t="s">
        <v>4512</v>
      </c>
      <c r="AB170" t="s">
        <v>51</v>
      </c>
      <c r="AC170" t="s">
        <v>223</v>
      </c>
      <c r="AD170" t="s">
        <v>4768</v>
      </c>
      <c r="AE170" t="s">
        <v>4530</v>
      </c>
      <c r="AF170" t="s">
        <v>4763</v>
      </c>
      <c r="AG170" t="s">
        <v>223</v>
      </c>
      <c r="AH170" t="s">
        <v>4768</v>
      </c>
      <c r="AI170" t="s">
        <v>4353</v>
      </c>
      <c r="AJ170" t="s">
        <v>4506</v>
      </c>
      <c r="AK170" t="s">
        <v>4519</v>
      </c>
      <c r="AL170" t="s">
        <v>4552</v>
      </c>
      <c r="AM170" t="s">
        <v>4510</v>
      </c>
      <c r="AN170" t="s">
        <v>4634</v>
      </c>
      <c r="AO170" s="134">
        <v>111.20019342359799</v>
      </c>
      <c r="AP170" s="135">
        <v>112.66180758017499</v>
      </c>
      <c r="AQ170">
        <v>0.43537414965986398</v>
      </c>
      <c r="AR170" s="136">
        <v>1.22934888241011</v>
      </c>
      <c r="AS170">
        <v>7.12633624878523</v>
      </c>
    </row>
    <row r="171" spans="1:45" customFormat="1" ht="61">
      <c r="A171">
        <v>846</v>
      </c>
      <c r="B171" s="69" t="s">
        <v>2287</v>
      </c>
      <c r="C171" s="69" t="s">
        <v>59</v>
      </c>
      <c r="D171" s="31">
        <f t="shared" si="23"/>
        <v>5</v>
      </c>
      <c r="E171" s="69" t="s">
        <v>221</v>
      </c>
      <c r="F171" s="31">
        <f t="shared" si="24"/>
        <v>2</v>
      </c>
      <c r="G171" s="137" t="s">
        <v>2300</v>
      </c>
      <c r="H171" s="138">
        <v>49</v>
      </c>
      <c r="I171" s="92">
        <f t="shared" si="22"/>
        <v>0.61672661640059001</v>
      </c>
      <c r="J171" s="95">
        <v>0.66996713212499703</v>
      </c>
      <c r="K171" s="137">
        <v>0.63911732854463099</v>
      </c>
      <c r="L171" s="137">
        <v>0.56348610067618299</v>
      </c>
      <c r="M171" s="137">
        <v>0.75256417034730305</v>
      </c>
      <c r="N171" s="136">
        <v>1</v>
      </c>
      <c r="O171" s="154">
        <v>43792</v>
      </c>
      <c r="P171" s="98">
        <f t="shared" si="25"/>
        <v>2</v>
      </c>
      <c r="Q171" s="107">
        <v>2.5499999999999998</v>
      </c>
      <c r="R171" s="107">
        <v>0</v>
      </c>
      <c r="S171" s="107">
        <v>0</v>
      </c>
      <c r="T171" s="108" t="s">
        <v>64</v>
      </c>
      <c r="U171" s="137" t="s">
        <v>2301</v>
      </c>
      <c r="V171" s="137" t="s">
        <v>2302</v>
      </c>
      <c r="W171" s="69">
        <v>77</v>
      </c>
      <c r="X171" s="69">
        <v>1</v>
      </c>
      <c r="Y171" s="69">
        <v>3</v>
      </c>
      <c r="Z171" s="69"/>
      <c r="AA171" t="s">
        <v>4522</v>
      </c>
      <c r="AB171" t="s">
        <v>51</v>
      </c>
      <c r="AC171" t="s">
        <v>4353</v>
      </c>
      <c r="AD171" t="s">
        <v>4506</v>
      </c>
      <c r="AE171" t="s">
        <v>4515</v>
      </c>
      <c r="AF171" t="s">
        <v>4769</v>
      </c>
      <c r="AG171" t="s">
        <v>4353</v>
      </c>
      <c r="AH171" t="s">
        <v>4506</v>
      </c>
      <c r="AI171" t="s">
        <v>4353</v>
      </c>
      <c r="AJ171" t="s">
        <v>4506</v>
      </c>
      <c r="AK171" t="s">
        <v>4519</v>
      </c>
      <c r="AL171" t="s">
        <v>4519</v>
      </c>
      <c r="AM171" t="s">
        <v>4562</v>
      </c>
      <c r="AN171" t="s">
        <v>4563</v>
      </c>
      <c r="AO171" s="134">
        <v>111.142303969022</v>
      </c>
      <c r="AP171" s="135">
        <v>112.66180758017499</v>
      </c>
      <c r="AQ171">
        <v>0.43537414965986398</v>
      </c>
      <c r="AR171" s="136">
        <v>1.22934888241011</v>
      </c>
      <c r="AS171">
        <v>7.12633624878523</v>
      </c>
    </row>
    <row r="172" spans="1:45" customFormat="1" ht="91">
      <c r="A172">
        <v>847</v>
      </c>
      <c r="B172" s="69" t="s">
        <v>2287</v>
      </c>
      <c r="C172" s="69" t="s">
        <v>59</v>
      </c>
      <c r="D172" s="31">
        <f t="shared" si="23"/>
        <v>5</v>
      </c>
      <c r="E172" s="69" t="s">
        <v>221</v>
      </c>
      <c r="F172" s="31">
        <f t="shared" si="24"/>
        <v>2</v>
      </c>
      <c r="G172" s="147" t="s">
        <v>2303</v>
      </c>
      <c r="H172" s="138">
        <v>49</v>
      </c>
      <c r="I172" s="92">
        <f t="shared" si="22"/>
        <v>0.61672661640059001</v>
      </c>
      <c r="J172" s="95">
        <v>0.66996713212499703</v>
      </c>
      <c r="K172" s="137">
        <v>0.65727945684153299</v>
      </c>
      <c r="L172" s="137">
        <v>0.56348610067618299</v>
      </c>
      <c r="M172" s="137">
        <v>0.79796949108955795</v>
      </c>
      <c r="N172" s="136">
        <v>1</v>
      </c>
      <c r="O172" s="154">
        <v>43792</v>
      </c>
      <c r="P172" s="98">
        <f t="shared" si="25"/>
        <v>1</v>
      </c>
      <c r="Q172" s="111">
        <v>5.0999999999999996</v>
      </c>
      <c r="R172" s="111">
        <v>0</v>
      </c>
      <c r="S172" s="111">
        <v>0</v>
      </c>
      <c r="T172" s="112" t="s">
        <v>73</v>
      </c>
      <c r="U172" s="188" t="s">
        <v>2301</v>
      </c>
      <c r="V172" s="137" t="s">
        <v>2304</v>
      </c>
      <c r="W172" s="69">
        <v>126</v>
      </c>
      <c r="X172" s="195">
        <v>1</v>
      </c>
      <c r="Y172" s="195">
        <v>2</v>
      </c>
      <c r="Z172" s="69"/>
      <c r="AA172" t="s">
        <v>4522</v>
      </c>
      <c r="AB172" t="s">
        <v>358</v>
      </c>
      <c r="AC172" t="s">
        <v>4353</v>
      </c>
      <c r="AD172" t="s">
        <v>4506</v>
      </c>
      <c r="AE172" t="s">
        <v>4353</v>
      </c>
      <c r="AF172" t="s">
        <v>4506</v>
      </c>
      <c r="AG172" t="s">
        <v>4353</v>
      </c>
      <c r="AH172" t="s">
        <v>4506</v>
      </c>
      <c r="AI172" t="s">
        <v>223</v>
      </c>
      <c r="AJ172" t="s">
        <v>4710</v>
      </c>
      <c r="AK172" t="s">
        <v>4519</v>
      </c>
      <c r="AL172" t="s">
        <v>4519</v>
      </c>
      <c r="AM172" t="s">
        <v>4562</v>
      </c>
      <c r="AN172" t="s">
        <v>4563</v>
      </c>
      <c r="AO172" s="134">
        <v>111.202519379845</v>
      </c>
      <c r="AP172" s="135">
        <v>112.66180758017499</v>
      </c>
      <c r="AQ172">
        <v>0.43537414965986398</v>
      </c>
      <c r="AR172" s="136">
        <v>1.22934888241011</v>
      </c>
      <c r="AS172">
        <v>7.12633624878523</v>
      </c>
    </row>
    <row r="173" spans="1:45" customFormat="1" ht="166">
      <c r="A173">
        <v>443</v>
      </c>
      <c r="B173" s="69" t="s">
        <v>1222</v>
      </c>
      <c r="C173" s="69" t="s">
        <v>45</v>
      </c>
      <c r="D173" s="31">
        <f t="shared" si="23"/>
        <v>4</v>
      </c>
      <c r="E173" s="69" t="s">
        <v>46</v>
      </c>
      <c r="F173" s="31">
        <f t="shared" si="24"/>
        <v>6</v>
      </c>
      <c r="G173" s="188" t="s">
        <v>1263</v>
      </c>
      <c r="H173" s="138">
        <v>171</v>
      </c>
      <c r="I173" s="92">
        <f t="shared" si="22"/>
        <v>0.45375142068064045</v>
      </c>
      <c r="J173" s="95">
        <v>2.8413612809252702E-6</v>
      </c>
      <c r="K173" s="137">
        <v>0.84552566813892105</v>
      </c>
      <c r="L173" s="137">
        <v>0.90749999999999997</v>
      </c>
      <c r="M173" s="137">
        <v>0.75256417034730305</v>
      </c>
      <c r="N173" s="136">
        <v>1</v>
      </c>
      <c r="O173" s="154">
        <v>43792</v>
      </c>
      <c r="P173" s="98">
        <f t="shared" si="25"/>
        <v>0</v>
      </c>
      <c r="Q173" s="111">
        <v>2.5499999999999998</v>
      </c>
      <c r="R173" s="111">
        <v>1.65</v>
      </c>
      <c r="S173" s="111">
        <v>0</v>
      </c>
      <c r="T173" s="112" t="s">
        <v>48</v>
      </c>
      <c r="U173" s="137" t="s">
        <v>1264</v>
      </c>
      <c r="V173" s="137" t="s">
        <v>1265</v>
      </c>
      <c r="W173" s="69">
        <v>213</v>
      </c>
      <c r="X173" s="195">
        <v>1</v>
      </c>
      <c r="Y173" s="195">
        <v>3</v>
      </c>
      <c r="AA173" t="s">
        <v>4543</v>
      </c>
      <c r="AB173" t="s">
        <v>51</v>
      </c>
      <c r="AC173" t="s">
        <v>223</v>
      </c>
      <c r="AD173" t="s">
        <v>4770</v>
      </c>
      <c r="AE173" t="s">
        <v>4538</v>
      </c>
      <c r="AF173" t="s">
        <v>4771</v>
      </c>
      <c r="AG173" t="s">
        <v>223</v>
      </c>
      <c r="AH173" t="s">
        <v>4770</v>
      </c>
      <c r="AI173" t="s">
        <v>4353</v>
      </c>
      <c r="AJ173" t="s">
        <v>4506</v>
      </c>
      <c r="AK173" t="s">
        <v>4519</v>
      </c>
      <c r="AL173" t="s">
        <v>4519</v>
      </c>
      <c r="AM173" t="s">
        <v>4528</v>
      </c>
      <c r="AN173" t="s">
        <v>4529</v>
      </c>
      <c r="AO173" s="134">
        <v>111.262851600388</v>
      </c>
      <c r="AP173" s="135">
        <v>112.66180758017499</v>
      </c>
      <c r="AQ173">
        <v>0.43537414965986398</v>
      </c>
      <c r="AR173" s="136">
        <v>1.22934888241011</v>
      </c>
      <c r="AS173">
        <v>7.12633624878523</v>
      </c>
    </row>
    <row r="174" spans="1:45" customFormat="1" ht="106">
      <c r="A174">
        <v>894</v>
      </c>
      <c r="B174" s="69" t="s">
        <v>2418</v>
      </c>
      <c r="C174" s="69" t="s">
        <v>59</v>
      </c>
      <c r="D174" s="31">
        <f t="shared" si="23"/>
        <v>5</v>
      </c>
      <c r="E174" s="69" t="s">
        <v>46</v>
      </c>
      <c r="F174" s="31">
        <f t="shared" si="24"/>
        <v>6</v>
      </c>
      <c r="G174" s="189" t="s">
        <v>2437</v>
      </c>
      <c r="H174" s="138">
        <v>34</v>
      </c>
      <c r="I174" s="92">
        <f t="shared" si="22"/>
        <v>0.43632794047526746</v>
      </c>
      <c r="J174" s="95">
        <v>0.19083769913235299</v>
      </c>
      <c r="K174" s="137">
        <v>0.80909090909090897</v>
      </c>
      <c r="L174" s="137">
        <v>0.68181818181818199</v>
      </c>
      <c r="M174" s="137">
        <v>1</v>
      </c>
      <c r="N174" s="136">
        <v>1</v>
      </c>
      <c r="O174" s="154">
        <v>43788</v>
      </c>
      <c r="P174" s="98">
        <f t="shared" si="25"/>
        <v>2</v>
      </c>
      <c r="Q174" s="111">
        <v>10.199999999999999</v>
      </c>
      <c r="R174" s="111">
        <v>3.3</v>
      </c>
      <c r="S174" s="111">
        <v>1.87</v>
      </c>
      <c r="T174" s="112" t="s">
        <v>64</v>
      </c>
      <c r="U174" s="189" t="s">
        <v>2438</v>
      </c>
      <c r="V174" s="137" t="s">
        <v>2439</v>
      </c>
      <c r="W174" s="69">
        <v>81</v>
      </c>
      <c r="X174" s="195">
        <v>1</v>
      </c>
      <c r="Y174" s="195">
        <v>0</v>
      </c>
      <c r="Z174" s="69"/>
      <c r="AA174" t="s">
        <v>4564</v>
      </c>
      <c r="AB174" t="s">
        <v>51</v>
      </c>
      <c r="AC174" t="s">
        <v>223</v>
      </c>
      <c r="AD174" t="s">
        <v>4639</v>
      </c>
      <c r="AE174" t="s">
        <v>4515</v>
      </c>
      <c r="AF174" t="s">
        <v>4729</v>
      </c>
      <c r="AG174" t="s">
        <v>4353</v>
      </c>
      <c r="AH174" t="s">
        <v>4506</v>
      </c>
      <c r="AI174" t="s">
        <v>4353</v>
      </c>
      <c r="AJ174" t="s">
        <v>4506</v>
      </c>
      <c r="AK174" t="s">
        <v>4519</v>
      </c>
      <c r="AL174" t="s">
        <v>4519</v>
      </c>
      <c r="AM174" t="s">
        <v>4528</v>
      </c>
      <c r="AN174" t="s">
        <v>4529</v>
      </c>
      <c r="AO174" s="134">
        <v>111.33786407767001</v>
      </c>
      <c r="AP174" s="135">
        <v>112.51609756097599</v>
      </c>
      <c r="AQ174">
        <v>0.431219512195122</v>
      </c>
      <c r="AR174" s="136">
        <v>1.2292682926829299</v>
      </c>
      <c r="AS174">
        <v>7.12</v>
      </c>
    </row>
    <row r="175" spans="1:45" customFormat="1" ht="196">
      <c r="A175">
        <v>1106</v>
      </c>
      <c r="B175" s="69" t="s">
        <v>3001</v>
      </c>
      <c r="C175" s="69" t="s">
        <v>45</v>
      </c>
      <c r="D175" s="31">
        <f t="shared" si="23"/>
        <v>4</v>
      </c>
      <c r="E175" s="69" t="s">
        <v>46</v>
      </c>
      <c r="F175" s="31">
        <f t="shared" si="24"/>
        <v>6</v>
      </c>
      <c r="G175" s="89" t="s">
        <v>3005</v>
      </c>
      <c r="H175" s="138">
        <v>19</v>
      </c>
      <c r="I175" s="92">
        <f t="shared" si="22"/>
        <v>0.4936102388196385</v>
      </c>
      <c r="J175" s="95">
        <v>0.23722047763927701</v>
      </c>
      <c r="K175" s="137">
        <v>0.73571428571428599</v>
      </c>
      <c r="L175" s="137">
        <v>0.75</v>
      </c>
      <c r="M175" s="137">
        <v>0.71428571428571397</v>
      </c>
      <c r="N175" s="136">
        <v>1</v>
      </c>
      <c r="O175" s="157">
        <v>43787</v>
      </c>
      <c r="P175" s="98">
        <f t="shared" si="25"/>
        <v>0</v>
      </c>
      <c r="Q175" s="113">
        <v>5.0999999999999996</v>
      </c>
      <c r="R175" s="113">
        <v>0</v>
      </c>
      <c r="S175" s="113">
        <v>0</v>
      </c>
      <c r="T175" s="119" t="s">
        <v>48</v>
      </c>
      <c r="U175" s="139" t="s">
        <v>3006</v>
      </c>
      <c r="V175" s="172" t="s">
        <v>3007</v>
      </c>
      <c r="W175" s="69">
        <v>287</v>
      </c>
      <c r="X175" s="69">
        <v>2</v>
      </c>
      <c r="Y175" s="69">
        <v>4</v>
      </c>
      <c r="Z175" s="69"/>
      <c r="AA175" t="s">
        <v>4603</v>
      </c>
      <c r="AB175" t="s">
        <v>51</v>
      </c>
      <c r="AC175" t="s">
        <v>4513</v>
      </c>
      <c r="AD175" t="s">
        <v>4772</v>
      </c>
      <c r="AE175" t="s">
        <v>4530</v>
      </c>
      <c r="AF175" t="s">
        <v>4773</v>
      </c>
      <c r="AG175" t="s">
        <v>4515</v>
      </c>
      <c r="AH175" t="s">
        <v>4774</v>
      </c>
      <c r="AI175" t="s">
        <v>4353</v>
      </c>
      <c r="AJ175" t="s">
        <v>4506</v>
      </c>
      <c r="AK175" t="s">
        <v>4519</v>
      </c>
      <c r="AL175" t="s">
        <v>4519</v>
      </c>
      <c r="AM175" t="s">
        <v>4510</v>
      </c>
      <c r="AN175" t="s">
        <v>4550</v>
      </c>
      <c r="AO175" s="134">
        <v>111.427599611273</v>
      </c>
      <c r="AP175" s="135">
        <v>112.484375</v>
      </c>
      <c r="AQ175">
        <v>0.4306640625</v>
      </c>
      <c r="AR175" s="136">
        <v>1.2294921875</v>
      </c>
      <c r="AS175">
        <v>7.123046875</v>
      </c>
    </row>
    <row r="176" spans="1:45" customFormat="1" ht="61">
      <c r="A176">
        <v>1018</v>
      </c>
      <c r="B176" s="69" t="s">
        <v>2752</v>
      </c>
      <c r="C176" s="69" t="s">
        <v>45</v>
      </c>
      <c r="D176" s="31">
        <f t="shared" si="23"/>
        <v>4</v>
      </c>
      <c r="E176" s="69" t="s">
        <v>221</v>
      </c>
      <c r="F176" s="31">
        <f t="shared" si="24"/>
        <v>2</v>
      </c>
      <c r="G176" s="190" t="s">
        <v>2765</v>
      </c>
      <c r="H176" s="138">
        <v>21</v>
      </c>
      <c r="I176" s="92">
        <f t="shared" si="22"/>
        <v>0.40473181728595603</v>
      </c>
      <c r="J176" s="95">
        <v>5.9463634571912102E-2</v>
      </c>
      <c r="K176" s="137">
        <v>0.66047858340826304</v>
      </c>
      <c r="L176" s="137">
        <v>0.75</v>
      </c>
      <c r="M176" s="137">
        <v>0.526196458520657</v>
      </c>
      <c r="N176" s="136">
        <v>1</v>
      </c>
      <c r="O176" s="157">
        <v>43786</v>
      </c>
      <c r="P176" s="98">
        <f t="shared" si="25"/>
        <v>1</v>
      </c>
      <c r="Q176" s="124">
        <v>2.5499999999999998</v>
      </c>
      <c r="R176" s="124">
        <v>0</v>
      </c>
      <c r="S176" s="124">
        <v>0</v>
      </c>
      <c r="T176" s="125" t="s">
        <v>73</v>
      </c>
      <c r="U176" s="139" t="s">
        <v>2766</v>
      </c>
      <c r="V176" s="172" t="s">
        <v>2767</v>
      </c>
      <c r="W176" s="69">
        <v>78</v>
      </c>
      <c r="X176" s="195">
        <v>2</v>
      </c>
      <c r="Y176" s="195">
        <v>11</v>
      </c>
      <c r="Z176" s="69"/>
      <c r="AA176" t="s">
        <v>4564</v>
      </c>
      <c r="AB176" t="s">
        <v>51</v>
      </c>
      <c r="AC176" t="s">
        <v>4353</v>
      </c>
      <c r="AD176" t="s">
        <v>4506</v>
      </c>
      <c r="AE176" t="s">
        <v>4513</v>
      </c>
      <c r="AF176" t="s">
        <v>4627</v>
      </c>
      <c r="AG176" t="s">
        <v>4353</v>
      </c>
      <c r="AH176" t="s">
        <v>4506</v>
      </c>
      <c r="AI176" t="s">
        <v>4353</v>
      </c>
      <c r="AJ176" t="s">
        <v>4506</v>
      </c>
      <c r="AK176" t="s">
        <v>4519</v>
      </c>
      <c r="AL176" t="s">
        <v>4519</v>
      </c>
      <c r="AM176" t="s">
        <v>4510</v>
      </c>
      <c r="AN176" t="s">
        <v>4550</v>
      </c>
      <c r="AO176" s="134">
        <v>111.515564202335</v>
      </c>
      <c r="AP176" s="135">
        <v>112.484375</v>
      </c>
      <c r="AQ176">
        <v>0.4306640625</v>
      </c>
      <c r="AR176" s="136">
        <v>1.2294921875</v>
      </c>
      <c r="AS176">
        <v>7.123046875</v>
      </c>
    </row>
    <row r="177" spans="1:45" customFormat="1" ht="61">
      <c r="A177">
        <v>1075</v>
      </c>
      <c r="B177" s="69" t="s">
        <v>2916</v>
      </c>
      <c r="C177" s="69" t="s">
        <v>45</v>
      </c>
      <c r="D177" s="31">
        <f t="shared" si="23"/>
        <v>4</v>
      </c>
      <c r="E177" s="69" t="s">
        <v>221</v>
      </c>
      <c r="F177" s="31">
        <f t="shared" si="24"/>
        <v>2</v>
      </c>
      <c r="G177" s="190" t="s">
        <v>2765</v>
      </c>
      <c r="H177" s="138">
        <v>21</v>
      </c>
      <c r="I177" s="92">
        <f t="shared" si="22"/>
        <v>0.40473181728595603</v>
      </c>
      <c r="J177" s="95">
        <v>5.9463634571912102E-2</v>
      </c>
      <c r="K177" s="137">
        <v>0.66047858340826304</v>
      </c>
      <c r="L177" s="137">
        <v>0.75</v>
      </c>
      <c r="M177" s="137">
        <v>0.526196458520657</v>
      </c>
      <c r="N177" s="136">
        <v>1</v>
      </c>
      <c r="O177" s="157">
        <v>43786</v>
      </c>
      <c r="P177" s="98">
        <f t="shared" si="25"/>
        <v>0</v>
      </c>
      <c r="Q177" s="113">
        <v>0</v>
      </c>
      <c r="R177" s="113">
        <v>0</v>
      </c>
      <c r="S177" s="113">
        <v>0</v>
      </c>
      <c r="T177" s="119" t="s">
        <v>48</v>
      </c>
      <c r="U177" s="139" t="s">
        <v>2766</v>
      </c>
      <c r="V177" s="172" t="s">
        <v>2767</v>
      </c>
      <c r="W177" s="69">
        <v>78</v>
      </c>
      <c r="X177" s="195">
        <v>2</v>
      </c>
      <c r="Y177" s="195">
        <v>11</v>
      </c>
      <c r="Z177" s="69"/>
      <c r="AA177" t="s">
        <v>4564</v>
      </c>
      <c r="AB177" t="s">
        <v>51</v>
      </c>
      <c r="AC177" t="s">
        <v>4353</v>
      </c>
      <c r="AD177" t="s">
        <v>4506</v>
      </c>
      <c r="AE177" t="s">
        <v>4513</v>
      </c>
      <c r="AF177" t="s">
        <v>4627</v>
      </c>
      <c r="AG177" t="s">
        <v>4353</v>
      </c>
      <c r="AH177" t="s">
        <v>4506</v>
      </c>
      <c r="AI177" t="s">
        <v>4353</v>
      </c>
      <c r="AJ177" t="s">
        <v>4506</v>
      </c>
      <c r="AK177" t="s">
        <v>4519</v>
      </c>
      <c r="AL177" t="s">
        <v>4519</v>
      </c>
      <c r="AM177" t="s">
        <v>4510</v>
      </c>
      <c r="AN177" t="s">
        <v>4550</v>
      </c>
      <c r="AO177" s="134">
        <v>111.603700097371</v>
      </c>
      <c r="AP177" s="135">
        <v>112.484375</v>
      </c>
      <c r="AQ177">
        <v>0.4306640625</v>
      </c>
      <c r="AR177" s="136">
        <v>1.2294921875</v>
      </c>
      <c r="AS177">
        <v>7.123046875</v>
      </c>
    </row>
    <row r="178" spans="1:45" customFormat="1" ht="91">
      <c r="A178" s="65">
        <v>660</v>
      </c>
      <c r="B178" s="69" t="s">
        <v>1790</v>
      </c>
      <c r="C178" s="69" t="s">
        <v>45</v>
      </c>
      <c r="D178" s="31">
        <f t="shared" si="23"/>
        <v>4</v>
      </c>
      <c r="E178" s="69" t="s">
        <v>46</v>
      </c>
      <c r="F178" s="31">
        <f t="shared" si="24"/>
        <v>6</v>
      </c>
      <c r="G178" s="169" t="s">
        <v>1813</v>
      </c>
      <c r="H178" s="138">
        <v>146</v>
      </c>
      <c r="I178" s="92">
        <f t="shared" si="22"/>
        <v>0.35151142079048803</v>
      </c>
      <c r="J178" s="95">
        <v>0.13953674090479301</v>
      </c>
      <c r="K178" s="137">
        <v>0.62380594611999596</v>
      </c>
      <c r="L178" s="137">
        <v>0.56348610067618299</v>
      </c>
      <c r="M178" s="137">
        <v>0.71428571428571397</v>
      </c>
      <c r="N178" s="136">
        <v>0</v>
      </c>
      <c r="O178" s="154">
        <v>43784</v>
      </c>
      <c r="P178" s="98">
        <f t="shared" si="25"/>
        <v>0</v>
      </c>
      <c r="Q178" s="111">
        <v>2.5499999999999998</v>
      </c>
      <c r="R178" s="111">
        <v>0</v>
      </c>
      <c r="S178" s="111">
        <v>0</v>
      </c>
      <c r="T178" s="112" t="s">
        <v>48</v>
      </c>
      <c r="U178" s="137" t="s">
        <v>1814</v>
      </c>
      <c r="V178" s="137" t="s">
        <v>1815</v>
      </c>
      <c r="W178" s="69">
        <v>114</v>
      </c>
      <c r="X178" s="69">
        <v>1</v>
      </c>
      <c r="Y178" s="69">
        <v>4</v>
      </c>
      <c r="Z178" s="69"/>
      <c r="AA178" t="s">
        <v>4775</v>
      </c>
      <c r="AB178" t="s">
        <v>51</v>
      </c>
      <c r="AC178" t="s">
        <v>223</v>
      </c>
      <c r="AD178" t="s">
        <v>4776</v>
      </c>
      <c r="AE178" t="s">
        <v>4513</v>
      </c>
      <c r="AF178" t="s">
        <v>4777</v>
      </c>
      <c r="AG178" t="s">
        <v>4353</v>
      </c>
      <c r="AH178" t="s">
        <v>4506</v>
      </c>
      <c r="AI178" t="s">
        <v>4353</v>
      </c>
      <c r="AJ178" t="s">
        <v>4506</v>
      </c>
      <c r="AK178" t="s">
        <v>4519</v>
      </c>
      <c r="AL178" t="s">
        <v>4519</v>
      </c>
      <c r="AM178" t="s">
        <v>4510</v>
      </c>
      <c r="AN178" t="s">
        <v>4550</v>
      </c>
      <c r="AO178" s="134">
        <v>111.570175438596</v>
      </c>
      <c r="AP178" s="135">
        <v>112.46920821114399</v>
      </c>
      <c r="AQ178">
        <v>0.43108504398827002</v>
      </c>
      <c r="AR178" s="136">
        <v>1.2297165200391</v>
      </c>
      <c r="AS178">
        <v>7.12707722385142</v>
      </c>
    </row>
    <row r="179" spans="1:45" customFormat="1" ht="106">
      <c r="A179">
        <v>234</v>
      </c>
      <c r="B179" s="69" t="s">
        <v>589</v>
      </c>
      <c r="C179" s="69" t="s">
        <v>45</v>
      </c>
      <c r="D179" s="31">
        <f t="shared" si="23"/>
        <v>4</v>
      </c>
      <c r="E179" s="69" t="s">
        <v>221</v>
      </c>
      <c r="F179" s="31">
        <f t="shared" si="24"/>
        <v>2</v>
      </c>
      <c r="G179" s="147" t="s">
        <v>712</v>
      </c>
      <c r="H179" s="138">
        <v>29</v>
      </c>
      <c r="I179" s="92">
        <f t="shared" si="22"/>
        <v>0.39743859391176051</v>
      </c>
      <c r="J179" s="95">
        <v>0.113059006005339</v>
      </c>
      <c r="K179" s="137">
        <v>0.69480519480519498</v>
      </c>
      <c r="L179" s="137">
        <v>0.68181818181818199</v>
      </c>
      <c r="M179" s="137">
        <v>0.71428571428571397</v>
      </c>
      <c r="N179" s="136">
        <v>0</v>
      </c>
      <c r="O179" s="193">
        <v>43783</v>
      </c>
      <c r="P179" s="98">
        <f t="shared" si="25"/>
        <v>2</v>
      </c>
      <c r="Q179" s="111">
        <v>0</v>
      </c>
      <c r="R179" s="111">
        <v>1.65</v>
      </c>
      <c r="S179" s="111">
        <v>0</v>
      </c>
      <c r="T179" s="112" t="s">
        <v>64</v>
      </c>
      <c r="U179" s="169" t="s">
        <v>713</v>
      </c>
      <c r="V179" s="137" t="s">
        <v>714</v>
      </c>
      <c r="W179" s="69">
        <v>145</v>
      </c>
      <c r="X179" s="147">
        <v>2</v>
      </c>
      <c r="Y179" s="147">
        <v>4</v>
      </c>
      <c r="AA179" t="s">
        <v>4564</v>
      </c>
      <c r="AB179" t="s">
        <v>4594</v>
      </c>
      <c r="AC179" t="s">
        <v>4530</v>
      </c>
      <c r="AD179" t="s">
        <v>4778</v>
      </c>
      <c r="AE179" t="s">
        <v>4530</v>
      </c>
      <c r="AF179" t="s">
        <v>4778</v>
      </c>
      <c r="AG179" t="s">
        <v>223</v>
      </c>
      <c r="AH179" t="s">
        <v>4736</v>
      </c>
      <c r="AI179" t="s">
        <v>4353</v>
      </c>
      <c r="AJ179" t="s">
        <v>4506</v>
      </c>
      <c r="AK179" t="s">
        <v>4519</v>
      </c>
      <c r="AL179" t="s">
        <v>4519</v>
      </c>
      <c r="AM179" t="s">
        <v>4510</v>
      </c>
      <c r="AN179" t="s">
        <v>4550</v>
      </c>
      <c r="AO179" s="134">
        <v>111.65073170731699</v>
      </c>
      <c r="AP179" s="135">
        <v>112.46920821114399</v>
      </c>
      <c r="AQ179">
        <v>0.43108504398827002</v>
      </c>
      <c r="AR179" s="136">
        <v>1.2297165200391</v>
      </c>
      <c r="AS179">
        <v>7.12707722385142</v>
      </c>
    </row>
    <row r="180" spans="1:45" customFormat="1" ht="91">
      <c r="A180">
        <v>235</v>
      </c>
      <c r="B180" s="69" t="s">
        <v>589</v>
      </c>
      <c r="C180" s="69" t="s">
        <v>45</v>
      </c>
      <c r="D180" s="31">
        <f t="shared" si="23"/>
        <v>4</v>
      </c>
      <c r="E180" s="69" t="s">
        <v>46</v>
      </c>
      <c r="F180" s="31">
        <f t="shared" si="24"/>
        <v>6</v>
      </c>
      <c r="G180" s="137" t="s">
        <v>715</v>
      </c>
      <c r="H180" s="138">
        <v>46</v>
      </c>
      <c r="I180" s="92">
        <f t="shared" si="22"/>
        <v>0.826287428861879</v>
      </c>
      <c r="J180" s="95">
        <v>0.90257485772375801</v>
      </c>
      <c r="K180" s="137">
        <v>0.75102566813892102</v>
      </c>
      <c r="L180" s="137">
        <v>0.75</v>
      </c>
      <c r="M180" s="137">
        <v>0.75256417034730305</v>
      </c>
      <c r="N180" s="136">
        <v>0</v>
      </c>
      <c r="O180" s="154">
        <v>43781</v>
      </c>
      <c r="P180" s="98">
        <f t="shared" si="25"/>
        <v>1</v>
      </c>
      <c r="Q180" s="107">
        <v>0</v>
      </c>
      <c r="R180" s="107">
        <v>0</v>
      </c>
      <c r="S180" s="107">
        <v>0</v>
      </c>
      <c r="T180" s="108" t="s">
        <v>73</v>
      </c>
      <c r="U180" s="137" t="s">
        <v>716</v>
      </c>
      <c r="V180" s="137" t="s">
        <v>717</v>
      </c>
      <c r="W180" s="69">
        <v>128</v>
      </c>
      <c r="X180" s="69">
        <v>1</v>
      </c>
      <c r="Y180" s="69">
        <v>3</v>
      </c>
      <c r="AA180" t="s">
        <v>4522</v>
      </c>
      <c r="AB180" t="s">
        <v>51</v>
      </c>
      <c r="AC180" t="s">
        <v>4353</v>
      </c>
      <c r="AD180" t="s">
        <v>4506</v>
      </c>
      <c r="AE180" t="s">
        <v>4513</v>
      </c>
      <c r="AF180" t="s">
        <v>4737</v>
      </c>
      <c r="AG180" t="s">
        <v>4353</v>
      </c>
      <c r="AH180" t="s">
        <v>4506</v>
      </c>
      <c r="AI180" t="s">
        <v>4353</v>
      </c>
      <c r="AJ180" t="s">
        <v>4506</v>
      </c>
      <c r="AK180" t="s">
        <v>4519</v>
      </c>
      <c r="AL180" t="s">
        <v>4552</v>
      </c>
      <c r="AM180" t="s">
        <v>4562</v>
      </c>
      <c r="AN180" t="s">
        <v>4742</v>
      </c>
      <c r="AO180" s="134">
        <v>111.71484375</v>
      </c>
      <c r="AP180" s="135">
        <v>112.530332681018</v>
      </c>
      <c r="AQ180">
        <v>0.431506849315068</v>
      </c>
      <c r="AR180" s="136">
        <v>1.22994129158513</v>
      </c>
      <c r="AS180">
        <v>7.1330724070450104</v>
      </c>
    </row>
    <row r="181" spans="1:45" customFormat="1" ht="61">
      <c r="A181">
        <v>23</v>
      </c>
      <c r="B181" s="136" t="s">
        <v>115</v>
      </c>
      <c r="C181" s="136" t="s">
        <v>45</v>
      </c>
      <c r="D181" s="31">
        <f t="shared" si="23"/>
        <v>4</v>
      </c>
      <c r="E181" s="136" t="s">
        <v>80</v>
      </c>
      <c r="F181" s="31">
        <f t="shared" si="24"/>
        <v>4</v>
      </c>
      <c r="G181" s="188" t="s">
        <v>116</v>
      </c>
      <c r="H181" s="138">
        <v>64</v>
      </c>
      <c r="I181" s="92">
        <f t="shared" si="22"/>
        <v>0.41267193185892137</v>
      </c>
      <c r="J181" s="95">
        <v>3.4386371784278502E-4</v>
      </c>
      <c r="K181" s="137">
        <v>0.83785714285714297</v>
      </c>
      <c r="L181" s="137">
        <v>0.82499999999999996</v>
      </c>
      <c r="M181" s="137">
        <v>0.85714285714285698</v>
      </c>
      <c r="N181" s="136">
        <v>1</v>
      </c>
      <c r="O181" s="41">
        <v>43780</v>
      </c>
      <c r="P181" s="98">
        <f t="shared" si="25"/>
        <v>0</v>
      </c>
      <c r="Q181" s="113">
        <v>2.5499999999999998</v>
      </c>
      <c r="R181" s="113">
        <v>0</v>
      </c>
      <c r="S181" s="113">
        <v>1.87</v>
      </c>
      <c r="T181" s="114" t="s">
        <v>48</v>
      </c>
      <c r="U181" s="136" t="s">
        <v>117</v>
      </c>
      <c r="V181" s="136" t="s">
        <v>118</v>
      </c>
      <c r="W181" s="69">
        <v>50</v>
      </c>
      <c r="X181" s="189">
        <v>1</v>
      </c>
      <c r="Y181" s="189">
        <v>1</v>
      </c>
      <c r="AA181" t="s">
        <v>4564</v>
      </c>
      <c r="AB181" t="s">
        <v>51</v>
      </c>
      <c r="AC181" t="s">
        <v>4353</v>
      </c>
      <c r="AD181" t="s">
        <v>4506</v>
      </c>
      <c r="AE181" t="s">
        <v>4515</v>
      </c>
      <c r="AF181" t="s">
        <v>4609</v>
      </c>
      <c r="AG181" t="s">
        <v>4353</v>
      </c>
      <c r="AH181" t="s">
        <v>4506</v>
      </c>
      <c r="AI181" t="s">
        <v>4353</v>
      </c>
      <c r="AJ181" t="s">
        <v>4506</v>
      </c>
      <c r="AK181" t="s">
        <v>4518</v>
      </c>
      <c r="AL181" t="s">
        <v>4519</v>
      </c>
      <c r="AM181" t="s">
        <v>4520</v>
      </c>
      <c r="AN181" t="s">
        <v>4521</v>
      </c>
      <c r="AO181" s="134">
        <v>111.761485826002</v>
      </c>
      <c r="AP181" s="135">
        <v>112.530332681018</v>
      </c>
      <c r="AQ181">
        <v>0.431506849315068</v>
      </c>
      <c r="AR181" s="136">
        <v>1.22994129158513</v>
      </c>
      <c r="AS181">
        <v>7.1330724070450104</v>
      </c>
    </row>
    <row r="182" spans="1:45" customFormat="1" ht="91">
      <c r="A182">
        <v>986</v>
      </c>
      <c r="B182" s="69" t="s">
        <v>2638</v>
      </c>
      <c r="C182" s="69" t="s">
        <v>45</v>
      </c>
      <c r="D182" s="31">
        <f t="shared" si="23"/>
        <v>4</v>
      </c>
      <c r="E182" s="69" t="s">
        <v>80</v>
      </c>
      <c r="F182" s="31">
        <f t="shared" si="24"/>
        <v>4</v>
      </c>
      <c r="G182" s="139" t="s">
        <v>364</v>
      </c>
      <c r="H182" s="138">
        <v>65</v>
      </c>
      <c r="I182" s="92">
        <f t="shared" si="22"/>
        <v>0.41278394635951227</v>
      </c>
      <c r="J182" s="95">
        <v>5.6789271902457595E-4</v>
      </c>
      <c r="K182" s="137">
        <v>0.81418779643582295</v>
      </c>
      <c r="L182" s="137">
        <v>0.82499999999999996</v>
      </c>
      <c r="M182" s="137">
        <v>0.79796949108955795</v>
      </c>
      <c r="N182" s="136">
        <v>1</v>
      </c>
      <c r="O182" s="157">
        <v>43773</v>
      </c>
      <c r="P182" s="98">
        <f t="shared" si="25"/>
        <v>0</v>
      </c>
      <c r="Q182" s="124">
        <v>0</v>
      </c>
      <c r="R182" s="124">
        <v>0</v>
      </c>
      <c r="S182" s="124">
        <v>0</v>
      </c>
      <c r="T182" s="170" t="s">
        <v>48</v>
      </c>
      <c r="U182" s="89" t="s">
        <v>2671</v>
      </c>
      <c r="V182" s="172" t="s">
        <v>2672</v>
      </c>
      <c r="W182" s="69">
        <v>136</v>
      </c>
      <c r="X182" s="69">
        <v>1</v>
      </c>
      <c r="Y182" s="69">
        <v>2</v>
      </c>
      <c r="Z182" s="69"/>
      <c r="AA182" t="s">
        <v>4564</v>
      </c>
      <c r="AB182" t="s">
        <v>4566</v>
      </c>
      <c r="AC182" t="s">
        <v>223</v>
      </c>
      <c r="AD182" t="s">
        <v>4679</v>
      </c>
      <c r="AE182" t="s">
        <v>4513</v>
      </c>
      <c r="AF182" t="s">
        <v>4779</v>
      </c>
      <c r="AG182" t="s">
        <v>223</v>
      </c>
      <c r="AH182" t="s">
        <v>4679</v>
      </c>
      <c r="AI182" t="s">
        <v>4513</v>
      </c>
      <c r="AJ182" t="s">
        <v>4779</v>
      </c>
      <c r="AK182" t="s">
        <v>4518</v>
      </c>
      <c r="AL182" t="s">
        <v>4519</v>
      </c>
      <c r="AM182" t="s">
        <v>4510</v>
      </c>
      <c r="AN182" t="s">
        <v>4523</v>
      </c>
      <c r="AO182" s="134">
        <v>111.807240704501</v>
      </c>
      <c r="AP182" s="135">
        <v>112.50734573947101</v>
      </c>
      <c r="AQ182">
        <v>0.43192948090107702</v>
      </c>
      <c r="AR182" s="136">
        <v>1.23016650342801</v>
      </c>
      <c r="AS182">
        <v>7.1380999020568101</v>
      </c>
    </row>
    <row r="183" spans="1:45" customFormat="1" ht="60">
      <c r="A183">
        <v>1047</v>
      </c>
      <c r="B183" s="69" t="s">
        <v>2833</v>
      </c>
      <c r="C183" s="69" t="s">
        <v>45</v>
      </c>
      <c r="D183" s="31">
        <f t="shared" si="23"/>
        <v>4</v>
      </c>
      <c r="E183" s="69" t="s">
        <v>664</v>
      </c>
      <c r="F183" s="31">
        <f t="shared" si="24"/>
        <v>1</v>
      </c>
      <c r="G183" s="190" t="s">
        <v>2843</v>
      </c>
      <c r="H183" s="138">
        <v>92</v>
      </c>
      <c r="I183" s="92">
        <f t="shared" si="22"/>
        <v>0.50925232673483145</v>
      </c>
      <c r="J183" s="95">
        <v>0.26850465346966301</v>
      </c>
      <c r="K183" s="137">
        <v>0.73571428571428599</v>
      </c>
      <c r="L183" s="137">
        <v>0.75</v>
      </c>
      <c r="M183" s="137">
        <v>0.71428571428571397</v>
      </c>
      <c r="N183" s="136">
        <v>1</v>
      </c>
      <c r="O183" s="157">
        <v>43763</v>
      </c>
      <c r="P183" s="98">
        <f t="shared" si="25"/>
        <v>1</v>
      </c>
      <c r="Q183" s="113">
        <v>0</v>
      </c>
      <c r="R183" s="113">
        <v>0</v>
      </c>
      <c r="S183" s="113">
        <v>0</v>
      </c>
      <c r="T183" s="119" t="s">
        <v>73</v>
      </c>
      <c r="U183" s="89" t="s">
        <v>2844</v>
      </c>
      <c r="V183" s="172" t="s">
        <v>2845</v>
      </c>
      <c r="W183" s="69">
        <v>66</v>
      </c>
      <c r="X183" s="195">
        <v>4</v>
      </c>
      <c r="Y183" s="195">
        <v>4</v>
      </c>
      <c r="Z183" s="69"/>
      <c r="AA183" t="s">
        <v>4564</v>
      </c>
      <c r="AB183" t="s">
        <v>51</v>
      </c>
      <c r="AC183" t="s">
        <v>4353</v>
      </c>
      <c r="AD183" t="s">
        <v>4506</v>
      </c>
      <c r="AE183" t="s">
        <v>4513</v>
      </c>
      <c r="AF183" t="s">
        <v>4577</v>
      </c>
      <c r="AG183" t="s">
        <v>4353</v>
      </c>
      <c r="AH183" t="s">
        <v>4506</v>
      </c>
      <c r="AI183" t="s">
        <v>4353</v>
      </c>
      <c r="AJ183" t="s">
        <v>4506</v>
      </c>
      <c r="AK183" t="s">
        <v>4508</v>
      </c>
      <c r="AL183" t="s">
        <v>4519</v>
      </c>
      <c r="AM183" t="s">
        <v>4528</v>
      </c>
      <c r="AN183" t="s">
        <v>4638</v>
      </c>
      <c r="AO183" s="134">
        <v>111.826640548482</v>
      </c>
      <c r="AP183" s="135">
        <v>112.624385447394</v>
      </c>
      <c r="AQ183">
        <v>0.43067846607669602</v>
      </c>
      <c r="AR183" s="136">
        <v>1.23008849557522</v>
      </c>
      <c r="AS183">
        <v>7.1543756145526096</v>
      </c>
    </row>
    <row r="184" spans="1:45" customFormat="1" ht="91">
      <c r="A184" s="65">
        <v>1048</v>
      </c>
      <c r="B184" s="69" t="s">
        <v>2833</v>
      </c>
      <c r="C184" s="69" t="s">
        <v>45</v>
      </c>
      <c r="D184" s="31">
        <f t="shared" si="23"/>
        <v>4</v>
      </c>
      <c r="E184" s="69" t="s">
        <v>664</v>
      </c>
      <c r="F184" s="31">
        <f t="shared" si="24"/>
        <v>1</v>
      </c>
      <c r="G184" s="139" t="s">
        <v>2846</v>
      </c>
      <c r="H184" s="138">
        <v>119</v>
      </c>
      <c r="I184" s="92">
        <f t="shared" si="22"/>
        <v>0.4144181009476417</v>
      </c>
      <c r="J184" s="95">
        <v>7.8836201895283398E-2</v>
      </c>
      <c r="K184" s="137">
        <v>0.553077004416764</v>
      </c>
      <c r="L184" s="137">
        <v>0.75</v>
      </c>
      <c r="M184" s="137">
        <v>0.25769251104190999</v>
      </c>
      <c r="N184" s="136">
        <v>1</v>
      </c>
      <c r="O184" s="157">
        <v>43762</v>
      </c>
      <c r="P184" s="98">
        <f t="shared" si="25"/>
        <v>1</v>
      </c>
      <c r="Q184" s="113">
        <v>0</v>
      </c>
      <c r="R184" s="113">
        <v>0</v>
      </c>
      <c r="S184" s="113">
        <v>0</v>
      </c>
      <c r="T184" s="119" t="s">
        <v>73</v>
      </c>
      <c r="U184" s="91" t="s">
        <v>2847</v>
      </c>
      <c r="V184" s="172" t="s">
        <v>2848</v>
      </c>
      <c r="W184" s="69">
        <v>118</v>
      </c>
      <c r="X184" s="171">
        <v>6</v>
      </c>
      <c r="Y184" s="171">
        <v>27</v>
      </c>
      <c r="Z184" s="69"/>
      <c r="AA184" t="s">
        <v>4564</v>
      </c>
      <c r="AB184" t="s">
        <v>4594</v>
      </c>
      <c r="AC184" t="s">
        <v>223</v>
      </c>
      <c r="AD184" t="s">
        <v>4776</v>
      </c>
      <c r="AE184" t="s">
        <v>223</v>
      </c>
      <c r="AF184" t="s">
        <v>4776</v>
      </c>
      <c r="AG184" t="s">
        <v>4353</v>
      </c>
      <c r="AH184" t="s">
        <v>4506</v>
      </c>
      <c r="AI184" t="s">
        <v>4353</v>
      </c>
      <c r="AJ184" t="s">
        <v>4506</v>
      </c>
      <c r="AK184" t="s">
        <v>4519</v>
      </c>
      <c r="AL184" t="s">
        <v>4519</v>
      </c>
      <c r="AM184" t="s">
        <v>4562</v>
      </c>
      <c r="AN184" t="s">
        <v>4563</v>
      </c>
      <c r="AO184" s="134">
        <v>111.722549019608</v>
      </c>
      <c r="AP184" s="135">
        <v>112.689960629921</v>
      </c>
      <c r="AQ184">
        <v>0.43110236220472398</v>
      </c>
      <c r="AR184" s="136">
        <v>1.23031496062992</v>
      </c>
      <c r="AS184">
        <v>7.1594488188976397</v>
      </c>
    </row>
    <row r="185" spans="1:45" customFormat="1" ht="120">
      <c r="A185">
        <v>987</v>
      </c>
      <c r="B185" s="69" t="s">
        <v>2638</v>
      </c>
      <c r="C185" s="69" t="s">
        <v>45</v>
      </c>
      <c r="D185" s="31">
        <f t="shared" si="23"/>
        <v>4</v>
      </c>
      <c r="E185" s="69" t="s">
        <v>46</v>
      </c>
      <c r="F185" s="31">
        <f t="shared" si="24"/>
        <v>6</v>
      </c>
      <c r="G185" s="89" t="s">
        <v>2673</v>
      </c>
      <c r="H185" s="138">
        <v>218</v>
      </c>
      <c r="I185" s="92">
        <f t="shared" si="22"/>
        <v>0.30991735623081618</v>
      </c>
      <c r="J185" s="95">
        <v>1.7178303224341101E-9</v>
      </c>
      <c r="K185" s="137">
        <v>0.65761511216056701</v>
      </c>
      <c r="L185" s="137">
        <v>0.61983471074380203</v>
      </c>
      <c r="M185" s="137">
        <v>0.71428571428571397</v>
      </c>
      <c r="N185" s="136">
        <v>1</v>
      </c>
      <c r="O185" s="157">
        <v>43762</v>
      </c>
      <c r="P185" s="98">
        <f t="shared" si="25"/>
        <v>0</v>
      </c>
      <c r="Q185" s="124">
        <v>0</v>
      </c>
      <c r="R185" s="124">
        <v>1.65</v>
      </c>
      <c r="S185" s="124">
        <v>0</v>
      </c>
      <c r="T185" s="125" t="s">
        <v>48</v>
      </c>
      <c r="U185" s="89" t="s">
        <v>2674</v>
      </c>
      <c r="V185" s="172" t="s">
        <v>2675</v>
      </c>
      <c r="W185" s="69">
        <v>77</v>
      </c>
      <c r="X185" s="69">
        <v>2</v>
      </c>
      <c r="Y185" s="69">
        <v>4</v>
      </c>
      <c r="Z185" s="69"/>
      <c r="AA185" t="s">
        <v>4564</v>
      </c>
      <c r="AB185" t="s">
        <v>4594</v>
      </c>
      <c r="AC185" t="s">
        <v>4515</v>
      </c>
      <c r="AD185" t="s">
        <v>4537</v>
      </c>
      <c r="AE185" t="s">
        <v>4515</v>
      </c>
      <c r="AF185" t="s">
        <v>4537</v>
      </c>
      <c r="AG185" t="s">
        <v>223</v>
      </c>
      <c r="AH185" t="s">
        <v>4631</v>
      </c>
      <c r="AI185" t="s">
        <v>4353</v>
      </c>
      <c r="AJ185" t="s">
        <v>4506</v>
      </c>
      <c r="AK185" t="s">
        <v>4519</v>
      </c>
      <c r="AL185" t="s">
        <v>4552</v>
      </c>
      <c r="AM185" t="s">
        <v>4510</v>
      </c>
      <c r="AN185" t="s">
        <v>4634</v>
      </c>
      <c r="AO185" s="134">
        <v>111.715407262022</v>
      </c>
      <c r="AP185" s="135">
        <v>112.689960629921</v>
      </c>
      <c r="AQ185">
        <v>0.43110236220472398</v>
      </c>
      <c r="AR185" s="136">
        <v>1.23031496062992</v>
      </c>
      <c r="AS185">
        <v>7.1594488188976397</v>
      </c>
    </row>
    <row r="186" spans="1:45" customFormat="1" ht="166">
      <c r="A186" s="65">
        <v>444</v>
      </c>
      <c r="B186" s="69" t="s">
        <v>1222</v>
      </c>
      <c r="C186" s="69" t="s">
        <v>45</v>
      </c>
      <c r="D186" s="31">
        <f t="shared" si="23"/>
        <v>4</v>
      </c>
      <c r="E186" s="69" t="s">
        <v>1223</v>
      </c>
      <c r="F186" s="31">
        <f t="shared" si="24"/>
        <v>8</v>
      </c>
      <c r="G186" s="137" t="s">
        <v>1266</v>
      </c>
      <c r="H186" s="138">
        <v>307</v>
      </c>
      <c r="I186" s="92">
        <f t="shared" si="22"/>
        <v>0.2821241801165249</v>
      </c>
      <c r="J186" s="95">
        <v>7.6225955686681801E-4</v>
      </c>
      <c r="K186" s="137">
        <v>0.65727945684153299</v>
      </c>
      <c r="L186" s="137">
        <v>0.56348610067618299</v>
      </c>
      <c r="M186" s="137">
        <v>0.79796949108955795</v>
      </c>
      <c r="N186" s="136">
        <v>1</v>
      </c>
      <c r="O186" s="154">
        <v>43761</v>
      </c>
      <c r="P186" s="98">
        <f t="shared" si="25"/>
        <v>2</v>
      </c>
      <c r="Q186" s="111">
        <v>0</v>
      </c>
      <c r="R186" s="111">
        <v>0</v>
      </c>
      <c r="S186" s="111">
        <v>0</v>
      </c>
      <c r="T186" s="112" t="s">
        <v>64</v>
      </c>
      <c r="U186" s="137" t="s">
        <v>1267</v>
      </c>
      <c r="V186" s="137" t="s">
        <v>1268</v>
      </c>
      <c r="W186" s="69">
        <v>88</v>
      </c>
      <c r="X186" s="69">
        <v>1</v>
      </c>
      <c r="Y186" s="69">
        <v>2</v>
      </c>
      <c r="AA186" t="s">
        <v>4728</v>
      </c>
      <c r="AB186" t="s">
        <v>51</v>
      </c>
      <c r="AC186" t="s">
        <v>223</v>
      </c>
      <c r="AD186" t="s">
        <v>4655</v>
      </c>
      <c r="AE186" t="s">
        <v>4538</v>
      </c>
      <c r="AF186" t="s">
        <v>4651</v>
      </c>
      <c r="AG186" t="s">
        <v>223</v>
      </c>
      <c r="AH186" t="s">
        <v>4655</v>
      </c>
      <c r="AI186" t="s">
        <v>4353</v>
      </c>
      <c r="AJ186" t="s">
        <v>4506</v>
      </c>
      <c r="AK186" t="s">
        <v>4518</v>
      </c>
      <c r="AL186" t="s">
        <v>4519</v>
      </c>
      <c r="AM186" t="s">
        <v>4520</v>
      </c>
      <c r="AN186" t="s">
        <v>4521</v>
      </c>
      <c r="AO186" s="134">
        <v>111.523575638507</v>
      </c>
      <c r="AP186" s="135">
        <v>112.689960629921</v>
      </c>
      <c r="AQ186">
        <v>0.43110236220472398</v>
      </c>
      <c r="AR186" s="136">
        <v>1.23031496062992</v>
      </c>
      <c r="AS186">
        <v>7.1594488188976397</v>
      </c>
    </row>
    <row r="187" spans="1:45" customFormat="1" ht="76">
      <c r="A187" s="65">
        <v>661</v>
      </c>
      <c r="B187" s="69" t="s">
        <v>1790</v>
      </c>
      <c r="C187" s="69" t="s">
        <v>45</v>
      </c>
      <c r="D187" s="31">
        <f t="shared" si="23"/>
        <v>4</v>
      </c>
      <c r="E187" s="69" t="s">
        <v>46</v>
      </c>
      <c r="F187" s="31">
        <f t="shared" si="24"/>
        <v>6</v>
      </c>
      <c r="G187" s="188" t="s">
        <v>1816</v>
      </c>
      <c r="H187" s="138">
        <v>74</v>
      </c>
      <c r="I187" s="92">
        <f t="shared" si="22"/>
        <v>0.37535558128947677</v>
      </c>
      <c r="J187" s="95">
        <v>7.1116257895353896E-4</v>
      </c>
      <c r="K187" s="137">
        <v>0.76918779643582302</v>
      </c>
      <c r="L187" s="137">
        <v>0.75</v>
      </c>
      <c r="M187" s="137">
        <v>0.79796949108955795</v>
      </c>
      <c r="N187" s="136">
        <v>0</v>
      </c>
      <c r="O187" s="154">
        <v>43761</v>
      </c>
      <c r="P187" s="98">
        <f t="shared" si="25"/>
        <v>0</v>
      </c>
      <c r="Q187" s="111">
        <v>0</v>
      </c>
      <c r="R187" s="111">
        <v>0</v>
      </c>
      <c r="S187" s="111">
        <v>0</v>
      </c>
      <c r="T187" s="112" t="s">
        <v>48</v>
      </c>
      <c r="U187" s="137" t="s">
        <v>1817</v>
      </c>
      <c r="V187" s="137" t="s">
        <v>1818</v>
      </c>
      <c r="W187" s="69">
        <v>100</v>
      </c>
      <c r="X187" s="188">
        <v>1</v>
      </c>
      <c r="Y187" s="188">
        <v>2</v>
      </c>
      <c r="Z187" s="69"/>
      <c r="AA187" t="s">
        <v>4564</v>
      </c>
      <c r="AB187" t="s">
        <v>51</v>
      </c>
      <c r="AC187" t="s">
        <v>223</v>
      </c>
      <c r="AD187" t="s">
        <v>4717</v>
      </c>
      <c r="AE187" t="s">
        <v>4513</v>
      </c>
      <c r="AF187" t="s">
        <v>4780</v>
      </c>
      <c r="AG187" t="s">
        <v>223</v>
      </c>
      <c r="AH187" t="s">
        <v>4717</v>
      </c>
      <c r="AI187" t="s">
        <v>4353</v>
      </c>
      <c r="AJ187" t="s">
        <v>4506</v>
      </c>
      <c r="AK187" t="s">
        <v>4519</v>
      </c>
      <c r="AL187" t="s">
        <v>4519</v>
      </c>
      <c r="AM187" t="s">
        <v>4510</v>
      </c>
      <c r="AN187" t="s">
        <v>4550</v>
      </c>
      <c r="AO187" s="134">
        <v>111.560471976401</v>
      </c>
      <c r="AP187" s="135">
        <v>112.689960629921</v>
      </c>
      <c r="AQ187">
        <v>0.43110236220472398</v>
      </c>
      <c r="AR187" s="136">
        <v>1.23031496062992</v>
      </c>
      <c r="AS187">
        <v>7.1594488188976397</v>
      </c>
    </row>
    <row r="188" spans="1:45" customFormat="1" ht="46">
      <c r="A188">
        <v>895</v>
      </c>
      <c r="B188" s="69" t="s">
        <v>2418</v>
      </c>
      <c r="C188" s="69" t="s">
        <v>45</v>
      </c>
      <c r="D188" s="31">
        <f t="shared" si="23"/>
        <v>4</v>
      </c>
      <c r="E188" s="69" t="s">
        <v>80</v>
      </c>
      <c r="F188" s="31">
        <f t="shared" si="24"/>
        <v>4</v>
      </c>
      <c r="G188" s="136" t="s">
        <v>2440</v>
      </c>
      <c r="H188" s="138">
        <v>32</v>
      </c>
      <c r="I188" s="92">
        <f t="shared" si="22"/>
        <v>0.42284894995379013</v>
      </c>
      <c r="J188" s="95">
        <v>2.0697899907580301E-2</v>
      </c>
      <c r="K188" s="137">
        <v>0.81418779643582295</v>
      </c>
      <c r="L188" s="137">
        <v>0.82499999999999996</v>
      </c>
      <c r="M188" s="137">
        <v>0.79796949108955795</v>
      </c>
      <c r="N188" s="136">
        <v>0</v>
      </c>
      <c r="O188" s="154">
        <v>43760</v>
      </c>
      <c r="P188" s="98">
        <f t="shared" si="25"/>
        <v>1</v>
      </c>
      <c r="Q188" s="111">
        <v>10.199999999999999</v>
      </c>
      <c r="R188" s="111">
        <v>0</v>
      </c>
      <c r="S188" s="111">
        <v>0</v>
      </c>
      <c r="T188" s="112" t="s">
        <v>73</v>
      </c>
      <c r="U188" s="169" t="s">
        <v>2441</v>
      </c>
      <c r="V188" s="137" t="s">
        <v>2442</v>
      </c>
      <c r="W188" s="69">
        <v>46</v>
      </c>
      <c r="X188" s="69">
        <v>1</v>
      </c>
      <c r="Y188" s="69">
        <v>2</v>
      </c>
      <c r="Z188" s="69"/>
      <c r="AA188" t="s">
        <v>4512</v>
      </c>
      <c r="AB188" t="s">
        <v>71</v>
      </c>
      <c r="AC188" t="s">
        <v>223</v>
      </c>
      <c r="AD188" t="s">
        <v>4781</v>
      </c>
      <c r="AE188" t="s">
        <v>223</v>
      </c>
      <c r="AF188" t="s">
        <v>4781</v>
      </c>
      <c r="AG188" t="s">
        <v>4515</v>
      </c>
      <c r="AH188" t="s">
        <v>4719</v>
      </c>
      <c r="AI188" t="s">
        <v>4353</v>
      </c>
      <c r="AJ188" t="s">
        <v>4506</v>
      </c>
      <c r="AK188" t="s">
        <v>4519</v>
      </c>
      <c r="AL188" t="s">
        <v>4519</v>
      </c>
      <c r="AM188" t="s">
        <v>4510</v>
      </c>
      <c r="AN188" t="s">
        <v>4550</v>
      </c>
      <c r="AO188" s="134">
        <v>111.638779527559</v>
      </c>
      <c r="AP188" s="135">
        <v>112.689960629921</v>
      </c>
      <c r="AQ188">
        <v>0.43110236220472398</v>
      </c>
      <c r="AR188" s="136">
        <v>1.23031496062992</v>
      </c>
      <c r="AS188">
        <v>7.1594488188976397</v>
      </c>
    </row>
    <row r="189" spans="1:45" customFormat="1" ht="61">
      <c r="A189" s="65">
        <v>896</v>
      </c>
      <c r="B189" s="69" t="s">
        <v>2418</v>
      </c>
      <c r="C189" s="69" t="s">
        <v>59</v>
      </c>
      <c r="D189" s="31">
        <f t="shared" si="23"/>
        <v>5</v>
      </c>
      <c r="E189" s="69" t="s">
        <v>46</v>
      </c>
      <c r="F189" s="31">
        <f t="shared" si="24"/>
        <v>6</v>
      </c>
      <c r="G189" s="147" t="s">
        <v>2443</v>
      </c>
      <c r="H189" s="138">
        <v>28</v>
      </c>
      <c r="I189" s="92">
        <f t="shared" si="22"/>
        <v>0.41688435856184147</v>
      </c>
      <c r="J189" s="95">
        <v>0.15195053530550101</v>
      </c>
      <c r="K189" s="137">
        <v>0.71011657722983001</v>
      </c>
      <c r="L189" s="137">
        <v>0.68181818181818199</v>
      </c>
      <c r="M189" s="137">
        <v>0.75256417034730305</v>
      </c>
      <c r="N189" s="136">
        <v>1</v>
      </c>
      <c r="O189" s="194">
        <v>43751</v>
      </c>
      <c r="P189" s="98">
        <f t="shared" si="25"/>
        <v>1</v>
      </c>
      <c r="Q189" s="113">
        <v>10.199999999999999</v>
      </c>
      <c r="R189" s="113">
        <v>0</v>
      </c>
      <c r="S189" s="113">
        <v>0</v>
      </c>
      <c r="T189" s="114" t="s">
        <v>73</v>
      </c>
      <c r="U189" s="196" t="s">
        <v>2444</v>
      </c>
      <c r="V189" s="137" t="s">
        <v>2445</v>
      </c>
      <c r="W189" s="69">
        <v>66</v>
      </c>
      <c r="X189" s="195">
        <v>4</v>
      </c>
      <c r="Y189" s="195">
        <v>3</v>
      </c>
      <c r="Z189" s="69"/>
      <c r="AA189" t="s">
        <v>4603</v>
      </c>
      <c r="AB189" t="s">
        <v>51</v>
      </c>
      <c r="AC189" t="s">
        <v>223</v>
      </c>
      <c r="AD189" t="s">
        <v>4568</v>
      </c>
      <c r="AE189" t="s">
        <v>4515</v>
      </c>
      <c r="AF189" t="s">
        <v>4620</v>
      </c>
      <c r="AG189" t="s">
        <v>4353</v>
      </c>
      <c r="AH189" t="s">
        <v>4506</v>
      </c>
      <c r="AI189" t="s">
        <v>4353</v>
      </c>
      <c r="AJ189" t="s">
        <v>4506</v>
      </c>
      <c r="AK189" t="s">
        <v>4519</v>
      </c>
      <c r="AL189" t="s">
        <v>4519</v>
      </c>
      <c r="AM189" t="s">
        <v>4562</v>
      </c>
      <c r="AN189" t="s">
        <v>4563</v>
      </c>
      <c r="AO189" s="134">
        <v>111.683743842365</v>
      </c>
      <c r="AP189" s="135">
        <v>112.871541501976</v>
      </c>
      <c r="AQ189">
        <v>0.42984189723320199</v>
      </c>
      <c r="AR189" s="136">
        <v>1.23122529644269</v>
      </c>
      <c r="AS189">
        <v>7.1679841897233203</v>
      </c>
    </row>
    <row r="190" spans="1:45" customFormat="1" ht="105">
      <c r="A190" s="65">
        <v>1081</v>
      </c>
      <c r="B190" s="69" t="s">
        <v>2938</v>
      </c>
      <c r="C190" s="69" t="s">
        <v>45</v>
      </c>
      <c r="D190" s="31">
        <f t="shared" si="23"/>
        <v>4</v>
      </c>
      <c r="E190" s="69" t="s">
        <v>46</v>
      </c>
      <c r="F190" s="31">
        <f t="shared" si="24"/>
        <v>6</v>
      </c>
      <c r="G190" s="191" t="s">
        <v>2939</v>
      </c>
      <c r="H190" s="138">
        <v>147</v>
      </c>
      <c r="I190" s="92">
        <f t="shared" si="22"/>
        <v>0.37569696886572806</v>
      </c>
      <c r="J190" s="95">
        <v>1.3939377314561301E-3</v>
      </c>
      <c r="K190" s="137">
        <v>0.76918779643582302</v>
      </c>
      <c r="L190" s="137">
        <v>0.75</v>
      </c>
      <c r="M190" s="137">
        <v>0.79796949108955795</v>
      </c>
      <c r="N190" s="136">
        <v>1</v>
      </c>
      <c r="O190" s="157">
        <v>43751</v>
      </c>
      <c r="P190" s="98">
        <f t="shared" si="25"/>
        <v>2</v>
      </c>
      <c r="Q190" s="113">
        <v>0</v>
      </c>
      <c r="R190" s="113">
        <v>1.65</v>
      </c>
      <c r="S190" s="113">
        <v>0</v>
      </c>
      <c r="T190" s="119" t="s">
        <v>64</v>
      </c>
      <c r="U190" s="89" t="s">
        <v>2940</v>
      </c>
      <c r="V190" s="172" t="s">
        <v>2941</v>
      </c>
      <c r="W190" s="69">
        <v>104</v>
      </c>
      <c r="X190" s="171">
        <v>1</v>
      </c>
      <c r="Y190" s="171">
        <v>2</v>
      </c>
      <c r="Z190" s="69"/>
      <c r="AA190" t="s">
        <v>4564</v>
      </c>
      <c r="AB190" t="s">
        <v>51</v>
      </c>
      <c r="AC190" t="s">
        <v>4515</v>
      </c>
      <c r="AD190" t="s">
        <v>4718</v>
      </c>
      <c r="AE190" t="s">
        <v>4513</v>
      </c>
      <c r="AF190" t="s">
        <v>4780</v>
      </c>
      <c r="AG190" t="s">
        <v>223</v>
      </c>
      <c r="AH190" t="s">
        <v>4717</v>
      </c>
      <c r="AI190" t="s">
        <v>4353</v>
      </c>
      <c r="AJ190" t="s">
        <v>4506</v>
      </c>
      <c r="AK190" t="s">
        <v>4519</v>
      </c>
      <c r="AL190" t="s">
        <v>4519</v>
      </c>
      <c r="AM190" t="s">
        <v>4510</v>
      </c>
      <c r="AN190" t="s">
        <v>4550</v>
      </c>
      <c r="AO190" s="134">
        <v>111.766272189349</v>
      </c>
      <c r="AP190" s="135">
        <v>112.871541501976</v>
      </c>
      <c r="AQ190">
        <v>0.42984189723320199</v>
      </c>
      <c r="AR190" s="136">
        <v>1.23122529644269</v>
      </c>
      <c r="AS190">
        <v>7.1679841897233203</v>
      </c>
    </row>
    <row r="191" spans="1:45" customFormat="1" ht="61">
      <c r="A191">
        <v>746</v>
      </c>
      <c r="B191" s="69" t="s">
        <v>2015</v>
      </c>
      <c r="C191" s="69" t="s">
        <v>52</v>
      </c>
      <c r="D191" s="31">
        <f t="shared" si="23"/>
        <v>3</v>
      </c>
      <c r="E191" s="69" t="s">
        <v>46</v>
      </c>
      <c r="F191" s="31">
        <f t="shared" si="24"/>
        <v>6</v>
      </c>
      <c r="G191" s="147" t="s">
        <v>2039</v>
      </c>
      <c r="H191" s="138">
        <v>66</v>
      </c>
      <c r="I191" s="92">
        <f t="shared" si="22"/>
        <v>0.34090909092571903</v>
      </c>
      <c r="J191" s="95">
        <v>3.3256064568831802E-11</v>
      </c>
      <c r="K191" s="137">
        <v>0.71011657722983001</v>
      </c>
      <c r="L191" s="137">
        <v>0.68181818181818199</v>
      </c>
      <c r="M191" s="137">
        <v>0.75256417034730305</v>
      </c>
      <c r="N191" s="136">
        <v>0</v>
      </c>
      <c r="O191" s="154">
        <v>43751</v>
      </c>
      <c r="P191" s="98">
        <f t="shared" si="25"/>
        <v>0</v>
      </c>
      <c r="Q191" s="113">
        <v>2.5499999999999998</v>
      </c>
      <c r="R191" s="113">
        <v>3.3</v>
      </c>
      <c r="S191" s="113">
        <v>1.87</v>
      </c>
      <c r="T191" s="114" t="s">
        <v>48</v>
      </c>
      <c r="U191" s="137" t="s">
        <v>2040</v>
      </c>
      <c r="V191" s="137" t="s">
        <v>2041</v>
      </c>
      <c r="W191" s="69">
        <v>49</v>
      </c>
      <c r="X191" s="147">
        <v>1</v>
      </c>
      <c r="Y191" s="147">
        <v>3</v>
      </c>
      <c r="Z191" s="69"/>
      <c r="AA191" t="s">
        <v>4603</v>
      </c>
      <c r="AB191" t="s">
        <v>4594</v>
      </c>
      <c r="AC191" t="s">
        <v>4515</v>
      </c>
      <c r="AD191" t="s">
        <v>4749</v>
      </c>
      <c r="AE191" t="s">
        <v>4515</v>
      </c>
      <c r="AF191" t="s">
        <v>4749</v>
      </c>
      <c r="AG191" t="s">
        <v>4353</v>
      </c>
      <c r="AH191" t="s">
        <v>4506</v>
      </c>
      <c r="AI191" t="s">
        <v>4353</v>
      </c>
      <c r="AJ191" t="s">
        <v>4506</v>
      </c>
      <c r="AK191" t="s">
        <v>4519</v>
      </c>
      <c r="AL191" t="s">
        <v>4519</v>
      </c>
      <c r="AM191" t="s">
        <v>4528</v>
      </c>
      <c r="AN191" t="s">
        <v>4529</v>
      </c>
      <c r="AO191" s="134">
        <v>111.731490621915</v>
      </c>
      <c r="AP191" s="135">
        <v>112.871541501976</v>
      </c>
      <c r="AQ191">
        <v>0.42984189723320199</v>
      </c>
      <c r="AR191" s="136">
        <v>1.23122529644269</v>
      </c>
      <c r="AS191">
        <v>7.1679841897233203</v>
      </c>
    </row>
    <row r="192" spans="1:45" customFormat="1" ht="61">
      <c r="A192" s="65">
        <v>848</v>
      </c>
      <c r="B192" s="69" t="s">
        <v>2287</v>
      </c>
      <c r="C192" s="69" t="s">
        <v>59</v>
      </c>
      <c r="D192" s="31">
        <f t="shared" si="23"/>
        <v>5</v>
      </c>
      <c r="E192" s="69" t="s">
        <v>80</v>
      </c>
      <c r="F192" s="31">
        <f t="shared" si="24"/>
        <v>4</v>
      </c>
      <c r="G192" s="137" t="s">
        <v>2305</v>
      </c>
      <c r="H192" s="138">
        <v>24</v>
      </c>
      <c r="I192" s="92">
        <f t="shared" si="22"/>
        <v>0.38729900369004394</v>
      </c>
      <c r="J192" s="95">
        <v>2.45980073800879E-2</v>
      </c>
      <c r="K192" s="137">
        <v>0.79285714285714304</v>
      </c>
      <c r="L192" s="137">
        <v>0.75</v>
      </c>
      <c r="M192" s="137">
        <v>0.85714285714285698</v>
      </c>
      <c r="N192" s="136">
        <v>1</v>
      </c>
      <c r="O192" s="154">
        <v>43747</v>
      </c>
      <c r="P192" s="98">
        <f t="shared" si="25"/>
        <v>1</v>
      </c>
      <c r="Q192" s="111">
        <v>5.0999999999999996</v>
      </c>
      <c r="R192" s="111">
        <v>0</v>
      </c>
      <c r="S192" s="111">
        <v>0</v>
      </c>
      <c r="T192" s="112" t="s">
        <v>73</v>
      </c>
      <c r="U192" s="169" t="s">
        <v>2306</v>
      </c>
      <c r="V192" s="137" t="s">
        <v>2307</v>
      </c>
      <c r="W192" s="69">
        <v>58</v>
      </c>
      <c r="X192" s="69">
        <v>1</v>
      </c>
      <c r="Y192" s="69">
        <v>1</v>
      </c>
      <c r="Z192" s="69"/>
      <c r="AA192" t="s">
        <v>4522</v>
      </c>
      <c r="AB192" t="s">
        <v>4594</v>
      </c>
      <c r="AC192" t="s">
        <v>4515</v>
      </c>
      <c r="AD192" t="s">
        <v>4782</v>
      </c>
      <c r="AE192" t="s">
        <v>4515</v>
      </c>
      <c r="AF192" t="s">
        <v>4782</v>
      </c>
      <c r="AG192" t="s">
        <v>223</v>
      </c>
      <c r="AH192" t="s">
        <v>4643</v>
      </c>
      <c r="AI192" t="s">
        <v>4353</v>
      </c>
      <c r="AJ192" t="s">
        <v>4506</v>
      </c>
      <c r="AK192" t="s">
        <v>4519</v>
      </c>
      <c r="AL192" t="s">
        <v>4519</v>
      </c>
      <c r="AM192" t="s">
        <v>4519</v>
      </c>
      <c r="AN192" t="s">
        <v>4564</v>
      </c>
      <c r="AO192" s="134">
        <v>111.768774703557</v>
      </c>
      <c r="AP192" s="135">
        <v>112.85119047619</v>
      </c>
      <c r="AQ192">
        <v>0.42956349206349198</v>
      </c>
      <c r="AR192" s="136">
        <v>1.2311507936507899</v>
      </c>
      <c r="AS192">
        <v>7.1845238095238102</v>
      </c>
    </row>
    <row r="193" spans="1:45" customFormat="1" ht="91">
      <c r="A193" s="65">
        <v>700</v>
      </c>
      <c r="B193" s="69" t="s">
        <v>1913</v>
      </c>
      <c r="C193" s="69" t="s">
        <v>45</v>
      </c>
      <c r="D193" s="31">
        <f t="shared" si="23"/>
        <v>4</v>
      </c>
      <c r="E193" s="69" t="s">
        <v>46</v>
      </c>
      <c r="F193" s="31">
        <f t="shared" si="24"/>
        <v>6</v>
      </c>
      <c r="G193" s="137" t="s">
        <v>1926</v>
      </c>
      <c r="H193" s="138">
        <v>58</v>
      </c>
      <c r="I193" s="92">
        <f t="shared" si="22"/>
        <v>0.31528252257109435</v>
      </c>
      <c r="J193" s="95">
        <v>1.07303343983867E-2</v>
      </c>
      <c r="K193" s="137">
        <v>0.57395216272412397</v>
      </c>
      <c r="L193" s="137">
        <v>0.61983471074380203</v>
      </c>
      <c r="M193" s="137">
        <v>0.50512834069460699</v>
      </c>
      <c r="N193" s="136">
        <v>1</v>
      </c>
      <c r="O193" s="154">
        <v>43747</v>
      </c>
      <c r="P193" s="98">
        <f t="shared" si="25"/>
        <v>1</v>
      </c>
      <c r="Q193" s="111">
        <v>0</v>
      </c>
      <c r="R193" s="111">
        <v>0</v>
      </c>
      <c r="S193" s="111">
        <v>0</v>
      </c>
      <c r="T193" s="112" t="s">
        <v>73</v>
      </c>
      <c r="U193" s="137" t="s">
        <v>1927</v>
      </c>
      <c r="V193" s="137" t="s">
        <v>1928</v>
      </c>
      <c r="W193" s="69">
        <v>48</v>
      </c>
      <c r="X193" s="69">
        <v>1</v>
      </c>
      <c r="Y193" s="69">
        <v>12</v>
      </c>
      <c r="Z193" s="69"/>
      <c r="AA193" t="s">
        <v>4543</v>
      </c>
      <c r="AB193" t="s">
        <v>51</v>
      </c>
      <c r="AC193" t="s">
        <v>4353</v>
      </c>
      <c r="AD193" t="s">
        <v>4506</v>
      </c>
      <c r="AE193" t="s">
        <v>223</v>
      </c>
      <c r="AF193" t="s">
        <v>4759</v>
      </c>
      <c r="AG193" t="s">
        <v>4353</v>
      </c>
      <c r="AH193" t="s">
        <v>4506</v>
      </c>
      <c r="AI193" t="s">
        <v>4353</v>
      </c>
      <c r="AJ193" t="s">
        <v>4506</v>
      </c>
      <c r="AK193" t="s">
        <v>4519</v>
      </c>
      <c r="AL193" t="s">
        <v>4552</v>
      </c>
      <c r="AM193" t="s">
        <v>4528</v>
      </c>
      <c r="AN193" t="s">
        <v>4618</v>
      </c>
      <c r="AO193" s="134">
        <v>111.82195845697299</v>
      </c>
      <c r="AP193" s="135">
        <v>112.85119047619</v>
      </c>
      <c r="AQ193">
        <v>0.42956349206349198</v>
      </c>
      <c r="AR193" s="136">
        <v>1.2311507936507899</v>
      </c>
      <c r="AS193">
        <v>7.1845238095238102</v>
      </c>
    </row>
    <row r="194" spans="1:45" s="65" customFormat="1" ht="76">
      <c r="A194" s="65">
        <v>445</v>
      </c>
      <c r="B194" s="69" t="s">
        <v>1222</v>
      </c>
      <c r="C194" s="69" t="s">
        <v>45</v>
      </c>
      <c r="D194" s="31">
        <f t="shared" si="23"/>
        <v>4</v>
      </c>
      <c r="E194" s="69" t="s">
        <v>80</v>
      </c>
      <c r="F194" s="31">
        <f t="shared" si="24"/>
        <v>4</v>
      </c>
      <c r="G194" s="137" t="s">
        <v>1269</v>
      </c>
      <c r="H194" s="138">
        <v>74</v>
      </c>
      <c r="I194" s="92">
        <f t="shared" si="22"/>
        <v>0.31047025415127405</v>
      </c>
      <c r="J194" s="95">
        <v>1.10579755874607E-3</v>
      </c>
      <c r="K194" s="137">
        <v>0.67292649458520204</v>
      </c>
      <c r="L194" s="137">
        <v>0.61983471074380203</v>
      </c>
      <c r="M194" s="137">
        <v>0.75256417034730305</v>
      </c>
      <c r="N194" s="136">
        <v>1</v>
      </c>
      <c r="O194" s="154">
        <v>43747</v>
      </c>
      <c r="P194" s="98">
        <f t="shared" si="25"/>
        <v>1</v>
      </c>
      <c r="Q194" s="111">
        <v>0</v>
      </c>
      <c r="R194" s="111">
        <v>0</v>
      </c>
      <c r="S194" s="111">
        <v>0</v>
      </c>
      <c r="T194" s="112" t="s">
        <v>73</v>
      </c>
      <c r="U194" s="137" t="s">
        <v>1270</v>
      </c>
      <c r="V194" s="137" t="s">
        <v>1271</v>
      </c>
      <c r="W194" s="69">
        <v>99</v>
      </c>
      <c r="X194" s="69">
        <v>2</v>
      </c>
      <c r="Y194" s="69">
        <v>3</v>
      </c>
      <c r="Z194"/>
      <c r="AA194" t="s">
        <v>4653</v>
      </c>
      <c r="AB194" t="s">
        <v>51</v>
      </c>
      <c r="AC194" t="s">
        <v>223</v>
      </c>
      <c r="AD194" t="s">
        <v>4670</v>
      </c>
      <c r="AE194" t="s">
        <v>4513</v>
      </c>
      <c r="AF194" t="s">
        <v>4669</v>
      </c>
      <c r="AG194" t="s">
        <v>4353</v>
      </c>
      <c r="AH194" t="s">
        <v>4506</v>
      </c>
      <c r="AI194" t="s">
        <v>223</v>
      </c>
      <c r="AJ194" t="s">
        <v>4670</v>
      </c>
      <c r="AK194" t="s">
        <v>4519</v>
      </c>
      <c r="AL194" t="s">
        <v>4519</v>
      </c>
      <c r="AM194" t="s">
        <v>4510</v>
      </c>
      <c r="AN194" t="s">
        <v>4550</v>
      </c>
      <c r="AO194" s="132">
        <v>111.90891089108899</v>
      </c>
      <c r="AP194" s="133">
        <v>112.85119047619</v>
      </c>
      <c r="AQ194" s="65">
        <v>0.42956349206349198</v>
      </c>
      <c r="AR194" s="65">
        <v>1.2311507936507899</v>
      </c>
      <c r="AS194" s="65">
        <v>7.1845238095238102</v>
      </c>
    </row>
    <row r="195" spans="1:45" s="65" customFormat="1" ht="181">
      <c r="A195">
        <v>1107</v>
      </c>
      <c r="B195" s="69" t="s">
        <v>3001</v>
      </c>
      <c r="C195" s="69" t="s">
        <v>45</v>
      </c>
      <c r="D195" s="31">
        <f t="shared" si="23"/>
        <v>4</v>
      </c>
      <c r="E195" s="69" t="s">
        <v>46</v>
      </c>
      <c r="F195" s="31">
        <f t="shared" si="24"/>
        <v>6</v>
      </c>
      <c r="G195" s="89" t="s">
        <v>3008</v>
      </c>
      <c r="H195" s="138">
        <v>37</v>
      </c>
      <c r="I195" s="92">
        <f t="shared" si="22"/>
        <v>0.37576731939430214</v>
      </c>
      <c r="J195" s="95">
        <v>1.5346387886042701E-3</v>
      </c>
      <c r="K195" s="137">
        <v>0.73571428571428599</v>
      </c>
      <c r="L195" s="137">
        <v>0.75</v>
      </c>
      <c r="M195" s="137">
        <v>0.71428571428571397</v>
      </c>
      <c r="N195" s="136">
        <v>1</v>
      </c>
      <c r="O195" s="157">
        <v>43746</v>
      </c>
      <c r="P195" s="98">
        <f t="shared" si="25"/>
        <v>0</v>
      </c>
      <c r="Q195" s="113">
        <v>5.0999999999999996</v>
      </c>
      <c r="R195" s="113">
        <v>0</v>
      </c>
      <c r="S195" s="113">
        <v>0</v>
      </c>
      <c r="T195" s="119" t="s">
        <v>48</v>
      </c>
      <c r="U195" s="89" t="s">
        <v>3009</v>
      </c>
      <c r="V195" s="172" t="s">
        <v>3010</v>
      </c>
      <c r="W195" s="69">
        <v>262</v>
      </c>
      <c r="X195" s="69">
        <v>3</v>
      </c>
      <c r="Y195" s="69">
        <v>4</v>
      </c>
      <c r="Z195" s="69"/>
      <c r="AA195" t="s">
        <v>4564</v>
      </c>
      <c r="AB195" t="s">
        <v>51</v>
      </c>
      <c r="AC195" t="s">
        <v>4353</v>
      </c>
      <c r="AD195" t="s">
        <v>4506</v>
      </c>
      <c r="AE195" t="s">
        <v>4513</v>
      </c>
      <c r="AF195" t="s">
        <v>4555</v>
      </c>
      <c r="AG195" t="s">
        <v>4353</v>
      </c>
      <c r="AH195" t="s">
        <v>4506</v>
      </c>
      <c r="AI195" t="s">
        <v>4353</v>
      </c>
      <c r="AJ195" t="s">
        <v>4506</v>
      </c>
      <c r="AK195" t="s">
        <v>4519</v>
      </c>
      <c r="AL195" t="s">
        <v>4519</v>
      </c>
      <c r="AM195" t="s">
        <v>4520</v>
      </c>
      <c r="AN195" t="s">
        <v>4558</v>
      </c>
      <c r="AO195" s="132">
        <v>111.983151635282</v>
      </c>
      <c r="AP195" s="133">
        <v>112.85119047619</v>
      </c>
      <c r="AQ195" s="65">
        <v>0.42956349206349198</v>
      </c>
      <c r="AR195" s="65">
        <v>1.2311507936507899</v>
      </c>
      <c r="AS195" s="65">
        <v>7.1845238095238102</v>
      </c>
    </row>
    <row r="196" spans="1:45" s="65" customFormat="1" ht="46">
      <c r="A196" s="65">
        <v>897</v>
      </c>
      <c r="B196" s="69" t="s">
        <v>2418</v>
      </c>
      <c r="C196" s="69" t="s">
        <v>45</v>
      </c>
      <c r="D196" s="31">
        <f t="shared" si="23"/>
        <v>4</v>
      </c>
      <c r="E196" s="69" t="s">
        <v>80</v>
      </c>
      <c r="F196" s="31">
        <f t="shared" si="24"/>
        <v>4</v>
      </c>
      <c r="G196" s="137" t="s">
        <v>2446</v>
      </c>
      <c r="H196" s="138">
        <v>76</v>
      </c>
      <c r="I196" s="92">
        <f t="shared" ref="I196:I259" si="26">(J196+L196)/2</f>
        <v>0.41528696115235864</v>
      </c>
      <c r="J196" s="95">
        <v>5.5739223047173202E-3</v>
      </c>
      <c r="K196" s="137">
        <v>0.78071428571428603</v>
      </c>
      <c r="L196" s="137">
        <v>0.82499999999999996</v>
      </c>
      <c r="M196" s="137">
        <v>0.71428571428571397</v>
      </c>
      <c r="N196" s="136">
        <v>1</v>
      </c>
      <c r="O196" s="154">
        <v>43744</v>
      </c>
      <c r="P196" s="98">
        <f t="shared" si="25"/>
        <v>0</v>
      </c>
      <c r="Q196" s="107">
        <v>10.199999999999999</v>
      </c>
      <c r="R196" s="107">
        <v>0</v>
      </c>
      <c r="S196" s="107">
        <v>0</v>
      </c>
      <c r="T196" s="108" t="s">
        <v>48</v>
      </c>
      <c r="U196" s="137" t="s">
        <v>2447</v>
      </c>
      <c r="V196" s="137" t="s">
        <v>2448</v>
      </c>
      <c r="W196" s="69">
        <v>53</v>
      </c>
      <c r="X196" s="69">
        <v>1</v>
      </c>
      <c r="Y196" s="69">
        <v>4</v>
      </c>
      <c r="Z196" s="69"/>
      <c r="AA196" t="s">
        <v>4512</v>
      </c>
      <c r="AB196" t="s">
        <v>51</v>
      </c>
      <c r="AC196" t="s">
        <v>4353</v>
      </c>
      <c r="AD196" t="s">
        <v>4506</v>
      </c>
      <c r="AE196" t="s">
        <v>4515</v>
      </c>
      <c r="AF196" t="s">
        <v>4544</v>
      </c>
      <c r="AG196" t="s">
        <v>223</v>
      </c>
      <c r="AH196" t="s">
        <v>4721</v>
      </c>
      <c r="AI196" t="s">
        <v>4353</v>
      </c>
      <c r="AJ196" t="s">
        <v>4506</v>
      </c>
      <c r="AK196" t="s">
        <v>4519</v>
      </c>
      <c r="AL196" t="s">
        <v>4519</v>
      </c>
      <c r="AM196" t="s">
        <v>4520</v>
      </c>
      <c r="AN196" t="s">
        <v>4558</v>
      </c>
      <c r="AO196" s="132">
        <v>112.018849206349</v>
      </c>
      <c r="AP196" s="133">
        <v>112.85119047619</v>
      </c>
      <c r="AQ196" s="65">
        <v>0.42956349206349198</v>
      </c>
      <c r="AR196" s="65">
        <v>1.2311507936507899</v>
      </c>
      <c r="AS196" s="65">
        <v>7.1845238095238102</v>
      </c>
    </row>
    <row r="197" spans="1:45" s="65" customFormat="1" ht="91">
      <c r="A197" s="65">
        <v>920</v>
      </c>
      <c r="B197" s="69" t="s">
        <v>2510</v>
      </c>
      <c r="C197" s="69" t="s">
        <v>45</v>
      </c>
      <c r="D197" s="31">
        <f t="shared" si="23"/>
        <v>4</v>
      </c>
      <c r="E197" s="69" t="s">
        <v>80</v>
      </c>
      <c r="F197" s="31">
        <f t="shared" si="24"/>
        <v>4</v>
      </c>
      <c r="G197" s="136" t="s">
        <v>159</v>
      </c>
      <c r="H197" s="138">
        <v>52</v>
      </c>
      <c r="I197" s="92">
        <f t="shared" si="26"/>
        <v>0.71810669372722247</v>
      </c>
      <c r="J197" s="95">
        <v>0.61121338745444498</v>
      </c>
      <c r="K197" s="137">
        <v>0.81418779643582295</v>
      </c>
      <c r="L197" s="137">
        <v>0.82499999999999996</v>
      </c>
      <c r="M197" s="137">
        <v>0.79796949108955795</v>
      </c>
      <c r="N197" s="136">
        <v>1</v>
      </c>
      <c r="O197" s="154">
        <v>43735</v>
      </c>
      <c r="P197" s="98">
        <f t="shared" si="25"/>
        <v>0</v>
      </c>
      <c r="Q197" s="111">
        <v>5.0999999999999996</v>
      </c>
      <c r="R197" s="111">
        <v>0</v>
      </c>
      <c r="S197" s="111">
        <v>0</v>
      </c>
      <c r="T197" s="112" t="s">
        <v>48</v>
      </c>
      <c r="U197" s="137" t="s">
        <v>2511</v>
      </c>
      <c r="V197" s="136" t="s">
        <v>2512</v>
      </c>
      <c r="W197" s="69">
        <v>130</v>
      </c>
      <c r="X197" s="69">
        <v>1</v>
      </c>
      <c r="Y197" s="69">
        <v>2</v>
      </c>
      <c r="Z197" s="69"/>
      <c r="AA197" t="s">
        <v>4522</v>
      </c>
      <c r="AB197" t="s">
        <v>51</v>
      </c>
      <c r="AC197" t="s">
        <v>223</v>
      </c>
      <c r="AD197" t="s">
        <v>4600</v>
      </c>
      <c r="AE197" t="s">
        <v>4515</v>
      </c>
      <c r="AF197" t="s">
        <v>4617</v>
      </c>
      <c r="AG197" t="s">
        <v>223</v>
      </c>
      <c r="AH197" t="s">
        <v>4600</v>
      </c>
      <c r="AI197" t="s">
        <v>223</v>
      </c>
      <c r="AJ197" t="s">
        <v>4600</v>
      </c>
      <c r="AK197" t="s">
        <v>4518</v>
      </c>
      <c r="AL197" t="s">
        <v>4519</v>
      </c>
      <c r="AM197" t="s">
        <v>4520</v>
      </c>
      <c r="AN197" t="s">
        <v>4521</v>
      </c>
      <c r="AO197" s="132">
        <v>112.07845084409099</v>
      </c>
      <c r="AP197" s="133">
        <v>112.877611940299</v>
      </c>
      <c r="AQ197" s="65">
        <v>0.42885572139303502</v>
      </c>
      <c r="AR197" s="65">
        <v>1.2318407960199</v>
      </c>
      <c r="AS197" s="65">
        <v>7.1950248756218897</v>
      </c>
    </row>
    <row r="198" spans="1:45" s="65" customFormat="1" ht="76">
      <c r="A198" s="65">
        <v>921</v>
      </c>
      <c r="B198" s="69" t="s">
        <v>2510</v>
      </c>
      <c r="C198" s="69" t="s">
        <v>45</v>
      </c>
      <c r="D198" s="31">
        <f t="shared" si="23"/>
        <v>4</v>
      </c>
      <c r="E198" s="69" t="s">
        <v>80</v>
      </c>
      <c r="F198" s="31">
        <f t="shared" si="24"/>
        <v>4</v>
      </c>
      <c r="G198" s="169" t="s">
        <v>159</v>
      </c>
      <c r="H198" s="138">
        <v>50</v>
      </c>
      <c r="I198" s="92">
        <f t="shared" si="26"/>
        <v>0.44592950395056502</v>
      </c>
      <c r="J198" s="95">
        <v>6.6859007901130099E-2</v>
      </c>
      <c r="K198" s="137">
        <v>0.81418779643582295</v>
      </c>
      <c r="L198" s="137">
        <v>0.82499999999999996</v>
      </c>
      <c r="M198" s="137">
        <v>0.79796949108955795</v>
      </c>
      <c r="N198" s="136">
        <v>1</v>
      </c>
      <c r="O198" s="154">
        <v>43733</v>
      </c>
      <c r="P198" s="98">
        <f t="shared" si="25"/>
        <v>0</v>
      </c>
      <c r="Q198" s="107">
        <v>0</v>
      </c>
      <c r="R198" s="107">
        <v>0</v>
      </c>
      <c r="S198" s="107">
        <v>1.87</v>
      </c>
      <c r="T198" s="108" t="s">
        <v>48</v>
      </c>
      <c r="U198" s="137" t="s">
        <v>2513</v>
      </c>
      <c r="V198" s="137" t="s">
        <v>2514</v>
      </c>
      <c r="W198" s="69">
        <v>98</v>
      </c>
      <c r="X198" s="69">
        <v>1</v>
      </c>
      <c r="Y198" s="69">
        <v>2</v>
      </c>
      <c r="Z198" s="69"/>
      <c r="AA198" t="s">
        <v>4512</v>
      </c>
      <c r="AB198" t="s">
        <v>4783</v>
      </c>
      <c r="AC198" t="s">
        <v>223</v>
      </c>
      <c r="AD198" t="s">
        <v>4655</v>
      </c>
      <c r="AE198" t="s">
        <v>223</v>
      </c>
      <c r="AF198" t="s">
        <v>4655</v>
      </c>
      <c r="AG198" t="s">
        <v>223</v>
      </c>
      <c r="AH198" t="s">
        <v>4655</v>
      </c>
      <c r="AI198" t="s">
        <v>223</v>
      </c>
      <c r="AJ198" t="s">
        <v>4655</v>
      </c>
      <c r="AK198" t="s">
        <v>4518</v>
      </c>
      <c r="AL198" t="s">
        <v>4552</v>
      </c>
      <c r="AM198" t="s">
        <v>4520</v>
      </c>
      <c r="AN198" t="s">
        <v>4621</v>
      </c>
      <c r="AO198" s="132">
        <v>112.14015904572599</v>
      </c>
      <c r="AP198" s="133">
        <v>112.958125623131</v>
      </c>
      <c r="AQ198" s="65">
        <v>0.42971086739780701</v>
      </c>
      <c r="AR198" s="65">
        <v>1.2323030907278201</v>
      </c>
      <c r="AS198" s="65">
        <v>7.2033898305084696</v>
      </c>
    </row>
    <row r="199" spans="1:45" s="65" customFormat="1" ht="31">
      <c r="A199">
        <v>791</v>
      </c>
      <c r="B199" s="69" t="s">
        <v>2147</v>
      </c>
      <c r="C199" s="69" t="s">
        <v>45</v>
      </c>
      <c r="D199" s="31">
        <f t="shared" si="23"/>
        <v>4</v>
      </c>
      <c r="E199" s="69" t="s">
        <v>80</v>
      </c>
      <c r="F199" s="31">
        <f t="shared" si="24"/>
        <v>4</v>
      </c>
      <c r="G199" s="152" t="s">
        <v>2158</v>
      </c>
      <c r="H199" s="138">
        <v>49</v>
      </c>
      <c r="I199" s="92">
        <f t="shared" si="26"/>
        <v>0.41314967183491069</v>
      </c>
      <c r="J199" s="95">
        <v>1.29934366982143E-3</v>
      </c>
      <c r="K199" s="137">
        <v>0.81418779643582295</v>
      </c>
      <c r="L199" s="137">
        <v>0.82499999999999996</v>
      </c>
      <c r="M199" s="137">
        <v>0.79796949108955795</v>
      </c>
      <c r="N199" s="136">
        <v>1</v>
      </c>
      <c r="O199" s="154">
        <v>43732</v>
      </c>
      <c r="P199" s="98">
        <f t="shared" si="25"/>
        <v>0</v>
      </c>
      <c r="Q199" s="111">
        <v>7.65</v>
      </c>
      <c r="R199" s="111">
        <v>0</v>
      </c>
      <c r="S199" s="111">
        <v>0</v>
      </c>
      <c r="T199" s="112" t="s">
        <v>48</v>
      </c>
      <c r="U199" s="137" t="s">
        <v>2159</v>
      </c>
      <c r="V199" s="137" t="s">
        <v>2160</v>
      </c>
      <c r="W199" s="69">
        <v>25</v>
      </c>
      <c r="X199" s="171">
        <v>1</v>
      </c>
      <c r="Y199" s="171">
        <v>2</v>
      </c>
      <c r="Z199" s="69"/>
      <c r="AA199" t="s">
        <v>4522</v>
      </c>
      <c r="AB199" t="s">
        <v>4576</v>
      </c>
      <c r="AC199" t="s">
        <v>4353</v>
      </c>
      <c r="AD199" t="s">
        <v>4506</v>
      </c>
      <c r="AE199" t="s">
        <v>223</v>
      </c>
      <c r="AF199" t="s">
        <v>4609</v>
      </c>
      <c r="AG199" t="s">
        <v>223</v>
      </c>
      <c r="AH199" t="s">
        <v>4609</v>
      </c>
      <c r="AI199" t="s">
        <v>4353</v>
      </c>
      <c r="AJ199" t="s">
        <v>4506</v>
      </c>
      <c r="AK199" t="s">
        <v>4518</v>
      </c>
      <c r="AL199" t="s">
        <v>4519</v>
      </c>
      <c r="AM199" t="s">
        <v>4520</v>
      </c>
      <c r="AN199" t="s">
        <v>4521</v>
      </c>
      <c r="AO199" s="132">
        <v>112.20298507462699</v>
      </c>
      <c r="AP199" s="133">
        <v>113.089</v>
      </c>
      <c r="AQ199" s="65">
        <v>0.42599999999999999</v>
      </c>
      <c r="AR199" s="65">
        <v>1.2330000000000001</v>
      </c>
      <c r="AS199" s="65">
        <v>7.1950000000000003</v>
      </c>
    </row>
    <row r="200" spans="1:45" s="65" customFormat="1" ht="61">
      <c r="A200" s="65">
        <v>1049</v>
      </c>
      <c r="B200" s="69" t="s">
        <v>2833</v>
      </c>
      <c r="C200" s="69" t="s">
        <v>45</v>
      </c>
      <c r="D200" s="31">
        <f t="shared" si="23"/>
        <v>4</v>
      </c>
      <c r="E200" s="69" t="s">
        <v>80</v>
      </c>
      <c r="F200" s="31">
        <f t="shared" si="24"/>
        <v>4</v>
      </c>
      <c r="G200" s="139" t="s">
        <v>2849</v>
      </c>
      <c r="H200" s="138">
        <v>30</v>
      </c>
      <c r="I200" s="92">
        <f t="shared" si="26"/>
        <v>0.41289320557933679</v>
      </c>
      <c r="J200" s="95">
        <v>7.8641115867361699E-4</v>
      </c>
      <c r="K200" s="137">
        <v>0.74381421079630905</v>
      </c>
      <c r="L200" s="137">
        <v>0.82499999999999996</v>
      </c>
      <c r="M200" s="137">
        <v>0.62203552699077302</v>
      </c>
      <c r="N200" s="136">
        <v>1</v>
      </c>
      <c r="O200" s="157">
        <v>43731</v>
      </c>
      <c r="P200" s="98">
        <f t="shared" si="25"/>
        <v>0</v>
      </c>
      <c r="Q200" s="113">
        <v>0</v>
      </c>
      <c r="R200" s="113">
        <v>1.65</v>
      </c>
      <c r="S200" s="113">
        <v>0</v>
      </c>
      <c r="T200" s="119" t="s">
        <v>48</v>
      </c>
      <c r="U200" s="89" t="s">
        <v>2850</v>
      </c>
      <c r="V200" s="172" t="s">
        <v>2851</v>
      </c>
      <c r="W200" s="69">
        <v>84</v>
      </c>
      <c r="X200" s="69">
        <v>3</v>
      </c>
      <c r="Y200" s="69">
        <v>7</v>
      </c>
      <c r="Z200" s="69"/>
      <c r="AA200" t="s">
        <v>4522</v>
      </c>
      <c r="AB200" t="s">
        <v>4594</v>
      </c>
      <c r="AC200" t="s">
        <v>4515</v>
      </c>
      <c r="AD200" t="s">
        <v>4554</v>
      </c>
      <c r="AE200" t="s">
        <v>4515</v>
      </c>
      <c r="AF200" t="s">
        <v>4554</v>
      </c>
      <c r="AG200" t="s">
        <v>4353</v>
      </c>
      <c r="AH200" t="s">
        <v>4506</v>
      </c>
      <c r="AI200" t="s">
        <v>4353</v>
      </c>
      <c r="AJ200" t="s">
        <v>4506</v>
      </c>
      <c r="AK200" t="s">
        <v>4519</v>
      </c>
      <c r="AL200" t="s">
        <v>4519</v>
      </c>
      <c r="AM200" t="s">
        <v>4510</v>
      </c>
      <c r="AN200" t="s">
        <v>4550</v>
      </c>
      <c r="AO200" s="132">
        <v>112.28486055776899</v>
      </c>
      <c r="AP200" s="133">
        <v>113.14214214214201</v>
      </c>
      <c r="AQ200" s="65">
        <v>0.42442442442442402</v>
      </c>
      <c r="AR200" s="65">
        <v>1.2322322322322301</v>
      </c>
      <c r="AS200" s="65">
        <v>7.1951951951951996</v>
      </c>
    </row>
    <row r="201" spans="1:45" s="65" customFormat="1" ht="91">
      <c r="A201" s="65">
        <v>236</v>
      </c>
      <c r="B201" s="69" t="s">
        <v>589</v>
      </c>
      <c r="C201" s="69" t="s">
        <v>45</v>
      </c>
      <c r="D201" s="31">
        <f t="shared" si="23"/>
        <v>4</v>
      </c>
      <c r="E201" s="69" t="s">
        <v>80</v>
      </c>
      <c r="F201" s="31">
        <f t="shared" si="24"/>
        <v>4</v>
      </c>
      <c r="G201" s="147" t="s">
        <v>718</v>
      </c>
      <c r="H201" s="138">
        <v>51</v>
      </c>
      <c r="I201" s="92">
        <f t="shared" si="26"/>
        <v>0.44640572489229263</v>
      </c>
      <c r="J201" s="95">
        <v>6.7811449784585295E-2</v>
      </c>
      <c r="K201" s="137">
        <v>0.78071428571428603</v>
      </c>
      <c r="L201" s="137">
        <v>0.82499999999999996</v>
      </c>
      <c r="M201" s="137">
        <v>0.71428571428571397</v>
      </c>
      <c r="N201" s="136">
        <v>1</v>
      </c>
      <c r="O201" s="154">
        <v>43729</v>
      </c>
      <c r="P201" s="98">
        <f t="shared" si="25"/>
        <v>1</v>
      </c>
      <c r="Q201" s="111">
        <v>5.0999999999999996</v>
      </c>
      <c r="R201" s="111">
        <v>0</v>
      </c>
      <c r="S201" s="111">
        <v>0</v>
      </c>
      <c r="T201" s="112" t="s">
        <v>73</v>
      </c>
      <c r="U201" s="147" t="s">
        <v>719</v>
      </c>
      <c r="V201" s="137" t="s">
        <v>720</v>
      </c>
      <c r="W201" s="69">
        <v>120</v>
      </c>
      <c r="X201" s="147">
        <v>1</v>
      </c>
      <c r="Y201" s="147">
        <v>4</v>
      </c>
      <c r="Z201"/>
      <c r="AA201" t="s">
        <v>4543</v>
      </c>
      <c r="AB201" t="s">
        <v>51</v>
      </c>
      <c r="AC201" t="s">
        <v>4353</v>
      </c>
      <c r="AD201" t="s">
        <v>4506</v>
      </c>
      <c r="AE201" t="s">
        <v>4530</v>
      </c>
      <c r="AF201" t="s">
        <v>4751</v>
      </c>
      <c r="AG201" t="s">
        <v>223</v>
      </c>
      <c r="AH201" t="s">
        <v>4681</v>
      </c>
      <c r="AI201" t="s">
        <v>4353</v>
      </c>
      <c r="AJ201" t="s">
        <v>4506</v>
      </c>
      <c r="AK201" t="s">
        <v>4519</v>
      </c>
      <c r="AL201" t="s">
        <v>4552</v>
      </c>
      <c r="AM201" t="s">
        <v>4528</v>
      </c>
      <c r="AN201" t="s">
        <v>4618</v>
      </c>
      <c r="AO201" s="132">
        <v>112.345962113659</v>
      </c>
      <c r="AP201" s="133">
        <v>113.14214214214201</v>
      </c>
      <c r="AQ201" s="65">
        <v>0.42442442442442402</v>
      </c>
      <c r="AR201" s="65">
        <v>1.2322322322322301</v>
      </c>
      <c r="AS201" s="65">
        <v>7.1951951951951996</v>
      </c>
    </row>
    <row r="202" spans="1:45" s="65" customFormat="1" ht="46">
      <c r="A202">
        <v>898</v>
      </c>
      <c r="B202" s="69" t="s">
        <v>2418</v>
      </c>
      <c r="C202" s="69" t="s">
        <v>59</v>
      </c>
      <c r="D202" s="31">
        <f t="shared" si="23"/>
        <v>5</v>
      </c>
      <c r="E202" s="69" t="s">
        <v>46</v>
      </c>
      <c r="F202" s="31">
        <f t="shared" si="24"/>
        <v>6</v>
      </c>
      <c r="G202" s="136" t="s">
        <v>2449</v>
      </c>
      <c r="H202" s="138">
        <v>57</v>
      </c>
      <c r="I202" s="92">
        <f t="shared" si="26"/>
        <v>0.37403458747715818</v>
      </c>
      <c r="J202" s="95">
        <v>6.6250993136134403E-2</v>
      </c>
      <c r="K202" s="137">
        <v>0.66912006664615598</v>
      </c>
      <c r="L202" s="137">
        <v>0.68181818181818199</v>
      </c>
      <c r="M202" s="137">
        <v>0.65007289388811795</v>
      </c>
      <c r="N202" s="136">
        <v>1</v>
      </c>
      <c r="O202" s="154">
        <v>43726</v>
      </c>
      <c r="P202" s="98">
        <f t="shared" si="25"/>
        <v>1</v>
      </c>
      <c r="Q202" s="107">
        <v>0</v>
      </c>
      <c r="R202" s="107">
        <v>1.65</v>
      </c>
      <c r="S202" s="107">
        <v>1.87</v>
      </c>
      <c r="T202" s="108" t="s">
        <v>73</v>
      </c>
      <c r="U202" s="137" t="s">
        <v>2450</v>
      </c>
      <c r="V202" s="137" t="s">
        <v>2451</v>
      </c>
      <c r="W202" s="69">
        <v>37</v>
      </c>
      <c r="X202" s="69">
        <v>3</v>
      </c>
      <c r="Y202" s="69">
        <v>6</v>
      </c>
      <c r="Z202" s="69"/>
      <c r="AA202" t="s">
        <v>4543</v>
      </c>
      <c r="AB202" t="s">
        <v>51</v>
      </c>
      <c r="AC202" t="s">
        <v>4353</v>
      </c>
      <c r="AD202" t="s">
        <v>4506</v>
      </c>
      <c r="AE202" t="s">
        <v>4515</v>
      </c>
      <c r="AF202" t="s">
        <v>4646</v>
      </c>
      <c r="AG202" t="s">
        <v>223</v>
      </c>
      <c r="AH202" t="s">
        <v>4737</v>
      </c>
      <c r="AI202" t="s">
        <v>4353</v>
      </c>
      <c r="AJ202" t="s">
        <v>4506</v>
      </c>
      <c r="AK202" t="s">
        <v>4519</v>
      </c>
      <c r="AL202" t="s">
        <v>4519</v>
      </c>
      <c r="AM202" t="s">
        <v>4562</v>
      </c>
      <c r="AN202" t="s">
        <v>4563</v>
      </c>
      <c r="AO202" s="132">
        <v>112.40119760479</v>
      </c>
      <c r="AP202" s="133">
        <v>113.15831663326701</v>
      </c>
      <c r="AQ202" s="65">
        <v>0.42284569138276601</v>
      </c>
      <c r="AR202" s="65">
        <v>1.2324649298597199</v>
      </c>
      <c r="AS202" s="65">
        <v>7.1943887775551101</v>
      </c>
    </row>
    <row r="203" spans="1:45" s="65" customFormat="1" ht="106">
      <c r="A203" s="65">
        <v>237</v>
      </c>
      <c r="B203" s="69" t="s">
        <v>589</v>
      </c>
      <c r="C203" s="69" t="s">
        <v>45</v>
      </c>
      <c r="D203" s="31">
        <f t="shared" ref="D203:D266" si="27">IF(C203="投诉",4,IF(C203="建议",1,IF(C203="举报",2,IF(C203="求助",3,5))))</f>
        <v>4</v>
      </c>
      <c r="E203" s="69" t="s">
        <v>664</v>
      </c>
      <c r="F203" s="31">
        <f t="shared" ref="F203:F266" si="28">IF(E203="12345app",1,IF(E203="e福州app",2,IF(E203="qq",3,IF(E203="电话",4,IF(E203="短信",5,IF(E203="网站",6,IF(E203="微博",7,IF(E203="微信",8,9))))))))</f>
        <v>1</v>
      </c>
      <c r="G203" s="137" t="s">
        <v>721</v>
      </c>
      <c r="H203" s="138">
        <v>173</v>
      </c>
      <c r="I203" s="92">
        <f t="shared" si="26"/>
        <v>0.500585136752973</v>
      </c>
      <c r="J203" s="95">
        <v>0.176170273505946</v>
      </c>
      <c r="K203" s="137">
        <v>0.83785714285714297</v>
      </c>
      <c r="L203" s="137">
        <v>0.82499999999999996</v>
      </c>
      <c r="M203" s="137">
        <v>0.85714285714285698</v>
      </c>
      <c r="N203" s="136">
        <v>0</v>
      </c>
      <c r="O203" s="154">
        <v>43724</v>
      </c>
      <c r="P203" s="98">
        <f t="shared" ref="P203:P266" si="29">IF(T203="利己",0,IF(T203="生态",2,1))</f>
        <v>1</v>
      </c>
      <c r="Q203" s="111">
        <v>0</v>
      </c>
      <c r="R203" s="111">
        <v>0</v>
      </c>
      <c r="S203" s="111">
        <v>0</v>
      </c>
      <c r="T203" s="112" t="s">
        <v>73</v>
      </c>
      <c r="U203" s="137" t="s">
        <v>722</v>
      </c>
      <c r="V203" s="137" t="s">
        <v>723</v>
      </c>
      <c r="W203" s="69">
        <v>135</v>
      </c>
      <c r="X203" s="69">
        <v>1</v>
      </c>
      <c r="Y203" s="69">
        <v>1</v>
      </c>
      <c r="Z203"/>
      <c r="AA203" t="s">
        <v>4603</v>
      </c>
      <c r="AB203" t="s">
        <v>87</v>
      </c>
      <c r="AC203" t="s">
        <v>4515</v>
      </c>
      <c r="AD203" t="s">
        <v>4617</v>
      </c>
      <c r="AE203" t="s">
        <v>223</v>
      </c>
      <c r="AF203" t="s">
        <v>4600</v>
      </c>
      <c r="AG203" t="s">
        <v>223</v>
      </c>
      <c r="AH203" t="s">
        <v>4600</v>
      </c>
      <c r="AI203" t="s">
        <v>4353</v>
      </c>
      <c r="AJ203" t="s">
        <v>4506</v>
      </c>
      <c r="AK203" t="s">
        <v>4518</v>
      </c>
      <c r="AL203" t="s">
        <v>4541</v>
      </c>
      <c r="AM203" t="s">
        <v>4510</v>
      </c>
      <c r="AN203" t="s">
        <v>4610</v>
      </c>
      <c r="AO203" s="132">
        <v>112.340659340659</v>
      </c>
      <c r="AP203" s="133">
        <v>113.20221327967801</v>
      </c>
      <c r="AQ203" s="65">
        <v>0.42354124748490901</v>
      </c>
      <c r="AR203" s="65">
        <v>1.23340040241449</v>
      </c>
      <c r="AS203" s="65">
        <v>7.2012072434607601</v>
      </c>
    </row>
    <row r="204" spans="1:45" s="65" customFormat="1" ht="46">
      <c r="A204" s="65">
        <v>1117</v>
      </c>
      <c r="B204" s="69" t="s">
        <v>3030</v>
      </c>
      <c r="C204" s="69" t="s">
        <v>45</v>
      </c>
      <c r="D204" s="31">
        <f t="shared" si="27"/>
        <v>4</v>
      </c>
      <c r="E204" s="69" t="s">
        <v>80</v>
      </c>
      <c r="F204" s="31">
        <f t="shared" si="28"/>
        <v>4</v>
      </c>
      <c r="G204" s="191" t="s">
        <v>3037</v>
      </c>
      <c r="H204" s="138">
        <v>35</v>
      </c>
      <c r="I204" s="92">
        <f t="shared" si="26"/>
        <v>0.42892582182444727</v>
      </c>
      <c r="J204" s="95">
        <v>3.2851643648894598E-2</v>
      </c>
      <c r="K204" s="137">
        <v>0.74381421079630905</v>
      </c>
      <c r="L204" s="137">
        <v>0.82499999999999996</v>
      </c>
      <c r="M204" s="137">
        <v>0.62203552699077302</v>
      </c>
      <c r="N204" s="136">
        <v>1</v>
      </c>
      <c r="O204" s="157">
        <v>43724</v>
      </c>
      <c r="P204" s="98">
        <f t="shared" si="29"/>
        <v>1</v>
      </c>
      <c r="Q204" s="113">
        <v>2.5499999999999998</v>
      </c>
      <c r="R204" s="113">
        <v>1.65</v>
      </c>
      <c r="S204" s="113">
        <v>0</v>
      </c>
      <c r="T204" s="119" t="s">
        <v>73</v>
      </c>
      <c r="U204" s="89" t="s">
        <v>3038</v>
      </c>
      <c r="V204" s="172" t="s">
        <v>3039</v>
      </c>
      <c r="W204" s="69">
        <v>60</v>
      </c>
      <c r="X204" s="171">
        <v>4</v>
      </c>
      <c r="Y204" s="171">
        <v>7</v>
      </c>
      <c r="Z204" s="69"/>
      <c r="AA204" t="s">
        <v>4512</v>
      </c>
      <c r="AB204" t="s">
        <v>51</v>
      </c>
      <c r="AC204" t="s">
        <v>223</v>
      </c>
      <c r="AD204" t="s">
        <v>4643</v>
      </c>
      <c r="AE204" t="s">
        <v>4513</v>
      </c>
      <c r="AF204" t="s">
        <v>4784</v>
      </c>
      <c r="AG204" t="s">
        <v>4353</v>
      </c>
      <c r="AH204" t="s">
        <v>4506</v>
      </c>
      <c r="AI204" t="s">
        <v>4353</v>
      </c>
      <c r="AJ204" t="s">
        <v>4506</v>
      </c>
      <c r="AK204" t="s">
        <v>4519</v>
      </c>
      <c r="AL204" t="s">
        <v>4519</v>
      </c>
      <c r="AM204" t="s">
        <v>4510</v>
      </c>
      <c r="AN204" t="s">
        <v>4550</v>
      </c>
      <c r="AO204" s="132">
        <v>112.41800000000001</v>
      </c>
      <c r="AP204" s="133">
        <v>113.20221327967801</v>
      </c>
      <c r="AQ204" s="65">
        <v>0.42354124748490901</v>
      </c>
      <c r="AR204" s="65">
        <v>1.23340040241449</v>
      </c>
      <c r="AS204" s="65">
        <v>7.2012072434607601</v>
      </c>
    </row>
    <row r="205" spans="1:45" s="65" customFormat="1" ht="61">
      <c r="A205">
        <v>238</v>
      </c>
      <c r="B205" s="69" t="s">
        <v>589</v>
      </c>
      <c r="C205" s="69" t="s">
        <v>45</v>
      </c>
      <c r="D205" s="31">
        <f t="shared" si="27"/>
        <v>4</v>
      </c>
      <c r="E205" s="69" t="s">
        <v>80</v>
      </c>
      <c r="F205" s="31">
        <f t="shared" si="28"/>
        <v>4</v>
      </c>
      <c r="G205" s="147" t="s">
        <v>724</v>
      </c>
      <c r="H205" s="138">
        <v>42</v>
      </c>
      <c r="I205" s="92">
        <f t="shared" si="26"/>
        <v>0.49948700629161602</v>
      </c>
      <c r="J205" s="95">
        <v>0.24897401258323201</v>
      </c>
      <c r="K205" s="137">
        <v>0.73571428571428599</v>
      </c>
      <c r="L205" s="137">
        <v>0.75</v>
      </c>
      <c r="M205" s="137">
        <v>0.71428571428571397</v>
      </c>
      <c r="N205" s="136">
        <v>1</v>
      </c>
      <c r="O205" s="154">
        <v>43720</v>
      </c>
      <c r="P205" s="98">
        <f t="shared" si="29"/>
        <v>1</v>
      </c>
      <c r="Q205" s="111">
        <v>0</v>
      </c>
      <c r="R205" s="111">
        <v>0</v>
      </c>
      <c r="S205" s="111">
        <v>0</v>
      </c>
      <c r="T205" s="112" t="s">
        <v>73</v>
      </c>
      <c r="U205" s="137" t="s">
        <v>725</v>
      </c>
      <c r="V205" s="137" t="s">
        <v>726</v>
      </c>
      <c r="W205" s="69">
        <v>68</v>
      </c>
      <c r="X205" s="147">
        <v>1</v>
      </c>
      <c r="Y205" s="147">
        <v>4</v>
      </c>
      <c r="Z205"/>
      <c r="AA205" t="s">
        <v>4522</v>
      </c>
      <c r="AB205" t="s">
        <v>71</v>
      </c>
      <c r="AC205" t="s">
        <v>4353</v>
      </c>
      <c r="AD205" t="s">
        <v>4506</v>
      </c>
      <c r="AE205" t="s">
        <v>4353</v>
      </c>
      <c r="AF205" t="s">
        <v>4506</v>
      </c>
      <c r="AG205" t="s">
        <v>4513</v>
      </c>
      <c r="AH205" t="s">
        <v>4700</v>
      </c>
      <c r="AI205" t="s">
        <v>4353</v>
      </c>
      <c r="AJ205" t="s">
        <v>4506</v>
      </c>
      <c r="AK205" t="s">
        <v>4519</v>
      </c>
      <c r="AL205" t="s">
        <v>4541</v>
      </c>
      <c r="AM205" t="s">
        <v>4562</v>
      </c>
      <c r="AN205" t="s">
        <v>4785</v>
      </c>
      <c r="AO205" s="132">
        <v>112.488488488488</v>
      </c>
      <c r="AP205" s="133">
        <v>113.148335015136</v>
      </c>
      <c r="AQ205" s="65">
        <v>0.424823410696266</v>
      </c>
      <c r="AR205" s="65">
        <v>1.23410696266398</v>
      </c>
      <c r="AS205" s="65">
        <v>7.2169525731584301</v>
      </c>
    </row>
    <row r="206" spans="1:45" s="65" customFormat="1" ht="46">
      <c r="A206">
        <v>239</v>
      </c>
      <c r="B206" s="69" t="s">
        <v>589</v>
      </c>
      <c r="C206" s="69" t="s">
        <v>45</v>
      </c>
      <c r="D206" s="31">
        <f t="shared" si="27"/>
        <v>4</v>
      </c>
      <c r="E206" s="69" t="s">
        <v>80</v>
      </c>
      <c r="F206" s="31">
        <f t="shared" si="28"/>
        <v>4</v>
      </c>
      <c r="G206" s="137" t="s">
        <v>727</v>
      </c>
      <c r="H206" s="138">
        <v>68</v>
      </c>
      <c r="I206" s="92">
        <f t="shared" si="26"/>
        <v>0.53615913936488502</v>
      </c>
      <c r="J206" s="95">
        <v>0.24731827872977</v>
      </c>
      <c r="K206" s="137">
        <v>0.69705133627784299</v>
      </c>
      <c r="L206" s="137">
        <v>0.82499999999999996</v>
      </c>
      <c r="M206" s="137">
        <v>0.50512834069460699</v>
      </c>
      <c r="N206" s="136">
        <v>1</v>
      </c>
      <c r="O206" s="154">
        <v>43720</v>
      </c>
      <c r="P206" s="98">
        <f t="shared" si="29"/>
        <v>1</v>
      </c>
      <c r="Q206" s="111">
        <v>0</v>
      </c>
      <c r="R206" s="111">
        <v>0</v>
      </c>
      <c r="S206" s="111">
        <v>0</v>
      </c>
      <c r="T206" s="112" t="s">
        <v>73</v>
      </c>
      <c r="U206" s="137" t="s">
        <v>728</v>
      </c>
      <c r="V206" s="137" t="s">
        <v>729</v>
      </c>
      <c r="W206" s="69">
        <v>46</v>
      </c>
      <c r="X206" s="69">
        <v>2</v>
      </c>
      <c r="Y206" s="69">
        <v>12</v>
      </c>
      <c r="Z206"/>
      <c r="AA206" t="s">
        <v>4564</v>
      </c>
      <c r="AB206" t="s">
        <v>51</v>
      </c>
      <c r="AC206" t="s">
        <v>4515</v>
      </c>
      <c r="AD206" t="s">
        <v>4719</v>
      </c>
      <c r="AE206" t="s">
        <v>4513</v>
      </c>
      <c r="AF206" t="s">
        <v>4677</v>
      </c>
      <c r="AG206" t="s">
        <v>4515</v>
      </c>
      <c r="AH206" t="s">
        <v>4719</v>
      </c>
      <c r="AI206" t="s">
        <v>4353</v>
      </c>
      <c r="AJ206" t="s">
        <v>4506</v>
      </c>
      <c r="AK206" t="s">
        <v>4519</v>
      </c>
      <c r="AL206" t="s">
        <v>4519</v>
      </c>
      <c r="AM206" t="s">
        <v>4510</v>
      </c>
      <c r="AN206" t="s">
        <v>4550</v>
      </c>
      <c r="AO206" s="132">
        <v>112.53306613226501</v>
      </c>
      <c r="AP206" s="133">
        <v>113.148335015136</v>
      </c>
      <c r="AQ206" s="65">
        <v>0.424823410696266</v>
      </c>
      <c r="AR206" s="65">
        <v>1.23410696266398</v>
      </c>
      <c r="AS206" s="65">
        <v>7.2169525731584301</v>
      </c>
    </row>
    <row r="207" spans="1:45" s="65" customFormat="1" ht="91">
      <c r="A207">
        <v>899</v>
      </c>
      <c r="B207" s="69" t="s">
        <v>2418</v>
      </c>
      <c r="C207" s="69" t="s">
        <v>59</v>
      </c>
      <c r="D207" s="31">
        <f t="shared" si="27"/>
        <v>5</v>
      </c>
      <c r="E207" s="69" t="s">
        <v>46</v>
      </c>
      <c r="F207" s="31">
        <f t="shared" si="28"/>
        <v>6</v>
      </c>
      <c r="G207" s="136" t="s">
        <v>2452</v>
      </c>
      <c r="H207" s="138">
        <v>50</v>
      </c>
      <c r="I207" s="92">
        <f t="shared" si="26"/>
        <v>0.38863464831960903</v>
      </c>
      <c r="J207" s="95">
        <v>0.15743458589541601</v>
      </c>
      <c r="K207" s="137">
        <v>0.57395216272412397</v>
      </c>
      <c r="L207" s="137">
        <v>0.61983471074380203</v>
      </c>
      <c r="M207" s="137">
        <v>0.50512834069460699</v>
      </c>
      <c r="N207" s="136">
        <v>1</v>
      </c>
      <c r="O207" s="154">
        <v>43720</v>
      </c>
      <c r="P207" s="98">
        <f t="shared" si="29"/>
        <v>1</v>
      </c>
      <c r="Q207" s="111">
        <v>0</v>
      </c>
      <c r="R207" s="111">
        <v>1.65</v>
      </c>
      <c r="S207" s="111">
        <v>0</v>
      </c>
      <c r="T207" s="112" t="s">
        <v>73</v>
      </c>
      <c r="U207" s="137" t="s">
        <v>2453</v>
      </c>
      <c r="V207" s="137" t="s">
        <v>2454</v>
      </c>
      <c r="W207" s="69">
        <v>125</v>
      </c>
      <c r="X207" s="69">
        <v>2</v>
      </c>
      <c r="Y207" s="69">
        <v>12</v>
      </c>
      <c r="Z207" s="69"/>
      <c r="AA207" t="s">
        <v>4603</v>
      </c>
      <c r="AB207" t="s">
        <v>51</v>
      </c>
      <c r="AC207" t="s">
        <v>4353</v>
      </c>
      <c r="AD207" t="s">
        <v>4506</v>
      </c>
      <c r="AE207" t="s">
        <v>4515</v>
      </c>
      <c r="AF207" t="s">
        <v>4684</v>
      </c>
      <c r="AG207" t="s">
        <v>4353</v>
      </c>
      <c r="AH207" t="s">
        <v>4506</v>
      </c>
      <c r="AI207" t="s">
        <v>4353</v>
      </c>
      <c r="AJ207" t="s">
        <v>4506</v>
      </c>
      <c r="AK207" t="s">
        <v>4519</v>
      </c>
      <c r="AL207" t="s">
        <v>4519</v>
      </c>
      <c r="AM207" t="s">
        <v>4562</v>
      </c>
      <c r="AN207" t="s">
        <v>4563</v>
      </c>
      <c r="AO207" s="132">
        <v>112.595787362086</v>
      </c>
      <c r="AP207" s="133">
        <v>113.148335015136</v>
      </c>
      <c r="AQ207" s="65">
        <v>0.424823410696266</v>
      </c>
      <c r="AR207" s="65">
        <v>1.23410696266398</v>
      </c>
      <c r="AS207" s="65">
        <v>7.2169525731584301</v>
      </c>
    </row>
    <row r="208" spans="1:45" s="65" customFormat="1" ht="45">
      <c r="A208">
        <v>1050</v>
      </c>
      <c r="B208" s="69" t="s">
        <v>2833</v>
      </c>
      <c r="C208" s="69" t="s">
        <v>59</v>
      </c>
      <c r="D208" s="31">
        <f t="shared" si="27"/>
        <v>5</v>
      </c>
      <c r="E208" s="69" t="s">
        <v>664</v>
      </c>
      <c r="F208" s="31">
        <f t="shared" si="28"/>
        <v>1</v>
      </c>
      <c r="G208" s="89" t="s">
        <v>2852</v>
      </c>
      <c r="H208" s="138">
        <v>48</v>
      </c>
      <c r="I208" s="92">
        <f t="shared" si="26"/>
        <v>0.84078461241997093</v>
      </c>
      <c r="J208" s="95">
        <v>0.99975104302175999</v>
      </c>
      <c r="K208" s="137">
        <v>0.72827870552673202</v>
      </c>
      <c r="L208" s="137">
        <v>0.68181818181818199</v>
      </c>
      <c r="M208" s="137">
        <v>0.79796949108955795</v>
      </c>
      <c r="N208" s="136">
        <v>1</v>
      </c>
      <c r="O208" s="157">
        <v>43718</v>
      </c>
      <c r="P208" s="98">
        <f t="shared" si="29"/>
        <v>1</v>
      </c>
      <c r="Q208" s="113">
        <v>0</v>
      </c>
      <c r="R208" s="113">
        <v>1.65</v>
      </c>
      <c r="S208" s="113">
        <v>0</v>
      </c>
      <c r="T208" s="119" t="s">
        <v>73</v>
      </c>
      <c r="U208" s="89" t="s">
        <v>2853</v>
      </c>
      <c r="V208" s="172" t="s">
        <v>2854</v>
      </c>
      <c r="W208" s="69">
        <v>15</v>
      </c>
      <c r="X208" s="69">
        <v>1</v>
      </c>
      <c r="Y208" s="69">
        <v>2</v>
      </c>
      <c r="Z208" s="69"/>
      <c r="AA208" t="s">
        <v>4603</v>
      </c>
      <c r="AB208" t="s">
        <v>87</v>
      </c>
      <c r="AC208" t="s">
        <v>223</v>
      </c>
      <c r="AD208" t="s">
        <v>4677</v>
      </c>
      <c r="AE208" t="s">
        <v>4353</v>
      </c>
      <c r="AF208" t="s">
        <v>4506</v>
      </c>
      <c r="AG208" t="s">
        <v>4353</v>
      </c>
      <c r="AH208" t="s">
        <v>4506</v>
      </c>
      <c r="AI208" t="s">
        <v>4353</v>
      </c>
      <c r="AJ208" t="s">
        <v>4506</v>
      </c>
      <c r="AK208" t="s">
        <v>4519</v>
      </c>
      <c r="AL208" t="s">
        <v>4519</v>
      </c>
      <c r="AM208" t="s">
        <v>4528</v>
      </c>
      <c r="AN208" t="s">
        <v>4529</v>
      </c>
      <c r="AO208" s="132">
        <v>112.699799196787</v>
      </c>
      <c r="AP208" s="133">
        <v>113.164634146341</v>
      </c>
      <c r="AQ208" s="65">
        <v>0.42174796747967502</v>
      </c>
      <c r="AR208" s="65">
        <v>1.23577235772358</v>
      </c>
      <c r="AS208" s="65">
        <v>7.22967479674797</v>
      </c>
    </row>
    <row r="209" spans="1:45" s="65" customFormat="1" ht="76">
      <c r="A209">
        <v>162</v>
      </c>
      <c r="B209" s="69" t="s">
        <v>499</v>
      </c>
      <c r="C209" s="69" t="s">
        <v>45</v>
      </c>
      <c r="D209" s="31">
        <f t="shared" si="27"/>
        <v>4</v>
      </c>
      <c r="E209" s="69" t="s">
        <v>221</v>
      </c>
      <c r="F209" s="31">
        <f t="shared" si="28"/>
        <v>2</v>
      </c>
      <c r="G209" s="136" t="s">
        <v>509</v>
      </c>
      <c r="H209" s="138">
        <v>9</v>
      </c>
      <c r="I209" s="92">
        <f t="shared" si="26"/>
        <v>0.70953690069205044</v>
      </c>
      <c r="J209" s="95">
        <v>0.669073801384101</v>
      </c>
      <c r="K209" s="137">
        <v>0.68837559287164596</v>
      </c>
      <c r="L209" s="137">
        <v>0.75</v>
      </c>
      <c r="M209" s="137">
        <v>0.59593898217911601</v>
      </c>
      <c r="N209" s="136">
        <v>0</v>
      </c>
      <c r="O209" s="154">
        <v>43718</v>
      </c>
      <c r="P209" s="98">
        <f t="shared" si="29"/>
        <v>1</v>
      </c>
      <c r="Q209" s="111">
        <v>2.5499999999999998</v>
      </c>
      <c r="R209" s="111">
        <v>0</v>
      </c>
      <c r="S209" s="111">
        <v>0</v>
      </c>
      <c r="T209" s="112" t="s">
        <v>73</v>
      </c>
      <c r="U209" s="169" t="s">
        <v>510</v>
      </c>
      <c r="V209" s="137" t="s">
        <v>511</v>
      </c>
      <c r="W209" s="69">
        <v>97</v>
      </c>
      <c r="X209" s="69">
        <v>3</v>
      </c>
      <c r="Y209" s="69">
        <v>8</v>
      </c>
      <c r="Z209"/>
      <c r="AA209" t="s">
        <v>4564</v>
      </c>
      <c r="AB209" t="s">
        <v>4732</v>
      </c>
      <c r="AC209" t="s">
        <v>223</v>
      </c>
      <c r="AD209" t="s">
        <v>4670</v>
      </c>
      <c r="AE209" t="s">
        <v>223</v>
      </c>
      <c r="AF209" t="s">
        <v>4670</v>
      </c>
      <c r="AG209" t="s">
        <v>223</v>
      </c>
      <c r="AH209" t="s">
        <v>4670</v>
      </c>
      <c r="AI209" t="s">
        <v>4353</v>
      </c>
      <c r="AJ209" t="s">
        <v>4506</v>
      </c>
      <c r="AK209" t="s">
        <v>4519</v>
      </c>
      <c r="AL209" t="s">
        <v>4519</v>
      </c>
      <c r="AM209" t="s">
        <v>4528</v>
      </c>
      <c r="AN209" t="s">
        <v>4529</v>
      </c>
      <c r="AO209" s="132">
        <v>112.746733668342</v>
      </c>
      <c r="AP209" s="133">
        <v>113.164634146341</v>
      </c>
      <c r="AQ209" s="65">
        <v>0.42174796747967502</v>
      </c>
      <c r="AR209" s="65">
        <v>1.23577235772358</v>
      </c>
      <c r="AS209" s="65">
        <v>7.22967479674797</v>
      </c>
    </row>
    <row r="210" spans="1:45" s="65" customFormat="1" ht="136">
      <c r="A210" s="65">
        <v>241</v>
      </c>
      <c r="B210" s="69" t="s">
        <v>589</v>
      </c>
      <c r="C210" s="69" t="s">
        <v>45</v>
      </c>
      <c r="D210" s="31">
        <f t="shared" si="27"/>
        <v>4</v>
      </c>
      <c r="E210" s="69" t="s">
        <v>664</v>
      </c>
      <c r="F210" s="31">
        <f t="shared" si="28"/>
        <v>1</v>
      </c>
      <c r="G210" s="137" t="s">
        <v>732</v>
      </c>
      <c r="H210" s="138">
        <v>61</v>
      </c>
      <c r="I210" s="92">
        <f t="shared" si="26"/>
        <v>0.64748117654100801</v>
      </c>
      <c r="J210" s="95">
        <v>0.54496235308201602</v>
      </c>
      <c r="K210" s="137">
        <v>0.76918779643582302</v>
      </c>
      <c r="L210" s="137">
        <v>0.75</v>
      </c>
      <c r="M210" s="137">
        <v>0.79796949108955795</v>
      </c>
      <c r="N210" s="136">
        <v>1</v>
      </c>
      <c r="O210" s="154">
        <v>43718</v>
      </c>
      <c r="P210" s="98">
        <f t="shared" si="29"/>
        <v>0</v>
      </c>
      <c r="Q210" s="111">
        <v>0</v>
      </c>
      <c r="R210" s="111">
        <v>0</v>
      </c>
      <c r="S210" s="111">
        <v>0</v>
      </c>
      <c r="T210" s="112" t="s">
        <v>48</v>
      </c>
      <c r="U210" s="137" t="s">
        <v>733</v>
      </c>
      <c r="V210" s="137" t="s">
        <v>731</v>
      </c>
      <c r="W210" s="69">
        <v>189</v>
      </c>
      <c r="X210" s="69">
        <v>1</v>
      </c>
      <c r="Y210" s="69">
        <v>2</v>
      </c>
      <c r="Z210"/>
      <c r="AA210" t="s">
        <v>4543</v>
      </c>
      <c r="AB210" t="s">
        <v>71</v>
      </c>
      <c r="AC210" t="s">
        <v>223</v>
      </c>
      <c r="AD210" t="s">
        <v>4657</v>
      </c>
      <c r="AE210" t="s">
        <v>4513</v>
      </c>
      <c r="AF210" t="s">
        <v>4658</v>
      </c>
      <c r="AG210" t="s">
        <v>4530</v>
      </c>
      <c r="AH210" t="s">
        <v>4786</v>
      </c>
      <c r="AI210" t="s">
        <v>4353</v>
      </c>
      <c r="AJ210" t="s">
        <v>4506</v>
      </c>
      <c r="AK210" t="s">
        <v>4519</v>
      </c>
      <c r="AL210" t="s">
        <v>4519</v>
      </c>
      <c r="AM210" t="s">
        <v>4510</v>
      </c>
      <c r="AN210" t="s">
        <v>4550</v>
      </c>
      <c r="AO210" s="132">
        <v>112.798792756539</v>
      </c>
      <c r="AP210" s="133">
        <v>113.164634146341</v>
      </c>
      <c r="AQ210" s="65">
        <v>0.42174796747967502</v>
      </c>
      <c r="AR210" s="65">
        <v>1.23577235772358</v>
      </c>
      <c r="AS210" s="65">
        <v>7.22967479674797</v>
      </c>
    </row>
    <row r="211" spans="1:45" s="65" customFormat="1" ht="136">
      <c r="A211" s="65">
        <v>240</v>
      </c>
      <c r="B211" s="69" t="s">
        <v>589</v>
      </c>
      <c r="C211" s="69" t="s">
        <v>45</v>
      </c>
      <c r="D211" s="31">
        <f t="shared" si="27"/>
        <v>4</v>
      </c>
      <c r="E211" s="69" t="s">
        <v>80</v>
      </c>
      <c r="F211" s="31">
        <f t="shared" si="28"/>
        <v>4</v>
      </c>
      <c r="G211" s="169" t="s">
        <v>159</v>
      </c>
      <c r="H211" s="138">
        <v>66</v>
      </c>
      <c r="I211" s="92">
        <f t="shared" si="26"/>
        <v>0.41262875487676393</v>
      </c>
      <c r="J211" s="95">
        <v>2.5750975352789601E-4</v>
      </c>
      <c r="K211" s="137">
        <v>0.81418779643582295</v>
      </c>
      <c r="L211" s="137">
        <v>0.82499999999999996</v>
      </c>
      <c r="M211" s="137">
        <v>0.79796949108955795</v>
      </c>
      <c r="N211" s="136">
        <v>1</v>
      </c>
      <c r="O211" s="154">
        <v>43718</v>
      </c>
      <c r="P211" s="98">
        <f t="shared" si="29"/>
        <v>0</v>
      </c>
      <c r="Q211" s="111">
        <v>0</v>
      </c>
      <c r="R211" s="111">
        <v>1.65</v>
      </c>
      <c r="S211" s="111">
        <v>0</v>
      </c>
      <c r="T211" s="112" t="s">
        <v>48</v>
      </c>
      <c r="U211" s="147" t="s">
        <v>730</v>
      </c>
      <c r="V211" s="137" t="s">
        <v>731</v>
      </c>
      <c r="W211" s="69">
        <v>189</v>
      </c>
      <c r="X211" s="147">
        <v>1</v>
      </c>
      <c r="Y211" s="147">
        <v>2</v>
      </c>
      <c r="Z211"/>
      <c r="AA211" t="s">
        <v>4551</v>
      </c>
      <c r="AB211" t="s">
        <v>71</v>
      </c>
      <c r="AC211" t="s">
        <v>223</v>
      </c>
      <c r="AD211" t="s">
        <v>4657</v>
      </c>
      <c r="AE211" t="s">
        <v>4513</v>
      </c>
      <c r="AF211" t="s">
        <v>4658</v>
      </c>
      <c r="AG211" t="s">
        <v>4530</v>
      </c>
      <c r="AH211" t="s">
        <v>4786</v>
      </c>
      <c r="AI211" t="s">
        <v>4353</v>
      </c>
      <c r="AJ211" t="s">
        <v>4506</v>
      </c>
      <c r="AK211" t="s">
        <v>4518</v>
      </c>
      <c r="AL211" t="s">
        <v>4552</v>
      </c>
      <c r="AM211" t="s">
        <v>4510</v>
      </c>
      <c r="AN211" t="s">
        <v>4553</v>
      </c>
      <c r="AO211" s="132">
        <v>112.864048338369</v>
      </c>
      <c r="AP211" s="133">
        <v>113.164634146341</v>
      </c>
      <c r="AQ211" s="65">
        <v>0.42174796747967502</v>
      </c>
      <c r="AR211" s="65">
        <v>1.23577235772358</v>
      </c>
      <c r="AS211" s="65">
        <v>7.22967479674797</v>
      </c>
    </row>
    <row r="212" spans="1:45" customFormat="1" ht="76">
      <c r="A212" s="65">
        <v>849</v>
      </c>
      <c r="B212" s="69" t="s">
        <v>2287</v>
      </c>
      <c r="C212" s="69" t="s">
        <v>59</v>
      </c>
      <c r="D212" s="31">
        <f t="shared" si="27"/>
        <v>5</v>
      </c>
      <c r="E212" s="69" t="s">
        <v>80</v>
      </c>
      <c r="F212" s="31">
        <f t="shared" si="28"/>
        <v>4</v>
      </c>
      <c r="G212" s="136" t="s">
        <v>2308</v>
      </c>
      <c r="H212" s="138">
        <v>20</v>
      </c>
      <c r="I212" s="92">
        <f t="shared" si="26"/>
        <v>0.70174318844725847</v>
      </c>
      <c r="J212" s="95">
        <v>0.65348637689451705</v>
      </c>
      <c r="K212" s="137">
        <v>0.79285714285714304</v>
      </c>
      <c r="L212" s="137">
        <v>0.75</v>
      </c>
      <c r="M212" s="137">
        <v>0.85714285714285698</v>
      </c>
      <c r="N212" s="136">
        <v>1</v>
      </c>
      <c r="O212" s="154">
        <v>43717</v>
      </c>
      <c r="P212" s="98">
        <f t="shared" si="29"/>
        <v>1</v>
      </c>
      <c r="Q212" s="111">
        <v>2.5499999999999998</v>
      </c>
      <c r="R212" s="111">
        <v>0</v>
      </c>
      <c r="S212" s="111">
        <v>0</v>
      </c>
      <c r="T212" s="112" t="s">
        <v>73</v>
      </c>
      <c r="U212" s="69" t="s">
        <v>2309</v>
      </c>
      <c r="V212" s="137" t="s">
        <v>2310</v>
      </c>
      <c r="W212" s="69">
        <v>97</v>
      </c>
      <c r="X212" s="69">
        <v>1</v>
      </c>
      <c r="Y212" s="69">
        <v>1</v>
      </c>
      <c r="Z212" s="69"/>
      <c r="AA212" t="s">
        <v>4564</v>
      </c>
      <c r="AB212" t="s">
        <v>4576</v>
      </c>
      <c r="AC212" t="s">
        <v>4353</v>
      </c>
      <c r="AD212" t="s">
        <v>4506</v>
      </c>
      <c r="AE212" t="s">
        <v>4515</v>
      </c>
      <c r="AF212" t="s">
        <v>4607</v>
      </c>
      <c r="AG212" t="s">
        <v>4515</v>
      </c>
      <c r="AH212" t="s">
        <v>4607</v>
      </c>
      <c r="AI212" t="s">
        <v>4353</v>
      </c>
      <c r="AJ212" t="s">
        <v>4506</v>
      </c>
      <c r="AK212" t="s">
        <v>4519</v>
      </c>
      <c r="AL212" t="s">
        <v>4519</v>
      </c>
      <c r="AM212" t="s">
        <v>4519</v>
      </c>
      <c r="AN212" t="s">
        <v>4564</v>
      </c>
      <c r="AO212" s="134">
        <v>112.957661290323</v>
      </c>
      <c r="AP212" s="135">
        <v>113.161749745677</v>
      </c>
      <c r="AQ212">
        <v>0.42014242115971501</v>
      </c>
      <c r="AR212" s="136">
        <v>1.23601220752798</v>
      </c>
      <c r="AS212">
        <v>7.2207527975584904</v>
      </c>
    </row>
    <row r="213" spans="1:45" customFormat="1" ht="135">
      <c r="A213">
        <v>1051</v>
      </c>
      <c r="B213" s="69" t="s">
        <v>2833</v>
      </c>
      <c r="C213" s="69" t="s">
        <v>45</v>
      </c>
      <c r="D213" s="31">
        <f t="shared" si="27"/>
        <v>4</v>
      </c>
      <c r="E213" s="69" t="s">
        <v>664</v>
      </c>
      <c r="F213" s="31">
        <f t="shared" si="28"/>
        <v>1</v>
      </c>
      <c r="G213" s="89" t="s">
        <v>2855</v>
      </c>
      <c r="H213" s="138">
        <v>67</v>
      </c>
      <c r="I213" s="92">
        <f t="shared" si="26"/>
        <v>0.31103621582025859</v>
      </c>
      <c r="J213" s="95">
        <v>2.23772089671515E-3</v>
      </c>
      <c r="K213" s="137">
        <v>0.61027641931792698</v>
      </c>
      <c r="L213" s="137">
        <v>0.61983471074380203</v>
      </c>
      <c r="M213" s="137">
        <v>0.59593898217911601</v>
      </c>
      <c r="N213" s="136">
        <v>1</v>
      </c>
      <c r="O213" s="157">
        <v>43717</v>
      </c>
      <c r="P213" s="98">
        <f t="shared" si="29"/>
        <v>2</v>
      </c>
      <c r="Q213" s="113">
        <v>0</v>
      </c>
      <c r="R213" s="113">
        <v>0</v>
      </c>
      <c r="S213" s="113">
        <v>0</v>
      </c>
      <c r="T213" s="119" t="s">
        <v>64</v>
      </c>
      <c r="U213" s="91" t="s">
        <v>4456</v>
      </c>
      <c r="V213" s="172" t="s">
        <v>2857</v>
      </c>
      <c r="W213" s="69">
        <v>140</v>
      </c>
      <c r="X213" s="171">
        <v>2</v>
      </c>
      <c r="Y213" s="171">
        <v>8</v>
      </c>
      <c r="Z213" s="69"/>
      <c r="AA213" t="s">
        <v>4543</v>
      </c>
      <c r="AB213" t="s">
        <v>87</v>
      </c>
      <c r="AC213" t="s">
        <v>4515</v>
      </c>
      <c r="AD213" t="s">
        <v>4631</v>
      </c>
      <c r="AE213" t="s">
        <v>223</v>
      </c>
      <c r="AF213" t="s">
        <v>4787</v>
      </c>
      <c r="AG213" t="s">
        <v>4353</v>
      </c>
      <c r="AH213" t="s">
        <v>4506</v>
      </c>
      <c r="AI213" t="s">
        <v>223</v>
      </c>
      <c r="AJ213" t="s">
        <v>4787</v>
      </c>
      <c r="AK213" t="s">
        <v>4519</v>
      </c>
      <c r="AL213" t="s">
        <v>4519</v>
      </c>
      <c r="AM213" t="s">
        <v>4562</v>
      </c>
      <c r="AN213" t="s">
        <v>4563</v>
      </c>
      <c r="AO213" s="134">
        <v>113.004036326942</v>
      </c>
      <c r="AP213" s="135">
        <v>113.161749745677</v>
      </c>
      <c r="AQ213">
        <v>0.42014242115971501</v>
      </c>
      <c r="AR213" s="136">
        <v>1.23601220752798</v>
      </c>
      <c r="AS213">
        <v>7.2207527975584904</v>
      </c>
    </row>
    <row r="214" spans="1:45" customFormat="1" ht="91">
      <c r="A214" s="65">
        <v>988</v>
      </c>
      <c r="B214" s="69" t="s">
        <v>2638</v>
      </c>
      <c r="C214" s="69" t="s">
        <v>45</v>
      </c>
      <c r="D214" s="31">
        <f t="shared" si="27"/>
        <v>4</v>
      </c>
      <c r="E214" s="69" t="s">
        <v>221</v>
      </c>
      <c r="F214" s="31">
        <f t="shared" si="28"/>
        <v>2</v>
      </c>
      <c r="G214" s="139" t="s">
        <v>2676</v>
      </c>
      <c r="H214" s="138">
        <v>50</v>
      </c>
      <c r="I214" s="92">
        <f t="shared" si="26"/>
        <v>0.3783441428948866</v>
      </c>
      <c r="J214" s="95">
        <v>7.4870103971591204E-2</v>
      </c>
      <c r="K214" s="137">
        <v>0.71011657722983001</v>
      </c>
      <c r="L214" s="137">
        <v>0.68181818181818199</v>
      </c>
      <c r="M214" s="137">
        <v>0.75256417034730305</v>
      </c>
      <c r="N214" s="136">
        <v>1</v>
      </c>
      <c r="O214" s="157">
        <v>43715</v>
      </c>
      <c r="P214" s="98">
        <f t="shared" si="29"/>
        <v>1</v>
      </c>
      <c r="Q214" s="124">
        <v>2.5499999999999998</v>
      </c>
      <c r="R214" s="124">
        <v>3.3</v>
      </c>
      <c r="S214" s="124">
        <v>1.87</v>
      </c>
      <c r="T214" s="125" t="s">
        <v>73</v>
      </c>
      <c r="U214" s="89" t="s">
        <v>2677</v>
      </c>
      <c r="V214" s="172" t="s">
        <v>2678</v>
      </c>
      <c r="W214" s="69">
        <v>117</v>
      </c>
      <c r="X214" s="69">
        <v>1</v>
      </c>
      <c r="Y214" s="69">
        <v>3</v>
      </c>
      <c r="Z214" s="69"/>
      <c r="AA214" t="s">
        <v>4522</v>
      </c>
      <c r="AB214" t="s">
        <v>51</v>
      </c>
      <c r="AC214" t="s">
        <v>4515</v>
      </c>
      <c r="AD214" t="s">
        <v>4684</v>
      </c>
      <c r="AE214" t="s">
        <v>4513</v>
      </c>
      <c r="AF214" t="s">
        <v>4676</v>
      </c>
      <c r="AG214" t="s">
        <v>4353</v>
      </c>
      <c r="AH214" t="s">
        <v>4506</v>
      </c>
      <c r="AI214" t="s">
        <v>4353</v>
      </c>
      <c r="AJ214" t="s">
        <v>4506</v>
      </c>
      <c r="AK214" t="s">
        <v>4519</v>
      </c>
      <c r="AL214" t="s">
        <v>4552</v>
      </c>
      <c r="AM214" t="s">
        <v>4562</v>
      </c>
      <c r="AN214" t="s">
        <v>4742</v>
      </c>
      <c r="AO214" s="134">
        <v>113.075757575758</v>
      </c>
      <c r="AP214" s="135">
        <v>113.161749745677</v>
      </c>
      <c r="AQ214">
        <v>0.42014242115971501</v>
      </c>
      <c r="AR214" s="136">
        <v>1.23601220752798</v>
      </c>
      <c r="AS214">
        <v>7.2207527975584904</v>
      </c>
    </row>
    <row r="215" spans="1:45" customFormat="1" ht="136">
      <c r="A215">
        <v>242</v>
      </c>
      <c r="B215" s="69" t="s">
        <v>589</v>
      </c>
      <c r="C215" s="69" t="s">
        <v>45</v>
      </c>
      <c r="D215" s="31">
        <f t="shared" si="27"/>
        <v>4</v>
      </c>
      <c r="E215" s="69" t="s">
        <v>80</v>
      </c>
      <c r="F215" s="31">
        <f t="shared" si="28"/>
        <v>4</v>
      </c>
      <c r="G215" s="169" t="s">
        <v>159</v>
      </c>
      <c r="H215" s="138">
        <v>42</v>
      </c>
      <c r="I215" s="92">
        <f t="shared" si="26"/>
        <v>0.44569775803220796</v>
      </c>
      <c r="J215" s="95">
        <v>6.6395516064416002E-2</v>
      </c>
      <c r="K215" s="137">
        <v>0.78071428571428603</v>
      </c>
      <c r="L215" s="137">
        <v>0.82499999999999996</v>
      </c>
      <c r="M215" s="137">
        <v>0.71428571428571397</v>
      </c>
      <c r="N215" s="136">
        <v>1</v>
      </c>
      <c r="O215" s="154">
        <v>43715</v>
      </c>
      <c r="P215" s="98">
        <f t="shared" si="29"/>
        <v>0</v>
      </c>
      <c r="Q215" s="111">
        <v>0</v>
      </c>
      <c r="R215" s="111">
        <v>0</v>
      </c>
      <c r="S215" s="111">
        <v>0</v>
      </c>
      <c r="T215" s="112" t="s">
        <v>48</v>
      </c>
      <c r="U215" s="137" t="s">
        <v>734</v>
      </c>
      <c r="V215" s="137" t="s">
        <v>735</v>
      </c>
      <c r="W215" s="69">
        <v>194</v>
      </c>
      <c r="X215" s="69">
        <v>1</v>
      </c>
      <c r="Y215" s="69">
        <v>4</v>
      </c>
      <c r="AA215" t="s">
        <v>4522</v>
      </c>
      <c r="AB215" t="s">
        <v>71</v>
      </c>
      <c r="AC215" t="s">
        <v>223</v>
      </c>
      <c r="AD215" t="s">
        <v>4739</v>
      </c>
      <c r="AE215" t="s">
        <v>4513</v>
      </c>
      <c r="AF215" t="s">
        <v>4788</v>
      </c>
      <c r="AG215" t="s">
        <v>4530</v>
      </c>
      <c r="AH215" t="s">
        <v>4648</v>
      </c>
      <c r="AI215" t="s">
        <v>4353</v>
      </c>
      <c r="AJ215" t="s">
        <v>4506</v>
      </c>
      <c r="AK215" t="s">
        <v>4519</v>
      </c>
      <c r="AL215" t="s">
        <v>4519</v>
      </c>
      <c r="AM215" t="s">
        <v>4510</v>
      </c>
      <c r="AN215" t="s">
        <v>4550</v>
      </c>
      <c r="AO215" s="134">
        <v>113.092012133468</v>
      </c>
      <c r="AP215" s="135">
        <v>113.161749745677</v>
      </c>
      <c r="AQ215">
        <v>0.42014242115971501</v>
      </c>
      <c r="AR215" s="136">
        <v>1.23601220752798</v>
      </c>
      <c r="AS215">
        <v>7.2207527975584904</v>
      </c>
    </row>
    <row r="216" spans="1:45" customFormat="1" ht="61">
      <c r="A216">
        <v>446</v>
      </c>
      <c r="B216" s="69" t="s">
        <v>1222</v>
      </c>
      <c r="C216" s="69" t="s">
        <v>45</v>
      </c>
      <c r="D216" s="31">
        <f t="shared" si="27"/>
        <v>4</v>
      </c>
      <c r="E216" s="69" t="s">
        <v>46</v>
      </c>
      <c r="F216" s="31">
        <f t="shared" si="28"/>
        <v>6</v>
      </c>
      <c r="G216" s="137" t="s">
        <v>1272</v>
      </c>
      <c r="H216" s="138">
        <v>97</v>
      </c>
      <c r="I216" s="92">
        <f t="shared" si="26"/>
        <v>0.37584158204621615</v>
      </c>
      <c r="J216" s="95">
        <v>1.6831640924322999E-3</v>
      </c>
      <c r="K216" s="137">
        <v>0.67857142857142805</v>
      </c>
      <c r="L216" s="137">
        <v>0.75</v>
      </c>
      <c r="M216" s="137">
        <v>0.57142857142857095</v>
      </c>
      <c r="N216" s="136">
        <v>0</v>
      </c>
      <c r="O216" s="154">
        <v>43715</v>
      </c>
      <c r="P216" s="98">
        <f t="shared" si="29"/>
        <v>0</v>
      </c>
      <c r="Q216" s="111">
        <v>2.5499999999999998</v>
      </c>
      <c r="R216" s="111">
        <v>0</v>
      </c>
      <c r="S216" s="111">
        <v>0</v>
      </c>
      <c r="T216" s="112" t="s">
        <v>48</v>
      </c>
      <c r="U216" s="137" t="s">
        <v>1273</v>
      </c>
      <c r="V216" s="137" t="s">
        <v>1274</v>
      </c>
      <c r="W216" s="69">
        <v>66</v>
      </c>
      <c r="X216" s="147">
        <v>1</v>
      </c>
      <c r="Y216" s="147">
        <v>9</v>
      </c>
      <c r="AA216" t="s">
        <v>4512</v>
      </c>
      <c r="AB216" t="s">
        <v>71</v>
      </c>
      <c r="AC216" t="s">
        <v>4353</v>
      </c>
      <c r="AD216" t="s">
        <v>4506</v>
      </c>
      <c r="AE216" t="s">
        <v>223</v>
      </c>
      <c r="AF216" t="s">
        <v>4584</v>
      </c>
      <c r="AG216" t="s">
        <v>4515</v>
      </c>
      <c r="AH216" t="s">
        <v>4517</v>
      </c>
      <c r="AI216" t="s">
        <v>4353</v>
      </c>
      <c r="AJ216" t="s">
        <v>4506</v>
      </c>
      <c r="AK216" t="s">
        <v>4519</v>
      </c>
      <c r="AL216" t="s">
        <v>4552</v>
      </c>
      <c r="AM216" t="s">
        <v>4520</v>
      </c>
      <c r="AN216" t="s">
        <v>4652</v>
      </c>
      <c r="AO216" s="134">
        <v>113.15587044534399</v>
      </c>
      <c r="AP216" s="135">
        <v>113.161749745677</v>
      </c>
      <c r="AQ216">
        <v>0.42014242115971501</v>
      </c>
      <c r="AR216" s="136">
        <v>1.23601220752798</v>
      </c>
      <c r="AS216">
        <v>7.2207527975584904</v>
      </c>
    </row>
    <row r="217" spans="1:45" customFormat="1" ht="121">
      <c r="A217">
        <v>243</v>
      </c>
      <c r="B217" s="69" t="s">
        <v>589</v>
      </c>
      <c r="C217" s="69" t="s">
        <v>45</v>
      </c>
      <c r="D217" s="31">
        <f t="shared" si="27"/>
        <v>4</v>
      </c>
      <c r="E217" s="69" t="s">
        <v>221</v>
      </c>
      <c r="F217" s="31">
        <f t="shared" si="28"/>
        <v>2</v>
      </c>
      <c r="G217" s="137" t="s">
        <v>736</v>
      </c>
      <c r="H217" s="138">
        <v>56</v>
      </c>
      <c r="I217" s="92">
        <f t="shared" si="26"/>
        <v>0.80658911341920247</v>
      </c>
      <c r="J217" s="95">
        <v>0.93136004502022296</v>
      </c>
      <c r="K217" s="137">
        <v>0.66912006664615598</v>
      </c>
      <c r="L217" s="137">
        <v>0.68181818181818199</v>
      </c>
      <c r="M217" s="137">
        <v>0.65007289388811795</v>
      </c>
      <c r="N217" s="136">
        <v>1</v>
      </c>
      <c r="O217" s="154">
        <v>43712</v>
      </c>
      <c r="P217" s="98">
        <f t="shared" si="29"/>
        <v>1</v>
      </c>
      <c r="Q217" s="111">
        <v>0</v>
      </c>
      <c r="R217" s="111">
        <v>4.95</v>
      </c>
      <c r="S217" s="111">
        <v>1.87</v>
      </c>
      <c r="T217" s="112" t="s">
        <v>73</v>
      </c>
      <c r="U217" s="200" t="s">
        <v>737</v>
      </c>
      <c r="V217" s="137" t="s">
        <v>738</v>
      </c>
      <c r="W217" s="69">
        <v>157</v>
      </c>
      <c r="X217" s="69">
        <v>2</v>
      </c>
      <c r="Y217" s="69">
        <v>6</v>
      </c>
      <c r="AA217" t="s">
        <v>4603</v>
      </c>
      <c r="AB217" t="s">
        <v>71</v>
      </c>
      <c r="AC217" t="s">
        <v>223</v>
      </c>
      <c r="AD217" t="s">
        <v>4789</v>
      </c>
      <c r="AE217" t="s">
        <v>4515</v>
      </c>
      <c r="AF217" t="s">
        <v>4790</v>
      </c>
      <c r="AG217" t="s">
        <v>4513</v>
      </c>
      <c r="AH217" t="s">
        <v>4614</v>
      </c>
      <c r="AI217" t="s">
        <v>4353</v>
      </c>
      <c r="AJ217" t="s">
        <v>4506</v>
      </c>
      <c r="AK217" t="s">
        <v>4519</v>
      </c>
      <c r="AL217" t="s">
        <v>4519</v>
      </c>
      <c r="AM217" t="s">
        <v>4528</v>
      </c>
      <c r="AN217" t="s">
        <v>4529</v>
      </c>
      <c r="AO217" s="134">
        <v>113.213779128673</v>
      </c>
      <c r="AP217" s="135">
        <v>113.043967280164</v>
      </c>
      <c r="AQ217">
        <v>0.419222903885481</v>
      </c>
      <c r="AR217" s="136">
        <v>1.2372188139059299</v>
      </c>
      <c r="AS217">
        <v>7.2321063394682996</v>
      </c>
    </row>
    <row r="218" spans="1:45" customFormat="1" ht="76">
      <c r="A218">
        <v>831</v>
      </c>
      <c r="B218" s="69" t="s">
        <v>2264</v>
      </c>
      <c r="C218" s="69" t="s">
        <v>45</v>
      </c>
      <c r="D218" s="31">
        <f t="shared" si="27"/>
        <v>4</v>
      </c>
      <c r="E218" s="69" t="s">
        <v>46</v>
      </c>
      <c r="F218" s="31">
        <f t="shared" si="28"/>
        <v>6</v>
      </c>
      <c r="G218" s="196" t="s">
        <v>2264</v>
      </c>
      <c r="H218" s="138">
        <v>34</v>
      </c>
      <c r="I218" s="92">
        <f t="shared" si="26"/>
        <v>0.39426850417357273</v>
      </c>
      <c r="J218" s="95">
        <v>3.8537008347145497E-2</v>
      </c>
      <c r="K218" s="137">
        <v>0.79285714285714304</v>
      </c>
      <c r="L218" s="137">
        <v>0.75</v>
      </c>
      <c r="M218" s="137">
        <v>0.85714285714285698</v>
      </c>
      <c r="N218" s="136">
        <v>1</v>
      </c>
      <c r="O218" s="199">
        <v>43712</v>
      </c>
      <c r="P218" s="98">
        <f t="shared" si="29"/>
        <v>1</v>
      </c>
      <c r="Q218" s="113">
        <v>0</v>
      </c>
      <c r="R218" s="113">
        <v>4.95</v>
      </c>
      <c r="S218" s="113">
        <v>0</v>
      </c>
      <c r="T218" s="114" t="s">
        <v>73</v>
      </c>
      <c r="U218" s="195" t="s">
        <v>2265</v>
      </c>
      <c r="V218" s="136" t="s">
        <v>2266</v>
      </c>
      <c r="W218" s="69">
        <v>105</v>
      </c>
      <c r="X218" s="195">
        <v>1</v>
      </c>
      <c r="Y218" s="195">
        <v>1</v>
      </c>
      <c r="Z218" s="69"/>
      <c r="AA218" t="s">
        <v>4551</v>
      </c>
      <c r="AB218" t="s">
        <v>4576</v>
      </c>
      <c r="AC218" t="s">
        <v>4353</v>
      </c>
      <c r="AD218" t="s">
        <v>4506</v>
      </c>
      <c r="AE218" t="s">
        <v>4515</v>
      </c>
      <c r="AF218" t="s">
        <v>4614</v>
      </c>
      <c r="AG218" t="s">
        <v>4515</v>
      </c>
      <c r="AH218" t="s">
        <v>4614</v>
      </c>
      <c r="AI218" t="s">
        <v>4353</v>
      </c>
      <c r="AJ218" t="s">
        <v>4506</v>
      </c>
      <c r="AK218" t="s">
        <v>4519</v>
      </c>
      <c r="AL218" t="s">
        <v>4552</v>
      </c>
      <c r="AM218" t="s">
        <v>4510</v>
      </c>
      <c r="AN218" t="s">
        <v>4634</v>
      </c>
      <c r="AO218" s="134">
        <v>113.294117647059</v>
      </c>
      <c r="AP218" s="135">
        <v>113.043967280164</v>
      </c>
      <c r="AQ218">
        <v>0.419222903885481</v>
      </c>
      <c r="AR218" s="136">
        <v>1.2372188139059299</v>
      </c>
      <c r="AS218">
        <v>7.2321063394682996</v>
      </c>
    </row>
    <row r="219" spans="1:45" customFormat="1" ht="121">
      <c r="A219" s="65">
        <v>900</v>
      </c>
      <c r="B219" s="69" t="s">
        <v>2418</v>
      </c>
      <c r="C219" s="69" t="s">
        <v>45</v>
      </c>
      <c r="D219" s="31">
        <f t="shared" si="27"/>
        <v>4</v>
      </c>
      <c r="E219" s="69" t="s">
        <v>46</v>
      </c>
      <c r="F219" s="31">
        <f t="shared" si="28"/>
        <v>6</v>
      </c>
      <c r="G219" s="137" t="s">
        <v>2455</v>
      </c>
      <c r="H219" s="138">
        <v>20</v>
      </c>
      <c r="I219" s="92">
        <f t="shared" si="26"/>
        <v>0.74921940495373351</v>
      </c>
      <c r="J219" s="95">
        <v>0.74843880990746703</v>
      </c>
      <c r="K219" s="137">
        <v>0.68837559287164596</v>
      </c>
      <c r="L219" s="137">
        <v>0.75</v>
      </c>
      <c r="M219" s="137">
        <v>0.59593898217911601</v>
      </c>
      <c r="N219" s="136">
        <v>1</v>
      </c>
      <c r="O219" s="193">
        <v>43711</v>
      </c>
      <c r="P219" s="98">
        <f t="shared" si="29"/>
        <v>1</v>
      </c>
      <c r="Q219" s="111">
        <v>2.5499999999999998</v>
      </c>
      <c r="R219" s="111">
        <v>1.65</v>
      </c>
      <c r="S219" s="111">
        <v>0</v>
      </c>
      <c r="T219" s="112" t="s">
        <v>73</v>
      </c>
      <c r="U219" s="136" t="s">
        <v>2456</v>
      </c>
      <c r="V219" s="137" t="s">
        <v>2457</v>
      </c>
      <c r="W219" s="69">
        <v>61</v>
      </c>
      <c r="X219" s="69">
        <v>3</v>
      </c>
      <c r="Y219" s="69">
        <v>8</v>
      </c>
      <c r="Z219" s="69"/>
      <c r="AA219" t="s">
        <v>4564</v>
      </c>
      <c r="AB219" t="s">
        <v>51</v>
      </c>
      <c r="AC219" t="s">
        <v>223</v>
      </c>
      <c r="AD219" t="s">
        <v>4614</v>
      </c>
      <c r="AE219" t="s">
        <v>4515</v>
      </c>
      <c r="AF219" t="s">
        <v>4749</v>
      </c>
      <c r="AG219" t="s">
        <v>223</v>
      </c>
      <c r="AH219" t="s">
        <v>4614</v>
      </c>
      <c r="AI219" t="s">
        <v>4353</v>
      </c>
      <c r="AJ219" t="s">
        <v>4506</v>
      </c>
      <c r="AK219" t="s">
        <v>4519</v>
      </c>
      <c r="AL219" t="s">
        <v>4519</v>
      </c>
      <c r="AM219" t="s">
        <v>4528</v>
      </c>
      <c r="AN219" t="s">
        <v>4529</v>
      </c>
      <c r="AO219" s="134">
        <v>113.354314720812</v>
      </c>
      <c r="AP219" s="135">
        <v>113.05629477993899</v>
      </c>
      <c r="AQ219">
        <v>0.41965199590583402</v>
      </c>
      <c r="AR219" s="136">
        <v>1.2374616171955</v>
      </c>
      <c r="AS219">
        <v>7.2354145342886396</v>
      </c>
    </row>
    <row r="220" spans="1:45" customFormat="1" ht="76">
      <c r="A220" s="65">
        <v>244</v>
      </c>
      <c r="B220" s="69" t="s">
        <v>589</v>
      </c>
      <c r="C220" s="69" t="s">
        <v>45</v>
      </c>
      <c r="D220" s="31">
        <f t="shared" si="27"/>
        <v>4</v>
      </c>
      <c r="E220" s="69" t="s">
        <v>80</v>
      </c>
      <c r="F220" s="31">
        <f t="shared" si="28"/>
        <v>4</v>
      </c>
      <c r="G220" s="169" t="s">
        <v>739</v>
      </c>
      <c r="H220" s="138">
        <v>54</v>
      </c>
      <c r="I220" s="92">
        <f t="shared" si="26"/>
        <v>0.55293538345417947</v>
      </c>
      <c r="J220" s="95">
        <v>0.355870766908359</v>
      </c>
      <c r="K220" s="137">
        <v>0.69881421079630901</v>
      </c>
      <c r="L220" s="137">
        <v>0.75</v>
      </c>
      <c r="M220" s="137">
        <v>0.62203552699077302</v>
      </c>
      <c r="N220" s="136">
        <v>1</v>
      </c>
      <c r="O220" s="154">
        <v>43711</v>
      </c>
      <c r="P220" s="98">
        <f t="shared" si="29"/>
        <v>0</v>
      </c>
      <c r="Q220" s="113">
        <v>2.5499999999999998</v>
      </c>
      <c r="R220" s="113">
        <v>1.65</v>
      </c>
      <c r="S220" s="113">
        <v>0</v>
      </c>
      <c r="T220" s="114" t="s">
        <v>48</v>
      </c>
      <c r="U220" s="137" t="s">
        <v>740</v>
      </c>
      <c r="V220" s="137" t="s">
        <v>741</v>
      </c>
      <c r="W220" s="69">
        <v>106</v>
      </c>
      <c r="X220" s="69">
        <v>2</v>
      </c>
      <c r="Y220" s="69">
        <v>7</v>
      </c>
      <c r="AA220" t="s">
        <v>4564</v>
      </c>
      <c r="AB220" t="s">
        <v>87</v>
      </c>
      <c r="AC220" t="s">
        <v>4513</v>
      </c>
      <c r="AD220" t="s">
        <v>4589</v>
      </c>
      <c r="AE220" t="s">
        <v>4515</v>
      </c>
      <c r="AF220" t="s">
        <v>4590</v>
      </c>
      <c r="AG220" t="s">
        <v>223</v>
      </c>
      <c r="AH220" t="s">
        <v>4588</v>
      </c>
      <c r="AI220" t="s">
        <v>4515</v>
      </c>
      <c r="AJ220" t="s">
        <v>4590</v>
      </c>
      <c r="AK220" t="s">
        <v>4518</v>
      </c>
      <c r="AL220" t="s">
        <v>4519</v>
      </c>
      <c r="AM220" t="s">
        <v>4520</v>
      </c>
      <c r="AN220" t="s">
        <v>4521</v>
      </c>
      <c r="AO220" s="134">
        <v>113.44918699186999</v>
      </c>
      <c r="AP220" s="135">
        <v>113.05629477993899</v>
      </c>
      <c r="AQ220">
        <v>0.41965199590583402</v>
      </c>
      <c r="AR220" s="136">
        <v>1.2374616171955</v>
      </c>
      <c r="AS220">
        <v>7.2354145342886396</v>
      </c>
    </row>
    <row r="221" spans="1:45" customFormat="1" ht="31">
      <c r="A221" s="65">
        <v>1052</v>
      </c>
      <c r="B221" s="69" t="s">
        <v>2833</v>
      </c>
      <c r="C221" s="69" t="s">
        <v>45</v>
      </c>
      <c r="D221" s="31">
        <f t="shared" si="27"/>
        <v>4</v>
      </c>
      <c r="E221" s="69" t="s">
        <v>80</v>
      </c>
      <c r="F221" s="31">
        <f t="shared" si="28"/>
        <v>4</v>
      </c>
      <c r="G221" s="139" t="s">
        <v>2858</v>
      </c>
      <c r="H221" s="138">
        <v>35</v>
      </c>
      <c r="I221" s="92">
        <f t="shared" si="26"/>
        <v>0.44402518578122768</v>
      </c>
      <c r="J221" s="95">
        <v>6.3050371562455396E-2</v>
      </c>
      <c r="K221" s="137">
        <v>0.72357142857142898</v>
      </c>
      <c r="L221" s="137">
        <v>0.82499999999999996</v>
      </c>
      <c r="M221" s="137">
        <v>0.57142857142857095</v>
      </c>
      <c r="N221" s="136">
        <v>1</v>
      </c>
      <c r="O221" s="157">
        <v>43710</v>
      </c>
      <c r="P221" s="98">
        <f t="shared" si="29"/>
        <v>2</v>
      </c>
      <c r="Q221" s="113">
        <v>0</v>
      </c>
      <c r="R221" s="113">
        <v>3.3</v>
      </c>
      <c r="S221" s="113">
        <v>0</v>
      </c>
      <c r="T221" s="119" t="s">
        <v>64</v>
      </c>
      <c r="U221" s="89" t="s">
        <v>2859</v>
      </c>
      <c r="V221" s="172" t="s">
        <v>2860</v>
      </c>
      <c r="W221" s="69">
        <v>44</v>
      </c>
      <c r="X221" s="69">
        <v>3</v>
      </c>
      <c r="Y221" s="69">
        <v>9</v>
      </c>
      <c r="Z221" s="69"/>
      <c r="AA221" t="s">
        <v>4522</v>
      </c>
      <c r="AB221" t="s">
        <v>4791</v>
      </c>
      <c r="AC221" t="s">
        <v>223</v>
      </c>
      <c r="AD221" t="s">
        <v>4779</v>
      </c>
      <c r="AE221" t="s">
        <v>4353</v>
      </c>
      <c r="AF221" t="s">
        <v>4506</v>
      </c>
      <c r="AG221" t="s">
        <v>4353</v>
      </c>
      <c r="AH221" t="s">
        <v>4506</v>
      </c>
      <c r="AI221" t="s">
        <v>223</v>
      </c>
      <c r="AJ221" t="s">
        <v>4779</v>
      </c>
      <c r="AK221" t="s">
        <v>4519</v>
      </c>
      <c r="AL221" t="s">
        <v>4519</v>
      </c>
      <c r="AM221" t="s">
        <v>4510</v>
      </c>
      <c r="AN221" t="s">
        <v>4550</v>
      </c>
      <c r="AO221" s="134">
        <v>113.512716174975</v>
      </c>
      <c r="AP221" s="135">
        <v>112.963114754098</v>
      </c>
      <c r="AQ221">
        <v>0.42008196721311503</v>
      </c>
      <c r="AR221" s="136">
        <v>1.2366803278688501</v>
      </c>
      <c r="AS221">
        <v>7.2387295081967196</v>
      </c>
    </row>
    <row r="222" spans="1:45" customFormat="1" ht="46">
      <c r="A222" s="65">
        <v>245</v>
      </c>
      <c r="B222" s="69" t="s">
        <v>589</v>
      </c>
      <c r="C222" s="69" t="s">
        <v>45</v>
      </c>
      <c r="D222" s="31">
        <f t="shared" si="27"/>
        <v>4</v>
      </c>
      <c r="E222" s="69" t="s">
        <v>80</v>
      </c>
      <c r="F222" s="31">
        <f t="shared" si="28"/>
        <v>4</v>
      </c>
      <c r="G222" s="169" t="s">
        <v>180</v>
      </c>
      <c r="H222" s="138">
        <v>51</v>
      </c>
      <c r="I222" s="92">
        <f t="shared" si="26"/>
        <v>0.42068938629271169</v>
      </c>
      <c r="J222" s="95">
        <v>1.6378772585423401E-2</v>
      </c>
      <c r="K222" s="137">
        <v>0.81418779643582295</v>
      </c>
      <c r="L222" s="137">
        <v>0.82499999999999996</v>
      </c>
      <c r="M222" s="137">
        <v>0.79796949108955795</v>
      </c>
      <c r="N222" s="136">
        <v>1</v>
      </c>
      <c r="O222" s="154">
        <v>43710</v>
      </c>
      <c r="P222" s="98">
        <f t="shared" si="29"/>
        <v>0</v>
      </c>
      <c r="Q222" s="111">
        <v>2.5499999999999998</v>
      </c>
      <c r="R222" s="111">
        <v>3.3</v>
      </c>
      <c r="S222" s="111">
        <v>0</v>
      </c>
      <c r="T222" s="112" t="s">
        <v>48</v>
      </c>
      <c r="U222" s="137" t="s">
        <v>742</v>
      </c>
      <c r="V222" s="137" t="s">
        <v>743</v>
      </c>
      <c r="W222" s="69">
        <v>65</v>
      </c>
      <c r="X222" s="69">
        <v>1</v>
      </c>
      <c r="Y222" s="69">
        <v>2</v>
      </c>
      <c r="AA222" t="s">
        <v>4628</v>
      </c>
      <c r="AB222" t="s">
        <v>87</v>
      </c>
      <c r="AC222" t="s">
        <v>4513</v>
      </c>
      <c r="AD222" t="s">
        <v>4792</v>
      </c>
      <c r="AE222" t="s">
        <v>223</v>
      </c>
      <c r="AF222" t="s">
        <v>4507</v>
      </c>
      <c r="AG222" t="s">
        <v>4353</v>
      </c>
      <c r="AH222" t="s">
        <v>4506</v>
      </c>
      <c r="AI222" t="s">
        <v>4515</v>
      </c>
      <c r="AJ222" t="s">
        <v>4565</v>
      </c>
      <c r="AK222" t="s">
        <v>4578</v>
      </c>
      <c r="AL222" t="s">
        <v>4541</v>
      </c>
      <c r="AM222" t="s">
        <v>4528</v>
      </c>
      <c r="AN222" t="s">
        <v>4793</v>
      </c>
      <c r="AO222" s="134">
        <v>113.59266802444</v>
      </c>
      <c r="AP222" s="135">
        <v>112.963114754098</v>
      </c>
      <c r="AQ222">
        <v>0.42008196721311503</v>
      </c>
      <c r="AR222" s="136">
        <v>1.2366803278688501</v>
      </c>
      <c r="AS222">
        <v>7.2387295081967196</v>
      </c>
    </row>
    <row r="223" spans="1:45" customFormat="1" ht="151">
      <c r="A223">
        <v>246</v>
      </c>
      <c r="B223" s="69" t="s">
        <v>589</v>
      </c>
      <c r="C223" s="69" t="s">
        <v>45</v>
      </c>
      <c r="D223" s="31">
        <f t="shared" si="27"/>
        <v>4</v>
      </c>
      <c r="E223" s="69" t="s">
        <v>80</v>
      </c>
      <c r="F223" s="31">
        <f t="shared" si="28"/>
        <v>4</v>
      </c>
      <c r="G223" s="137" t="s">
        <v>744</v>
      </c>
      <c r="H223" s="138">
        <v>78</v>
      </c>
      <c r="I223" s="92">
        <f t="shared" si="26"/>
        <v>0.37568788333214442</v>
      </c>
      <c r="J223" s="95">
        <v>1.3757666642888499E-3</v>
      </c>
      <c r="K223" s="137">
        <v>0.75102566813892102</v>
      </c>
      <c r="L223" s="137">
        <v>0.75</v>
      </c>
      <c r="M223" s="137">
        <v>0.75256417034730305</v>
      </c>
      <c r="N223" s="136">
        <v>1</v>
      </c>
      <c r="O223" s="154">
        <v>43709</v>
      </c>
      <c r="P223" s="98">
        <f t="shared" si="29"/>
        <v>0</v>
      </c>
      <c r="Q223" s="111">
        <v>2.5499999999999998</v>
      </c>
      <c r="R223" s="111">
        <v>4.95</v>
      </c>
      <c r="S223" s="111">
        <v>0</v>
      </c>
      <c r="T223" s="112" t="s">
        <v>48</v>
      </c>
      <c r="U223" s="137" t="s">
        <v>745</v>
      </c>
      <c r="V223" s="137" t="s">
        <v>746</v>
      </c>
      <c r="W223" s="69">
        <v>216</v>
      </c>
      <c r="X223" s="69">
        <v>1</v>
      </c>
      <c r="Y223" s="69">
        <v>3</v>
      </c>
      <c r="AA223" t="s">
        <v>4564</v>
      </c>
      <c r="AB223" t="s">
        <v>51</v>
      </c>
      <c r="AC223" t="s">
        <v>4515</v>
      </c>
      <c r="AD223" t="s">
        <v>4794</v>
      </c>
      <c r="AE223" t="s">
        <v>4513</v>
      </c>
      <c r="AF223" t="s">
        <v>4795</v>
      </c>
      <c r="AG223" t="s">
        <v>223</v>
      </c>
      <c r="AH223" t="s">
        <v>4796</v>
      </c>
      <c r="AI223" t="s">
        <v>4515</v>
      </c>
      <c r="AJ223" t="s">
        <v>4794</v>
      </c>
      <c r="AK223" t="s">
        <v>4578</v>
      </c>
      <c r="AL223" t="s">
        <v>4519</v>
      </c>
      <c r="AM223" t="s">
        <v>4510</v>
      </c>
      <c r="AN223" t="s">
        <v>4579</v>
      </c>
      <c r="AO223" s="134">
        <v>113.628950050968</v>
      </c>
      <c r="AP223" s="135">
        <v>112.963114754098</v>
      </c>
      <c r="AQ223">
        <v>0.42008196721311503</v>
      </c>
      <c r="AR223" s="136">
        <v>1.2366803278688501</v>
      </c>
      <c r="AS223">
        <v>7.2387295081967196</v>
      </c>
    </row>
    <row r="224" spans="1:45" customFormat="1" ht="91">
      <c r="A224">
        <v>247</v>
      </c>
      <c r="B224" s="69" t="s">
        <v>589</v>
      </c>
      <c r="C224" s="69" t="s">
        <v>45</v>
      </c>
      <c r="D224" s="31">
        <f t="shared" si="27"/>
        <v>4</v>
      </c>
      <c r="E224" s="69" t="s">
        <v>46</v>
      </c>
      <c r="F224" s="31">
        <f t="shared" si="28"/>
        <v>6</v>
      </c>
      <c r="G224" s="137" t="s">
        <v>747</v>
      </c>
      <c r="H224" s="138">
        <v>81</v>
      </c>
      <c r="I224" s="92">
        <f t="shared" si="26"/>
        <v>0.21167779214345608</v>
      </c>
      <c r="J224" s="95">
        <v>1.3674657917128701E-7</v>
      </c>
      <c r="K224" s="137">
        <v>0.53972755423848495</v>
      </c>
      <c r="L224" s="137">
        <v>0.423355447540333</v>
      </c>
      <c r="M224" s="137">
        <v>0.71428571428571397</v>
      </c>
      <c r="N224" s="136">
        <v>1</v>
      </c>
      <c r="O224" s="154">
        <v>43707</v>
      </c>
      <c r="P224" s="98">
        <f t="shared" si="29"/>
        <v>0</v>
      </c>
      <c r="Q224" s="111">
        <v>0</v>
      </c>
      <c r="R224" s="111">
        <v>1.65</v>
      </c>
      <c r="S224" s="111">
        <v>0</v>
      </c>
      <c r="T224" s="112" t="s">
        <v>48</v>
      </c>
      <c r="U224" s="147" t="s">
        <v>748</v>
      </c>
      <c r="V224" s="137" t="s">
        <v>749</v>
      </c>
      <c r="W224" s="69">
        <v>101</v>
      </c>
      <c r="X224" s="147">
        <v>1</v>
      </c>
      <c r="Y224" s="147">
        <v>4</v>
      </c>
      <c r="AA224" t="s">
        <v>4797</v>
      </c>
      <c r="AB224" t="s">
        <v>71</v>
      </c>
      <c r="AC224" t="s">
        <v>4353</v>
      </c>
      <c r="AD224" t="s">
        <v>4506</v>
      </c>
      <c r="AE224" t="s">
        <v>223</v>
      </c>
      <c r="AF224" t="s">
        <v>4670</v>
      </c>
      <c r="AG224" t="s">
        <v>4515</v>
      </c>
      <c r="AH224" t="s">
        <v>4798</v>
      </c>
      <c r="AI224" t="s">
        <v>4353</v>
      </c>
      <c r="AJ224" t="s">
        <v>4506</v>
      </c>
      <c r="AK224" t="s">
        <v>4519</v>
      </c>
      <c r="AL224" t="s">
        <v>4519</v>
      </c>
      <c r="AM224" t="s">
        <v>4510</v>
      </c>
      <c r="AN224" t="s">
        <v>4550</v>
      </c>
      <c r="AO224" s="134">
        <v>113.662244897959</v>
      </c>
      <c r="AP224" s="135">
        <v>112.997948717949</v>
      </c>
      <c r="AQ224">
        <v>0.42051282051282102</v>
      </c>
      <c r="AR224" s="136">
        <v>1.2369230769230799</v>
      </c>
      <c r="AS224">
        <v>7.24410256410256</v>
      </c>
    </row>
    <row r="225" spans="1:45" customFormat="1" ht="151">
      <c r="A225" s="65">
        <v>901</v>
      </c>
      <c r="B225" s="69" t="s">
        <v>2418</v>
      </c>
      <c r="C225" s="69" t="s">
        <v>59</v>
      </c>
      <c r="D225" s="31">
        <f t="shared" si="27"/>
        <v>5</v>
      </c>
      <c r="E225" s="69" t="s">
        <v>80</v>
      </c>
      <c r="F225" s="31">
        <f t="shared" si="28"/>
        <v>4</v>
      </c>
      <c r="G225" s="147" t="s">
        <v>2458</v>
      </c>
      <c r="H225" s="138">
        <v>27</v>
      </c>
      <c r="I225" s="92">
        <f t="shared" si="26"/>
        <v>0.34210310086233559</v>
      </c>
      <c r="J225" s="95">
        <v>2.3880199064891801E-3</v>
      </c>
      <c r="K225" s="137">
        <v>0.69480519480519498</v>
      </c>
      <c r="L225" s="137">
        <v>0.68181818181818199</v>
      </c>
      <c r="M225" s="137">
        <v>0.71428571428571397</v>
      </c>
      <c r="N225" s="136">
        <v>1</v>
      </c>
      <c r="O225" s="154">
        <v>43706</v>
      </c>
      <c r="P225" s="98">
        <f t="shared" si="29"/>
        <v>1</v>
      </c>
      <c r="Q225" s="111">
        <v>0</v>
      </c>
      <c r="R225" s="111">
        <v>0</v>
      </c>
      <c r="S225" s="111">
        <v>1.87</v>
      </c>
      <c r="T225" s="112" t="s">
        <v>73</v>
      </c>
      <c r="U225" s="169" t="s">
        <v>2459</v>
      </c>
      <c r="V225" s="137" t="s">
        <v>2460</v>
      </c>
      <c r="W225" s="69">
        <v>204</v>
      </c>
      <c r="X225" s="171">
        <v>2</v>
      </c>
      <c r="Y225" s="171">
        <v>4</v>
      </c>
      <c r="Z225" s="69"/>
      <c r="AA225" t="s">
        <v>4564</v>
      </c>
      <c r="AB225" t="s">
        <v>4594</v>
      </c>
      <c r="AC225" t="s">
        <v>4515</v>
      </c>
      <c r="AD225" t="s">
        <v>4613</v>
      </c>
      <c r="AE225" t="s">
        <v>4515</v>
      </c>
      <c r="AF225" t="s">
        <v>4613</v>
      </c>
      <c r="AG225" t="s">
        <v>4353</v>
      </c>
      <c r="AH225" t="s">
        <v>4506</v>
      </c>
      <c r="AI225" t="s">
        <v>4353</v>
      </c>
      <c r="AJ225" t="s">
        <v>4506</v>
      </c>
      <c r="AK225" t="s">
        <v>4519</v>
      </c>
      <c r="AL225" t="s">
        <v>4519</v>
      </c>
      <c r="AM225" t="s">
        <v>4528</v>
      </c>
      <c r="AN225" t="s">
        <v>4529</v>
      </c>
      <c r="AO225" s="134">
        <v>113.75076608784499</v>
      </c>
      <c r="AP225" s="135">
        <v>112.997948717949</v>
      </c>
      <c r="AQ225">
        <v>0.42051282051282102</v>
      </c>
      <c r="AR225" s="136">
        <v>1.2369230769230799</v>
      </c>
      <c r="AS225">
        <v>7.24410256410256</v>
      </c>
    </row>
    <row r="226" spans="1:45" customFormat="1" ht="61">
      <c r="A226">
        <v>1082</v>
      </c>
      <c r="B226" s="69" t="s">
        <v>2938</v>
      </c>
      <c r="C226" s="69" t="s">
        <v>45</v>
      </c>
      <c r="D226" s="31">
        <f t="shared" si="27"/>
        <v>4</v>
      </c>
      <c r="E226" s="69" t="s">
        <v>46</v>
      </c>
      <c r="F226" s="31">
        <f t="shared" si="28"/>
        <v>6</v>
      </c>
      <c r="G226" s="89" t="s">
        <v>2942</v>
      </c>
      <c r="H226" s="138">
        <v>52</v>
      </c>
      <c r="I226" s="92">
        <f t="shared" si="26"/>
        <v>0.34405510665176081</v>
      </c>
      <c r="J226" s="95">
        <v>6.2920314853396296E-3</v>
      </c>
      <c r="K226" s="137">
        <v>0.72827870552673202</v>
      </c>
      <c r="L226" s="137">
        <v>0.68181818181818199</v>
      </c>
      <c r="M226" s="137">
        <v>0.79796949108955795</v>
      </c>
      <c r="N226" s="136">
        <v>0</v>
      </c>
      <c r="O226" s="157">
        <v>43705</v>
      </c>
      <c r="P226" s="98">
        <f t="shared" si="29"/>
        <v>1</v>
      </c>
      <c r="Q226" s="113">
        <v>2.5499999999999998</v>
      </c>
      <c r="R226" s="113">
        <v>1.65</v>
      </c>
      <c r="S226" s="113">
        <v>3.74</v>
      </c>
      <c r="T226" s="119" t="s">
        <v>73</v>
      </c>
      <c r="U226" s="89" t="s">
        <v>2943</v>
      </c>
      <c r="V226" s="172" t="s">
        <v>2944</v>
      </c>
      <c r="W226" s="69">
        <v>79</v>
      </c>
      <c r="X226" s="69">
        <v>1</v>
      </c>
      <c r="Y226" s="69">
        <v>2</v>
      </c>
      <c r="Z226" s="69"/>
      <c r="AA226" t="s">
        <v>4564</v>
      </c>
      <c r="AB226" t="s">
        <v>4791</v>
      </c>
      <c r="AC226" t="s">
        <v>4515</v>
      </c>
      <c r="AD226" t="s">
        <v>4737</v>
      </c>
      <c r="AE226" t="s">
        <v>223</v>
      </c>
      <c r="AF226" t="s">
        <v>4799</v>
      </c>
      <c r="AG226" t="s">
        <v>223</v>
      </c>
      <c r="AH226" t="s">
        <v>4799</v>
      </c>
      <c r="AI226" t="s">
        <v>4515</v>
      </c>
      <c r="AJ226" t="s">
        <v>4737</v>
      </c>
      <c r="AK226" t="s">
        <v>4519</v>
      </c>
      <c r="AL226" t="s">
        <v>4519</v>
      </c>
      <c r="AM226" t="s">
        <v>4528</v>
      </c>
      <c r="AN226" t="s">
        <v>4529</v>
      </c>
      <c r="AO226" s="134">
        <v>113.81390593047</v>
      </c>
      <c r="AP226" s="135">
        <v>112.997948717949</v>
      </c>
      <c r="AQ226">
        <v>0.42051282051282102</v>
      </c>
      <c r="AR226" s="136">
        <v>1.2369230769230799</v>
      </c>
      <c r="AS226">
        <v>7.24410256410256</v>
      </c>
    </row>
    <row r="227" spans="1:45" customFormat="1" ht="91">
      <c r="A227" s="65">
        <v>1053</v>
      </c>
      <c r="B227" s="69" t="s">
        <v>2833</v>
      </c>
      <c r="C227" s="69" t="s">
        <v>45</v>
      </c>
      <c r="D227" s="31">
        <f t="shared" si="27"/>
        <v>4</v>
      </c>
      <c r="E227" s="69" t="s">
        <v>664</v>
      </c>
      <c r="F227" s="31">
        <f t="shared" si="28"/>
        <v>1</v>
      </c>
      <c r="G227" s="190" t="s">
        <v>2861</v>
      </c>
      <c r="H227" s="138">
        <v>26</v>
      </c>
      <c r="I227" s="92">
        <f t="shared" si="26"/>
        <v>0.38411449087559724</v>
      </c>
      <c r="J227" s="95">
        <v>1.8228981751194501E-2</v>
      </c>
      <c r="K227" s="137">
        <v>0.67857142857142805</v>
      </c>
      <c r="L227" s="137">
        <v>0.75</v>
      </c>
      <c r="M227" s="137">
        <v>0.57142857142857095</v>
      </c>
      <c r="N227" s="136">
        <v>1</v>
      </c>
      <c r="O227" s="157">
        <v>43704</v>
      </c>
      <c r="P227" s="98">
        <f t="shared" si="29"/>
        <v>0</v>
      </c>
      <c r="Q227" s="113">
        <v>0</v>
      </c>
      <c r="R227" s="113">
        <v>0</v>
      </c>
      <c r="S227" s="113">
        <v>0</v>
      </c>
      <c r="T227" s="119" t="s">
        <v>48</v>
      </c>
      <c r="U227" s="89" t="s">
        <v>2862</v>
      </c>
      <c r="V227" s="172" t="s">
        <v>2863</v>
      </c>
      <c r="W227" s="69">
        <v>133</v>
      </c>
      <c r="X227" s="195">
        <v>2</v>
      </c>
      <c r="Y227" s="195">
        <v>9</v>
      </c>
      <c r="Z227" s="69"/>
      <c r="AA227" t="s">
        <v>4564</v>
      </c>
      <c r="AB227" t="s">
        <v>4594</v>
      </c>
      <c r="AC227" t="s">
        <v>223</v>
      </c>
      <c r="AD227" t="s">
        <v>4800</v>
      </c>
      <c r="AE227" t="s">
        <v>223</v>
      </c>
      <c r="AF227" t="s">
        <v>4800</v>
      </c>
      <c r="AG227" t="s">
        <v>4353</v>
      </c>
      <c r="AH227" t="s">
        <v>4506</v>
      </c>
      <c r="AI227" t="s">
        <v>4353</v>
      </c>
      <c r="AJ227" t="s">
        <v>4506</v>
      </c>
      <c r="AK227" t="s">
        <v>4519</v>
      </c>
      <c r="AL227" t="s">
        <v>4519</v>
      </c>
      <c r="AM227" t="s">
        <v>4528</v>
      </c>
      <c r="AN227" t="s">
        <v>4529</v>
      </c>
      <c r="AO227" s="134">
        <v>113.90378710337799</v>
      </c>
      <c r="AP227" s="135">
        <v>112.98971193415601</v>
      </c>
      <c r="AQ227">
        <v>0.421810699588477</v>
      </c>
      <c r="AR227" s="136">
        <v>1.23765432098765</v>
      </c>
      <c r="AS227">
        <v>7.2582304526749004</v>
      </c>
    </row>
    <row r="228" spans="1:45" customFormat="1" ht="91">
      <c r="A228" s="65">
        <v>777</v>
      </c>
      <c r="B228" s="69" t="s">
        <v>2098</v>
      </c>
      <c r="C228" s="69" t="s">
        <v>45</v>
      </c>
      <c r="D228" s="31">
        <f t="shared" si="27"/>
        <v>4</v>
      </c>
      <c r="E228" s="69" t="s">
        <v>46</v>
      </c>
      <c r="F228" s="31">
        <f t="shared" si="28"/>
        <v>6</v>
      </c>
      <c r="G228" s="198" t="s">
        <v>2120</v>
      </c>
      <c r="H228" s="138">
        <v>76</v>
      </c>
      <c r="I228" s="92">
        <f t="shared" si="26"/>
        <v>0.3099173638633404</v>
      </c>
      <c r="J228" s="95">
        <v>1.6982878769944401E-8</v>
      </c>
      <c r="K228" s="137">
        <v>0.71475796930342395</v>
      </c>
      <c r="L228" s="137">
        <v>0.61983471074380203</v>
      </c>
      <c r="M228" s="137">
        <v>0.85714285714285698</v>
      </c>
      <c r="N228" s="136">
        <v>1</v>
      </c>
      <c r="O228" s="154">
        <v>43703</v>
      </c>
      <c r="P228" s="98">
        <f t="shared" si="29"/>
        <v>2</v>
      </c>
      <c r="Q228" s="111">
        <v>5.0999999999999996</v>
      </c>
      <c r="R228" s="111">
        <v>0</v>
      </c>
      <c r="S228" s="111">
        <v>0</v>
      </c>
      <c r="T228" s="112" t="s">
        <v>64</v>
      </c>
      <c r="U228" s="137" t="s">
        <v>2121</v>
      </c>
      <c r="V228" s="137" t="s">
        <v>2122</v>
      </c>
      <c r="W228" s="69">
        <v>116</v>
      </c>
      <c r="X228" s="195">
        <v>1</v>
      </c>
      <c r="Y228" s="195">
        <v>1</v>
      </c>
      <c r="Z228" s="69"/>
      <c r="AA228" t="s">
        <v>4564</v>
      </c>
      <c r="AB228" t="s">
        <v>71</v>
      </c>
      <c r="AC228" t="s">
        <v>223</v>
      </c>
      <c r="AD228" t="s">
        <v>4768</v>
      </c>
      <c r="AE228" t="s">
        <v>4515</v>
      </c>
      <c r="AF228" t="s">
        <v>4762</v>
      </c>
      <c r="AG228" t="s">
        <v>4513</v>
      </c>
      <c r="AH228" t="s">
        <v>4801</v>
      </c>
      <c r="AI228" t="s">
        <v>4353</v>
      </c>
      <c r="AJ228" t="s">
        <v>4506</v>
      </c>
      <c r="AK228" t="s">
        <v>4519</v>
      </c>
      <c r="AL228" t="s">
        <v>4519</v>
      </c>
      <c r="AM228" t="s">
        <v>4528</v>
      </c>
      <c r="AN228" t="s">
        <v>4529</v>
      </c>
      <c r="AO228" s="134">
        <v>113.94262295082</v>
      </c>
      <c r="AP228" s="135">
        <v>113.038105046344</v>
      </c>
      <c r="AQ228">
        <v>0.42121524201853799</v>
      </c>
      <c r="AR228" s="136">
        <v>1.23789907312049</v>
      </c>
      <c r="AS228">
        <v>7.2605561277034001</v>
      </c>
    </row>
    <row r="229" spans="1:45" customFormat="1" ht="121">
      <c r="A229">
        <v>1054</v>
      </c>
      <c r="B229" s="69" t="s">
        <v>2833</v>
      </c>
      <c r="C229" s="69" t="s">
        <v>45</v>
      </c>
      <c r="D229" s="31">
        <f t="shared" si="27"/>
        <v>4</v>
      </c>
      <c r="E229" s="69" t="s">
        <v>664</v>
      </c>
      <c r="F229" s="31">
        <f t="shared" si="28"/>
        <v>1</v>
      </c>
      <c r="G229" s="190" t="s">
        <v>2864</v>
      </c>
      <c r="H229" s="138">
        <v>49</v>
      </c>
      <c r="I229" s="92">
        <f t="shared" si="26"/>
        <v>0.34407159757529726</v>
      </c>
      <c r="J229" s="95">
        <v>6.3250133324125298E-3</v>
      </c>
      <c r="K229" s="137">
        <v>0.62838932850985896</v>
      </c>
      <c r="L229" s="137">
        <v>0.68181818181818199</v>
      </c>
      <c r="M229" s="137">
        <v>0.54824604854737402</v>
      </c>
      <c r="N229" s="136">
        <v>1</v>
      </c>
      <c r="O229" s="157">
        <v>43702</v>
      </c>
      <c r="P229" s="98">
        <f t="shared" si="29"/>
        <v>2</v>
      </c>
      <c r="Q229" s="113">
        <v>0</v>
      </c>
      <c r="R229" s="113">
        <v>1.65</v>
      </c>
      <c r="S229" s="113">
        <v>0</v>
      </c>
      <c r="T229" s="119" t="s">
        <v>64</v>
      </c>
      <c r="U229" s="89" t="s">
        <v>2865</v>
      </c>
      <c r="V229" s="172" t="s">
        <v>2866</v>
      </c>
      <c r="W229" s="69">
        <v>162</v>
      </c>
      <c r="X229" s="195">
        <v>3</v>
      </c>
      <c r="Y229" s="195">
        <v>10</v>
      </c>
      <c r="Z229" s="69"/>
      <c r="AA229" t="s">
        <v>4543</v>
      </c>
      <c r="AB229" t="s">
        <v>4594</v>
      </c>
      <c r="AC229" t="s">
        <v>223</v>
      </c>
      <c r="AD229" t="s">
        <v>4802</v>
      </c>
      <c r="AE229" t="s">
        <v>223</v>
      </c>
      <c r="AF229" t="s">
        <v>4802</v>
      </c>
      <c r="AG229" t="s">
        <v>4353</v>
      </c>
      <c r="AH229" t="s">
        <v>4506</v>
      </c>
      <c r="AI229" t="s">
        <v>4353</v>
      </c>
      <c r="AJ229" t="s">
        <v>4506</v>
      </c>
      <c r="AK229" t="s">
        <v>4519</v>
      </c>
      <c r="AL229" t="s">
        <v>4519</v>
      </c>
      <c r="AM229" t="s">
        <v>4528</v>
      </c>
      <c r="AN229" t="s">
        <v>4529</v>
      </c>
      <c r="AO229" s="134">
        <v>113.893333333333</v>
      </c>
      <c r="AP229" s="135">
        <v>113.038105046344</v>
      </c>
      <c r="AQ229">
        <v>0.42121524201853799</v>
      </c>
      <c r="AR229" s="136">
        <v>1.23789907312049</v>
      </c>
      <c r="AS229">
        <v>7.2605561277034001</v>
      </c>
    </row>
    <row r="230" spans="1:45" customFormat="1" ht="106">
      <c r="A230" s="65">
        <v>69</v>
      </c>
      <c r="B230" s="69" t="s">
        <v>217</v>
      </c>
      <c r="C230" s="69" t="s">
        <v>45</v>
      </c>
      <c r="D230" s="31">
        <f t="shared" si="27"/>
        <v>4</v>
      </c>
      <c r="E230" s="69" t="s">
        <v>46</v>
      </c>
      <c r="F230" s="31">
        <f t="shared" si="28"/>
        <v>6</v>
      </c>
      <c r="G230" s="137" t="s">
        <v>253</v>
      </c>
      <c r="H230" s="138">
        <v>162</v>
      </c>
      <c r="I230" s="92">
        <f t="shared" si="26"/>
        <v>0.34175571899697099</v>
      </c>
      <c r="J230" s="95">
        <v>1.6932561757599901E-3</v>
      </c>
      <c r="K230" s="137">
        <v>0.72827870552673202</v>
      </c>
      <c r="L230" s="137">
        <v>0.68181818181818199</v>
      </c>
      <c r="M230" s="137">
        <v>0.79796949108955795</v>
      </c>
      <c r="N230" s="136">
        <v>1</v>
      </c>
      <c r="O230" s="154">
        <v>43702</v>
      </c>
      <c r="P230" s="98">
        <f t="shared" si="29"/>
        <v>1</v>
      </c>
      <c r="Q230" s="111">
        <v>2.5499999999999998</v>
      </c>
      <c r="R230" s="111">
        <v>0</v>
      </c>
      <c r="S230" s="111">
        <v>0</v>
      </c>
      <c r="T230" s="112" t="s">
        <v>73</v>
      </c>
      <c r="U230" s="137" t="s">
        <v>254</v>
      </c>
      <c r="V230" s="137" t="s">
        <v>255</v>
      </c>
      <c r="W230" s="69">
        <v>146</v>
      </c>
      <c r="X230" s="69">
        <v>1</v>
      </c>
      <c r="Y230" s="69">
        <v>2</v>
      </c>
      <c r="AA230" t="s">
        <v>4564</v>
      </c>
      <c r="AB230" t="s">
        <v>51</v>
      </c>
      <c r="AC230" t="s">
        <v>4353</v>
      </c>
      <c r="AD230" t="s">
        <v>4506</v>
      </c>
      <c r="AE230" t="s">
        <v>4513</v>
      </c>
      <c r="AF230" t="s">
        <v>4781</v>
      </c>
      <c r="AG230" t="s">
        <v>4515</v>
      </c>
      <c r="AH230" t="s">
        <v>4803</v>
      </c>
      <c r="AI230" t="s">
        <v>4353</v>
      </c>
      <c r="AJ230" t="s">
        <v>4506</v>
      </c>
      <c r="AK230" t="s">
        <v>4519</v>
      </c>
      <c r="AL230" t="s">
        <v>4519</v>
      </c>
      <c r="AM230" t="s">
        <v>4562</v>
      </c>
      <c r="AN230" t="s">
        <v>4563</v>
      </c>
      <c r="AO230" s="134">
        <v>113.959958932238</v>
      </c>
      <c r="AP230" s="135">
        <v>113.038105046344</v>
      </c>
      <c r="AQ230">
        <v>0.42121524201853799</v>
      </c>
      <c r="AR230" s="136">
        <v>1.23789907312049</v>
      </c>
      <c r="AS230">
        <v>7.2605561277034001</v>
      </c>
    </row>
    <row r="231" spans="1:45" customFormat="1" ht="91">
      <c r="A231">
        <v>622</v>
      </c>
      <c r="B231" s="69" t="s">
        <v>1707</v>
      </c>
      <c r="C231" s="69" t="s">
        <v>45</v>
      </c>
      <c r="D231" s="31">
        <f t="shared" si="27"/>
        <v>4</v>
      </c>
      <c r="E231" s="69" t="s">
        <v>46</v>
      </c>
      <c r="F231" s="31">
        <f t="shared" si="28"/>
        <v>6</v>
      </c>
      <c r="G231" s="188" t="s">
        <v>1725</v>
      </c>
      <c r="H231" s="138">
        <v>75</v>
      </c>
      <c r="I231" s="92">
        <f t="shared" si="26"/>
        <v>0.38025624126088725</v>
      </c>
      <c r="J231" s="95">
        <v>7.8694300703592499E-2</v>
      </c>
      <c r="K231" s="137">
        <v>0.58051948051948099</v>
      </c>
      <c r="L231" s="137">
        <v>0.68181818181818199</v>
      </c>
      <c r="M231" s="137">
        <v>0.42857142857142899</v>
      </c>
      <c r="N231" s="136">
        <v>0</v>
      </c>
      <c r="O231" s="154">
        <v>43701</v>
      </c>
      <c r="P231" s="98">
        <f t="shared" si="29"/>
        <v>0</v>
      </c>
      <c r="Q231" s="111">
        <v>2.5499999999999998</v>
      </c>
      <c r="R231" s="111">
        <v>0</v>
      </c>
      <c r="S231" s="111">
        <v>0</v>
      </c>
      <c r="T231" s="112" t="s">
        <v>48</v>
      </c>
      <c r="U231" s="147" t="s">
        <v>1726</v>
      </c>
      <c r="V231" s="137" t="s">
        <v>1727</v>
      </c>
      <c r="W231" s="69">
        <v>116</v>
      </c>
      <c r="X231" s="188">
        <v>3</v>
      </c>
      <c r="Y231" s="188">
        <v>16</v>
      </c>
      <c r="Z231" s="69"/>
      <c r="AA231" t="s">
        <v>4564</v>
      </c>
      <c r="AB231" t="s">
        <v>71</v>
      </c>
      <c r="AC231" t="s">
        <v>223</v>
      </c>
      <c r="AD231" t="s">
        <v>4768</v>
      </c>
      <c r="AE231" t="s">
        <v>4515</v>
      </c>
      <c r="AF231" t="s">
        <v>4762</v>
      </c>
      <c r="AG231" t="s">
        <v>4513</v>
      </c>
      <c r="AH231" t="s">
        <v>4801</v>
      </c>
      <c r="AI231" t="s">
        <v>4353</v>
      </c>
      <c r="AJ231" t="s">
        <v>4506</v>
      </c>
      <c r="AK231" t="s">
        <v>4519</v>
      </c>
      <c r="AL231" t="s">
        <v>4519</v>
      </c>
      <c r="AM231" t="s">
        <v>4528</v>
      </c>
      <c r="AN231" t="s">
        <v>4529</v>
      </c>
      <c r="AO231" s="134">
        <v>114</v>
      </c>
      <c r="AP231" s="135">
        <v>113.038105046344</v>
      </c>
      <c r="AQ231">
        <v>0.42121524201853799</v>
      </c>
      <c r="AR231" s="136">
        <v>1.23789907312049</v>
      </c>
      <c r="AS231">
        <v>7.2605561277034001</v>
      </c>
    </row>
    <row r="232" spans="1:45" customFormat="1" ht="61">
      <c r="A232">
        <v>1087</v>
      </c>
      <c r="B232" s="69" t="s">
        <v>2948</v>
      </c>
      <c r="C232" s="69" t="s">
        <v>45</v>
      </c>
      <c r="D232" s="31">
        <f t="shared" si="27"/>
        <v>4</v>
      </c>
      <c r="E232" s="69" t="s">
        <v>80</v>
      </c>
      <c r="F232" s="31">
        <f t="shared" si="28"/>
        <v>4</v>
      </c>
      <c r="G232" s="89" t="s">
        <v>2957</v>
      </c>
      <c r="H232" s="138">
        <v>74</v>
      </c>
      <c r="I232" s="92">
        <f t="shared" si="26"/>
        <v>0.41250331969853515</v>
      </c>
      <c r="J232" s="95">
        <v>6.6393970703515501E-6</v>
      </c>
      <c r="K232" s="137">
        <v>0.76722468700001201</v>
      </c>
      <c r="L232" s="137">
        <v>0.82499999999999996</v>
      </c>
      <c r="M232" s="137">
        <v>0.68056171750003003</v>
      </c>
      <c r="N232" s="136">
        <v>1</v>
      </c>
      <c r="O232" s="157">
        <v>43699</v>
      </c>
      <c r="P232" s="98">
        <f t="shared" si="29"/>
        <v>0</v>
      </c>
      <c r="Q232" s="201">
        <v>10.199999999999999</v>
      </c>
      <c r="R232" s="201">
        <v>1.65</v>
      </c>
      <c r="S232" s="201">
        <v>0</v>
      </c>
      <c r="T232" s="202" t="s">
        <v>48</v>
      </c>
      <c r="U232" s="89" t="s">
        <v>2958</v>
      </c>
      <c r="V232" s="172" t="s">
        <v>2959</v>
      </c>
      <c r="W232" s="69">
        <v>85</v>
      </c>
      <c r="X232" s="69">
        <v>1</v>
      </c>
      <c r="Y232" s="69">
        <v>5</v>
      </c>
      <c r="Z232" s="69"/>
      <c r="AA232" t="s">
        <v>4522</v>
      </c>
      <c r="AB232" t="s">
        <v>51</v>
      </c>
      <c r="AC232" t="s">
        <v>4353</v>
      </c>
      <c r="AD232" t="s">
        <v>4506</v>
      </c>
      <c r="AE232" t="s">
        <v>4513</v>
      </c>
      <c r="AF232" t="s">
        <v>4751</v>
      </c>
      <c r="AG232" t="s">
        <v>4515</v>
      </c>
      <c r="AH232" t="s">
        <v>4602</v>
      </c>
      <c r="AI232" t="s">
        <v>4353</v>
      </c>
      <c r="AJ232" t="s">
        <v>4506</v>
      </c>
      <c r="AK232" t="s">
        <v>4519</v>
      </c>
      <c r="AL232" t="s">
        <v>4519</v>
      </c>
      <c r="AM232" t="s">
        <v>4510</v>
      </c>
      <c r="AN232" t="s">
        <v>4550</v>
      </c>
      <c r="AO232" s="134">
        <v>114.041152263374</v>
      </c>
      <c r="AP232" s="135">
        <v>113.05987394957999</v>
      </c>
      <c r="AQ232">
        <v>0.419421487603306</v>
      </c>
      <c r="AR232" s="136">
        <v>1.23863636363636</v>
      </c>
      <c r="AS232">
        <v>7.2696280991735502</v>
      </c>
    </row>
    <row r="233" spans="1:45" customFormat="1" ht="46">
      <c r="A233">
        <v>866</v>
      </c>
      <c r="B233" s="69" t="s">
        <v>2355</v>
      </c>
      <c r="C233" s="69" t="s">
        <v>59</v>
      </c>
      <c r="D233" s="31">
        <f t="shared" si="27"/>
        <v>5</v>
      </c>
      <c r="E233" s="69" t="s">
        <v>46</v>
      </c>
      <c r="F233" s="31">
        <f t="shared" si="28"/>
        <v>6</v>
      </c>
      <c r="G233" s="137" t="s">
        <v>2356</v>
      </c>
      <c r="H233" s="138">
        <v>70</v>
      </c>
      <c r="I233" s="92">
        <f t="shared" si="26"/>
        <v>0.72789947356704854</v>
      </c>
      <c r="J233" s="95">
        <v>0.63079894713409701</v>
      </c>
      <c r="K233" s="137">
        <v>0.76722468700001201</v>
      </c>
      <c r="L233" s="137">
        <v>0.82499999999999996</v>
      </c>
      <c r="M233" s="137">
        <v>0.68056171750003003</v>
      </c>
      <c r="N233" s="136">
        <v>0</v>
      </c>
      <c r="O233" s="154">
        <v>43698</v>
      </c>
      <c r="P233" s="98">
        <f t="shared" si="29"/>
        <v>1</v>
      </c>
      <c r="Q233" s="111">
        <v>7.65</v>
      </c>
      <c r="R233" s="111">
        <v>0</v>
      </c>
      <c r="S233" s="111">
        <v>0</v>
      </c>
      <c r="T233" s="112" t="s">
        <v>73</v>
      </c>
      <c r="U233" s="137" t="s">
        <v>2357</v>
      </c>
      <c r="V233" s="137" t="s">
        <v>2358</v>
      </c>
      <c r="W233" s="69">
        <v>66</v>
      </c>
      <c r="X233" s="69">
        <v>2</v>
      </c>
      <c r="Y233" s="69">
        <v>5</v>
      </c>
      <c r="Z233" s="69"/>
      <c r="AA233" t="s">
        <v>4564</v>
      </c>
      <c r="AB233" t="s">
        <v>4576</v>
      </c>
      <c r="AC233" t="s">
        <v>4353</v>
      </c>
      <c r="AD233" t="s">
        <v>4506</v>
      </c>
      <c r="AE233" t="s">
        <v>223</v>
      </c>
      <c r="AF233" t="s">
        <v>4507</v>
      </c>
      <c r="AG233" t="s">
        <v>223</v>
      </c>
      <c r="AH233" t="s">
        <v>4507</v>
      </c>
      <c r="AI233" t="s">
        <v>4353</v>
      </c>
      <c r="AJ233" t="s">
        <v>4506</v>
      </c>
      <c r="AK233" t="s">
        <v>4519</v>
      </c>
      <c r="AL233" t="s">
        <v>4519</v>
      </c>
      <c r="AM233" t="s">
        <v>4519</v>
      </c>
      <c r="AN233" t="s">
        <v>4564</v>
      </c>
      <c r="AO233" s="134">
        <v>114.08650875386201</v>
      </c>
      <c r="AP233" s="135">
        <v>113.044467425026</v>
      </c>
      <c r="AQ233">
        <v>0.41985522233712502</v>
      </c>
      <c r="AR233" s="136">
        <v>1.2388831437435399</v>
      </c>
      <c r="AS233">
        <v>7.27300930713547</v>
      </c>
    </row>
    <row r="234" spans="1:45" customFormat="1" ht="91">
      <c r="A234" s="65">
        <v>248</v>
      </c>
      <c r="B234" s="69" t="s">
        <v>589</v>
      </c>
      <c r="C234" s="69" t="s">
        <v>45</v>
      </c>
      <c r="D234" s="31">
        <f t="shared" si="27"/>
        <v>4</v>
      </c>
      <c r="E234" s="69" t="s">
        <v>221</v>
      </c>
      <c r="F234" s="31">
        <f t="shared" si="28"/>
        <v>2</v>
      </c>
      <c r="G234" s="137" t="s">
        <v>750</v>
      </c>
      <c r="H234" s="138">
        <v>138</v>
      </c>
      <c r="I234" s="92">
        <f t="shared" si="26"/>
        <v>0.41479602424461415</v>
      </c>
      <c r="J234" s="95">
        <v>4.5920484892283397E-3</v>
      </c>
      <c r="K234" s="137">
        <v>0.79602566813892095</v>
      </c>
      <c r="L234" s="137">
        <v>0.82499999999999996</v>
      </c>
      <c r="M234" s="137">
        <v>0.75256417034730305</v>
      </c>
      <c r="N234" s="136">
        <v>1</v>
      </c>
      <c r="O234" s="154">
        <v>43697</v>
      </c>
      <c r="P234" s="98">
        <f t="shared" si="29"/>
        <v>0</v>
      </c>
      <c r="Q234" s="111">
        <v>0</v>
      </c>
      <c r="R234" s="111">
        <v>0</v>
      </c>
      <c r="S234" s="111">
        <v>0</v>
      </c>
      <c r="T234" s="112" t="s">
        <v>48</v>
      </c>
      <c r="U234" s="147" t="s">
        <v>751</v>
      </c>
      <c r="V234" s="137" t="s">
        <v>752</v>
      </c>
      <c r="W234" s="69">
        <v>116</v>
      </c>
      <c r="X234" s="147">
        <v>2</v>
      </c>
      <c r="Y234" s="147">
        <v>3</v>
      </c>
      <c r="AA234" t="s">
        <v>4603</v>
      </c>
      <c r="AB234" t="s">
        <v>71</v>
      </c>
      <c r="AC234" t="s">
        <v>223</v>
      </c>
      <c r="AD234" t="s">
        <v>4768</v>
      </c>
      <c r="AE234" t="s">
        <v>4515</v>
      </c>
      <c r="AF234" t="s">
        <v>4762</v>
      </c>
      <c r="AG234" t="s">
        <v>4513</v>
      </c>
      <c r="AH234" t="s">
        <v>4801</v>
      </c>
      <c r="AI234" t="s">
        <v>4353</v>
      </c>
      <c r="AJ234" t="s">
        <v>4506</v>
      </c>
      <c r="AK234" t="s">
        <v>4519</v>
      </c>
      <c r="AL234" t="s">
        <v>4519</v>
      </c>
      <c r="AM234" t="s">
        <v>4510</v>
      </c>
      <c r="AN234" t="s">
        <v>4550</v>
      </c>
      <c r="AO234" s="134">
        <v>114.061855670103</v>
      </c>
      <c r="AP234" s="135">
        <v>113.08195020746901</v>
      </c>
      <c r="AQ234">
        <v>0.42116182572614103</v>
      </c>
      <c r="AR234" s="136">
        <v>1.2396265560166</v>
      </c>
      <c r="AS234">
        <v>7.2863070539419104</v>
      </c>
    </row>
    <row r="235" spans="1:45" customFormat="1" ht="61">
      <c r="A235">
        <v>447</v>
      </c>
      <c r="B235" s="69" t="s">
        <v>1222</v>
      </c>
      <c r="C235" s="69" t="s">
        <v>45</v>
      </c>
      <c r="D235" s="31">
        <f t="shared" si="27"/>
        <v>4</v>
      </c>
      <c r="E235" s="69" t="s">
        <v>46</v>
      </c>
      <c r="F235" s="31">
        <f t="shared" si="28"/>
        <v>6</v>
      </c>
      <c r="G235" s="188" t="s">
        <v>1275</v>
      </c>
      <c r="H235" s="138">
        <v>52</v>
      </c>
      <c r="I235" s="92">
        <f t="shared" si="26"/>
        <v>0.80255279997454698</v>
      </c>
      <c r="J235" s="95">
        <v>0.92328741813091197</v>
      </c>
      <c r="K235" s="137">
        <v>0.72827870552673202</v>
      </c>
      <c r="L235" s="137">
        <v>0.68181818181818199</v>
      </c>
      <c r="M235" s="137">
        <v>0.79796949108955795</v>
      </c>
      <c r="N235" s="136">
        <v>1</v>
      </c>
      <c r="O235" s="154">
        <v>43695</v>
      </c>
      <c r="P235" s="98">
        <f t="shared" si="29"/>
        <v>0</v>
      </c>
      <c r="Q235" s="111">
        <v>0</v>
      </c>
      <c r="R235" s="111">
        <v>0</v>
      </c>
      <c r="S235" s="111">
        <v>0</v>
      </c>
      <c r="T235" s="112" t="s">
        <v>48</v>
      </c>
      <c r="U235" s="137" t="s">
        <v>1276</v>
      </c>
      <c r="V235" s="137" t="s">
        <v>1277</v>
      </c>
      <c r="W235" s="69">
        <v>82</v>
      </c>
      <c r="X235" s="195">
        <v>1</v>
      </c>
      <c r="Y235" s="195">
        <v>2</v>
      </c>
      <c r="AA235" t="s">
        <v>4564</v>
      </c>
      <c r="AB235" t="s">
        <v>51</v>
      </c>
      <c r="AC235" t="s">
        <v>4353</v>
      </c>
      <c r="AD235" t="s">
        <v>4506</v>
      </c>
      <c r="AE235" t="s">
        <v>223</v>
      </c>
      <c r="AF235" t="s">
        <v>4540</v>
      </c>
      <c r="AG235" t="s">
        <v>4353</v>
      </c>
      <c r="AH235" t="s">
        <v>4506</v>
      </c>
      <c r="AI235" t="s">
        <v>4353</v>
      </c>
      <c r="AJ235" t="s">
        <v>4506</v>
      </c>
      <c r="AK235" t="s">
        <v>4519</v>
      </c>
      <c r="AL235" t="s">
        <v>4519</v>
      </c>
      <c r="AM235" t="s">
        <v>4528</v>
      </c>
      <c r="AN235" t="s">
        <v>4529</v>
      </c>
      <c r="AO235" s="134">
        <v>114.12590299277601</v>
      </c>
      <c r="AP235" s="135">
        <v>112.91692627206599</v>
      </c>
      <c r="AQ235">
        <v>0.42159916926272101</v>
      </c>
      <c r="AR235" s="136">
        <v>1.2388369678089299</v>
      </c>
      <c r="AS235">
        <v>7.28141225337487</v>
      </c>
    </row>
    <row r="236" spans="1:45" customFormat="1" ht="61">
      <c r="A236" s="65">
        <v>701</v>
      </c>
      <c r="B236" s="69" t="s">
        <v>1913</v>
      </c>
      <c r="C236" s="69" t="s">
        <v>45</v>
      </c>
      <c r="D236" s="31">
        <f t="shared" si="27"/>
        <v>4</v>
      </c>
      <c r="E236" s="69" t="s">
        <v>46</v>
      </c>
      <c r="F236" s="31">
        <f t="shared" si="28"/>
        <v>6</v>
      </c>
      <c r="G236" s="137" t="s">
        <v>1275</v>
      </c>
      <c r="H236" s="138">
        <v>52</v>
      </c>
      <c r="I236" s="92">
        <f t="shared" si="26"/>
        <v>0.34107655603974424</v>
      </c>
      <c r="J236" s="95">
        <v>3.34930261306488E-4</v>
      </c>
      <c r="K236" s="137">
        <v>0.72827870552673202</v>
      </c>
      <c r="L236" s="137">
        <v>0.68181818181818199</v>
      </c>
      <c r="M236" s="137">
        <v>0.79796949108955795</v>
      </c>
      <c r="N236" s="136">
        <v>1</v>
      </c>
      <c r="O236" s="154">
        <v>43695</v>
      </c>
      <c r="P236" s="98">
        <f t="shared" si="29"/>
        <v>0</v>
      </c>
      <c r="Q236" s="111">
        <v>2.5499999999999998</v>
      </c>
      <c r="R236" s="111">
        <v>0</v>
      </c>
      <c r="S236" s="111">
        <v>0</v>
      </c>
      <c r="T236" s="112" t="s">
        <v>48</v>
      </c>
      <c r="U236" s="137" t="s">
        <v>1276</v>
      </c>
      <c r="V236" s="137" t="s">
        <v>1277</v>
      </c>
      <c r="W236" s="69">
        <v>82</v>
      </c>
      <c r="X236" s="69">
        <v>1</v>
      </c>
      <c r="Y236" s="69">
        <v>2</v>
      </c>
      <c r="Z236" s="69"/>
      <c r="AA236" t="s">
        <v>4564</v>
      </c>
      <c r="AB236" t="s">
        <v>51</v>
      </c>
      <c r="AC236" t="s">
        <v>4353</v>
      </c>
      <c r="AD236" t="s">
        <v>4506</v>
      </c>
      <c r="AE236" t="s">
        <v>223</v>
      </c>
      <c r="AF236" t="s">
        <v>4540</v>
      </c>
      <c r="AG236" t="s">
        <v>4353</v>
      </c>
      <c r="AH236" t="s">
        <v>4506</v>
      </c>
      <c r="AI236" t="s">
        <v>4353</v>
      </c>
      <c r="AJ236" t="s">
        <v>4506</v>
      </c>
      <c r="AK236" t="s">
        <v>4519</v>
      </c>
      <c r="AL236" t="s">
        <v>4519</v>
      </c>
      <c r="AM236" t="s">
        <v>4528</v>
      </c>
      <c r="AN236" t="s">
        <v>4529</v>
      </c>
      <c r="AO236" s="134">
        <v>114.19008264462801</v>
      </c>
      <c r="AP236" s="135">
        <v>112.91692627206599</v>
      </c>
      <c r="AQ236">
        <v>0.42159916926272101</v>
      </c>
      <c r="AR236" s="136">
        <v>1.2388369678089299</v>
      </c>
      <c r="AS236">
        <v>7.28141225337487</v>
      </c>
    </row>
    <row r="237" spans="1:45" customFormat="1" ht="91">
      <c r="A237" s="65">
        <v>249</v>
      </c>
      <c r="B237" s="69" t="s">
        <v>589</v>
      </c>
      <c r="C237" s="69" t="s">
        <v>45</v>
      </c>
      <c r="D237" s="31">
        <f t="shared" si="27"/>
        <v>4</v>
      </c>
      <c r="E237" s="69" t="s">
        <v>221</v>
      </c>
      <c r="F237" s="31">
        <f t="shared" si="28"/>
        <v>2</v>
      </c>
      <c r="G237" s="188" t="s">
        <v>753</v>
      </c>
      <c r="H237" s="138">
        <v>39</v>
      </c>
      <c r="I237" s="92">
        <f t="shared" si="26"/>
        <v>0.81035114934784047</v>
      </c>
      <c r="J237" s="95">
        <v>0.93888411687749895</v>
      </c>
      <c r="K237" s="137">
        <v>0.68131559609092096</v>
      </c>
      <c r="L237" s="137">
        <v>0.68181818181818199</v>
      </c>
      <c r="M237" s="137">
        <v>0.68056171750003003</v>
      </c>
      <c r="N237" s="136">
        <v>1</v>
      </c>
      <c r="O237" s="154">
        <v>43694</v>
      </c>
      <c r="P237" s="98">
        <f t="shared" si="29"/>
        <v>1</v>
      </c>
      <c r="Q237" s="111">
        <v>5.0999999999999996</v>
      </c>
      <c r="R237" s="111">
        <v>3.3</v>
      </c>
      <c r="S237" s="111">
        <v>1.87</v>
      </c>
      <c r="T237" s="112" t="s">
        <v>73</v>
      </c>
      <c r="U237" s="188" t="s">
        <v>754</v>
      </c>
      <c r="V237" s="137" t="s">
        <v>755</v>
      </c>
      <c r="W237" s="69">
        <v>116</v>
      </c>
      <c r="X237" s="195">
        <v>2</v>
      </c>
      <c r="Y237" s="195">
        <v>5</v>
      </c>
      <c r="AA237" t="s">
        <v>4603</v>
      </c>
      <c r="AB237" t="s">
        <v>71</v>
      </c>
      <c r="AC237" t="s">
        <v>223</v>
      </c>
      <c r="AD237" t="s">
        <v>4768</v>
      </c>
      <c r="AE237" t="s">
        <v>4515</v>
      </c>
      <c r="AF237" t="s">
        <v>4762</v>
      </c>
      <c r="AG237" t="s">
        <v>4513</v>
      </c>
      <c r="AH237" t="s">
        <v>4801</v>
      </c>
      <c r="AI237" t="s">
        <v>4353</v>
      </c>
      <c r="AJ237" t="s">
        <v>4506</v>
      </c>
      <c r="AK237" t="s">
        <v>4519</v>
      </c>
      <c r="AL237" t="s">
        <v>4519</v>
      </c>
      <c r="AM237" t="s">
        <v>4528</v>
      </c>
      <c r="AN237" t="s">
        <v>4529</v>
      </c>
      <c r="AO237" s="134">
        <v>114.267838676319</v>
      </c>
      <c r="AP237" s="135">
        <v>112.91692627206599</v>
      </c>
      <c r="AQ237">
        <v>0.42159916926272101</v>
      </c>
      <c r="AR237" s="136">
        <v>1.2388369678089299</v>
      </c>
      <c r="AS237">
        <v>7.28141225337487</v>
      </c>
    </row>
    <row r="238" spans="1:45" customFormat="1" ht="76">
      <c r="A238">
        <v>1055</v>
      </c>
      <c r="B238" s="69" t="s">
        <v>2833</v>
      </c>
      <c r="C238" s="69" t="s">
        <v>45</v>
      </c>
      <c r="D238" s="31">
        <f t="shared" si="27"/>
        <v>4</v>
      </c>
      <c r="E238" s="69" t="s">
        <v>221</v>
      </c>
      <c r="F238" s="31">
        <f t="shared" si="28"/>
        <v>2</v>
      </c>
      <c r="G238" s="89" t="s">
        <v>2867</v>
      </c>
      <c r="H238" s="138">
        <v>23</v>
      </c>
      <c r="I238" s="92">
        <f t="shared" si="26"/>
        <v>0.38613807089549679</v>
      </c>
      <c r="J238" s="95">
        <v>2.22761417909936E-2</v>
      </c>
      <c r="K238" s="137">
        <v>0.73571428571428599</v>
      </c>
      <c r="L238" s="137">
        <v>0.75</v>
      </c>
      <c r="M238" s="137">
        <v>0.71428571428571397</v>
      </c>
      <c r="N238" s="136">
        <v>1</v>
      </c>
      <c r="O238" s="157">
        <v>43694</v>
      </c>
      <c r="P238" s="98">
        <f t="shared" si="29"/>
        <v>0</v>
      </c>
      <c r="Q238" s="113">
        <v>0</v>
      </c>
      <c r="R238" s="113">
        <v>0</v>
      </c>
      <c r="S238" s="113">
        <v>0</v>
      </c>
      <c r="T238" s="119" t="s">
        <v>48</v>
      </c>
      <c r="U238" s="89" t="s">
        <v>2868</v>
      </c>
      <c r="V238" s="172" t="s">
        <v>2869</v>
      </c>
      <c r="W238" s="69">
        <v>98</v>
      </c>
      <c r="X238" s="69">
        <v>1</v>
      </c>
      <c r="Y238" s="69">
        <v>4</v>
      </c>
      <c r="Z238" s="69"/>
      <c r="AA238" t="s">
        <v>4564</v>
      </c>
      <c r="AB238" t="s">
        <v>87</v>
      </c>
      <c r="AC238" t="s">
        <v>4538</v>
      </c>
      <c r="AD238" t="s">
        <v>4804</v>
      </c>
      <c r="AE238" t="s">
        <v>223</v>
      </c>
      <c r="AF238" t="s">
        <v>4613</v>
      </c>
      <c r="AG238" t="s">
        <v>223</v>
      </c>
      <c r="AH238" t="s">
        <v>4613</v>
      </c>
      <c r="AI238" t="s">
        <v>4353</v>
      </c>
      <c r="AJ238" t="s">
        <v>4506</v>
      </c>
      <c r="AK238" t="s">
        <v>4519</v>
      </c>
      <c r="AL238" t="s">
        <v>4519</v>
      </c>
      <c r="AM238" t="s">
        <v>4528</v>
      </c>
      <c r="AN238" t="s">
        <v>4529</v>
      </c>
      <c r="AO238" s="134">
        <v>114.348861283644</v>
      </c>
      <c r="AP238" s="135">
        <v>112.91692627206599</v>
      </c>
      <c r="AQ238">
        <v>0.42159916926272101</v>
      </c>
      <c r="AR238" s="136">
        <v>1.2388369678089299</v>
      </c>
      <c r="AS238">
        <v>7.28141225337487</v>
      </c>
    </row>
    <row r="239" spans="1:45" customFormat="1" ht="91">
      <c r="A239">
        <v>250</v>
      </c>
      <c r="B239" s="69" t="s">
        <v>589</v>
      </c>
      <c r="C239" s="69" t="s">
        <v>45</v>
      </c>
      <c r="D239" s="31">
        <f t="shared" si="27"/>
        <v>4</v>
      </c>
      <c r="E239" s="69" t="s">
        <v>221</v>
      </c>
      <c r="F239" s="31">
        <f t="shared" si="28"/>
        <v>2</v>
      </c>
      <c r="G239" s="188" t="s">
        <v>756</v>
      </c>
      <c r="H239" s="138">
        <v>36</v>
      </c>
      <c r="I239" s="92">
        <f t="shared" si="26"/>
        <v>0.34732987927234948</v>
      </c>
      <c r="J239" s="95">
        <v>1.2841576726517E-2</v>
      </c>
      <c r="K239" s="137">
        <v>0.68131559609092096</v>
      </c>
      <c r="L239" s="137">
        <v>0.68181818181818199</v>
      </c>
      <c r="M239" s="137">
        <v>0.68056171750003003</v>
      </c>
      <c r="N239" s="136">
        <v>0</v>
      </c>
      <c r="O239" s="154">
        <v>43694</v>
      </c>
      <c r="P239" s="98">
        <f t="shared" si="29"/>
        <v>0</v>
      </c>
      <c r="Q239" s="111">
        <v>5.0999999999999996</v>
      </c>
      <c r="R239" s="111">
        <v>1.65</v>
      </c>
      <c r="S239" s="111">
        <v>1.87</v>
      </c>
      <c r="T239" s="112" t="s">
        <v>48</v>
      </c>
      <c r="U239" s="137" t="s">
        <v>757</v>
      </c>
      <c r="V239" s="137" t="s">
        <v>755</v>
      </c>
      <c r="W239" s="69">
        <v>116</v>
      </c>
      <c r="X239" s="195">
        <v>2</v>
      </c>
      <c r="Y239" s="195">
        <v>5</v>
      </c>
      <c r="AA239" t="s">
        <v>4564</v>
      </c>
      <c r="AB239" t="s">
        <v>71</v>
      </c>
      <c r="AC239" t="s">
        <v>223</v>
      </c>
      <c r="AD239" t="s">
        <v>4768</v>
      </c>
      <c r="AE239" t="s">
        <v>4515</v>
      </c>
      <c r="AF239" t="s">
        <v>4762</v>
      </c>
      <c r="AG239" t="s">
        <v>4513</v>
      </c>
      <c r="AH239" t="s">
        <v>4801</v>
      </c>
      <c r="AI239" t="s">
        <v>4353</v>
      </c>
      <c r="AJ239" t="s">
        <v>4506</v>
      </c>
      <c r="AK239" t="s">
        <v>4519</v>
      </c>
      <c r="AL239" t="s">
        <v>4519</v>
      </c>
      <c r="AM239" t="s">
        <v>4510</v>
      </c>
      <c r="AN239" t="s">
        <v>4550</v>
      </c>
      <c r="AO239" s="134">
        <v>114.443523316062</v>
      </c>
      <c r="AP239" s="135">
        <v>112.91692627206599</v>
      </c>
      <c r="AQ239">
        <v>0.42159916926272101</v>
      </c>
      <c r="AR239" s="136">
        <v>1.2388369678089299</v>
      </c>
      <c r="AS239">
        <v>7.28141225337487</v>
      </c>
    </row>
    <row r="240" spans="1:45" customFormat="1" ht="211">
      <c r="A240">
        <v>867</v>
      </c>
      <c r="B240" s="69" t="s">
        <v>2355</v>
      </c>
      <c r="C240" s="69" t="s">
        <v>45</v>
      </c>
      <c r="D240" s="31">
        <f t="shared" si="27"/>
        <v>4</v>
      </c>
      <c r="E240" s="69" t="s">
        <v>46</v>
      </c>
      <c r="F240" s="31">
        <f t="shared" si="28"/>
        <v>6</v>
      </c>
      <c r="G240" s="137" t="s">
        <v>2359</v>
      </c>
      <c r="H240" s="138">
        <v>395</v>
      </c>
      <c r="I240" s="92">
        <f t="shared" si="26"/>
        <v>0.232845496147183</v>
      </c>
      <c r="J240" s="95">
        <v>0</v>
      </c>
      <c r="K240" s="137">
        <v>0.55163928237663196</v>
      </c>
      <c r="L240" s="137">
        <v>0.465690992294366</v>
      </c>
      <c r="M240" s="137">
        <v>0.68056171750003003</v>
      </c>
      <c r="N240" s="136">
        <v>0</v>
      </c>
      <c r="O240" s="154">
        <v>43692</v>
      </c>
      <c r="P240" s="98">
        <f t="shared" si="29"/>
        <v>1</v>
      </c>
      <c r="Q240" s="111">
        <v>2.5499999999999998</v>
      </c>
      <c r="R240" s="111">
        <v>1.65</v>
      </c>
      <c r="S240" s="111">
        <v>0</v>
      </c>
      <c r="T240" s="112" t="s">
        <v>73</v>
      </c>
      <c r="U240" s="137" t="s">
        <v>4432</v>
      </c>
      <c r="V240" s="137" t="s">
        <v>2361</v>
      </c>
      <c r="W240" s="69">
        <v>139</v>
      </c>
      <c r="X240" s="69">
        <v>1</v>
      </c>
      <c r="Y240" s="69">
        <v>5</v>
      </c>
      <c r="Z240" s="69"/>
      <c r="AA240" t="s">
        <v>4522</v>
      </c>
      <c r="AB240" t="s">
        <v>71</v>
      </c>
      <c r="AC240" t="s">
        <v>223</v>
      </c>
      <c r="AD240" t="s">
        <v>4736</v>
      </c>
      <c r="AE240" t="s">
        <v>223</v>
      </c>
      <c r="AF240" t="s">
        <v>4736</v>
      </c>
      <c r="AG240" t="s">
        <v>4530</v>
      </c>
      <c r="AH240" t="s">
        <v>4778</v>
      </c>
      <c r="AI240" t="s">
        <v>4353</v>
      </c>
      <c r="AJ240" t="s">
        <v>4506</v>
      </c>
      <c r="AK240" t="s">
        <v>4578</v>
      </c>
      <c r="AL240" t="s">
        <v>4552</v>
      </c>
      <c r="AM240" t="s">
        <v>4592</v>
      </c>
      <c r="AN240" t="s">
        <v>4805</v>
      </c>
      <c r="AO240" s="134">
        <v>114.152489626556</v>
      </c>
      <c r="AP240" s="135">
        <v>112.91692627206599</v>
      </c>
      <c r="AQ240">
        <v>0.42159916926272101</v>
      </c>
      <c r="AR240" s="136">
        <v>1.2388369678089299</v>
      </c>
      <c r="AS240">
        <v>7.28141225337487</v>
      </c>
    </row>
    <row r="241" spans="1:45" customFormat="1" ht="181">
      <c r="A241" s="65">
        <v>1108</v>
      </c>
      <c r="B241" s="69" t="s">
        <v>3001</v>
      </c>
      <c r="C241" s="69" t="s">
        <v>45</v>
      </c>
      <c r="D241" s="31">
        <f t="shared" si="27"/>
        <v>4</v>
      </c>
      <c r="E241" s="69" t="s">
        <v>46</v>
      </c>
      <c r="F241" s="31">
        <f t="shared" si="28"/>
        <v>6</v>
      </c>
      <c r="G241" s="89" t="s">
        <v>3011</v>
      </c>
      <c r="H241" s="138">
        <v>71</v>
      </c>
      <c r="I241" s="92">
        <f t="shared" si="26"/>
        <v>0.39738326680309899</v>
      </c>
      <c r="J241" s="95">
        <v>0.112948351788016</v>
      </c>
      <c r="K241" s="137">
        <v>0.68131559609092096</v>
      </c>
      <c r="L241" s="137">
        <v>0.68181818181818199</v>
      </c>
      <c r="M241" s="137">
        <v>0.68056171750003003</v>
      </c>
      <c r="N241" s="136">
        <v>1</v>
      </c>
      <c r="O241" s="157">
        <v>43685</v>
      </c>
      <c r="P241" s="98">
        <f t="shared" si="29"/>
        <v>2</v>
      </c>
      <c r="Q241" s="201">
        <v>0</v>
      </c>
      <c r="R241" s="201">
        <v>1.65</v>
      </c>
      <c r="S241" s="201">
        <v>0</v>
      </c>
      <c r="T241" s="202" t="s">
        <v>64</v>
      </c>
      <c r="U241" s="203" t="s">
        <v>3012</v>
      </c>
      <c r="V241" s="172" t="s">
        <v>3013</v>
      </c>
      <c r="W241" s="69">
        <v>251</v>
      </c>
      <c r="X241" s="195">
        <v>1</v>
      </c>
      <c r="Y241" s="195">
        <v>5</v>
      </c>
      <c r="Z241" s="69"/>
      <c r="AA241" t="s">
        <v>4564</v>
      </c>
      <c r="AB241" t="s">
        <v>51</v>
      </c>
      <c r="AC241" t="s">
        <v>223</v>
      </c>
      <c r="AD241" t="s">
        <v>4806</v>
      </c>
      <c r="AE241" t="s">
        <v>4513</v>
      </c>
      <c r="AF241" t="s">
        <v>4807</v>
      </c>
      <c r="AG241" t="s">
        <v>4353</v>
      </c>
      <c r="AH241" t="s">
        <v>4506</v>
      </c>
      <c r="AI241" t="s">
        <v>4353</v>
      </c>
      <c r="AJ241" t="s">
        <v>4506</v>
      </c>
      <c r="AK241" t="s">
        <v>4519</v>
      </c>
      <c r="AL241" t="s">
        <v>4519</v>
      </c>
      <c r="AM241" t="s">
        <v>4510</v>
      </c>
      <c r="AN241" t="s">
        <v>4550</v>
      </c>
      <c r="AO241" s="134">
        <v>114.197300103842</v>
      </c>
      <c r="AP241" s="135">
        <v>112.759625390219</v>
      </c>
      <c r="AQ241">
        <v>0.41935483870967699</v>
      </c>
      <c r="AR241" s="136">
        <v>1.2393340270551501</v>
      </c>
      <c r="AS241">
        <v>7.2882414151925099</v>
      </c>
    </row>
    <row r="242" spans="1:45" customFormat="1" ht="196">
      <c r="A242">
        <v>623</v>
      </c>
      <c r="B242" s="69" t="s">
        <v>1707</v>
      </c>
      <c r="C242" s="69" t="s">
        <v>45</v>
      </c>
      <c r="D242" s="31">
        <f t="shared" si="27"/>
        <v>4</v>
      </c>
      <c r="E242" s="69" t="s">
        <v>46</v>
      </c>
      <c r="F242" s="31">
        <f t="shared" si="28"/>
        <v>6</v>
      </c>
      <c r="G242" s="137" t="s">
        <v>1728</v>
      </c>
      <c r="H242" s="138">
        <v>182</v>
      </c>
      <c r="I242" s="92">
        <f t="shared" si="26"/>
        <v>0.34131538207346629</v>
      </c>
      <c r="J242" s="95">
        <v>8.1258232875058801E-4</v>
      </c>
      <c r="K242" s="137">
        <v>0.61114224536875195</v>
      </c>
      <c r="L242" s="137">
        <v>0.68181818181818199</v>
      </c>
      <c r="M242" s="137">
        <v>0.50512834069460699</v>
      </c>
      <c r="N242" s="136">
        <v>1</v>
      </c>
      <c r="O242" s="154">
        <v>43684</v>
      </c>
      <c r="P242" s="98">
        <f t="shared" si="29"/>
        <v>0</v>
      </c>
      <c r="Q242" s="111">
        <v>0</v>
      </c>
      <c r="R242" s="111">
        <v>1.65</v>
      </c>
      <c r="S242" s="111">
        <v>0</v>
      </c>
      <c r="T242" s="112" t="s">
        <v>48</v>
      </c>
      <c r="U242" s="137" t="s">
        <v>4406</v>
      </c>
      <c r="V242" s="137" t="s">
        <v>1730</v>
      </c>
      <c r="W242" s="69">
        <v>272</v>
      </c>
      <c r="X242" s="69">
        <v>2</v>
      </c>
      <c r="Y242" s="69">
        <v>12</v>
      </c>
      <c r="Z242" s="69"/>
      <c r="AA242" t="s">
        <v>4543</v>
      </c>
      <c r="AB242" t="s">
        <v>71</v>
      </c>
      <c r="AC242" t="s">
        <v>223</v>
      </c>
      <c r="AD242" t="s">
        <v>4808</v>
      </c>
      <c r="AE242" t="s">
        <v>4353</v>
      </c>
      <c r="AF242" t="s">
        <v>4506</v>
      </c>
      <c r="AG242" t="s">
        <v>4530</v>
      </c>
      <c r="AH242" t="s">
        <v>4568</v>
      </c>
      <c r="AI242" t="s">
        <v>4353</v>
      </c>
      <c r="AJ242" t="s">
        <v>4506</v>
      </c>
      <c r="AK242" t="s">
        <v>4519</v>
      </c>
      <c r="AL242" t="s">
        <v>4519</v>
      </c>
      <c r="AM242" t="s">
        <v>4528</v>
      </c>
      <c r="AN242" t="s">
        <v>4529</v>
      </c>
      <c r="AO242" s="134">
        <v>114.126819126819</v>
      </c>
      <c r="AP242" s="135">
        <v>112.79666319082401</v>
      </c>
      <c r="AQ242">
        <v>0.42022940563086503</v>
      </c>
      <c r="AR242" s="136">
        <v>1.2387904066736199</v>
      </c>
      <c r="AS242">
        <v>7.2950990615224196</v>
      </c>
    </row>
    <row r="243" spans="1:45" customFormat="1" ht="91">
      <c r="A243">
        <v>778</v>
      </c>
      <c r="B243" s="69" t="s">
        <v>2098</v>
      </c>
      <c r="C243" s="69" t="s">
        <v>45</v>
      </c>
      <c r="D243" s="31">
        <f t="shared" si="27"/>
        <v>4</v>
      </c>
      <c r="E243" s="69" t="s">
        <v>1223</v>
      </c>
      <c r="F243" s="31">
        <f t="shared" si="28"/>
        <v>8</v>
      </c>
      <c r="G243" s="153" t="s">
        <v>2123</v>
      </c>
      <c r="H243" s="138">
        <v>89</v>
      </c>
      <c r="I243" s="92">
        <f t="shared" si="26"/>
        <v>0.58130622319727954</v>
      </c>
      <c r="J243" s="95">
        <v>0.69692145410019302</v>
      </c>
      <c r="K243" s="137">
        <v>0.58044026351554101</v>
      </c>
      <c r="L243" s="137">
        <v>0.465690992294366</v>
      </c>
      <c r="M243" s="137">
        <v>0.75256417034730305</v>
      </c>
      <c r="N243" s="136">
        <v>1</v>
      </c>
      <c r="O243" s="154">
        <v>43682</v>
      </c>
      <c r="P243" s="98">
        <f t="shared" si="29"/>
        <v>1</v>
      </c>
      <c r="Q243" s="111">
        <v>2.5499999999999998</v>
      </c>
      <c r="R243" s="111">
        <v>0</v>
      </c>
      <c r="S243" s="111">
        <v>0</v>
      </c>
      <c r="T243" s="112" t="s">
        <v>73</v>
      </c>
      <c r="U243" s="137" t="s">
        <v>2124</v>
      </c>
      <c r="V243" s="137" t="s">
        <v>2125</v>
      </c>
      <c r="W243" s="69">
        <v>126</v>
      </c>
      <c r="X243" s="69">
        <v>4</v>
      </c>
      <c r="Y243" s="69">
        <v>3</v>
      </c>
      <c r="Z243" s="69"/>
      <c r="AA243" t="s">
        <v>4587</v>
      </c>
      <c r="AB243" t="s">
        <v>51</v>
      </c>
      <c r="AC243" t="s">
        <v>223</v>
      </c>
      <c r="AD243" t="s">
        <v>4710</v>
      </c>
      <c r="AE243" t="s">
        <v>4513</v>
      </c>
      <c r="AF243" t="s">
        <v>4809</v>
      </c>
      <c r="AG243" t="s">
        <v>4353</v>
      </c>
      <c r="AH243" t="s">
        <v>4506</v>
      </c>
      <c r="AI243" t="s">
        <v>223</v>
      </c>
      <c r="AJ243" t="s">
        <v>4710</v>
      </c>
      <c r="AK243" t="s">
        <v>4519</v>
      </c>
      <c r="AL243" t="s">
        <v>4519</v>
      </c>
      <c r="AM243" t="s">
        <v>4528</v>
      </c>
      <c r="AN243" t="s">
        <v>4529</v>
      </c>
      <c r="AO243" s="134">
        <v>114.029136316337</v>
      </c>
      <c r="AP243" s="135">
        <v>113.05987394957999</v>
      </c>
      <c r="AQ243">
        <v>0.41806722689075598</v>
      </c>
      <c r="AR243" s="136">
        <v>1.23739495798319</v>
      </c>
      <c r="AS243">
        <v>7.28781512605042</v>
      </c>
    </row>
    <row r="244" spans="1:45" customFormat="1" ht="121">
      <c r="A244">
        <v>2</v>
      </c>
      <c r="B244" s="136" t="s">
        <v>44</v>
      </c>
      <c r="C244" s="136" t="s">
        <v>52</v>
      </c>
      <c r="D244" s="31">
        <f t="shared" si="27"/>
        <v>3</v>
      </c>
      <c r="E244" s="137" t="s">
        <v>46</v>
      </c>
      <c r="F244" s="31">
        <f t="shared" si="28"/>
        <v>6</v>
      </c>
      <c r="G244" s="137" t="s">
        <v>53</v>
      </c>
      <c r="H244" s="138">
        <v>208</v>
      </c>
      <c r="I244" s="92">
        <f t="shared" si="26"/>
        <v>0.45407692128590821</v>
      </c>
      <c r="J244" s="95">
        <v>6.5384257181644301E-4</v>
      </c>
      <c r="K244" s="137">
        <v>0.86368779643582305</v>
      </c>
      <c r="L244" s="137">
        <v>0.90749999999999997</v>
      </c>
      <c r="M244" s="137">
        <v>0.79796949108955795</v>
      </c>
      <c r="N244" s="136">
        <v>1</v>
      </c>
      <c r="O244" s="32">
        <v>43682</v>
      </c>
      <c r="P244" s="98">
        <f t="shared" si="29"/>
        <v>0</v>
      </c>
      <c r="Q244" s="111">
        <v>2.5499999999999998</v>
      </c>
      <c r="R244" s="111">
        <v>1.65</v>
      </c>
      <c r="S244" s="111">
        <v>1.87</v>
      </c>
      <c r="T244" s="112" t="s">
        <v>48</v>
      </c>
      <c r="U244" s="137" t="s">
        <v>4345</v>
      </c>
      <c r="V244" s="137" t="s">
        <v>55</v>
      </c>
      <c r="W244" s="69">
        <v>174</v>
      </c>
      <c r="X244" s="136">
        <v>2</v>
      </c>
      <c r="Y244" s="136">
        <v>2</v>
      </c>
      <c r="Z244" s="69">
        <f>AVERAGE(X244:X840)</f>
        <v>1.5929648241206029</v>
      </c>
      <c r="AA244" t="s">
        <v>4522</v>
      </c>
      <c r="AB244" t="s">
        <v>51</v>
      </c>
      <c r="AC244" t="s">
        <v>223</v>
      </c>
      <c r="AD244" t="s">
        <v>4682</v>
      </c>
      <c r="AE244" t="s">
        <v>4538</v>
      </c>
      <c r="AF244" t="s">
        <v>4810</v>
      </c>
      <c r="AG244" t="s">
        <v>4513</v>
      </c>
      <c r="AH244" t="s">
        <v>4683</v>
      </c>
      <c r="AI244" t="s">
        <v>4353</v>
      </c>
      <c r="AJ244" t="s">
        <v>4506</v>
      </c>
      <c r="AK244" t="s">
        <v>4519</v>
      </c>
      <c r="AL244" t="s">
        <v>4552</v>
      </c>
      <c r="AM244" t="s">
        <v>4562</v>
      </c>
      <c r="AN244" t="s">
        <v>4742</v>
      </c>
      <c r="AO244" s="134">
        <v>114.055208333333</v>
      </c>
      <c r="AP244" s="135">
        <v>113.05987394957999</v>
      </c>
      <c r="AQ244">
        <v>0.41806722689075598</v>
      </c>
      <c r="AR244" s="136">
        <v>1.23739495798319</v>
      </c>
      <c r="AS244">
        <v>7.28781512605042</v>
      </c>
    </row>
    <row r="245" spans="1:45" customFormat="1" ht="61">
      <c r="A245">
        <v>779</v>
      </c>
      <c r="B245" s="69" t="s">
        <v>2098</v>
      </c>
      <c r="C245" s="69" t="s">
        <v>45</v>
      </c>
      <c r="D245" s="31">
        <f t="shared" si="27"/>
        <v>4</v>
      </c>
      <c r="E245" s="69" t="s">
        <v>1223</v>
      </c>
      <c r="F245" s="31">
        <f t="shared" si="28"/>
        <v>8</v>
      </c>
      <c r="G245" s="137" t="s">
        <v>2126</v>
      </c>
      <c r="H245" s="138">
        <v>78</v>
      </c>
      <c r="I245" s="92">
        <f t="shared" si="26"/>
        <v>0.2329282478419715</v>
      </c>
      <c r="J245" s="95">
        <v>1.6550338957699301E-4</v>
      </c>
      <c r="K245" s="137">
        <v>0.62227173823376303</v>
      </c>
      <c r="L245" s="137">
        <v>0.465690992294366</v>
      </c>
      <c r="M245" s="137">
        <v>0.85714285714285698</v>
      </c>
      <c r="N245" s="136">
        <v>1</v>
      </c>
      <c r="O245" s="154">
        <v>43682</v>
      </c>
      <c r="P245" s="98">
        <f t="shared" si="29"/>
        <v>2</v>
      </c>
      <c r="Q245" s="111">
        <v>5.0999999999999996</v>
      </c>
      <c r="R245" s="111">
        <v>0</v>
      </c>
      <c r="S245" s="111">
        <v>0</v>
      </c>
      <c r="T245" s="112" t="s">
        <v>64</v>
      </c>
      <c r="U245" s="137" t="s">
        <v>2127</v>
      </c>
      <c r="V245" s="137" t="s">
        <v>2128</v>
      </c>
      <c r="W245" s="69">
        <v>77</v>
      </c>
      <c r="X245" s="69">
        <v>1</v>
      </c>
      <c r="Y245" s="69">
        <v>1</v>
      </c>
      <c r="Z245" s="69"/>
      <c r="AA245" t="s">
        <v>4587</v>
      </c>
      <c r="AB245" t="s">
        <v>51</v>
      </c>
      <c r="AC245" t="s">
        <v>223</v>
      </c>
      <c r="AD245" t="s">
        <v>4631</v>
      </c>
      <c r="AE245" t="s">
        <v>4513</v>
      </c>
      <c r="AF245" t="s">
        <v>4645</v>
      </c>
      <c r="AG245" t="s">
        <v>4353</v>
      </c>
      <c r="AH245" t="s">
        <v>4506</v>
      </c>
      <c r="AI245" t="s">
        <v>4353</v>
      </c>
      <c r="AJ245" t="s">
        <v>4506</v>
      </c>
      <c r="AK245" t="s">
        <v>4519</v>
      </c>
      <c r="AL245" t="s">
        <v>4519</v>
      </c>
      <c r="AM245" t="s">
        <v>4528</v>
      </c>
      <c r="AN245" t="s">
        <v>4529</v>
      </c>
      <c r="AO245" s="134">
        <v>114.092805005214</v>
      </c>
      <c r="AP245" s="135">
        <v>113.05987394957999</v>
      </c>
      <c r="AQ245">
        <v>0.41806722689075598</v>
      </c>
      <c r="AR245" s="136">
        <v>1.23739495798319</v>
      </c>
      <c r="AS245">
        <v>7.28781512605042</v>
      </c>
    </row>
    <row r="246" spans="1:45" customFormat="1" ht="76">
      <c r="A246" s="65">
        <v>448</v>
      </c>
      <c r="B246" s="69" t="s">
        <v>1222</v>
      </c>
      <c r="C246" s="69" t="s">
        <v>45</v>
      </c>
      <c r="D246" s="31">
        <f t="shared" si="27"/>
        <v>4</v>
      </c>
      <c r="E246" s="69" t="s">
        <v>80</v>
      </c>
      <c r="F246" s="31">
        <f t="shared" si="28"/>
        <v>4</v>
      </c>
      <c r="G246" s="137" t="s">
        <v>1278</v>
      </c>
      <c r="H246" s="138">
        <v>118</v>
      </c>
      <c r="I246" s="92">
        <f t="shared" si="26"/>
        <v>0.46660225709138003</v>
      </c>
      <c r="J246" s="95">
        <v>0.25138633236457802</v>
      </c>
      <c r="K246" s="137">
        <v>0.69480519480519498</v>
      </c>
      <c r="L246" s="137">
        <v>0.68181818181818199</v>
      </c>
      <c r="M246" s="137">
        <v>0.71428571428571397</v>
      </c>
      <c r="N246" s="136">
        <v>1</v>
      </c>
      <c r="O246" s="154">
        <v>43679</v>
      </c>
      <c r="P246" s="98">
        <f t="shared" si="29"/>
        <v>0</v>
      </c>
      <c r="Q246" s="111">
        <v>5.0999999999999996</v>
      </c>
      <c r="R246" s="111">
        <v>0</v>
      </c>
      <c r="S246" s="111">
        <v>0</v>
      </c>
      <c r="T246" s="112" t="s">
        <v>48</v>
      </c>
      <c r="U246" s="137" t="s">
        <v>1279</v>
      </c>
      <c r="V246" s="137" t="s">
        <v>1280</v>
      </c>
      <c r="W246" s="69">
        <v>56</v>
      </c>
      <c r="X246" s="69">
        <v>2</v>
      </c>
      <c r="Y246" s="69">
        <v>4</v>
      </c>
      <c r="AA246" t="s">
        <v>4673</v>
      </c>
      <c r="AB246" t="s">
        <v>71</v>
      </c>
      <c r="AC246" t="s">
        <v>4353</v>
      </c>
      <c r="AD246" t="s">
        <v>4506</v>
      </c>
      <c r="AE246" t="s">
        <v>4353</v>
      </c>
      <c r="AF246" t="s">
        <v>4506</v>
      </c>
      <c r="AG246" t="s">
        <v>223</v>
      </c>
      <c r="AH246" t="s">
        <v>4614</v>
      </c>
      <c r="AI246" t="s">
        <v>4353</v>
      </c>
      <c r="AJ246" t="s">
        <v>4506</v>
      </c>
      <c r="AK246" t="s">
        <v>4519</v>
      </c>
      <c r="AL246" t="s">
        <v>4519</v>
      </c>
      <c r="AM246" t="s">
        <v>4510</v>
      </c>
      <c r="AN246" t="s">
        <v>4550</v>
      </c>
      <c r="AO246" s="134">
        <v>114.169102296451</v>
      </c>
      <c r="AP246" s="135">
        <v>113.05987394957999</v>
      </c>
      <c r="AQ246">
        <v>0.41806722689075598</v>
      </c>
      <c r="AR246" s="136">
        <v>1.23739495798319</v>
      </c>
      <c r="AS246">
        <v>7.28781512605042</v>
      </c>
    </row>
    <row r="247" spans="1:45" customFormat="1" ht="76">
      <c r="A247" s="65">
        <v>624</v>
      </c>
      <c r="B247" s="69" t="s">
        <v>1707</v>
      </c>
      <c r="C247" s="69" t="s">
        <v>45</v>
      </c>
      <c r="D247" s="31">
        <f t="shared" si="27"/>
        <v>4</v>
      </c>
      <c r="E247" s="69" t="s">
        <v>80</v>
      </c>
      <c r="F247" s="31">
        <f t="shared" si="28"/>
        <v>4</v>
      </c>
      <c r="G247" s="137" t="s">
        <v>1278</v>
      </c>
      <c r="H247" s="138">
        <v>118</v>
      </c>
      <c r="I247" s="92">
        <f t="shared" si="26"/>
        <v>0.43935831204867098</v>
      </c>
      <c r="J247" s="95">
        <v>0.19689844227916001</v>
      </c>
      <c r="K247" s="137">
        <v>0.69480519480519498</v>
      </c>
      <c r="L247" s="137">
        <v>0.68181818181818199</v>
      </c>
      <c r="M247" s="137">
        <v>0.71428571428571397</v>
      </c>
      <c r="N247" s="136">
        <v>1</v>
      </c>
      <c r="O247" s="154">
        <v>43679</v>
      </c>
      <c r="P247" s="98">
        <f t="shared" si="29"/>
        <v>0</v>
      </c>
      <c r="Q247" s="111">
        <v>2.5499999999999998</v>
      </c>
      <c r="R247" s="111">
        <v>4.95</v>
      </c>
      <c r="S247" s="111">
        <v>1.87</v>
      </c>
      <c r="T247" s="112" t="s">
        <v>48</v>
      </c>
      <c r="U247" s="137" t="s">
        <v>1279</v>
      </c>
      <c r="V247" s="137" t="s">
        <v>1280</v>
      </c>
      <c r="W247" s="69">
        <v>56</v>
      </c>
      <c r="X247" s="69">
        <v>2</v>
      </c>
      <c r="Y247" s="69">
        <v>4</v>
      </c>
      <c r="Z247" s="69"/>
      <c r="AA247" t="s">
        <v>4673</v>
      </c>
      <c r="AB247" t="s">
        <v>71</v>
      </c>
      <c r="AC247" t="s">
        <v>4353</v>
      </c>
      <c r="AD247" t="s">
        <v>4506</v>
      </c>
      <c r="AE247" t="s">
        <v>4353</v>
      </c>
      <c r="AF247" t="s">
        <v>4506</v>
      </c>
      <c r="AG247" t="s">
        <v>223</v>
      </c>
      <c r="AH247" t="s">
        <v>4614</v>
      </c>
      <c r="AI247" t="s">
        <v>4353</v>
      </c>
      <c r="AJ247" t="s">
        <v>4506</v>
      </c>
      <c r="AK247" t="s">
        <v>4519</v>
      </c>
      <c r="AL247" t="s">
        <v>4519</v>
      </c>
      <c r="AM247" t="s">
        <v>4510</v>
      </c>
      <c r="AN247" t="s">
        <v>4550</v>
      </c>
      <c r="AO247" s="134">
        <v>114.165099268548</v>
      </c>
      <c r="AP247" s="135">
        <v>113.05987394957999</v>
      </c>
      <c r="AQ247">
        <v>0.41806722689075598</v>
      </c>
      <c r="AR247" s="136">
        <v>1.23739495798319</v>
      </c>
      <c r="AS247">
        <v>7.28781512605042</v>
      </c>
    </row>
    <row r="248" spans="1:45" customFormat="1" ht="61">
      <c r="A248">
        <v>251</v>
      </c>
      <c r="B248" s="69" t="s">
        <v>589</v>
      </c>
      <c r="C248" s="69" t="s">
        <v>45</v>
      </c>
      <c r="D248" s="31">
        <f t="shared" si="27"/>
        <v>4</v>
      </c>
      <c r="E248" s="69" t="s">
        <v>80</v>
      </c>
      <c r="F248" s="31">
        <f t="shared" si="28"/>
        <v>4</v>
      </c>
      <c r="G248" s="137" t="s">
        <v>758</v>
      </c>
      <c r="H248" s="138">
        <v>41</v>
      </c>
      <c r="I248" s="92">
        <f t="shared" si="26"/>
        <v>0.34181349941695666</v>
      </c>
      <c r="J248" s="95">
        <v>1.80881701573132E-3</v>
      </c>
      <c r="K248" s="137">
        <v>0.69480519480519498</v>
      </c>
      <c r="L248" s="137">
        <v>0.68181818181818199</v>
      </c>
      <c r="M248" s="137">
        <v>0.71428571428571397</v>
      </c>
      <c r="N248" s="136">
        <v>1</v>
      </c>
      <c r="O248" s="154">
        <v>43679</v>
      </c>
      <c r="P248" s="98">
        <f t="shared" si="29"/>
        <v>0</v>
      </c>
      <c r="Q248" s="111">
        <v>0</v>
      </c>
      <c r="R248" s="111">
        <v>1.65</v>
      </c>
      <c r="S248" s="111">
        <v>0</v>
      </c>
      <c r="T248" s="112" t="s">
        <v>48</v>
      </c>
      <c r="U248" s="188" t="s">
        <v>759</v>
      </c>
      <c r="V248" s="137" t="s">
        <v>760</v>
      </c>
      <c r="W248" s="69">
        <v>51</v>
      </c>
      <c r="X248" s="188">
        <v>1</v>
      </c>
      <c r="Y248" s="188">
        <v>4</v>
      </c>
      <c r="AA248" t="s">
        <v>4564</v>
      </c>
      <c r="AB248" t="s">
        <v>4791</v>
      </c>
      <c r="AC248" t="s">
        <v>223</v>
      </c>
      <c r="AD248" t="s">
        <v>4759</v>
      </c>
      <c r="AE248" t="s">
        <v>4353</v>
      </c>
      <c r="AF248" t="s">
        <v>4506</v>
      </c>
      <c r="AG248" t="s">
        <v>4353</v>
      </c>
      <c r="AH248" t="s">
        <v>4506</v>
      </c>
      <c r="AI248" t="s">
        <v>223</v>
      </c>
      <c r="AJ248" t="s">
        <v>4759</v>
      </c>
      <c r="AK248" t="s">
        <v>4518</v>
      </c>
      <c r="AL248" t="s">
        <v>4519</v>
      </c>
      <c r="AM248" t="s">
        <v>4510</v>
      </c>
      <c r="AN248" t="s">
        <v>4523</v>
      </c>
      <c r="AO248" s="134">
        <v>114.161087866109</v>
      </c>
      <c r="AP248" s="135">
        <v>113.05987394957999</v>
      </c>
      <c r="AQ248">
        <v>0.41806722689075598</v>
      </c>
      <c r="AR248" s="136">
        <v>1.23739495798319</v>
      </c>
      <c r="AS248">
        <v>7.28781512605042</v>
      </c>
    </row>
    <row r="249" spans="1:45" customFormat="1" ht="76">
      <c r="A249">
        <v>1147</v>
      </c>
      <c r="B249" s="69" t="s">
        <v>3117</v>
      </c>
      <c r="C249" s="69" t="s">
        <v>45</v>
      </c>
      <c r="D249" s="31">
        <f t="shared" si="27"/>
        <v>4</v>
      </c>
      <c r="E249" s="69" t="s">
        <v>46</v>
      </c>
      <c r="F249" s="31">
        <f t="shared" si="28"/>
        <v>6</v>
      </c>
      <c r="G249" s="139" t="s">
        <v>3118</v>
      </c>
      <c r="H249" s="138">
        <v>39</v>
      </c>
      <c r="I249" s="92">
        <f t="shared" si="26"/>
        <v>0.87124753225518248</v>
      </c>
      <c r="J249" s="95">
        <v>0.99249506451036495</v>
      </c>
      <c r="K249" s="137">
        <v>0.73571428571428599</v>
      </c>
      <c r="L249" s="137">
        <v>0.75</v>
      </c>
      <c r="M249" s="137">
        <v>0.71428571428571397</v>
      </c>
      <c r="N249" s="136">
        <v>0</v>
      </c>
      <c r="O249" s="157">
        <v>43678</v>
      </c>
      <c r="P249" s="98">
        <f t="shared" si="29"/>
        <v>0</v>
      </c>
      <c r="Q249" s="113">
        <v>0</v>
      </c>
      <c r="R249" s="113">
        <v>3.3</v>
      </c>
      <c r="S249" s="113">
        <v>0</v>
      </c>
      <c r="T249" s="119" t="s">
        <v>48</v>
      </c>
      <c r="U249" s="203" t="s">
        <v>3119</v>
      </c>
      <c r="V249" s="172" t="s">
        <v>3120</v>
      </c>
      <c r="W249" s="69">
        <v>102</v>
      </c>
      <c r="X249" s="195">
        <v>3</v>
      </c>
      <c r="Y249" s="195">
        <v>4</v>
      </c>
      <c r="Z249" s="69"/>
      <c r="AA249" t="s">
        <v>4543</v>
      </c>
      <c r="AB249" t="s">
        <v>71</v>
      </c>
      <c r="AC249" t="s">
        <v>223</v>
      </c>
      <c r="AD249" t="s">
        <v>4613</v>
      </c>
      <c r="AE249" t="s">
        <v>4515</v>
      </c>
      <c r="AF249" t="s">
        <v>4614</v>
      </c>
      <c r="AG249" t="s">
        <v>4513</v>
      </c>
      <c r="AH249" t="s">
        <v>4811</v>
      </c>
      <c r="AI249" t="s">
        <v>4353</v>
      </c>
      <c r="AJ249" t="s">
        <v>4506</v>
      </c>
      <c r="AK249" t="s">
        <v>4519</v>
      </c>
      <c r="AL249" t="s">
        <v>4519</v>
      </c>
      <c r="AM249" t="s">
        <v>4510</v>
      </c>
      <c r="AN249" t="s">
        <v>4550</v>
      </c>
      <c r="AO249" s="134">
        <v>114.20523560209401</v>
      </c>
      <c r="AP249" s="135">
        <v>113.05987394957999</v>
      </c>
      <c r="AQ249">
        <v>0.41806722689075598</v>
      </c>
      <c r="AR249" s="136">
        <v>1.23739495798319</v>
      </c>
      <c r="AS249">
        <v>7.28781512605042</v>
      </c>
    </row>
    <row r="250" spans="1:45" customFormat="1" ht="61">
      <c r="A250" s="65">
        <v>252</v>
      </c>
      <c r="B250" s="69" t="s">
        <v>589</v>
      </c>
      <c r="C250" s="69" t="s">
        <v>45</v>
      </c>
      <c r="D250" s="31">
        <f t="shared" si="27"/>
        <v>4</v>
      </c>
      <c r="E250" s="69" t="s">
        <v>46</v>
      </c>
      <c r="F250" s="31">
        <f t="shared" si="28"/>
        <v>6</v>
      </c>
      <c r="G250" s="137" t="s">
        <v>4371</v>
      </c>
      <c r="H250" s="138">
        <v>72</v>
      </c>
      <c r="I250" s="92">
        <f t="shared" si="26"/>
        <v>0.81235329618765295</v>
      </c>
      <c r="J250" s="95">
        <v>0.79970659237530595</v>
      </c>
      <c r="K250" s="137">
        <v>0.75502915755524702</v>
      </c>
      <c r="L250" s="137">
        <v>0.82499999999999996</v>
      </c>
      <c r="M250" s="137">
        <v>0.65007289388811795</v>
      </c>
      <c r="N250" s="136">
        <v>0</v>
      </c>
      <c r="O250" s="154">
        <v>43678</v>
      </c>
      <c r="P250" s="98">
        <f t="shared" si="29"/>
        <v>0</v>
      </c>
      <c r="Q250" s="111">
        <v>10.199999999999999</v>
      </c>
      <c r="R250" s="111">
        <v>0</v>
      </c>
      <c r="S250" s="111">
        <v>0</v>
      </c>
      <c r="T250" s="112" t="s">
        <v>48</v>
      </c>
      <c r="U250" s="137" t="s">
        <v>4372</v>
      </c>
      <c r="V250" s="169" t="s">
        <v>763</v>
      </c>
      <c r="W250" s="69">
        <v>16</v>
      </c>
      <c r="X250" s="69">
        <v>1</v>
      </c>
      <c r="Y250" s="69">
        <v>6</v>
      </c>
      <c r="AA250" t="s">
        <v>4556</v>
      </c>
      <c r="AB250" t="s">
        <v>4594</v>
      </c>
      <c r="AC250" t="s">
        <v>223</v>
      </c>
      <c r="AD250" t="s">
        <v>4677</v>
      </c>
      <c r="AE250" t="s">
        <v>223</v>
      </c>
      <c r="AF250" t="s">
        <v>4677</v>
      </c>
      <c r="AG250" t="s">
        <v>4353</v>
      </c>
      <c r="AH250" t="s">
        <v>4506</v>
      </c>
      <c r="AI250" t="s">
        <v>4353</v>
      </c>
      <c r="AJ250" t="s">
        <v>4506</v>
      </c>
      <c r="AK250" t="s">
        <v>4518</v>
      </c>
      <c r="AL250" t="s">
        <v>4519</v>
      </c>
      <c r="AM250" t="s">
        <v>4510</v>
      </c>
      <c r="AN250" t="s">
        <v>4523</v>
      </c>
      <c r="AO250" s="134">
        <v>114.28406708595401</v>
      </c>
      <c r="AP250" s="135">
        <v>113.05987394957999</v>
      </c>
      <c r="AQ250">
        <v>0.41806722689075598</v>
      </c>
      <c r="AR250" s="136">
        <v>1.23739495798319</v>
      </c>
      <c r="AS250">
        <v>7.28781512605042</v>
      </c>
    </row>
    <row r="251" spans="1:45" customFormat="1" ht="181">
      <c r="A251" s="65">
        <v>868</v>
      </c>
      <c r="B251" s="69" t="s">
        <v>2355</v>
      </c>
      <c r="C251" s="69" t="s">
        <v>119</v>
      </c>
      <c r="D251" s="31">
        <f t="shared" si="27"/>
        <v>1</v>
      </c>
      <c r="E251" s="69" t="s">
        <v>46</v>
      </c>
      <c r="F251" s="31">
        <f t="shared" si="28"/>
        <v>6</v>
      </c>
      <c r="G251" s="137" t="s">
        <v>2362</v>
      </c>
      <c r="H251" s="138">
        <v>333</v>
      </c>
      <c r="I251" s="92">
        <f t="shared" si="26"/>
        <v>0.87317888964524948</v>
      </c>
      <c r="J251" s="95">
        <v>0.99635777929049896</v>
      </c>
      <c r="K251" s="137">
        <v>0.76918779643582302</v>
      </c>
      <c r="L251" s="137">
        <v>0.75</v>
      </c>
      <c r="M251" s="137">
        <v>0.79796949108955795</v>
      </c>
      <c r="N251" s="136">
        <v>0</v>
      </c>
      <c r="O251" s="154">
        <v>43669</v>
      </c>
      <c r="P251" s="98">
        <f t="shared" si="29"/>
        <v>1</v>
      </c>
      <c r="Q251" s="111">
        <v>5.0999999999999996</v>
      </c>
      <c r="R251" s="111">
        <v>3.3</v>
      </c>
      <c r="S251" s="111">
        <v>0</v>
      </c>
      <c r="T251" s="112" t="s">
        <v>73</v>
      </c>
      <c r="U251" s="137" t="s">
        <v>2363</v>
      </c>
      <c r="V251" s="137" t="s">
        <v>2364</v>
      </c>
      <c r="W251" s="69">
        <v>26</v>
      </c>
      <c r="X251" s="69">
        <v>1</v>
      </c>
      <c r="Y251" s="69">
        <v>2</v>
      </c>
      <c r="Z251" s="69"/>
      <c r="AA251" t="s">
        <v>4673</v>
      </c>
      <c r="AB251" t="s">
        <v>4594</v>
      </c>
      <c r="AC251" t="s">
        <v>223</v>
      </c>
      <c r="AD251" t="s">
        <v>4812</v>
      </c>
      <c r="AE251" t="s">
        <v>223</v>
      </c>
      <c r="AF251" t="s">
        <v>4812</v>
      </c>
      <c r="AG251" t="s">
        <v>4353</v>
      </c>
      <c r="AH251" t="s">
        <v>4506</v>
      </c>
      <c r="AI251" t="s">
        <v>4353</v>
      </c>
      <c r="AJ251" t="s">
        <v>4506</v>
      </c>
      <c r="AK251" t="s">
        <v>4519</v>
      </c>
      <c r="AL251" t="s">
        <v>4519</v>
      </c>
      <c r="AM251" t="s">
        <v>4562</v>
      </c>
      <c r="AN251" t="s">
        <v>4563</v>
      </c>
      <c r="AO251" s="134">
        <v>114.05456453305401</v>
      </c>
      <c r="AP251" s="135">
        <v>113.142105263158</v>
      </c>
      <c r="AQ251">
        <v>0.41684210526315801</v>
      </c>
      <c r="AR251" s="136">
        <v>1.23789473684211</v>
      </c>
      <c r="AS251">
        <v>7.2978947368420997</v>
      </c>
    </row>
    <row r="252" spans="1:45" customFormat="1" ht="120">
      <c r="A252" s="65">
        <v>989</v>
      </c>
      <c r="B252" s="69" t="s">
        <v>2638</v>
      </c>
      <c r="C252" s="69" t="s">
        <v>45</v>
      </c>
      <c r="D252" s="31">
        <f t="shared" si="27"/>
        <v>4</v>
      </c>
      <c r="E252" s="69" t="s">
        <v>46</v>
      </c>
      <c r="F252" s="31">
        <f t="shared" si="28"/>
        <v>6</v>
      </c>
      <c r="G252" s="89" t="s">
        <v>2679</v>
      </c>
      <c r="H252" s="138">
        <v>156</v>
      </c>
      <c r="I252" s="92">
        <f t="shared" si="26"/>
        <v>0.41251729621729344</v>
      </c>
      <c r="J252" s="95">
        <v>3.4592434586922001E-5</v>
      </c>
      <c r="K252" s="137">
        <v>0.68896849854491504</v>
      </c>
      <c r="L252" s="137">
        <v>0.82499999999999996</v>
      </c>
      <c r="M252" s="137">
        <v>0.48492124636228701</v>
      </c>
      <c r="N252" s="136">
        <v>1</v>
      </c>
      <c r="O252" s="157">
        <v>43669</v>
      </c>
      <c r="P252" s="98">
        <f t="shared" si="29"/>
        <v>1</v>
      </c>
      <c r="Q252" s="124">
        <v>5.0999999999999996</v>
      </c>
      <c r="R252" s="124">
        <v>3.3</v>
      </c>
      <c r="S252" s="124">
        <v>0</v>
      </c>
      <c r="T252" s="125" t="s">
        <v>73</v>
      </c>
      <c r="U252" s="203" t="s">
        <v>2680</v>
      </c>
      <c r="V252" s="172" t="s">
        <v>2681</v>
      </c>
      <c r="W252" s="69">
        <v>79</v>
      </c>
      <c r="X252" s="195">
        <v>2</v>
      </c>
      <c r="Y252" s="195">
        <v>13</v>
      </c>
      <c r="Z252" s="69"/>
      <c r="AA252" t="s">
        <v>4564</v>
      </c>
      <c r="AB252" t="s">
        <v>87</v>
      </c>
      <c r="AC252" t="s">
        <v>4515</v>
      </c>
      <c r="AD252" t="s">
        <v>4813</v>
      </c>
      <c r="AE252" t="s">
        <v>4353</v>
      </c>
      <c r="AF252" t="s">
        <v>4506</v>
      </c>
      <c r="AG252" t="s">
        <v>223</v>
      </c>
      <c r="AH252" t="s">
        <v>4635</v>
      </c>
      <c r="AI252" t="s">
        <v>4353</v>
      </c>
      <c r="AJ252" t="s">
        <v>4506</v>
      </c>
      <c r="AK252" t="s">
        <v>4519</v>
      </c>
      <c r="AL252" t="s">
        <v>4519</v>
      </c>
      <c r="AM252" t="s">
        <v>4528</v>
      </c>
      <c r="AN252" t="s">
        <v>4529</v>
      </c>
      <c r="AO252" s="134">
        <v>114.010504201681</v>
      </c>
      <c r="AP252" s="135">
        <v>113.142105263158</v>
      </c>
      <c r="AQ252">
        <v>0.41684210526315801</v>
      </c>
      <c r="AR252" s="136">
        <v>1.23789473684211</v>
      </c>
      <c r="AS252">
        <v>7.2978947368420997</v>
      </c>
    </row>
    <row r="253" spans="1:45" customFormat="1" ht="91">
      <c r="A253" s="65">
        <v>253</v>
      </c>
      <c r="B253" s="69" t="s">
        <v>589</v>
      </c>
      <c r="C253" s="69" t="s">
        <v>59</v>
      </c>
      <c r="D253" s="31">
        <f t="shared" si="27"/>
        <v>5</v>
      </c>
      <c r="E253" s="69" t="s">
        <v>664</v>
      </c>
      <c r="F253" s="31">
        <f t="shared" si="28"/>
        <v>1</v>
      </c>
      <c r="G253" s="137" t="s">
        <v>764</v>
      </c>
      <c r="H253" s="138">
        <v>53</v>
      </c>
      <c r="I253" s="92">
        <f t="shared" si="26"/>
        <v>0.40291723079095598</v>
      </c>
      <c r="J253" s="95">
        <v>0.12401627976373</v>
      </c>
      <c r="K253" s="137">
        <v>0.71011657722983001</v>
      </c>
      <c r="L253" s="137">
        <v>0.68181818181818199</v>
      </c>
      <c r="M253" s="137">
        <v>0.75256417034730305</v>
      </c>
      <c r="N253" s="136">
        <v>0</v>
      </c>
      <c r="O253" s="154">
        <v>43667</v>
      </c>
      <c r="P253" s="98">
        <f t="shared" si="29"/>
        <v>1</v>
      </c>
      <c r="Q253" s="111">
        <v>0</v>
      </c>
      <c r="R253" s="111">
        <v>4.95</v>
      </c>
      <c r="S253" s="111">
        <v>0</v>
      </c>
      <c r="T253" s="112" t="s">
        <v>73</v>
      </c>
      <c r="U253" s="137" t="s">
        <v>765</v>
      </c>
      <c r="V253" s="137" t="s">
        <v>766</v>
      </c>
      <c r="W253" s="69">
        <v>122</v>
      </c>
      <c r="X253" s="69">
        <v>3</v>
      </c>
      <c r="Y253" s="69">
        <v>3</v>
      </c>
      <c r="AA253" t="s">
        <v>4603</v>
      </c>
      <c r="AB253" t="s">
        <v>51</v>
      </c>
      <c r="AC253" t="s">
        <v>4513</v>
      </c>
      <c r="AD253" t="s">
        <v>4814</v>
      </c>
      <c r="AE253" t="s">
        <v>4530</v>
      </c>
      <c r="AF253" t="s">
        <v>4565</v>
      </c>
      <c r="AG253" t="s">
        <v>223</v>
      </c>
      <c r="AH253" t="s">
        <v>4815</v>
      </c>
      <c r="AI253" t="s">
        <v>4353</v>
      </c>
      <c r="AJ253" t="s">
        <v>4506</v>
      </c>
      <c r="AK253" t="s">
        <v>4519</v>
      </c>
      <c r="AL253" t="s">
        <v>4519</v>
      </c>
      <c r="AM253" t="s">
        <v>4528</v>
      </c>
      <c r="AN253" t="s">
        <v>4529</v>
      </c>
      <c r="AO253" s="134">
        <v>114.074658254469</v>
      </c>
      <c r="AP253" s="135">
        <v>113.142105263158</v>
      </c>
      <c r="AQ253">
        <v>0.41684210526315801</v>
      </c>
      <c r="AR253" s="136">
        <v>1.23789473684211</v>
      </c>
      <c r="AS253">
        <v>7.2978947368420997</v>
      </c>
    </row>
    <row r="254" spans="1:45" customFormat="1" ht="76">
      <c r="A254">
        <v>254</v>
      </c>
      <c r="B254" s="69" t="s">
        <v>589</v>
      </c>
      <c r="C254" s="69" t="s">
        <v>45</v>
      </c>
      <c r="D254" s="31">
        <f t="shared" si="27"/>
        <v>4</v>
      </c>
      <c r="E254" s="69" t="s">
        <v>80</v>
      </c>
      <c r="F254" s="31">
        <f t="shared" si="28"/>
        <v>4</v>
      </c>
      <c r="G254" s="147" t="s">
        <v>767</v>
      </c>
      <c r="H254" s="138">
        <v>44</v>
      </c>
      <c r="I254" s="92">
        <f t="shared" si="26"/>
        <v>0.3989919981999554</v>
      </c>
      <c r="J254" s="95">
        <v>4.79839963999108E-2</v>
      </c>
      <c r="K254" s="137">
        <v>0.85</v>
      </c>
      <c r="L254" s="137">
        <v>0.75</v>
      </c>
      <c r="M254" s="137">
        <v>1</v>
      </c>
      <c r="N254" s="136">
        <v>1</v>
      </c>
      <c r="O254" s="154">
        <v>43663</v>
      </c>
      <c r="P254" s="98">
        <f t="shared" si="29"/>
        <v>0</v>
      </c>
      <c r="Q254" s="111">
        <v>5.0999999999999996</v>
      </c>
      <c r="R254" s="111">
        <v>3.3</v>
      </c>
      <c r="S254" s="111">
        <v>0</v>
      </c>
      <c r="T254" s="112" t="s">
        <v>48</v>
      </c>
      <c r="U254" s="147" t="s">
        <v>768</v>
      </c>
      <c r="V254" s="137" t="s">
        <v>769</v>
      </c>
      <c r="W254" s="69">
        <v>106</v>
      </c>
      <c r="X254" s="147">
        <v>1</v>
      </c>
      <c r="Y254" s="147">
        <v>0</v>
      </c>
      <c r="AA254" t="s">
        <v>4512</v>
      </c>
      <c r="AB254" t="s">
        <v>51</v>
      </c>
      <c r="AC254" t="s">
        <v>4513</v>
      </c>
      <c r="AD254" t="s">
        <v>4589</v>
      </c>
      <c r="AE254" t="s">
        <v>4538</v>
      </c>
      <c r="AF254" t="s">
        <v>4816</v>
      </c>
      <c r="AG254" t="s">
        <v>223</v>
      </c>
      <c r="AH254" t="s">
        <v>4588</v>
      </c>
      <c r="AI254" t="s">
        <v>4353</v>
      </c>
      <c r="AJ254" t="s">
        <v>4506</v>
      </c>
      <c r="AK254" t="s">
        <v>4519</v>
      </c>
      <c r="AL254" t="s">
        <v>4552</v>
      </c>
      <c r="AM254" t="s">
        <v>4510</v>
      </c>
      <c r="AN254" t="s">
        <v>4634</v>
      </c>
      <c r="AO254" s="134">
        <v>114.148421052632</v>
      </c>
      <c r="AP254" s="135">
        <v>113.23523206751101</v>
      </c>
      <c r="AQ254">
        <v>0.417721518987342</v>
      </c>
      <c r="AR254" s="136">
        <v>1.2383966244725699</v>
      </c>
      <c r="AS254">
        <v>7.31012658227848</v>
      </c>
    </row>
    <row r="255" spans="1:45" customFormat="1" ht="31">
      <c r="A255">
        <v>862</v>
      </c>
      <c r="B255" s="69" t="s">
        <v>2343</v>
      </c>
      <c r="C255" s="69" t="s">
        <v>45</v>
      </c>
      <c r="D255" s="31">
        <f t="shared" si="27"/>
        <v>4</v>
      </c>
      <c r="E255" s="69" t="s">
        <v>80</v>
      </c>
      <c r="F255" s="31">
        <f t="shared" si="28"/>
        <v>4</v>
      </c>
      <c r="G255" s="188" t="s">
        <v>2344</v>
      </c>
      <c r="H255" s="138">
        <v>56</v>
      </c>
      <c r="I255" s="92">
        <f t="shared" si="26"/>
        <v>0.86243578596019854</v>
      </c>
      <c r="J255" s="95">
        <v>0.89987157192039702</v>
      </c>
      <c r="K255" s="137">
        <v>0.79602566813892095</v>
      </c>
      <c r="L255" s="137">
        <v>0.82499999999999996</v>
      </c>
      <c r="M255" s="137">
        <v>0.75256417034730305</v>
      </c>
      <c r="N255" s="136">
        <v>1</v>
      </c>
      <c r="O255" s="154">
        <v>43660</v>
      </c>
      <c r="P255" s="98">
        <f t="shared" si="29"/>
        <v>0</v>
      </c>
      <c r="Q255" s="111">
        <v>5.0999999999999996</v>
      </c>
      <c r="R255" s="111">
        <v>0</v>
      </c>
      <c r="S255" s="111">
        <v>0</v>
      </c>
      <c r="T255" s="112" t="s">
        <v>48</v>
      </c>
      <c r="U255" s="137" t="s">
        <v>2345</v>
      </c>
      <c r="V255" s="137" t="s">
        <v>2346</v>
      </c>
      <c r="W255" s="69">
        <v>32</v>
      </c>
      <c r="X255" s="195">
        <v>1</v>
      </c>
      <c r="Y255" s="195">
        <v>3</v>
      </c>
      <c r="Z255" s="69"/>
      <c r="AA255" t="s">
        <v>4556</v>
      </c>
      <c r="AB255" t="s">
        <v>51</v>
      </c>
      <c r="AC255" t="s">
        <v>223</v>
      </c>
      <c r="AD255" t="s">
        <v>4517</v>
      </c>
      <c r="AE255" t="s">
        <v>4515</v>
      </c>
      <c r="AF255" t="s">
        <v>4516</v>
      </c>
      <c r="AG255" t="s">
        <v>223</v>
      </c>
      <c r="AH255" t="s">
        <v>4517</v>
      </c>
      <c r="AI255" t="s">
        <v>4353</v>
      </c>
      <c r="AJ255" t="s">
        <v>4506</v>
      </c>
      <c r="AK255" t="s">
        <v>4519</v>
      </c>
      <c r="AL255" t="s">
        <v>4552</v>
      </c>
      <c r="AM255" t="s">
        <v>4528</v>
      </c>
      <c r="AN255" t="s">
        <v>4618</v>
      </c>
      <c r="AO255" s="134">
        <v>114.209694415174</v>
      </c>
      <c r="AP255" s="135">
        <v>113.244984160507</v>
      </c>
      <c r="AQ255">
        <v>0.41816261879619898</v>
      </c>
      <c r="AR255" s="136">
        <v>1.2386483632523799</v>
      </c>
      <c r="AS255">
        <v>7.3104540654699104</v>
      </c>
    </row>
    <row r="256" spans="1:45" customFormat="1" ht="91">
      <c r="A256">
        <v>990</v>
      </c>
      <c r="B256" s="69" t="s">
        <v>2638</v>
      </c>
      <c r="C256" s="69" t="s">
        <v>45</v>
      </c>
      <c r="D256" s="31">
        <f t="shared" si="27"/>
        <v>4</v>
      </c>
      <c r="E256" s="69" t="s">
        <v>221</v>
      </c>
      <c r="F256" s="31">
        <f t="shared" si="28"/>
        <v>2</v>
      </c>
      <c r="G256" s="89" t="s">
        <v>2676</v>
      </c>
      <c r="H256" s="138">
        <v>8</v>
      </c>
      <c r="I256" s="92">
        <f t="shared" si="26"/>
        <v>0.59804131659586102</v>
      </c>
      <c r="J256" s="95">
        <v>0.44608263319172198</v>
      </c>
      <c r="K256" s="137">
        <v>0.54762842159261804</v>
      </c>
      <c r="L256" s="137">
        <v>0.75</v>
      </c>
      <c r="M256" s="137">
        <v>0.24407105398154499</v>
      </c>
      <c r="N256" s="136">
        <v>1</v>
      </c>
      <c r="O256" s="157">
        <v>43655</v>
      </c>
      <c r="P256" s="98">
        <f t="shared" si="29"/>
        <v>0</v>
      </c>
      <c r="Q256" s="124">
        <v>7.65</v>
      </c>
      <c r="R256" s="124">
        <v>3.3</v>
      </c>
      <c r="S256" s="124">
        <v>0</v>
      </c>
      <c r="T256" s="125" t="s">
        <v>48</v>
      </c>
      <c r="U256" s="139" t="s">
        <v>2676</v>
      </c>
      <c r="V256" s="172" t="s">
        <v>2682</v>
      </c>
      <c r="W256" s="69">
        <v>118</v>
      </c>
      <c r="X256" s="69">
        <v>3</v>
      </c>
      <c r="Y256" s="69">
        <v>28</v>
      </c>
      <c r="Z256" s="69"/>
      <c r="AA256" t="s">
        <v>4564</v>
      </c>
      <c r="AB256" t="s">
        <v>4594</v>
      </c>
      <c r="AC256" t="s">
        <v>4515</v>
      </c>
      <c r="AD256" t="s">
        <v>4684</v>
      </c>
      <c r="AE256" t="s">
        <v>4515</v>
      </c>
      <c r="AF256" t="s">
        <v>4684</v>
      </c>
      <c r="AG256" t="s">
        <v>4353</v>
      </c>
      <c r="AH256" t="s">
        <v>4506</v>
      </c>
      <c r="AI256" t="s">
        <v>4353</v>
      </c>
      <c r="AJ256" t="s">
        <v>4506</v>
      </c>
      <c r="AK256" t="s">
        <v>4519</v>
      </c>
      <c r="AL256" t="s">
        <v>4519</v>
      </c>
      <c r="AM256" t="s">
        <v>4528</v>
      </c>
      <c r="AN256" t="s">
        <v>4529</v>
      </c>
      <c r="AO256" s="134">
        <v>114.27004219409299</v>
      </c>
      <c r="AP256" s="135">
        <v>112.82059447983001</v>
      </c>
      <c r="AQ256">
        <v>0.41719745222929899</v>
      </c>
      <c r="AR256" s="136">
        <v>1.23991507430998</v>
      </c>
      <c r="AS256">
        <v>7.3290870488322701</v>
      </c>
    </row>
    <row r="257" spans="1:45" customFormat="1" ht="76">
      <c r="A257">
        <v>682</v>
      </c>
      <c r="B257" s="69" t="s">
        <v>1871</v>
      </c>
      <c r="C257" s="69" t="s">
        <v>45</v>
      </c>
      <c r="D257" s="31">
        <f t="shared" si="27"/>
        <v>4</v>
      </c>
      <c r="E257" s="69" t="s">
        <v>221</v>
      </c>
      <c r="F257" s="31">
        <f t="shared" si="28"/>
        <v>2</v>
      </c>
      <c r="G257" s="137" t="s">
        <v>1875</v>
      </c>
      <c r="H257" s="138">
        <v>57</v>
      </c>
      <c r="I257" s="92">
        <f t="shared" si="26"/>
        <v>0.39486615723620849</v>
      </c>
      <c r="J257" s="95">
        <v>0.107914132654235</v>
      </c>
      <c r="K257" s="137">
        <v>0.657905119887218</v>
      </c>
      <c r="L257" s="137">
        <v>0.68181818181818199</v>
      </c>
      <c r="M257" s="137">
        <v>0.62203552699077302</v>
      </c>
      <c r="N257" s="136">
        <v>1</v>
      </c>
      <c r="O257" s="154">
        <v>43655</v>
      </c>
      <c r="P257" s="98">
        <f t="shared" si="29"/>
        <v>0</v>
      </c>
      <c r="Q257" s="107">
        <v>2.5499999999999998</v>
      </c>
      <c r="R257" s="107">
        <v>0</v>
      </c>
      <c r="S257" s="107">
        <v>0</v>
      </c>
      <c r="T257" s="108" t="s">
        <v>48</v>
      </c>
      <c r="U257" s="147" t="s">
        <v>1876</v>
      </c>
      <c r="V257" s="137" t="s">
        <v>1877</v>
      </c>
      <c r="W257" s="69">
        <v>104</v>
      </c>
      <c r="X257" s="147">
        <v>1</v>
      </c>
      <c r="Y257" s="147">
        <v>7</v>
      </c>
      <c r="Z257" s="69"/>
      <c r="AA257" t="s">
        <v>4551</v>
      </c>
      <c r="AB257" t="s">
        <v>71</v>
      </c>
      <c r="AC257" t="s">
        <v>4353</v>
      </c>
      <c r="AD257" t="s">
        <v>4506</v>
      </c>
      <c r="AE257" t="s">
        <v>4353</v>
      </c>
      <c r="AF257" t="s">
        <v>4506</v>
      </c>
      <c r="AG257" t="s">
        <v>4515</v>
      </c>
      <c r="AH257" t="s">
        <v>4748</v>
      </c>
      <c r="AI257" t="s">
        <v>4353</v>
      </c>
      <c r="AJ257" t="s">
        <v>4506</v>
      </c>
      <c r="AK257" t="s">
        <v>4519</v>
      </c>
      <c r="AL257" t="s">
        <v>4519</v>
      </c>
      <c r="AM257" t="s">
        <v>4510</v>
      </c>
      <c r="AN257" t="s">
        <v>4550</v>
      </c>
      <c r="AO257" s="134">
        <v>114.020063357973</v>
      </c>
      <c r="AP257" s="135">
        <v>112.82059447983001</v>
      </c>
      <c r="AQ257">
        <v>0.41719745222929899</v>
      </c>
      <c r="AR257" s="136">
        <v>1.23991507430998</v>
      </c>
      <c r="AS257">
        <v>7.3290870488322701</v>
      </c>
    </row>
    <row r="258" spans="1:45" customFormat="1" ht="226">
      <c r="A258">
        <v>683</v>
      </c>
      <c r="B258" s="69" t="s">
        <v>1871</v>
      </c>
      <c r="C258" s="69" t="s">
        <v>45</v>
      </c>
      <c r="D258" s="31">
        <f t="shared" si="27"/>
        <v>4</v>
      </c>
      <c r="E258" s="69" t="s">
        <v>46</v>
      </c>
      <c r="F258" s="31">
        <f t="shared" si="28"/>
        <v>6</v>
      </c>
      <c r="G258" s="137" t="s">
        <v>1878</v>
      </c>
      <c r="H258" s="138">
        <v>351</v>
      </c>
      <c r="I258" s="92">
        <f t="shared" si="26"/>
        <v>0.28176118295615832</v>
      </c>
      <c r="J258" s="95">
        <v>3.6265236133648001E-5</v>
      </c>
      <c r="K258" s="137">
        <v>0.63911732854463099</v>
      </c>
      <c r="L258" s="137">
        <v>0.56348610067618299</v>
      </c>
      <c r="M258" s="137">
        <v>0.75256417034730305</v>
      </c>
      <c r="N258" s="136">
        <v>1</v>
      </c>
      <c r="O258" s="154">
        <v>43655</v>
      </c>
      <c r="P258" s="98">
        <f t="shared" si="29"/>
        <v>0</v>
      </c>
      <c r="Q258" s="107">
        <v>2.5499999999999998</v>
      </c>
      <c r="R258" s="107">
        <v>1.65</v>
      </c>
      <c r="S258" s="107">
        <v>0</v>
      </c>
      <c r="T258" s="108" t="s">
        <v>48</v>
      </c>
      <c r="U258" s="136" t="s">
        <v>1879</v>
      </c>
      <c r="V258" s="136" t="s">
        <v>1880</v>
      </c>
      <c r="W258" s="69">
        <v>125</v>
      </c>
      <c r="X258" s="69">
        <v>2</v>
      </c>
      <c r="Y258" s="69">
        <v>3</v>
      </c>
      <c r="Z258" s="69"/>
      <c r="AA258" t="s">
        <v>4678</v>
      </c>
      <c r="AB258" t="s">
        <v>71</v>
      </c>
      <c r="AC258" t="s">
        <v>223</v>
      </c>
      <c r="AD258" t="s">
        <v>4549</v>
      </c>
      <c r="AE258" t="s">
        <v>223</v>
      </c>
      <c r="AF258" t="s">
        <v>4549</v>
      </c>
      <c r="AG258" t="s">
        <v>4515</v>
      </c>
      <c r="AH258" t="s">
        <v>4547</v>
      </c>
      <c r="AI258" t="s">
        <v>223</v>
      </c>
      <c r="AJ258" t="s">
        <v>4549</v>
      </c>
      <c r="AK258" t="s">
        <v>4578</v>
      </c>
      <c r="AL258" t="s">
        <v>4519</v>
      </c>
      <c r="AM258" t="s">
        <v>4562</v>
      </c>
      <c r="AN258" t="s">
        <v>4817</v>
      </c>
      <c r="AO258" s="134">
        <v>113.752642706131</v>
      </c>
      <c r="AP258" s="135">
        <v>112.82059447983001</v>
      </c>
      <c r="AQ258">
        <v>0.41719745222929899</v>
      </c>
      <c r="AR258" s="136">
        <v>1.23991507430998</v>
      </c>
      <c r="AS258">
        <v>7.3290870488322701</v>
      </c>
    </row>
    <row r="259" spans="1:45" customFormat="1" ht="226">
      <c r="A259" s="65">
        <v>684</v>
      </c>
      <c r="B259" s="69" t="s">
        <v>1871</v>
      </c>
      <c r="C259" s="69" t="s">
        <v>45</v>
      </c>
      <c r="D259" s="31">
        <f t="shared" si="27"/>
        <v>4</v>
      </c>
      <c r="E259" s="69" t="s">
        <v>46</v>
      </c>
      <c r="F259" s="31">
        <f t="shared" si="28"/>
        <v>6</v>
      </c>
      <c r="G259" s="137" t="s">
        <v>1881</v>
      </c>
      <c r="H259" s="138">
        <v>367</v>
      </c>
      <c r="I259" s="92">
        <f t="shared" si="26"/>
        <v>0.30991787741839005</v>
      </c>
      <c r="J259" s="95">
        <v>1.0440929790744899E-6</v>
      </c>
      <c r="K259" s="137">
        <v>0.67292649458520204</v>
      </c>
      <c r="L259" s="137">
        <v>0.61983471074380103</v>
      </c>
      <c r="M259" s="137">
        <v>0.75256417034730305</v>
      </c>
      <c r="N259" s="136">
        <v>1</v>
      </c>
      <c r="O259" s="154">
        <v>43655</v>
      </c>
      <c r="P259" s="98">
        <f t="shared" si="29"/>
        <v>0</v>
      </c>
      <c r="Q259" s="111">
        <v>0</v>
      </c>
      <c r="R259" s="111">
        <v>0</v>
      </c>
      <c r="S259" s="111">
        <v>0</v>
      </c>
      <c r="T259" s="112" t="s">
        <v>48</v>
      </c>
      <c r="U259" s="136" t="s">
        <v>1882</v>
      </c>
      <c r="V259" s="136" t="s">
        <v>1883</v>
      </c>
      <c r="W259" s="69">
        <v>127</v>
      </c>
      <c r="X259" s="69">
        <v>2</v>
      </c>
      <c r="Y259" s="69">
        <v>3</v>
      </c>
      <c r="Z259" s="69"/>
      <c r="AA259" t="s">
        <v>4678</v>
      </c>
      <c r="AB259" t="s">
        <v>71</v>
      </c>
      <c r="AC259" t="s">
        <v>223</v>
      </c>
      <c r="AD259" t="s">
        <v>4681</v>
      </c>
      <c r="AE259" t="s">
        <v>223</v>
      </c>
      <c r="AF259" t="s">
        <v>4681</v>
      </c>
      <c r="AG259" t="s">
        <v>4515</v>
      </c>
      <c r="AH259" t="s">
        <v>4750</v>
      </c>
      <c r="AI259" t="s">
        <v>223</v>
      </c>
      <c r="AJ259" t="s">
        <v>4681</v>
      </c>
      <c r="AK259" t="s">
        <v>4578</v>
      </c>
      <c r="AL259" t="s">
        <v>4519</v>
      </c>
      <c r="AM259" t="s">
        <v>4592</v>
      </c>
      <c r="AN259" t="s">
        <v>4741</v>
      </c>
      <c r="AO259" s="134">
        <v>113.86455026455</v>
      </c>
      <c r="AP259" s="135">
        <v>112.82059447983001</v>
      </c>
      <c r="AQ259">
        <v>0.41719745222929899</v>
      </c>
      <c r="AR259" s="136">
        <v>1.23991507430998</v>
      </c>
      <c r="AS259">
        <v>7.3290870488322701</v>
      </c>
    </row>
    <row r="260" spans="1:45" customFormat="1" ht="211">
      <c r="A260" s="65">
        <v>1136</v>
      </c>
      <c r="B260" s="69" t="s">
        <v>3082</v>
      </c>
      <c r="C260" s="69" t="s">
        <v>45</v>
      </c>
      <c r="D260" s="31">
        <f t="shared" si="27"/>
        <v>4</v>
      </c>
      <c r="E260" s="69" t="s">
        <v>80</v>
      </c>
      <c r="F260" s="31">
        <f t="shared" si="28"/>
        <v>4</v>
      </c>
      <c r="G260" s="191" t="s">
        <v>3089</v>
      </c>
      <c r="H260" s="138">
        <v>270</v>
      </c>
      <c r="I260" s="92">
        <f t="shared" ref="I260:I323" si="30">(J260+L260)/2</f>
        <v>0.34410945309649149</v>
      </c>
      <c r="J260" s="95">
        <v>6.4007243748009897E-3</v>
      </c>
      <c r="K260" s="137">
        <v>0.69480519480519498</v>
      </c>
      <c r="L260" s="137">
        <v>0.68181818181818199</v>
      </c>
      <c r="M260" s="137">
        <v>0.71428571428571397</v>
      </c>
      <c r="N260" s="136">
        <v>1</v>
      </c>
      <c r="O260" s="157">
        <v>43651</v>
      </c>
      <c r="P260" s="98">
        <f t="shared" si="29"/>
        <v>0</v>
      </c>
      <c r="Q260" s="113">
        <v>0</v>
      </c>
      <c r="R260" s="113">
        <v>3.3</v>
      </c>
      <c r="S260" s="113">
        <v>0</v>
      </c>
      <c r="T260" s="119" t="s">
        <v>48</v>
      </c>
      <c r="U260" s="89" t="s">
        <v>3090</v>
      </c>
      <c r="V260" s="172" t="s">
        <v>3091</v>
      </c>
      <c r="W260" s="69">
        <v>304</v>
      </c>
      <c r="X260" s="171">
        <v>1</v>
      </c>
      <c r="Y260" s="171">
        <v>4</v>
      </c>
      <c r="Z260" s="69"/>
      <c r="AA260" t="s">
        <v>4564</v>
      </c>
      <c r="AB260" t="s">
        <v>4732</v>
      </c>
      <c r="AC260" t="s">
        <v>4515</v>
      </c>
      <c r="AD260" t="s">
        <v>4818</v>
      </c>
      <c r="AE260" t="s">
        <v>4515</v>
      </c>
      <c r="AF260" t="s">
        <v>4818</v>
      </c>
      <c r="AG260" t="s">
        <v>4515</v>
      </c>
      <c r="AH260" t="s">
        <v>4818</v>
      </c>
      <c r="AI260" t="s">
        <v>4353</v>
      </c>
      <c r="AJ260" t="s">
        <v>4506</v>
      </c>
      <c r="AK260" t="s">
        <v>4519</v>
      </c>
      <c r="AL260" t="s">
        <v>4552</v>
      </c>
      <c r="AM260" t="s">
        <v>4510</v>
      </c>
      <c r="AN260" t="s">
        <v>4634</v>
      </c>
      <c r="AO260" s="134">
        <v>113.917372881356</v>
      </c>
      <c r="AP260" s="135">
        <v>112.679446219382</v>
      </c>
      <c r="AQ260">
        <v>0.41640042598509103</v>
      </c>
      <c r="AR260" s="136">
        <v>1.24068157614483</v>
      </c>
      <c r="AS260">
        <v>7.3280085197018101</v>
      </c>
    </row>
    <row r="261" spans="1:45" customFormat="1" ht="106">
      <c r="A261" s="65">
        <v>449</v>
      </c>
      <c r="B261" s="69" t="s">
        <v>1222</v>
      </c>
      <c r="C261" s="69" t="s">
        <v>45</v>
      </c>
      <c r="D261" s="31">
        <f t="shared" si="27"/>
        <v>4</v>
      </c>
      <c r="E261" s="69" t="s">
        <v>1223</v>
      </c>
      <c r="F261" s="31">
        <f t="shared" si="28"/>
        <v>8</v>
      </c>
      <c r="G261" s="169" t="s">
        <v>1281</v>
      </c>
      <c r="H261" s="138">
        <v>64</v>
      </c>
      <c r="I261" s="92">
        <f t="shared" si="30"/>
        <v>0.21184518890081974</v>
      </c>
      <c r="J261" s="95">
        <v>3.34930261306488E-4</v>
      </c>
      <c r="K261" s="137">
        <v>0.55503893666312099</v>
      </c>
      <c r="L261" s="137">
        <v>0.423355447540333</v>
      </c>
      <c r="M261" s="137">
        <v>0.75256417034730305</v>
      </c>
      <c r="N261" s="136">
        <v>1</v>
      </c>
      <c r="O261" s="154">
        <v>43651</v>
      </c>
      <c r="P261" s="98">
        <f t="shared" si="29"/>
        <v>1</v>
      </c>
      <c r="Q261" s="111">
        <v>2.5499999999999998</v>
      </c>
      <c r="R261" s="111">
        <v>1.65</v>
      </c>
      <c r="S261" s="111">
        <v>0</v>
      </c>
      <c r="T261" s="112" t="s">
        <v>73</v>
      </c>
      <c r="U261" s="137" t="s">
        <v>1282</v>
      </c>
      <c r="V261" s="137" t="s">
        <v>1283</v>
      </c>
      <c r="W261" s="69">
        <v>143</v>
      </c>
      <c r="X261" s="147">
        <v>1</v>
      </c>
      <c r="Y261" s="147">
        <v>3</v>
      </c>
      <c r="AA261" t="s">
        <v>4819</v>
      </c>
      <c r="AB261" t="s">
        <v>51</v>
      </c>
      <c r="AC261" t="s">
        <v>223</v>
      </c>
      <c r="AD261" t="s">
        <v>4736</v>
      </c>
      <c r="AE261" t="s">
        <v>4538</v>
      </c>
      <c r="AF261" t="s">
        <v>4820</v>
      </c>
      <c r="AG261" t="s">
        <v>4353</v>
      </c>
      <c r="AH261" t="s">
        <v>4506</v>
      </c>
      <c r="AI261" t="s">
        <v>4353</v>
      </c>
      <c r="AJ261" t="s">
        <v>4506</v>
      </c>
      <c r="AK261" t="s">
        <v>4519</v>
      </c>
      <c r="AL261" t="s">
        <v>4519</v>
      </c>
      <c r="AM261" t="s">
        <v>4562</v>
      </c>
      <c r="AN261" t="s">
        <v>4563</v>
      </c>
      <c r="AO261" s="134">
        <v>113.81018027571599</v>
      </c>
      <c r="AP261" s="135">
        <v>112.679446219382</v>
      </c>
      <c r="AQ261">
        <v>0.41640042598509103</v>
      </c>
      <c r="AR261" s="136">
        <v>1.24068157614483</v>
      </c>
      <c r="AS261">
        <v>7.3280085197018101</v>
      </c>
    </row>
    <row r="262" spans="1:45" customFormat="1" ht="166">
      <c r="A262">
        <v>991</v>
      </c>
      <c r="B262" s="69" t="s">
        <v>2638</v>
      </c>
      <c r="C262" s="69" t="s">
        <v>45</v>
      </c>
      <c r="D262" s="31">
        <f t="shared" si="27"/>
        <v>4</v>
      </c>
      <c r="E262" s="69" t="s">
        <v>221</v>
      </c>
      <c r="F262" s="31">
        <f t="shared" si="28"/>
        <v>2</v>
      </c>
      <c r="G262" s="139" t="s">
        <v>2683</v>
      </c>
      <c r="H262" s="138">
        <v>215</v>
      </c>
      <c r="I262" s="92">
        <f t="shared" si="30"/>
        <v>0.37500000002834888</v>
      </c>
      <c r="J262" s="95">
        <v>5.6697757599977201E-11</v>
      </c>
      <c r="K262" s="137">
        <v>0.73571428571428599</v>
      </c>
      <c r="L262" s="137">
        <v>0.75</v>
      </c>
      <c r="M262" s="137">
        <v>0.71428571428571397</v>
      </c>
      <c r="N262" s="136">
        <v>1</v>
      </c>
      <c r="O262" s="157">
        <v>43651</v>
      </c>
      <c r="P262" s="98">
        <f t="shared" si="29"/>
        <v>1</v>
      </c>
      <c r="Q262" s="124">
        <v>0</v>
      </c>
      <c r="R262" s="124">
        <v>0</v>
      </c>
      <c r="S262" s="124">
        <v>0</v>
      </c>
      <c r="T262" s="125" t="s">
        <v>73</v>
      </c>
      <c r="U262" s="136" t="s">
        <v>2684</v>
      </c>
      <c r="V262" s="172" t="s">
        <v>2685</v>
      </c>
      <c r="W262" s="69">
        <v>228</v>
      </c>
      <c r="X262" s="69">
        <v>1</v>
      </c>
      <c r="Y262" s="69">
        <v>4</v>
      </c>
      <c r="Z262" s="69"/>
      <c r="AA262" t="s">
        <v>4733</v>
      </c>
      <c r="AB262" t="s">
        <v>4594</v>
      </c>
      <c r="AC262" t="s">
        <v>4515</v>
      </c>
      <c r="AD262" t="s">
        <v>4821</v>
      </c>
      <c r="AE262" t="s">
        <v>4515</v>
      </c>
      <c r="AF262" t="s">
        <v>4821</v>
      </c>
      <c r="AG262" t="s">
        <v>223</v>
      </c>
      <c r="AH262" t="s">
        <v>4822</v>
      </c>
      <c r="AI262" t="s">
        <v>223</v>
      </c>
      <c r="AJ262" t="s">
        <v>4822</v>
      </c>
      <c r="AK262" t="s">
        <v>4518</v>
      </c>
      <c r="AL262" t="s">
        <v>4519</v>
      </c>
      <c r="AM262" t="s">
        <v>4510</v>
      </c>
      <c r="AN262" t="s">
        <v>4523</v>
      </c>
      <c r="AO262" s="134">
        <v>113.644373673036</v>
      </c>
      <c r="AP262" s="135">
        <v>112.679446219382</v>
      </c>
      <c r="AQ262">
        <v>0.41640042598509103</v>
      </c>
      <c r="AR262" s="136">
        <v>1.24068157614483</v>
      </c>
      <c r="AS262">
        <v>7.3280085197018101</v>
      </c>
    </row>
    <row r="263" spans="1:45" customFormat="1" ht="211">
      <c r="A263">
        <v>255</v>
      </c>
      <c r="B263" s="69" t="s">
        <v>589</v>
      </c>
      <c r="C263" s="69" t="s">
        <v>45</v>
      </c>
      <c r="D263" s="31">
        <f t="shared" si="27"/>
        <v>4</v>
      </c>
      <c r="E263" s="69" t="s">
        <v>80</v>
      </c>
      <c r="F263" s="31">
        <f t="shared" si="28"/>
        <v>4</v>
      </c>
      <c r="G263" s="137" t="s">
        <v>770</v>
      </c>
      <c r="H263" s="138">
        <v>397</v>
      </c>
      <c r="I263" s="92">
        <f t="shared" si="30"/>
        <v>0.15915753957542991</v>
      </c>
      <c r="J263" s="95">
        <v>2.4186537149684101E-4</v>
      </c>
      <c r="K263" s="137">
        <v>0.46306861526762999</v>
      </c>
      <c r="L263" s="137">
        <v>0.31807321377936298</v>
      </c>
      <c r="M263" s="137">
        <v>0.68056171750003003</v>
      </c>
      <c r="N263" s="136">
        <v>1</v>
      </c>
      <c r="O263" s="154">
        <v>43650</v>
      </c>
      <c r="P263" s="98">
        <f t="shared" si="29"/>
        <v>0</v>
      </c>
      <c r="Q263" s="111">
        <v>2.5499999999999998</v>
      </c>
      <c r="R263" s="111">
        <v>1.65</v>
      </c>
      <c r="S263" s="111">
        <v>0</v>
      </c>
      <c r="T263" s="112" t="s">
        <v>48</v>
      </c>
      <c r="U263" s="137" t="s">
        <v>771</v>
      </c>
      <c r="V263" s="137" t="s">
        <v>4373</v>
      </c>
      <c r="W263" s="69">
        <v>182</v>
      </c>
      <c r="X263" s="69">
        <v>1</v>
      </c>
      <c r="Y263" s="69">
        <v>5</v>
      </c>
      <c r="AA263" t="s">
        <v>4823</v>
      </c>
      <c r="AB263" t="s">
        <v>87</v>
      </c>
      <c r="AC263" t="s">
        <v>4513</v>
      </c>
      <c r="AD263" t="s">
        <v>4824</v>
      </c>
      <c r="AE263" t="s">
        <v>223</v>
      </c>
      <c r="AF263" t="s">
        <v>4825</v>
      </c>
      <c r="AG263" t="s">
        <v>4353</v>
      </c>
      <c r="AH263" t="s">
        <v>4506</v>
      </c>
      <c r="AI263" t="s">
        <v>4353</v>
      </c>
      <c r="AJ263" t="s">
        <v>4506</v>
      </c>
      <c r="AK263" t="s">
        <v>4519</v>
      </c>
      <c r="AL263" t="s">
        <v>4552</v>
      </c>
      <c r="AM263" t="s">
        <v>4520</v>
      </c>
      <c r="AN263" t="s">
        <v>4652</v>
      </c>
      <c r="AO263" s="134">
        <v>113.34325185972401</v>
      </c>
      <c r="AP263" s="135">
        <v>112.679446219382</v>
      </c>
      <c r="AQ263">
        <v>0.41640042598509103</v>
      </c>
      <c r="AR263" s="136">
        <v>1.24068157614483</v>
      </c>
      <c r="AS263">
        <v>7.3280085197018101</v>
      </c>
    </row>
    <row r="264" spans="1:45" customFormat="1" ht="181">
      <c r="A264" s="65">
        <v>992</v>
      </c>
      <c r="B264" s="69" t="s">
        <v>2638</v>
      </c>
      <c r="C264" s="69" t="s">
        <v>119</v>
      </c>
      <c r="D264" s="31">
        <f t="shared" si="27"/>
        <v>1</v>
      </c>
      <c r="E264" s="69" t="s">
        <v>80</v>
      </c>
      <c r="F264" s="31">
        <f t="shared" si="28"/>
        <v>4</v>
      </c>
      <c r="G264" s="139" t="s">
        <v>2686</v>
      </c>
      <c r="H264" s="138">
        <v>57</v>
      </c>
      <c r="I264" s="92">
        <f t="shared" si="30"/>
        <v>0.37505241173190884</v>
      </c>
      <c r="J264" s="95">
        <v>1.04823463817683E-4</v>
      </c>
      <c r="K264" s="137">
        <v>0.71002915755524698</v>
      </c>
      <c r="L264" s="137">
        <v>0.75</v>
      </c>
      <c r="M264" s="137">
        <v>0.65007289388811795</v>
      </c>
      <c r="N264" s="136">
        <v>1</v>
      </c>
      <c r="O264" s="157">
        <v>43645</v>
      </c>
      <c r="P264" s="98">
        <f t="shared" si="29"/>
        <v>0</v>
      </c>
      <c r="Q264" s="205">
        <v>5.0999999999999996</v>
      </c>
      <c r="R264" s="205">
        <v>0</v>
      </c>
      <c r="S264" s="205">
        <v>0</v>
      </c>
      <c r="T264" s="206" t="s">
        <v>48</v>
      </c>
      <c r="U264" s="89" t="s">
        <v>2687</v>
      </c>
      <c r="V264" s="172" t="s">
        <v>2688</v>
      </c>
      <c r="W264" s="69">
        <v>246</v>
      </c>
      <c r="X264" s="69">
        <v>2</v>
      </c>
      <c r="Y264" s="69">
        <v>6</v>
      </c>
      <c r="Z264" s="69"/>
      <c r="AA264" t="s">
        <v>4522</v>
      </c>
      <c r="AB264" t="s">
        <v>51</v>
      </c>
      <c r="AC264" t="s">
        <v>4515</v>
      </c>
      <c r="AD264" t="s">
        <v>4702</v>
      </c>
      <c r="AE264" t="s">
        <v>4513</v>
      </c>
      <c r="AF264" t="s">
        <v>4799</v>
      </c>
      <c r="AG264" t="s">
        <v>4353</v>
      </c>
      <c r="AH264" t="s">
        <v>4506</v>
      </c>
      <c r="AI264" t="s">
        <v>4353</v>
      </c>
      <c r="AJ264" t="s">
        <v>4506</v>
      </c>
      <c r="AK264" t="s">
        <v>4519</v>
      </c>
      <c r="AL264" t="s">
        <v>4552</v>
      </c>
      <c r="AM264" t="s">
        <v>4562</v>
      </c>
      <c r="AN264" t="s">
        <v>4742</v>
      </c>
      <c r="AO264" s="134">
        <v>113.403191489362</v>
      </c>
      <c r="AP264" s="135">
        <v>112.73667377398699</v>
      </c>
      <c r="AQ264">
        <v>0.41684434968017098</v>
      </c>
      <c r="AR264" s="136">
        <v>1.2409381663112999</v>
      </c>
      <c r="AS264">
        <v>7.3294243070362501</v>
      </c>
    </row>
    <row r="265" spans="1:45" customFormat="1" ht="61">
      <c r="A265" s="65">
        <v>256</v>
      </c>
      <c r="B265" s="69" t="s">
        <v>589</v>
      </c>
      <c r="C265" s="69" t="s">
        <v>45</v>
      </c>
      <c r="D265" s="31">
        <f t="shared" si="27"/>
        <v>4</v>
      </c>
      <c r="E265" s="69" t="s">
        <v>80</v>
      </c>
      <c r="F265" s="31">
        <f t="shared" si="28"/>
        <v>4</v>
      </c>
      <c r="G265" s="137" t="s">
        <v>773</v>
      </c>
      <c r="H265" s="138">
        <v>106</v>
      </c>
      <c r="I265" s="92">
        <f t="shared" si="30"/>
        <v>0.87498087649377398</v>
      </c>
      <c r="J265" s="95">
        <v>0.99996175298754797</v>
      </c>
      <c r="K265" s="137">
        <v>0.79285714285714304</v>
      </c>
      <c r="L265" s="137">
        <v>0.75</v>
      </c>
      <c r="M265" s="137">
        <v>0.85714285714285698</v>
      </c>
      <c r="N265" s="136">
        <v>1</v>
      </c>
      <c r="O265" s="155">
        <v>43643</v>
      </c>
      <c r="P265" s="98">
        <f t="shared" si="29"/>
        <v>2</v>
      </c>
      <c r="Q265" s="111">
        <v>0</v>
      </c>
      <c r="R265" s="111">
        <v>0</v>
      </c>
      <c r="S265" s="111">
        <v>0</v>
      </c>
      <c r="T265" s="112" t="s">
        <v>64</v>
      </c>
      <c r="U265" s="137" t="s">
        <v>774</v>
      </c>
      <c r="V265" s="137" t="s">
        <v>775</v>
      </c>
      <c r="W265" s="69">
        <v>64</v>
      </c>
      <c r="X265" s="69">
        <v>1</v>
      </c>
      <c r="Y265" s="69">
        <v>1</v>
      </c>
      <c r="AA265" t="s">
        <v>4543</v>
      </c>
      <c r="AB265" t="s">
        <v>87</v>
      </c>
      <c r="AC265" t="s">
        <v>4515</v>
      </c>
      <c r="AD265" t="s">
        <v>4561</v>
      </c>
      <c r="AE265" t="s">
        <v>4353</v>
      </c>
      <c r="AF265" t="s">
        <v>4506</v>
      </c>
      <c r="AG265" t="s">
        <v>223</v>
      </c>
      <c r="AH265" t="s">
        <v>4734</v>
      </c>
      <c r="AI265" t="s">
        <v>4353</v>
      </c>
      <c r="AJ265" t="s">
        <v>4506</v>
      </c>
      <c r="AK265" t="s">
        <v>4519</v>
      </c>
      <c r="AL265" t="s">
        <v>4552</v>
      </c>
      <c r="AM265" t="s">
        <v>4528</v>
      </c>
      <c r="AN265" t="s">
        <v>4618</v>
      </c>
      <c r="AO265" s="134">
        <v>113.411075612354</v>
      </c>
      <c r="AP265" s="135">
        <v>112.853475935829</v>
      </c>
      <c r="AQ265">
        <v>0.41497326203208601</v>
      </c>
      <c r="AR265" s="136">
        <v>1.2385026737967899</v>
      </c>
      <c r="AS265">
        <v>7.32299465240642</v>
      </c>
    </row>
    <row r="266" spans="1:45" customFormat="1" ht="46">
      <c r="A266">
        <v>258</v>
      </c>
      <c r="B266" s="69" t="s">
        <v>589</v>
      </c>
      <c r="C266" s="69" t="s">
        <v>45</v>
      </c>
      <c r="D266" s="31">
        <f t="shared" si="27"/>
        <v>4</v>
      </c>
      <c r="E266" s="69" t="s">
        <v>80</v>
      </c>
      <c r="F266" s="31">
        <f t="shared" si="28"/>
        <v>4</v>
      </c>
      <c r="G266" s="137" t="s">
        <v>778</v>
      </c>
      <c r="H266" s="138">
        <v>54</v>
      </c>
      <c r="I266" s="92">
        <f t="shared" si="30"/>
        <v>0.47085510205189346</v>
      </c>
      <c r="J266" s="95">
        <v>0.116710204103787</v>
      </c>
      <c r="K266" s="137">
        <v>0.79602566813892095</v>
      </c>
      <c r="L266" s="137">
        <v>0.82499999999999996</v>
      </c>
      <c r="M266" s="137">
        <v>0.75256417034730305</v>
      </c>
      <c r="N266" s="136">
        <v>1</v>
      </c>
      <c r="O266" s="154">
        <v>43641</v>
      </c>
      <c r="P266" s="98">
        <f t="shared" si="29"/>
        <v>0</v>
      </c>
      <c r="Q266" s="111">
        <v>2.5499999999999998</v>
      </c>
      <c r="R266" s="111">
        <v>1.65</v>
      </c>
      <c r="S266" s="111">
        <v>0</v>
      </c>
      <c r="T266" s="112" t="s">
        <v>48</v>
      </c>
      <c r="U266" s="137" t="s">
        <v>779</v>
      </c>
      <c r="V266" s="137" t="s">
        <v>780</v>
      </c>
      <c r="W266" s="69">
        <v>49</v>
      </c>
      <c r="X266" s="69">
        <v>1</v>
      </c>
      <c r="Y266" s="69">
        <v>3</v>
      </c>
      <c r="AA266" t="s">
        <v>4522</v>
      </c>
      <c r="AB266" t="s">
        <v>87</v>
      </c>
      <c r="AC266" t="s">
        <v>4515</v>
      </c>
      <c r="AD266" t="s">
        <v>4812</v>
      </c>
      <c r="AE266" t="s">
        <v>223</v>
      </c>
      <c r="AF266" t="s">
        <v>4648</v>
      </c>
      <c r="AG266" t="s">
        <v>223</v>
      </c>
      <c r="AH266" t="s">
        <v>4648</v>
      </c>
      <c r="AI266" t="s">
        <v>223</v>
      </c>
      <c r="AJ266" t="s">
        <v>4648</v>
      </c>
      <c r="AK266" t="s">
        <v>4518</v>
      </c>
      <c r="AL266" t="s">
        <v>4519</v>
      </c>
      <c r="AM266" t="s">
        <v>4520</v>
      </c>
      <c r="AN266" t="s">
        <v>4521</v>
      </c>
      <c r="AO266" s="134">
        <v>113.434968017058</v>
      </c>
      <c r="AP266" s="135">
        <v>112.91094420600901</v>
      </c>
      <c r="AQ266">
        <v>0.41630901287553601</v>
      </c>
      <c r="AR266" s="136">
        <v>1.2392703862660901</v>
      </c>
      <c r="AS266">
        <v>7.3326180257510698</v>
      </c>
    </row>
    <row r="267" spans="1:45" customFormat="1" ht="46">
      <c r="A267" s="65">
        <v>257</v>
      </c>
      <c r="B267" s="69" t="s">
        <v>589</v>
      </c>
      <c r="C267" s="69" t="s">
        <v>45</v>
      </c>
      <c r="D267" s="31">
        <f t="shared" ref="D267:D330" si="31">IF(C267="投诉",4,IF(C267="建议",1,IF(C267="举报",2,IF(C267="求助",3,5))))</f>
        <v>4</v>
      </c>
      <c r="E267" s="69" t="s">
        <v>80</v>
      </c>
      <c r="F267" s="31">
        <f t="shared" ref="F267:F330" si="32">IF(E267="12345app",1,IF(E267="e福州app",2,IF(E267="qq",3,IF(E267="电话",4,IF(E267="短信",5,IF(E267="网站",6,IF(E267="微博",7,IF(E267="微信",8,9))))))))</f>
        <v>4</v>
      </c>
      <c r="G267" s="196" t="s">
        <v>159</v>
      </c>
      <c r="H267" s="138">
        <v>91</v>
      </c>
      <c r="I267" s="92">
        <f t="shared" si="30"/>
        <v>0.41255399228604622</v>
      </c>
      <c r="J267" s="95">
        <v>1.0798457209249E-4</v>
      </c>
      <c r="K267" s="137">
        <v>0.75502915755524702</v>
      </c>
      <c r="L267" s="137">
        <v>0.82499999999999996</v>
      </c>
      <c r="M267" s="137">
        <v>0.65007289388811795</v>
      </c>
      <c r="N267" s="136">
        <v>1</v>
      </c>
      <c r="O267" s="154">
        <v>43641</v>
      </c>
      <c r="P267" s="98">
        <f t="shared" ref="P267:P330" si="33">IF(T267="利己",0,IF(T267="生态",2,1))</f>
        <v>0</v>
      </c>
      <c r="Q267" s="111">
        <v>0</v>
      </c>
      <c r="R267" s="111">
        <v>0</v>
      </c>
      <c r="S267" s="111">
        <v>0</v>
      </c>
      <c r="T267" s="112" t="s">
        <v>48</v>
      </c>
      <c r="U267" s="137" t="s">
        <v>776</v>
      </c>
      <c r="V267" s="137" t="s">
        <v>777</v>
      </c>
      <c r="W267" s="69">
        <v>59</v>
      </c>
      <c r="X267" s="195">
        <v>1</v>
      </c>
      <c r="Y267" s="195">
        <v>6</v>
      </c>
      <c r="AA267" t="s">
        <v>4522</v>
      </c>
      <c r="AB267" t="s">
        <v>87</v>
      </c>
      <c r="AC267" t="s">
        <v>4515</v>
      </c>
      <c r="AD267" t="s">
        <v>4544</v>
      </c>
      <c r="AE267" t="s">
        <v>223</v>
      </c>
      <c r="AF267" t="s">
        <v>4721</v>
      </c>
      <c r="AG267" t="s">
        <v>223</v>
      </c>
      <c r="AH267" t="s">
        <v>4721</v>
      </c>
      <c r="AI267" t="s">
        <v>223</v>
      </c>
      <c r="AJ267" t="s">
        <v>4721</v>
      </c>
      <c r="AK267" t="s">
        <v>4518</v>
      </c>
      <c r="AL267" t="s">
        <v>4519</v>
      </c>
      <c r="AM267" t="s">
        <v>4520</v>
      </c>
      <c r="AN267" t="s">
        <v>4521</v>
      </c>
      <c r="AO267" s="134">
        <v>113.498399146211</v>
      </c>
      <c r="AP267" s="135">
        <v>112.91094420600901</v>
      </c>
      <c r="AQ267">
        <v>0.41630901287553601</v>
      </c>
      <c r="AR267" s="136">
        <v>1.2392703862660901</v>
      </c>
      <c r="AS267">
        <v>7.3326180257510698</v>
      </c>
    </row>
    <row r="268" spans="1:45" customFormat="1" ht="76">
      <c r="A268">
        <v>70</v>
      </c>
      <c r="B268" s="69" t="s">
        <v>217</v>
      </c>
      <c r="C268" s="69" t="s">
        <v>45</v>
      </c>
      <c r="D268" s="31">
        <f t="shared" si="31"/>
        <v>4</v>
      </c>
      <c r="E268" s="69" t="s">
        <v>46</v>
      </c>
      <c r="F268" s="31">
        <f t="shared" si="32"/>
        <v>6</v>
      </c>
      <c r="G268" s="137" t="s">
        <v>256</v>
      </c>
      <c r="H268" s="138">
        <v>130</v>
      </c>
      <c r="I268" s="92">
        <f t="shared" si="30"/>
        <v>0.45738106649975396</v>
      </c>
      <c r="J268" s="95">
        <v>0.49140668545917499</v>
      </c>
      <c r="K268" s="137">
        <v>0.57320106496002299</v>
      </c>
      <c r="L268" s="137">
        <v>0.423355447540333</v>
      </c>
      <c r="M268" s="137">
        <v>0.79796949108955795</v>
      </c>
      <c r="N268" s="136">
        <v>1</v>
      </c>
      <c r="O268" s="154">
        <v>43640</v>
      </c>
      <c r="P268" s="98">
        <f t="shared" si="33"/>
        <v>0</v>
      </c>
      <c r="Q268" s="113">
        <v>2.5499999999999998</v>
      </c>
      <c r="R268" s="113">
        <v>1.65</v>
      </c>
      <c r="S268" s="113">
        <v>0</v>
      </c>
      <c r="T268" s="114" t="s">
        <v>48</v>
      </c>
      <c r="U268" s="136" t="s">
        <v>257</v>
      </c>
      <c r="V268" s="137" t="s">
        <v>258</v>
      </c>
      <c r="W268" s="69">
        <v>102</v>
      </c>
      <c r="X268" s="69">
        <v>1</v>
      </c>
      <c r="Y268" s="69">
        <v>2</v>
      </c>
      <c r="AA268" t="s">
        <v>4632</v>
      </c>
      <c r="AB268" t="s">
        <v>51</v>
      </c>
      <c r="AC268" t="s">
        <v>223</v>
      </c>
      <c r="AD268" t="s">
        <v>4704</v>
      </c>
      <c r="AE268" t="s">
        <v>4515</v>
      </c>
      <c r="AF268" t="s">
        <v>4759</v>
      </c>
      <c r="AG268" t="s">
        <v>4353</v>
      </c>
      <c r="AH268" t="s">
        <v>4506</v>
      </c>
      <c r="AI268" t="s">
        <v>4353</v>
      </c>
      <c r="AJ268" t="s">
        <v>4506</v>
      </c>
      <c r="AK268" t="s">
        <v>4519</v>
      </c>
      <c r="AL268" t="s">
        <v>4552</v>
      </c>
      <c r="AM268" t="s">
        <v>4510</v>
      </c>
      <c r="AN268" t="s">
        <v>4634</v>
      </c>
      <c r="AO268" s="134">
        <v>113.480769230769</v>
      </c>
      <c r="AP268" s="135">
        <v>113.068891280947</v>
      </c>
      <c r="AQ268">
        <v>0.41550053821313199</v>
      </c>
      <c r="AR268" s="136">
        <v>1.2389666307857901</v>
      </c>
      <c r="AS268">
        <v>7.3455328310010799</v>
      </c>
    </row>
    <row r="269" spans="1:45" customFormat="1" ht="91">
      <c r="A269">
        <v>71</v>
      </c>
      <c r="B269" s="69" t="s">
        <v>217</v>
      </c>
      <c r="C269" s="69" t="s">
        <v>45</v>
      </c>
      <c r="D269" s="31">
        <f t="shared" si="31"/>
        <v>4</v>
      </c>
      <c r="E269" s="69" t="s">
        <v>46</v>
      </c>
      <c r="F269" s="31">
        <f t="shared" si="32"/>
        <v>6</v>
      </c>
      <c r="G269" s="189" t="s">
        <v>259</v>
      </c>
      <c r="H269" s="138">
        <v>95</v>
      </c>
      <c r="I269" s="92">
        <f t="shared" si="30"/>
        <v>0.77006626001501743</v>
      </c>
      <c r="J269" s="95">
        <v>0.97664641935385199</v>
      </c>
      <c r="K269" s="137">
        <v>0.65727945684153299</v>
      </c>
      <c r="L269" s="137">
        <v>0.56348610067618299</v>
      </c>
      <c r="M269" s="137">
        <v>0.79796949108955795</v>
      </c>
      <c r="N269" s="136">
        <v>1</v>
      </c>
      <c r="O269" s="154">
        <v>43638</v>
      </c>
      <c r="P269" s="98">
        <f t="shared" si="33"/>
        <v>0</v>
      </c>
      <c r="Q269" s="111">
        <v>5.0999999999999996</v>
      </c>
      <c r="R269" s="111">
        <v>3.3</v>
      </c>
      <c r="S269" s="111">
        <v>0</v>
      </c>
      <c r="T269" s="112" t="s">
        <v>48</v>
      </c>
      <c r="U269" s="188" t="s">
        <v>260</v>
      </c>
      <c r="V269" s="137" t="s">
        <v>261</v>
      </c>
      <c r="W269" s="69">
        <v>84</v>
      </c>
      <c r="X269" s="195">
        <v>1</v>
      </c>
      <c r="Y269" s="195">
        <v>2</v>
      </c>
      <c r="AA269" t="s">
        <v>4826</v>
      </c>
      <c r="AB269" t="s">
        <v>51</v>
      </c>
      <c r="AC269" t="s">
        <v>4353</v>
      </c>
      <c r="AD269" t="s">
        <v>4506</v>
      </c>
      <c r="AE269" t="s">
        <v>4513</v>
      </c>
      <c r="AF269" t="s">
        <v>4751</v>
      </c>
      <c r="AG269" t="s">
        <v>223</v>
      </c>
      <c r="AH269" t="s">
        <v>4689</v>
      </c>
      <c r="AI269" t="s">
        <v>4353</v>
      </c>
      <c r="AJ269" t="s">
        <v>4506</v>
      </c>
      <c r="AK269" t="s">
        <v>4519</v>
      </c>
      <c r="AL269" t="s">
        <v>4552</v>
      </c>
      <c r="AM269" t="s">
        <v>4510</v>
      </c>
      <c r="AN269" t="s">
        <v>4634</v>
      </c>
      <c r="AO269" s="134">
        <v>113.500534759358</v>
      </c>
      <c r="AP269" s="135">
        <v>113.068891280947</v>
      </c>
      <c r="AQ269">
        <v>0.41550053821313199</v>
      </c>
      <c r="AR269" s="136">
        <v>1.2389666307857901</v>
      </c>
      <c r="AS269">
        <v>7.3455328310010799</v>
      </c>
    </row>
    <row r="270" spans="1:45" customFormat="1" ht="91">
      <c r="A270" s="65">
        <v>1109</v>
      </c>
      <c r="B270" s="69" t="s">
        <v>3001</v>
      </c>
      <c r="C270" s="69" t="s">
        <v>45</v>
      </c>
      <c r="D270" s="31">
        <f t="shared" si="31"/>
        <v>4</v>
      </c>
      <c r="E270" s="69" t="s">
        <v>80</v>
      </c>
      <c r="F270" s="31">
        <f t="shared" si="32"/>
        <v>4</v>
      </c>
      <c r="G270" s="191" t="s">
        <v>180</v>
      </c>
      <c r="H270" s="138">
        <v>39</v>
      </c>
      <c r="I270" s="92">
        <f t="shared" si="30"/>
        <v>0.43581049449699283</v>
      </c>
      <c r="J270" s="95">
        <v>4.6620988993985701E-2</v>
      </c>
      <c r="K270" s="137">
        <v>0.78071428571428603</v>
      </c>
      <c r="L270" s="137">
        <v>0.82499999999999996</v>
      </c>
      <c r="M270" s="137">
        <v>0.71428571428571397</v>
      </c>
      <c r="N270" s="136">
        <v>1</v>
      </c>
      <c r="O270" s="157">
        <v>43638</v>
      </c>
      <c r="P270" s="98">
        <f t="shared" si="33"/>
        <v>0</v>
      </c>
      <c r="Q270" s="113">
        <v>5.0999999999999996</v>
      </c>
      <c r="R270" s="113">
        <v>0</v>
      </c>
      <c r="S270" s="113">
        <v>0</v>
      </c>
      <c r="T270" s="119" t="s">
        <v>48</v>
      </c>
      <c r="U270" s="89" t="s">
        <v>3014</v>
      </c>
      <c r="V270" s="172" t="s">
        <v>3015</v>
      </c>
      <c r="W270" s="69">
        <v>129</v>
      </c>
      <c r="X270" s="171">
        <v>1</v>
      </c>
      <c r="Y270" s="171">
        <v>4</v>
      </c>
      <c r="Z270" s="69"/>
      <c r="AA270" t="s">
        <v>4556</v>
      </c>
      <c r="AB270" t="s">
        <v>358</v>
      </c>
      <c r="AC270" t="s">
        <v>4515</v>
      </c>
      <c r="AD270" t="s">
        <v>4750</v>
      </c>
      <c r="AE270" t="s">
        <v>223</v>
      </c>
      <c r="AF270" t="s">
        <v>4681</v>
      </c>
      <c r="AG270" t="s">
        <v>223</v>
      </c>
      <c r="AH270" t="s">
        <v>4681</v>
      </c>
      <c r="AI270" t="s">
        <v>4513</v>
      </c>
      <c r="AJ270" t="s">
        <v>4680</v>
      </c>
      <c r="AK270" t="s">
        <v>4518</v>
      </c>
      <c r="AL270" t="s">
        <v>4552</v>
      </c>
      <c r="AM270" t="s">
        <v>4528</v>
      </c>
      <c r="AN270" t="s">
        <v>4557</v>
      </c>
      <c r="AO270" s="134">
        <v>113.580299785867</v>
      </c>
      <c r="AP270" s="135">
        <v>113.068891280947</v>
      </c>
      <c r="AQ270">
        <v>0.41550053821313199</v>
      </c>
      <c r="AR270" s="136">
        <v>1.2389666307857901</v>
      </c>
      <c r="AS270">
        <v>7.3455328310010799</v>
      </c>
    </row>
    <row r="271" spans="1:45" customFormat="1" ht="46">
      <c r="A271">
        <v>922</v>
      </c>
      <c r="B271" s="69" t="s">
        <v>2510</v>
      </c>
      <c r="C271" s="69" t="s">
        <v>45</v>
      </c>
      <c r="D271" s="31">
        <f t="shared" si="31"/>
        <v>4</v>
      </c>
      <c r="E271" s="69" t="s">
        <v>80</v>
      </c>
      <c r="F271" s="31">
        <f t="shared" si="32"/>
        <v>4</v>
      </c>
      <c r="G271" s="136" t="s">
        <v>2515</v>
      </c>
      <c r="H271" s="138">
        <v>31</v>
      </c>
      <c r="I271" s="92">
        <f t="shared" si="30"/>
        <v>0.41581148801812329</v>
      </c>
      <c r="J271" s="95">
        <v>6.6229760362466203E-3</v>
      </c>
      <c r="K271" s="137">
        <v>0.79602566813892095</v>
      </c>
      <c r="L271" s="137">
        <v>0.82499999999999996</v>
      </c>
      <c r="M271" s="137">
        <v>0.75256417034730305</v>
      </c>
      <c r="N271" s="136">
        <v>1</v>
      </c>
      <c r="O271" s="154">
        <v>43637</v>
      </c>
      <c r="P271" s="98">
        <f t="shared" si="33"/>
        <v>0</v>
      </c>
      <c r="Q271" s="111">
        <v>7.65</v>
      </c>
      <c r="R271" s="111">
        <v>0</v>
      </c>
      <c r="S271" s="111">
        <v>0</v>
      </c>
      <c r="T271" s="112" t="s">
        <v>48</v>
      </c>
      <c r="U271" s="169" t="s">
        <v>2516</v>
      </c>
      <c r="V271" s="137" t="s">
        <v>2517</v>
      </c>
      <c r="W271" s="69">
        <v>62</v>
      </c>
      <c r="X271" s="69">
        <v>1</v>
      </c>
      <c r="Y271" s="69">
        <v>3</v>
      </c>
      <c r="Z271" s="69"/>
      <c r="AA271" t="s">
        <v>4556</v>
      </c>
      <c r="AB271" t="s">
        <v>51</v>
      </c>
      <c r="AC271" t="s">
        <v>4353</v>
      </c>
      <c r="AD271" t="s">
        <v>4506</v>
      </c>
      <c r="AE271" t="s">
        <v>4513</v>
      </c>
      <c r="AF271" t="s">
        <v>4723</v>
      </c>
      <c r="AG271" t="s">
        <v>223</v>
      </c>
      <c r="AH271" t="s">
        <v>4684</v>
      </c>
      <c r="AI271" t="s">
        <v>4353</v>
      </c>
      <c r="AJ271" t="s">
        <v>4506</v>
      </c>
      <c r="AK271" t="s">
        <v>4519</v>
      </c>
      <c r="AL271" t="s">
        <v>4552</v>
      </c>
      <c r="AM271" t="s">
        <v>4528</v>
      </c>
      <c r="AN271" t="s">
        <v>4618</v>
      </c>
      <c r="AO271" s="134">
        <v>113.667738478028</v>
      </c>
      <c r="AP271" s="135">
        <v>113.16306695464399</v>
      </c>
      <c r="AQ271">
        <v>0.41684665226781897</v>
      </c>
      <c r="AR271" s="136">
        <v>1.2397408207343401</v>
      </c>
      <c r="AS271">
        <v>7.3617710583153304</v>
      </c>
    </row>
    <row r="272" spans="1:45" customFormat="1" ht="61">
      <c r="A272">
        <v>730</v>
      </c>
      <c r="B272" s="69" t="s">
        <v>1989</v>
      </c>
      <c r="C272" s="69" t="s">
        <v>45</v>
      </c>
      <c r="D272" s="31">
        <f t="shared" si="31"/>
        <v>4</v>
      </c>
      <c r="E272" s="69" t="s">
        <v>80</v>
      </c>
      <c r="F272" s="31">
        <f t="shared" si="32"/>
        <v>4</v>
      </c>
      <c r="G272" s="169" t="s">
        <v>2002</v>
      </c>
      <c r="H272" s="138">
        <v>32</v>
      </c>
      <c r="I272" s="92">
        <f t="shared" si="30"/>
        <v>0.37661955471587499</v>
      </c>
      <c r="J272" s="95">
        <v>3.2391094317499899E-3</v>
      </c>
      <c r="K272" s="137">
        <v>0.63619100647005999</v>
      </c>
      <c r="L272" s="137">
        <v>0.75</v>
      </c>
      <c r="M272" s="137">
        <v>0.46547751617515098</v>
      </c>
      <c r="N272" s="136">
        <v>1</v>
      </c>
      <c r="O272" s="154">
        <v>43637</v>
      </c>
      <c r="P272" s="98">
        <f t="shared" si="33"/>
        <v>0</v>
      </c>
      <c r="Q272" s="113">
        <v>2.5499999999999998</v>
      </c>
      <c r="R272" s="113">
        <v>4.95</v>
      </c>
      <c r="S272" s="113">
        <v>0</v>
      </c>
      <c r="T272" s="114" t="s">
        <v>48</v>
      </c>
      <c r="U272" s="147" t="s">
        <v>2003</v>
      </c>
      <c r="V272" s="137" t="s">
        <v>2004</v>
      </c>
      <c r="W272" s="69">
        <v>82</v>
      </c>
      <c r="X272" s="147">
        <v>2</v>
      </c>
      <c r="Y272" s="147">
        <v>14</v>
      </c>
      <c r="Z272" s="69"/>
      <c r="AA272" t="s">
        <v>4564</v>
      </c>
      <c r="AB272" t="s">
        <v>51</v>
      </c>
      <c r="AC272" t="s">
        <v>4353</v>
      </c>
      <c r="AD272" t="s">
        <v>4506</v>
      </c>
      <c r="AE272" t="s">
        <v>4538</v>
      </c>
      <c r="AF272" t="s">
        <v>4677</v>
      </c>
      <c r="AG272" t="s">
        <v>4515</v>
      </c>
      <c r="AH272" t="s">
        <v>4813</v>
      </c>
      <c r="AI272" t="s">
        <v>4353</v>
      </c>
      <c r="AJ272" t="s">
        <v>4506</v>
      </c>
      <c r="AK272" t="s">
        <v>4519</v>
      </c>
      <c r="AL272" t="s">
        <v>4519</v>
      </c>
      <c r="AM272" t="s">
        <v>4510</v>
      </c>
      <c r="AN272" t="s">
        <v>4550</v>
      </c>
      <c r="AO272" s="134">
        <v>113.75643776824</v>
      </c>
      <c r="AP272" s="135">
        <v>113.16306695464399</v>
      </c>
      <c r="AQ272">
        <v>0.41684665226781897</v>
      </c>
      <c r="AR272" s="136">
        <v>1.2397408207343401</v>
      </c>
      <c r="AS272">
        <v>7.3617710583153304</v>
      </c>
    </row>
    <row r="273" spans="1:45" customFormat="1" ht="76">
      <c r="A273">
        <v>259</v>
      </c>
      <c r="B273" s="69" t="s">
        <v>589</v>
      </c>
      <c r="C273" s="69" t="s">
        <v>45</v>
      </c>
      <c r="D273" s="31">
        <f t="shared" si="31"/>
        <v>4</v>
      </c>
      <c r="E273" s="69" t="s">
        <v>80</v>
      </c>
      <c r="F273" s="31">
        <f t="shared" si="32"/>
        <v>4</v>
      </c>
      <c r="G273" s="137" t="s">
        <v>781</v>
      </c>
      <c r="H273" s="138">
        <v>71</v>
      </c>
      <c r="I273" s="92">
        <f t="shared" si="30"/>
        <v>0.37506592401955591</v>
      </c>
      <c r="J273" s="95">
        <v>1.31848039111815E-4</v>
      </c>
      <c r="K273" s="137">
        <v>0.79285714285714304</v>
      </c>
      <c r="L273" s="137">
        <v>0.75</v>
      </c>
      <c r="M273" s="137">
        <v>0.85714285714285698</v>
      </c>
      <c r="N273" s="136">
        <v>1</v>
      </c>
      <c r="O273" s="154">
        <v>43636</v>
      </c>
      <c r="P273" s="98">
        <f t="shared" si="33"/>
        <v>0</v>
      </c>
      <c r="Q273" s="111">
        <v>0</v>
      </c>
      <c r="R273" s="111">
        <v>0</v>
      </c>
      <c r="S273" s="111">
        <v>0</v>
      </c>
      <c r="T273" s="112" t="s">
        <v>48</v>
      </c>
      <c r="U273" s="137" t="s">
        <v>782</v>
      </c>
      <c r="V273" s="137" t="s">
        <v>769</v>
      </c>
      <c r="W273" s="69">
        <v>106</v>
      </c>
      <c r="X273" s="69">
        <v>1</v>
      </c>
      <c r="Y273" s="69">
        <v>1</v>
      </c>
      <c r="AA273" t="s">
        <v>4564</v>
      </c>
      <c r="AB273" t="s">
        <v>51</v>
      </c>
      <c r="AC273" t="s">
        <v>4513</v>
      </c>
      <c r="AD273" t="s">
        <v>4589</v>
      </c>
      <c r="AE273" t="s">
        <v>4538</v>
      </c>
      <c r="AF273" t="s">
        <v>4816</v>
      </c>
      <c r="AG273" t="s">
        <v>223</v>
      </c>
      <c r="AH273" t="s">
        <v>4588</v>
      </c>
      <c r="AI273" t="s">
        <v>4353</v>
      </c>
      <c r="AJ273" t="s">
        <v>4506</v>
      </c>
      <c r="AK273" t="s">
        <v>4518</v>
      </c>
      <c r="AL273" t="s">
        <v>4519</v>
      </c>
      <c r="AM273" t="s">
        <v>4510</v>
      </c>
      <c r="AN273" t="s">
        <v>4523</v>
      </c>
      <c r="AO273" s="134">
        <v>113.802363050483</v>
      </c>
      <c r="AP273" s="135">
        <v>113.194594594595</v>
      </c>
      <c r="AQ273">
        <v>0.41621621621621602</v>
      </c>
      <c r="AR273" s="136">
        <v>1.23891891891892</v>
      </c>
      <c r="AS273">
        <v>7.3610810810810801</v>
      </c>
    </row>
    <row r="274" spans="1:45" customFormat="1" ht="31">
      <c r="A274" s="65">
        <v>261</v>
      </c>
      <c r="B274" s="69" t="s">
        <v>589</v>
      </c>
      <c r="C274" s="69" t="s">
        <v>45</v>
      </c>
      <c r="D274" s="31">
        <f t="shared" si="31"/>
        <v>4</v>
      </c>
      <c r="E274" s="69" t="s">
        <v>80</v>
      </c>
      <c r="F274" s="31">
        <f t="shared" si="32"/>
        <v>4</v>
      </c>
      <c r="G274" s="137" t="s">
        <v>786</v>
      </c>
      <c r="H274" s="138">
        <v>46</v>
      </c>
      <c r="I274" s="92">
        <f t="shared" si="30"/>
        <v>0.43514550443674777</v>
      </c>
      <c r="J274" s="95">
        <v>4.5291008873495603E-2</v>
      </c>
      <c r="K274" s="137">
        <v>0.76722468700001201</v>
      </c>
      <c r="L274" s="137">
        <v>0.82499999999999996</v>
      </c>
      <c r="M274" s="137">
        <v>0.68056171750003003</v>
      </c>
      <c r="N274" s="136">
        <v>1</v>
      </c>
      <c r="O274" s="154">
        <v>43635</v>
      </c>
      <c r="P274" s="98">
        <f t="shared" si="33"/>
        <v>0</v>
      </c>
      <c r="Q274" s="111">
        <v>0</v>
      </c>
      <c r="R274" s="111">
        <v>0</v>
      </c>
      <c r="S274" s="111">
        <v>0</v>
      </c>
      <c r="T274" s="112" t="s">
        <v>48</v>
      </c>
      <c r="U274" s="188" t="s">
        <v>787</v>
      </c>
      <c r="V274" s="137" t="s">
        <v>788</v>
      </c>
      <c r="W274" s="69">
        <v>46</v>
      </c>
      <c r="X274" s="195">
        <v>4</v>
      </c>
      <c r="Y274" s="195">
        <v>5</v>
      </c>
      <c r="AA274" t="s">
        <v>4522</v>
      </c>
      <c r="AB274" t="s">
        <v>4827</v>
      </c>
      <c r="AC274" t="s">
        <v>223</v>
      </c>
      <c r="AD274" t="s">
        <v>4554</v>
      </c>
      <c r="AE274" t="s">
        <v>223</v>
      </c>
      <c r="AF274" t="s">
        <v>4554</v>
      </c>
      <c r="AG274" t="s">
        <v>4353</v>
      </c>
      <c r="AH274" t="s">
        <v>4506</v>
      </c>
      <c r="AI274" t="s">
        <v>223</v>
      </c>
      <c r="AJ274" t="s">
        <v>4554</v>
      </c>
      <c r="AK274" t="s">
        <v>4518</v>
      </c>
      <c r="AL274" t="s">
        <v>4519</v>
      </c>
      <c r="AM274" t="s">
        <v>4520</v>
      </c>
      <c r="AN274" t="s">
        <v>4521</v>
      </c>
      <c r="AO274" s="134">
        <v>113.645161290323</v>
      </c>
      <c r="AP274" s="135">
        <v>113.306608884074</v>
      </c>
      <c r="AQ274">
        <v>0.41711809317443099</v>
      </c>
      <c r="AR274" s="136">
        <v>1.23943661971831</v>
      </c>
      <c r="AS274">
        <v>7.3737811484290399</v>
      </c>
    </row>
    <row r="275" spans="1:45" customFormat="1" ht="136">
      <c r="A275" s="65">
        <v>260</v>
      </c>
      <c r="B275" s="69" t="s">
        <v>589</v>
      </c>
      <c r="C275" s="69" t="s">
        <v>45</v>
      </c>
      <c r="D275" s="31">
        <f t="shared" si="31"/>
        <v>4</v>
      </c>
      <c r="E275" s="69" t="s">
        <v>46</v>
      </c>
      <c r="F275" s="31">
        <f t="shared" si="32"/>
        <v>6</v>
      </c>
      <c r="G275" s="198" t="s">
        <v>783</v>
      </c>
      <c r="H275" s="138">
        <v>260</v>
      </c>
      <c r="I275" s="92">
        <f t="shared" si="30"/>
        <v>0.31311328507714686</v>
      </c>
      <c r="J275" s="95">
        <v>6.3918594104927003E-3</v>
      </c>
      <c r="K275" s="137">
        <v>0.69108862288210404</v>
      </c>
      <c r="L275" s="137">
        <v>0.61983471074380103</v>
      </c>
      <c r="M275" s="137">
        <v>0.79796949108955795</v>
      </c>
      <c r="N275" s="136">
        <v>1</v>
      </c>
      <c r="O275" s="154">
        <v>43635</v>
      </c>
      <c r="P275" s="98">
        <f t="shared" si="33"/>
        <v>0</v>
      </c>
      <c r="Q275" s="111">
        <v>0</v>
      </c>
      <c r="R275" s="111">
        <v>1.65</v>
      </c>
      <c r="S275" s="111">
        <v>0</v>
      </c>
      <c r="T275" s="112" t="s">
        <v>48</v>
      </c>
      <c r="U275" s="147" t="s">
        <v>784</v>
      </c>
      <c r="V275" s="137" t="s">
        <v>785</v>
      </c>
      <c r="W275" s="69">
        <v>42</v>
      </c>
      <c r="X275" s="195">
        <v>1</v>
      </c>
      <c r="Y275" s="195">
        <v>2</v>
      </c>
      <c r="AA275" t="s">
        <v>4728</v>
      </c>
      <c r="AB275" t="s">
        <v>4597</v>
      </c>
      <c r="AC275" t="s">
        <v>223</v>
      </c>
      <c r="AD275" t="s">
        <v>4676</v>
      </c>
      <c r="AE275" t="s">
        <v>4353</v>
      </c>
      <c r="AF275" t="s">
        <v>4506</v>
      </c>
      <c r="AG275" t="s">
        <v>223</v>
      </c>
      <c r="AH275" t="s">
        <v>4676</v>
      </c>
      <c r="AI275" t="s">
        <v>4353</v>
      </c>
      <c r="AJ275" t="s">
        <v>4506</v>
      </c>
      <c r="AK275" t="s">
        <v>4519</v>
      </c>
      <c r="AL275" t="s">
        <v>4552</v>
      </c>
      <c r="AM275" t="s">
        <v>4562</v>
      </c>
      <c r="AN275" t="s">
        <v>4742</v>
      </c>
      <c r="AO275" s="134">
        <v>113.71797631862199</v>
      </c>
      <c r="AP275" s="135">
        <v>113.306608884074</v>
      </c>
      <c r="AQ275">
        <v>0.41711809317443099</v>
      </c>
      <c r="AR275" s="136">
        <v>1.23943661971831</v>
      </c>
      <c r="AS275">
        <v>7.3737811484290399</v>
      </c>
    </row>
    <row r="276" spans="1:45" customFormat="1" ht="46">
      <c r="A276" s="65">
        <v>72</v>
      </c>
      <c r="B276" s="69" t="s">
        <v>217</v>
      </c>
      <c r="C276" s="69" t="s">
        <v>45</v>
      </c>
      <c r="D276" s="31">
        <f t="shared" si="31"/>
        <v>4</v>
      </c>
      <c r="E276" s="69" t="s">
        <v>80</v>
      </c>
      <c r="F276" s="31">
        <f t="shared" si="32"/>
        <v>4</v>
      </c>
      <c r="G276" s="147" t="s">
        <v>262</v>
      </c>
      <c r="H276" s="138">
        <v>48</v>
      </c>
      <c r="I276" s="92">
        <f t="shared" si="30"/>
        <v>0.77303437753855997</v>
      </c>
      <c r="J276" s="95">
        <v>0.72106875507711998</v>
      </c>
      <c r="K276" s="137">
        <v>0.74381421079630905</v>
      </c>
      <c r="L276" s="137">
        <v>0.82499999999999996</v>
      </c>
      <c r="M276" s="137">
        <v>0.62203552699077302</v>
      </c>
      <c r="N276" s="136">
        <v>1</v>
      </c>
      <c r="O276" s="154">
        <v>43634</v>
      </c>
      <c r="P276" s="98">
        <f t="shared" si="33"/>
        <v>1</v>
      </c>
      <c r="Q276" s="111">
        <v>0</v>
      </c>
      <c r="R276" s="111">
        <v>3.3</v>
      </c>
      <c r="S276" s="111">
        <v>0</v>
      </c>
      <c r="T276" s="112" t="s">
        <v>73</v>
      </c>
      <c r="U276" s="137" t="s">
        <v>263</v>
      </c>
      <c r="V276" s="137" t="s">
        <v>264</v>
      </c>
      <c r="W276" s="69">
        <v>54</v>
      </c>
      <c r="X276" s="171">
        <v>1</v>
      </c>
      <c r="Y276" s="171">
        <v>7</v>
      </c>
      <c r="AA276" t="s">
        <v>4564</v>
      </c>
      <c r="AB276" t="s">
        <v>4594</v>
      </c>
      <c r="AC276" t="s">
        <v>4515</v>
      </c>
      <c r="AD276" t="s">
        <v>4609</v>
      </c>
      <c r="AE276" t="s">
        <v>4515</v>
      </c>
      <c r="AF276" t="s">
        <v>4609</v>
      </c>
      <c r="AG276" t="s">
        <v>4353</v>
      </c>
      <c r="AH276" t="s">
        <v>4506</v>
      </c>
      <c r="AI276" t="s">
        <v>223</v>
      </c>
      <c r="AJ276" t="s">
        <v>4759</v>
      </c>
      <c r="AK276" t="s">
        <v>4519</v>
      </c>
      <c r="AL276" t="s">
        <v>4519</v>
      </c>
      <c r="AM276" t="s">
        <v>4510</v>
      </c>
      <c r="AN276" t="s">
        <v>4550</v>
      </c>
      <c r="AO276" s="134">
        <v>113.788793103448</v>
      </c>
      <c r="AP276" s="135">
        <v>113.306608884074</v>
      </c>
      <c r="AQ276">
        <v>0.41711809317443099</v>
      </c>
      <c r="AR276" s="136">
        <v>1.23943661971831</v>
      </c>
      <c r="AS276">
        <v>7.3737811484290399</v>
      </c>
    </row>
    <row r="277" spans="1:45" customFormat="1" ht="46">
      <c r="A277">
        <v>262</v>
      </c>
      <c r="B277" s="69" t="s">
        <v>589</v>
      </c>
      <c r="C277" s="69" t="s">
        <v>45</v>
      </c>
      <c r="D277" s="31">
        <f t="shared" si="31"/>
        <v>4</v>
      </c>
      <c r="E277" s="69" t="s">
        <v>80</v>
      </c>
      <c r="F277" s="31">
        <f t="shared" si="32"/>
        <v>4</v>
      </c>
      <c r="G277" s="137" t="s">
        <v>778</v>
      </c>
      <c r="H277" s="138">
        <v>50</v>
      </c>
      <c r="I277" s="92">
        <f t="shared" si="30"/>
        <v>0.41295859530531842</v>
      </c>
      <c r="J277" s="95">
        <v>9.1719061063688699E-4</v>
      </c>
      <c r="K277" s="137">
        <v>0.83785714285714297</v>
      </c>
      <c r="L277" s="137">
        <v>0.82499999999999996</v>
      </c>
      <c r="M277" s="137">
        <v>0.85714285714285698</v>
      </c>
      <c r="N277" s="136">
        <v>1</v>
      </c>
      <c r="O277" s="193">
        <v>43634</v>
      </c>
      <c r="P277" s="98">
        <f t="shared" si="33"/>
        <v>0</v>
      </c>
      <c r="Q277" s="111">
        <v>2.5499999999999998</v>
      </c>
      <c r="R277" s="111">
        <v>6.6</v>
      </c>
      <c r="S277" s="111">
        <v>1.87</v>
      </c>
      <c r="T277" s="112" t="s">
        <v>48</v>
      </c>
      <c r="U277" s="137" t="s">
        <v>789</v>
      </c>
      <c r="V277" s="137" t="s">
        <v>790</v>
      </c>
      <c r="W277" s="69">
        <v>56</v>
      </c>
      <c r="X277" s="69">
        <v>1</v>
      </c>
      <c r="Y277" s="69">
        <v>1</v>
      </c>
      <c r="AA277" t="s">
        <v>4522</v>
      </c>
      <c r="AB277" t="s">
        <v>87</v>
      </c>
      <c r="AC277" t="s">
        <v>4515</v>
      </c>
      <c r="AD277" t="s">
        <v>4782</v>
      </c>
      <c r="AE277" t="s">
        <v>223</v>
      </c>
      <c r="AF277" t="s">
        <v>4643</v>
      </c>
      <c r="AG277" t="s">
        <v>4353</v>
      </c>
      <c r="AH277" t="s">
        <v>4506</v>
      </c>
      <c r="AI277" t="s">
        <v>4353</v>
      </c>
      <c r="AJ277" t="s">
        <v>4506</v>
      </c>
      <c r="AK277" t="s">
        <v>4518</v>
      </c>
      <c r="AL277" t="s">
        <v>4519</v>
      </c>
      <c r="AM277" t="s">
        <v>4520</v>
      </c>
      <c r="AN277" t="s">
        <v>4521</v>
      </c>
      <c r="AO277" s="134">
        <v>113.857605177994</v>
      </c>
      <c r="AP277" s="135">
        <v>113.306608884074</v>
      </c>
      <c r="AQ277">
        <v>0.41711809317443099</v>
      </c>
      <c r="AR277" s="136">
        <v>1.23943661971831</v>
      </c>
      <c r="AS277">
        <v>7.3737811484290399</v>
      </c>
    </row>
    <row r="278" spans="1:45" customFormat="1" ht="121">
      <c r="A278">
        <v>263</v>
      </c>
      <c r="B278" s="69" t="s">
        <v>589</v>
      </c>
      <c r="C278" s="69" t="s">
        <v>45</v>
      </c>
      <c r="D278" s="31">
        <f t="shared" si="31"/>
        <v>4</v>
      </c>
      <c r="E278" s="69" t="s">
        <v>46</v>
      </c>
      <c r="F278" s="31">
        <f t="shared" si="32"/>
        <v>6</v>
      </c>
      <c r="G278" s="137" t="s">
        <v>791</v>
      </c>
      <c r="H278" s="138">
        <v>145</v>
      </c>
      <c r="I278" s="92">
        <f t="shared" si="30"/>
        <v>0.86974952766006453</v>
      </c>
      <c r="J278" s="95">
        <v>0.98949905532012905</v>
      </c>
      <c r="K278" s="137">
        <v>0.76918779643582302</v>
      </c>
      <c r="L278" s="137">
        <v>0.75</v>
      </c>
      <c r="M278" s="137">
        <v>0.79796949108955795</v>
      </c>
      <c r="N278" s="136">
        <v>1</v>
      </c>
      <c r="O278" s="154">
        <v>43633</v>
      </c>
      <c r="P278" s="98">
        <f t="shared" si="33"/>
        <v>2</v>
      </c>
      <c r="Q278" s="111">
        <v>0</v>
      </c>
      <c r="R278" s="111">
        <v>0</v>
      </c>
      <c r="S278" s="111">
        <v>0</v>
      </c>
      <c r="T278" s="112" t="s">
        <v>64</v>
      </c>
      <c r="U278" s="137" t="s">
        <v>792</v>
      </c>
      <c r="V278" s="137" t="s">
        <v>793</v>
      </c>
      <c r="W278" s="69">
        <v>67</v>
      </c>
      <c r="X278" s="69">
        <v>1</v>
      </c>
      <c r="Y278" s="69">
        <v>2</v>
      </c>
      <c r="AA278" t="s">
        <v>4564</v>
      </c>
      <c r="AB278" t="s">
        <v>4594</v>
      </c>
      <c r="AC278" t="s">
        <v>4515</v>
      </c>
      <c r="AD278" t="s">
        <v>4537</v>
      </c>
      <c r="AE278" t="s">
        <v>4515</v>
      </c>
      <c r="AF278" t="s">
        <v>4537</v>
      </c>
      <c r="AG278" t="s">
        <v>223</v>
      </c>
      <c r="AH278" t="s">
        <v>4631</v>
      </c>
      <c r="AI278" t="s">
        <v>4353</v>
      </c>
      <c r="AJ278" t="s">
        <v>4506</v>
      </c>
      <c r="AK278" t="s">
        <v>4519</v>
      </c>
      <c r="AL278" t="s">
        <v>4828</v>
      </c>
      <c r="AM278" t="s">
        <v>4528</v>
      </c>
      <c r="AN278" t="s">
        <v>4829</v>
      </c>
      <c r="AO278" s="134">
        <v>113.906047516199</v>
      </c>
      <c r="AP278" s="135">
        <v>113.26464208243</v>
      </c>
      <c r="AQ278">
        <v>0.40997830802603002</v>
      </c>
      <c r="AR278" s="136">
        <v>1.23861171366594</v>
      </c>
      <c r="AS278">
        <v>7.35357917570499</v>
      </c>
    </row>
    <row r="279" spans="1:45" customFormat="1" ht="76">
      <c r="A279" s="65">
        <v>73</v>
      </c>
      <c r="B279" s="69" t="s">
        <v>217</v>
      </c>
      <c r="C279" s="69" t="s">
        <v>45</v>
      </c>
      <c r="D279" s="31">
        <f t="shared" si="31"/>
        <v>4</v>
      </c>
      <c r="E279" s="69" t="s">
        <v>80</v>
      </c>
      <c r="F279" s="31">
        <f t="shared" si="32"/>
        <v>4</v>
      </c>
      <c r="G279" s="137" t="s">
        <v>265</v>
      </c>
      <c r="H279" s="138">
        <v>69</v>
      </c>
      <c r="I279" s="92">
        <f t="shared" si="30"/>
        <v>0.41290268340404163</v>
      </c>
      <c r="J279" s="95">
        <v>8.0536680808329696E-4</v>
      </c>
      <c r="K279" s="137">
        <v>0.78071428571428603</v>
      </c>
      <c r="L279" s="137">
        <v>0.82499999999999996</v>
      </c>
      <c r="M279" s="137">
        <v>0.71428571428571397</v>
      </c>
      <c r="N279" s="136">
        <v>1</v>
      </c>
      <c r="O279" s="154">
        <v>43633</v>
      </c>
      <c r="P279" s="98">
        <f t="shared" si="33"/>
        <v>1</v>
      </c>
      <c r="Q279" s="111">
        <v>0</v>
      </c>
      <c r="R279" s="111">
        <v>1.65</v>
      </c>
      <c r="S279" s="111">
        <v>0</v>
      </c>
      <c r="T279" s="112" t="s">
        <v>73</v>
      </c>
      <c r="U279" s="137" t="s">
        <v>266</v>
      </c>
      <c r="V279" s="137" t="s">
        <v>267</v>
      </c>
      <c r="W279" s="69">
        <v>104</v>
      </c>
      <c r="X279" s="69">
        <v>1</v>
      </c>
      <c r="Y279" s="69">
        <v>4</v>
      </c>
      <c r="AA279" t="s">
        <v>4512</v>
      </c>
      <c r="AB279" t="s">
        <v>51</v>
      </c>
      <c r="AC279" t="s">
        <v>223</v>
      </c>
      <c r="AD279" t="s">
        <v>4704</v>
      </c>
      <c r="AE279" t="s">
        <v>4515</v>
      </c>
      <c r="AF279" t="s">
        <v>4759</v>
      </c>
      <c r="AG279" t="s">
        <v>4353</v>
      </c>
      <c r="AH279" t="s">
        <v>4506</v>
      </c>
      <c r="AI279" t="s">
        <v>4353</v>
      </c>
      <c r="AJ279" t="s">
        <v>4506</v>
      </c>
      <c r="AK279" t="s">
        <v>4519</v>
      </c>
      <c r="AL279" t="s">
        <v>4519</v>
      </c>
      <c r="AM279" t="s">
        <v>4510</v>
      </c>
      <c r="AN279" t="s">
        <v>4550</v>
      </c>
      <c r="AO279" s="134">
        <v>113.87243243243201</v>
      </c>
      <c r="AP279" s="135">
        <v>113.26464208243</v>
      </c>
      <c r="AQ279">
        <v>0.40997830802603002</v>
      </c>
      <c r="AR279" s="136">
        <v>1.23861171366594</v>
      </c>
      <c r="AS279">
        <v>7.35357917570499</v>
      </c>
    </row>
    <row r="280" spans="1:45" customFormat="1" ht="61">
      <c r="A280">
        <v>74</v>
      </c>
      <c r="B280" s="69" t="s">
        <v>217</v>
      </c>
      <c r="C280" s="69" t="s">
        <v>45</v>
      </c>
      <c r="D280" s="31">
        <f t="shared" si="31"/>
        <v>4</v>
      </c>
      <c r="E280" s="69" t="s">
        <v>80</v>
      </c>
      <c r="F280" s="31">
        <f t="shared" si="32"/>
        <v>4</v>
      </c>
      <c r="G280" s="136" t="s">
        <v>268</v>
      </c>
      <c r="H280" s="138">
        <v>105</v>
      </c>
      <c r="I280" s="92">
        <f t="shared" si="30"/>
        <v>0.41624417896169097</v>
      </c>
      <c r="J280" s="95">
        <v>7.4883579233819804E-3</v>
      </c>
      <c r="K280" s="137">
        <v>0.81418779643582295</v>
      </c>
      <c r="L280" s="137">
        <v>0.82499999999999996</v>
      </c>
      <c r="M280" s="137">
        <v>0.79796949108955795</v>
      </c>
      <c r="N280" s="136">
        <v>1</v>
      </c>
      <c r="O280" s="154">
        <v>43628</v>
      </c>
      <c r="P280" s="98">
        <f t="shared" si="33"/>
        <v>0</v>
      </c>
      <c r="Q280" s="111">
        <v>0</v>
      </c>
      <c r="R280" s="111">
        <v>6.6</v>
      </c>
      <c r="S280" s="111">
        <v>0</v>
      </c>
      <c r="T280" s="112" t="s">
        <v>48</v>
      </c>
      <c r="U280" s="137" t="s">
        <v>269</v>
      </c>
      <c r="V280" s="137" t="s">
        <v>270</v>
      </c>
      <c r="W280" s="69">
        <v>66</v>
      </c>
      <c r="X280" s="171">
        <v>2</v>
      </c>
      <c r="Y280" s="171">
        <v>2</v>
      </c>
      <c r="AA280" t="s">
        <v>4512</v>
      </c>
      <c r="AB280" t="s">
        <v>51</v>
      </c>
      <c r="AC280" t="s">
        <v>4353</v>
      </c>
      <c r="AD280" t="s">
        <v>4506</v>
      </c>
      <c r="AE280" t="s">
        <v>4515</v>
      </c>
      <c r="AF280" t="s">
        <v>4561</v>
      </c>
      <c r="AG280" t="s">
        <v>223</v>
      </c>
      <c r="AH280" t="s">
        <v>4734</v>
      </c>
      <c r="AI280" t="s">
        <v>4353</v>
      </c>
      <c r="AJ280" t="s">
        <v>4506</v>
      </c>
      <c r="AK280" t="s">
        <v>4519</v>
      </c>
      <c r="AL280" t="s">
        <v>4552</v>
      </c>
      <c r="AM280" t="s">
        <v>4520</v>
      </c>
      <c r="AN280" t="s">
        <v>4652</v>
      </c>
      <c r="AO280" s="134">
        <v>113.882034632035</v>
      </c>
      <c r="AP280" s="135">
        <v>113.38779956427</v>
      </c>
      <c r="AQ280">
        <v>0.41067538126361702</v>
      </c>
      <c r="AR280" s="136">
        <v>1.239651416122</v>
      </c>
      <c r="AS280">
        <v>7.3714596949891096</v>
      </c>
    </row>
    <row r="281" spans="1:45" customFormat="1" ht="61">
      <c r="A281" s="65">
        <v>264</v>
      </c>
      <c r="B281" s="69" t="s">
        <v>589</v>
      </c>
      <c r="C281" s="69" t="s">
        <v>45</v>
      </c>
      <c r="D281" s="31">
        <f t="shared" si="31"/>
        <v>4</v>
      </c>
      <c r="E281" s="69" t="s">
        <v>221</v>
      </c>
      <c r="F281" s="31">
        <f t="shared" si="32"/>
        <v>2</v>
      </c>
      <c r="G281" s="137" t="s">
        <v>794</v>
      </c>
      <c r="H281" s="138">
        <v>38</v>
      </c>
      <c r="I281" s="92">
        <f t="shared" si="30"/>
        <v>0.25739501482638594</v>
      </c>
      <c r="J281" s="95">
        <v>2.5299381289688402E-3</v>
      </c>
      <c r="K281" s="137">
        <v>0.54573164778592798</v>
      </c>
      <c r="L281" s="137">
        <v>0.51226009152380303</v>
      </c>
      <c r="M281" s="137">
        <v>0.59593898217911601</v>
      </c>
      <c r="N281" s="136">
        <v>0</v>
      </c>
      <c r="O281" s="154">
        <v>43628</v>
      </c>
      <c r="P281" s="98">
        <f t="shared" si="33"/>
        <v>0</v>
      </c>
      <c r="Q281" s="111">
        <v>0</v>
      </c>
      <c r="R281" s="111">
        <v>1.65</v>
      </c>
      <c r="S281" s="111">
        <v>0</v>
      </c>
      <c r="T281" s="112" t="s">
        <v>48</v>
      </c>
      <c r="U281" s="188" t="s">
        <v>795</v>
      </c>
      <c r="V281" s="137" t="s">
        <v>796</v>
      </c>
      <c r="W281" s="69">
        <v>84</v>
      </c>
      <c r="X281" s="195">
        <v>3</v>
      </c>
      <c r="Y281" s="195">
        <v>8</v>
      </c>
      <c r="AA281" t="s">
        <v>4830</v>
      </c>
      <c r="AB281" t="s">
        <v>4597</v>
      </c>
      <c r="AC281" t="s">
        <v>4515</v>
      </c>
      <c r="AD281" t="s">
        <v>4779</v>
      </c>
      <c r="AE281" t="s">
        <v>223</v>
      </c>
      <c r="AF281" t="s">
        <v>4693</v>
      </c>
      <c r="AG281" t="s">
        <v>4515</v>
      </c>
      <c r="AH281" t="s">
        <v>4779</v>
      </c>
      <c r="AI281" t="s">
        <v>4353</v>
      </c>
      <c r="AJ281" t="s">
        <v>4506</v>
      </c>
      <c r="AK281" t="s">
        <v>4519</v>
      </c>
      <c r="AL281" t="s">
        <v>4519</v>
      </c>
      <c r="AM281" t="s">
        <v>4510</v>
      </c>
      <c r="AN281" t="s">
        <v>4550</v>
      </c>
      <c r="AO281" s="134">
        <v>113.96424702058501</v>
      </c>
      <c r="AP281" s="135">
        <v>113.38779956427</v>
      </c>
      <c r="AQ281">
        <v>0.41067538126361702</v>
      </c>
      <c r="AR281" s="136">
        <v>1.239651416122</v>
      </c>
      <c r="AS281">
        <v>7.3714596949891096</v>
      </c>
    </row>
    <row r="282" spans="1:45" customFormat="1" ht="61">
      <c r="A282">
        <v>1019</v>
      </c>
      <c r="B282" s="69" t="s">
        <v>2752</v>
      </c>
      <c r="C282" s="69" t="s">
        <v>45</v>
      </c>
      <c r="D282" s="31">
        <f t="shared" si="31"/>
        <v>4</v>
      </c>
      <c r="E282" s="69" t="s">
        <v>46</v>
      </c>
      <c r="F282" s="31">
        <f t="shared" si="32"/>
        <v>6</v>
      </c>
      <c r="G282" s="89" t="s">
        <v>2768</v>
      </c>
      <c r="H282" s="138">
        <v>70</v>
      </c>
      <c r="I282" s="92">
        <f t="shared" si="30"/>
        <v>0.39984265468521152</v>
      </c>
      <c r="J282" s="95">
        <v>0.11786712755224101</v>
      </c>
      <c r="K282" s="137">
        <v>0.71011657722983001</v>
      </c>
      <c r="L282" s="137">
        <v>0.68181818181818199</v>
      </c>
      <c r="M282" s="137">
        <v>0.75256417034730305</v>
      </c>
      <c r="N282" s="136">
        <v>1</v>
      </c>
      <c r="O282" s="157">
        <v>43626</v>
      </c>
      <c r="P282" s="98">
        <f t="shared" si="33"/>
        <v>2</v>
      </c>
      <c r="Q282" s="113">
        <v>7.65</v>
      </c>
      <c r="R282" s="113">
        <v>0</v>
      </c>
      <c r="S282" s="113">
        <v>0</v>
      </c>
      <c r="T282" s="119" t="s">
        <v>64</v>
      </c>
      <c r="U282" s="89" t="s">
        <v>2769</v>
      </c>
      <c r="V282" s="172" t="s">
        <v>2770</v>
      </c>
      <c r="W282" s="69">
        <v>77</v>
      </c>
      <c r="X282" s="171">
        <v>1</v>
      </c>
      <c r="Y282" s="171">
        <v>3</v>
      </c>
      <c r="Z282" s="69"/>
      <c r="AA282" t="s">
        <v>4556</v>
      </c>
      <c r="AB282" t="s">
        <v>51</v>
      </c>
      <c r="AC282" t="s">
        <v>4515</v>
      </c>
      <c r="AD282" t="s">
        <v>4813</v>
      </c>
      <c r="AE282" t="s">
        <v>4513</v>
      </c>
      <c r="AF282" t="s">
        <v>4609</v>
      </c>
      <c r="AG282" t="s">
        <v>4353</v>
      </c>
      <c r="AH282" t="s">
        <v>4506</v>
      </c>
      <c r="AI282" t="s">
        <v>4353</v>
      </c>
      <c r="AJ282" t="s">
        <v>4506</v>
      </c>
      <c r="AK282" t="s">
        <v>4519</v>
      </c>
      <c r="AL282" t="s">
        <v>4519</v>
      </c>
      <c r="AM282" t="s">
        <v>4528</v>
      </c>
      <c r="AN282" t="s">
        <v>4529</v>
      </c>
      <c r="AO282" s="134">
        <v>114.011930585683</v>
      </c>
      <c r="AP282" s="135">
        <v>113.479257641921</v>
      </c>
      <c r="AQ282">
        <v>0.408296943231441</v>
      </c>
      <c r="AR282" s="136">
        <v>1.23908296943231</v>
      </c>
      <c r="AS282">
        <v>7.3668122270742398</v>
      </c>
    </row>
    <row r="283" spans="1:45" customFormat="1" ht="61">
      <c r="A283" s="65">
        <v>265</v>
      </c>
      <c r="B283" s="69" t="s">
        <v>589</v>
      </c>
      <c r="C283" s="69" t="s">
        <v>45</v>
      </c>
      <c r="D283" s="31">
        <f t="shared" si="31"/>
        <v>4</v>
      </c>
      <c r="E283" s="69" t="s">
        <v>80</v>
      </c>
      <c r="F283" s="31">
        <f t="shared" si="32"/>
        <v>4</v>
      </c>
      <c r="G283" s="137" t="s">
        <v>797</v>
      </c>
      <c r="H283" s="138">
        <v>107</v>
      </c>
      <c r="I283" s="92">
        <f t="shared" si="30"/>
        <v>0.73404797271044808</v>
      </c>
      <c r="J283" s="95">
        <v>0.84826123467709402</v>
      </c>
      <c r="K283" s="137">
        <v>0.67292649458520204</v>
      </c>
      <c r="L283" s="137">
        <v>0.61983471074380203</v>
      </c>
      <c r="M283" s="137">
        <v>0.75256417034730305</v>
      </c>
      <c r="N283" s="136">
        <v>1</v>
      </c>
      <c r="O283" s="154">
        <v>43625</v>
      </c>
      <c r="P283" s="98">
        <f t="shared" si="33"/>
        <v>2</v>
      </c>
      <c r="Q283" s="111">
        <v>7.65</v>
      </c>
      <c r="R283" s="111">
        <v>0</v>
      </c>
      <c r="S283" s="111">
        <v>0</v>
      </c>
      <c r="T283" s="112" t="s">
        <v>64</v>
      </c>
      <c r="U283" s="137" t="s">
        <v>798</v>
      </c>
      <c r="V283" s="137" t="s">
        <v>799</v>
      </c>
      <c r="W283" s="69">
        <v>92</v>
      </c>
      <c r="X283" s="69">
        <v>1</v>
      </c>
      <c r="Y283" s="69">
        <v>3</v>
      </c>
      <c r="AA283" t="s">
        <v>4831</v>
      </c>
      <c r="AB283" t="s">
        <v>71</v>
      </c>
      <c r="AC283" t="s">
        <v>4353</v>
      </c>
      <c r="AD283" t="s">
        <v>4506</v>
      </c>
      <c r="AE283" t="s">
        <v>4353</v>
      </c>
      <c r="AF283" t="s">
        <v>4506</v>
      </c>
      <c r="AG283" t="s">
        <v>4515</v>
      </c>
      <c r="AH283" t="s">
        <v>4729</v>
      </c>
      <c r="AI283" t="s">
        <v>4353</v>
      </c>
      <c r="AJ283" t="s">
        <v>4506</v>
      </c>
      <c r="AK283" t="s">
        <v>4519</v>
      </c>
      <c r="AL283" t="s">
        <v>4519</v>
      </c>
      <c r="AM283" t="s">
        <v>4562</v>
      </c>
      <c r="AN283" t="s">
        <v>4563</v>
      </c>
      <c r="AO283" s="134">
        <v>114.019543973941</v>
      </c>
      <c r="AP283" s="135">
        <v>113.479257641921</v>
      </c>
      <c r="AQ283">
        <v>0.408296943231441</v>
      </c>
      <c r="AR283" s="136">
        <v>1.23908296943231</v>
      </c>
      <c r="AS283">
        <v>7.3668122270742398</v>
      </c>
    </row>
    <row r="284" spans="1:45" customFormat="1" ht="226">
      <c r="A284">
        <v>798</v>
      </c>
      <c r="B284" s="69" t="s">
        <v>2179</v>
      </c>
      <c r="C284" s="69" t="s">
        <v>45</v>
      </c>
      <c r="D284" s="31">
        <f t="shared" si="31"/>
        <v>4</v>
      </c>
      <c r="E284" s="69" t="s">
        <v>46</v>
      </c>
      <c r="F284" s="31">
        <f t="shared" si="32"/>
        <v>6</v>
      </c>
      <c r="G284" s="137" t="s">
        <v>2180</v>
      </c>
      <c r="H284" s="138">
        <v>375</v>
      </c>
      <c r="I284" s="92">
        <f t="shared" si="30"/>
        <v>0.21167914824802261</v>
      </c>
      <c r="J284" s="95">
        <v>2.8489557122313201E-6</v>
      </c>
      <c r="K284" s="137">
        <v>0.52623795552421204</v>
      </c>
      <c r="L284" s="137">
        <v>0.423355447540333</v>
      </c>
      <c r="M284" s="137">
        <v>0.68056171750003003</v>
      </c>
      <c r="N284" s="136">
        <v>1</v>
      </c>
      <c r="O284" s="154">
        <v>43623</v>
      </c>
      <c r="P284" s="98">
        <f t="shared" si="33"/>
        <v>0</v>
      </c>
      <c r="Q284" s="111">
        <v>5.0999999999999996</v>
      </c>
      <c r="R284" s="111">
        <v>0</v>
      </c>
      <c r="S284" s="111">
        <v>0</v>
      </c>
      <c r="T284" s="112" t="s">
        <v>48</v>
      </c>
      <c r="U284" s="136" t="s">
        <v>4424</v>
      </c>
      <c r="V284" s="137" t="s">
        <v>2182</v>
      </c>
      <c r="W284" s="69">
        <v>105</v>
      </c>
      <c r="X284" s="69">
        <v>0</v>
      </c>
      <c r="Y284" s="69">
        <v>5</v>
      </c>
      <c r="Z284" s="69"/>
      <c r="AA284" t="s">
        <v>4832</v>
      </c>
      <c r="AB284" t="s">
        <v>87</v>
      </c>
      <c r="AC284" t="s">
        <v>223</v>
      </c>
      <c r="AD284" t="s">
        <v>4668</v>
      </c>
      <c r="AE284" t="s">
        <v>4353</v>
      </c>
      <c r="AF284" t="s">
        <v>4506</v>
      </c>
      <c r="AG284" t="s">
        <v>4353</v>
      </c>
      <c r="AH284" t="s">
        <v>4506</v>
      </c>
      <c r="AI284" t="s">
        <v>4353</v>
      </c>
      <c r="AJ284" t="s">
        <v>4506</v>
      </c>
      <c r="AK284" t="s">
        <v>4519</v>
      </c>
      <c r="AL284" t="s">
        <v>4519</v>
      </c>
      <c r="AM284" t="s">
        <v>4510</v>
      </c>
      <c r="AN284" t="s">
        <v>4550</v>
      </c>
      <c r="AO284" s="134">
        <v>113.735869565217</v>
      </c>
      <c r="AP284" s="135">
        <v>113.479257641921</v>
      </c>
      <c r="AQ284">
        <v>0.408296943231441</v>
      </c>
      <c r="AR284" s="136">
        <v>1.23908296943231</v>
      </c>
      <c r="AS284">
        <v>7.3668122270742398</v>
      </c>
    </row>
    <row r="285" spans="1:45" customFormat="1" ht="61">
      <c r="A285">
        <v>266</v>
      </c>
      <c r="B285" s="69" t="s">
        <v>589</v>
      </c>
      <c r="C285" s="69" t="s">
        <v>45</v>
      </c>
      <c r="D285" s="31">
        <f t="shared" si="31"/>
        <v>4</v>
      </c>
      <c r="E285" s="69" t="s">
        <v>80</v>
      </c>
      <c r="F285" s="31">
        <f t="shared" si="32"/>
        <v>4</v>
      </c>
      <c r="G285" s="147" t="s">
        <v>800</v>
      </c>
      <c r="H285" s="138">
        <v>84</v>
      </c>
      <c r="I285" s="92">
        <f t="shared" si="30"/>
        <v>0.37546963736485178</v>
      </c>
      <c r="J285" s="95">
        <v>9.3927472970356497E-4</v>
      </c>
      <c r="K285" s="137">
        <v>0.71002915755524698</v>
      </c>
      <c r="L285" s="137">
        <v>0.75</v>
      </c>
      <c r="M285" s="137">
        <v>0.65007289388811795</v>
      </c>
      <c r="N285" s="136">
        <v>1</v>
      </c>
      <c r="O285" s="154">
        <v>43620</v>
      </c>
      <c r="P285" s="98">
        <f t="shared" si="33"/>
        <v>2</v>
      </c>
      <c r="Q285" s="111">
        <v>2.5499999999999998</v>
      </c>
      <c r="R285" s="111">
        <v>0</v>
      </c>
      <c r="S285" s="111">
        <v>0</v>
      </c>
      <c r="T285" s="112" t="s">
        <v>64</v>
      </c>
      <c r="U285" s="137" t="s">
        <v>801</v>
      </c>
      <c r="V285" s="137" t="s">
        <v>802</v>
      </c>
      <c r="W285" s="69">
        <v>76</v>
      </c>
      <c r="X285" s="147">
        <v>1</v>
      </c>
      <c r="Y285" s="147">
        <v>6</v>
      </c>
      <c r="AA285" t="s">
        <v>4833</v>
      </c>
      <c r="AB285" t="s">
        <v>71</v>
      </c>
      <c r="AC285" t="s">
        <v>4353</v>
      </c>
      <c r="AD285" t="s">
        <v>4506</v>
      </c>
      <c r="AE285" t="s">
        <v>4515</v>
      </c>
      <c r="AF285" t="s">
        <v>4813</v>
      </c>
      <c r="AG285" t="s">
        <v>4530</v>
      </c>
      <c r="AH285" t="s">
        <v>4834</v>
      </c>
      <c r="AI285" t="s">
        <v>4353</v>
      </c>
      <c r="AJ285" t="s">
        <v>4506</v>
      </c>
      <c r="AK285" t="s">
        <v>4519</v>
      </c>
      <c r="AL285" t="s">
        <v>4519</v>
      </c>
      <c r="AM285" t="s">
        <v>4510</v>
      </c>
      <c r="AN285" t="s">
        <v>4550</v>
      </c>
      <c r="AO285" s="134">
        <v>113.768226332971</v>
      </c>
      <c r="AP285" s="135">
        <v>113.569550930997</v>
      </c>
      <c r="AQ285">
        <v>0.40635268346111703</v>
      </c>
      <c r="AR285" s="136">
        <v>1.2398685651697701</v>
      </c>
      <c r="AS285">
        <v>7.3723986856517003</v>
      </c>
    </row>
    <row r="286" spans="1:45" customFormat="1" ht="91">
      <c r="A286">
        <v>450</v>
      </c>
      <c r="B286" s="69" t="s">
        <v>1222</v>
      </c>
      <c r="C286" s="69" t="s">
        <v>45</v>
      </c>
      <c r="D286" s="31">
        <f t="shared" si="31"/>
        <v>4</v>
      </c>
      <c r="E286" s="69" t="s">
        <v>46</v>
      </c>
      <c r="F286" s="31">
        <f t="shared" si="32"/>
        <v>6</v>
      </c>
      <c r="G286" s="169" t="s">
        <v>1284</v>
      </c>
      <c r="H286" s="138">
        <v>145</v>
      </c>
      <c r="I286" s="92">
        <f t="shared" si="30"/>
        <v>0.47344922113957999</v>
      </c>
      <c r="J286" s="95">
        <v>0.19689844227916001</v>
      </c>
      <c r="K286" s="137">
        <v>0.57005831511049398</v>
      </c>
      <c r="L286" s="137">
        <v>0.75</v>
      </c>
      <c r="M286" s="137">
        <v>0.30014578777623502</v>
      </c>
      <c r="N286" s="136">
        <v>1</v>
      </c>
      <c r="O286" s="154">
        <v>43619</v>
      </c>
      <c r="P286" s="98">
        <f t="shared" si="33"/>
        <v>1</v>
      </c>
      <c r="Q286" s="111">
        <v>2.5499999999999998</v>
      </c>
      <c r="R286" s="111">
        <v>0</v>
      </c>
      <c r="S286" s="111">
        <v>0</v>
      </c>
      <c r="T286" s="112" t="s">
        <v>73</v>
      </c>
      <c r="U286" s="137" t="s">
        <v>1285</v>
      </c>
      <c r="V286" s="137" t="s">
        <v>1286</v>
      </c>
      <c r="W286" s="69">
        <v>116</v>
      </c>
      <c r="X286" s="69">
        <v>7</v>
      </c>
      <c r="Y286" s="69">
        <v>24</v>
      </c>
      <c r="AA286" t="s">
        <v>4564</v>
      </c>
      <c r="AB286" t="s">
        <v>4597</v>
      </c>
      <c r="AC286" t="s">
        <v>223</v>
      </c>
      <c r="AD286" t="s">
        <v>4549</v>
      </c>
      <c r="AE286" t="s">
        <v>4353</v>
      </c>
      <c r="AF286" t="s">
        <v>4506</v>
      </c>
      <c r="AG286" t="s">
        <v>223</v>
      </c>
      <c r="AH286" t="s">
        <v>4549</v>
      </c>
      <c r="AI286" t="s">
        <v>4353</v>
      </c>
      <c r="AJ286" t="s">
        <v>4506</v>
      </c>
      <c r="AK286" t="s">
        <v>4518</v>
      </c>
      <c r="AL286" t="s">
        <v>4552</v>
      </c>
      <c r="AM286" t="s">
        <v>4528</v>
      </c>
      <c r="AN286" t="s">
        <v>4557</v>
      </c>
      <c r="AO286" s="134">
        <v>113.734204793028</v>
      </c>
      <c r="AP286" s="135">
        <v>113.38815789473701</v>
      </c>
      <c r="AQ286">
        <v>0.40350877192982498</v>
      </c>
      <c r="AR286" s="136">
        <v>1.2401315789473699</v>
      </c>
      <c r="AS286">
        <v>7.3695175438596499</v>
      </c>
    </row>
    <row r="287" spans="1:45" customFormat="1" ht="31">
      <c r="A287" s="65">
        <v>1056</v>
      </c>
      <c r="B287" s="69" t="s">
        <v>2833</v>
      </c>
      <c r="C287" s="69" t="s">
        <v>59</v>
      </c>
      <c r="D287" s="31">
        <f t="shared" si="31"/>
        <v>5</v>
      </c>
      <c r="E287" s="69" t="s">
        <v>664</v>
      </c>
      <c r="F287" s="31">
        <f t="shared" si="32"/>
        <v>1</v>
      </c>
      <c r="G287" s="139" t="s">
        <v>2870</v>
      </c>
      <c r="H287" s="138">
        <v>34</v>
      </c>
      <c r="I287" s="92">
        <f t="shared" si="30"/>
        <v>0.38326704264894113</v>
      </c>
      <c r="J287" s="95">
        <v>8.4715903479700302E-2</v>
      </c>
      <c r="K287" s="137">
        <v>0.72827870552673202</v>
      </c>
      <c r="L287" s="137">
        <v>0.68181818181818199</v>
      </c>
      <c r="M287" s="137">
        <v>0.79796949108955795</v>
      </c>
      <c r="N287" s="136">
        <v>1</v>
      </c>
      <c r="O287" s="204">
        <v>43619</v>
      </c>
      <c r="P287" s="98">
        <f t="shared" si="33"/>
        <v>1</v>
      </c>
      <c r="Q287" s="113">
        <v>0</v>
      </c>
      <c r="R287" s="113">
        <v>0</v>
      </c>
      <c r="S287" s="113">
        <v>0</v>
      </c>
      <c r="T287" s="119" t="s">
        <v>73</v>
      </c>
      <c r="U287" s="91" t="s">
        <v>2871</v>
      </c>
      <c r="V287" s="207" t="s">
        <v>2872</v>
      </c>
      <c r="W287" s="69">
        <v>38</v>
      </c>
      <c r="X287" s="171">
        <v>1</v>
      </c>
      <c r="Y287" s="171">
        <v>2</v>
      </c>
      <c r="Z287" s="69"/>
      <c r="AA287" t="s">
        <v>4543</v>
      </c>
      <c r="AB287" t="s">
        <v>51</v>
      </c>
      <c r="AC287" t="s">
        <v>223</v>
      </c>
      <c r="AD287" t="s">
        <v>4779</v>
      </c>
      <c r="AE287" t="s">
        <v>4513</v>
      </c>
      <c r="AF287" t="s">
        <v>4835</v>
      </c>
      <c r="AG287" t="s">
        <v>4353</v>
      </c>
      <c r="AH287" t="s">
        <v>4506</v>
      </c>
      <c r="AI287" t="s">
        <v>4353</v>
      </c>
      <c r="AJ287" t="s">
        <v>4506</v>
      </c>
      <c r="AK287" t="s">
        <v>4519</v>
      </c>
      <c r="AL287" t="s">
        <v>4519</v>
      </c>
      <c r="AM287" t="s">
        <v>4519</v>
      </c>
      <c r="AN287" t="s">
        <v>4564</v>
      </c>
      <c r="AO287" s="134">
        <v>113.82115594329299</v>
      </c>
      <c r="AP287" s="135">
        <v>113.38815789473701</v>
      </c>
      <c r="AQ287">
        <v>0.40350877192982498</v>
      </c>
      <c r="AR287" s="136">
        <v>1.2401315789473699</v>
      </c>
      <c r="AS287">
        <v>7.3695175438596499</v>
      </c>
    </row>
    <row r="288" spans="1:45" customFormat="1" ht="106">
      <c r="A288">
        <v>267</v>
      </c>
      <c r="B288" s="69" t="s">
        <v>589</v>
      </c>
      <c r="C288" s="69" t="s">
        <v>59</v>
      </c>
      <c r="D288" s="31">
        <f t="shared" si="31"/>
        <v>5</v>
      </c>
      <c r="E288" s="69" t="s">
        <v>46</v>
      </c>
      <c r="F288" s="31">
        <f t="shared" si="32"/>
        <v>6</v>
      </c>
      <c r="G288" s="137" t="s">
        <v>803</v>
      </c>
      <c r="H288" s="138">
        <v>78</v>
      </c>
      <c r="I288" s="92">
        <f t="shared" si="30"/>
        <v>0.30999899361043659</v>
      </c>
      <c r="J288" s="95">
        <v>1.6327647707215E-4</v>
      </c>
      <c r="K288" s="137">
        <v>0.631929984001528</v>
      </c>
      <c r="L288" s="137">
        <v>0.61983471074380103</v>
      </c>
      <c r="M288" s="137">
        <v>0.65007289388811795</v>
      </c>
      <c r="N288" s="136">
        <v>1</v>
      </c>
      <c r="O288" s="154">
        <v>43615</v>
      </c>
      <c r="P288" s="98">
        <f t="shared" si="33"/>
        <v>0</v>
      </c>
      <c r="Q288" s="111">
        <v>7.65</v>
      </c>
      <c r="R288" s="111">
        <v>0</v>
      </c>
      <c r="S288" s="111">
        <v>0</v>
      </c>
      <c r="T288" s="112" t="s">
        <v>48</v>
      </c>
      <c r="U288" s="137" t="s">
        <v>804</v>
      </c>
      <c r="V288" s="137" t="s">
        <v>805</v>
      </c>
      <c r="W288" s="69">
        <v>133</v>
      </c>
      <c r="X288" s="69">
        <v>1</v>
      </c>
      <c r="Y288" s="69">
        <v>6</v>
      </c>
      <c r="AA288" t="s">
        <v>4564</v>
      </c>
      <c r="AB288" t="s">
        <v>87</v>
      </c>
      <c r="AC288" t="s">
        <v>4513</v>
      </c>
      <c r="AD288" t="s">
        <v>4779</v>
      </c>
      <c r="AE288" t="s">
        <v>223</v>
      </c>
      <c r="AF288" t="s">
        <v>4679</v>
      </c>
      <c r="AG288" t="s">
        <v>223</v>
      </c>
      <c r="AH288" t="s">
        <v>4679</v>
      </c>
      <c r="AI288" t="s">
        <v>4353</v>
      </c>
      <c r="AJ288" t="s">
        <v>4506</v>
      </c>
      <c r="AK288" t="s">
        <v>4519</v>
      </c>
      <c r="AL288" t="s">
        <v>4519</v>
      </c>
      <c r="AM288" t="s">
        <v>4562</v>
      </c>
      <c r="AN288" t="s">
        <v>4563</v>
      </c>
      <c r="AO288" s="134">
        <v>113.860262008734</v>
      </c>
      <c r="AP288" s="135">
        <v>113.43468715697</v>
      </c>
      <c r="AQ288">
        <v>0.40175631174533499</v>
      </c>
      <c r="AR288" s="136">
        <v>1.2403951701427001</v>
      </c>
      <c r="AS288">
        <v>7.3743139407244804</v>
      </c>
    </row>
    <row r="289" spans="1:45" customFormat="1" ht="46">
      <c r="A289">
        <v>662</v>
      </c>
      <c r="B289" s="69" t="s">
        <v>1790</v>
      </c>
      <c r="C289" s="69" t="s">
        <v>45</v>
      </c>
      <c r="D289" s="31">
        <f t="shared" si="31"/>
        <v>4</v>
      </c>
      <c r="E289" s="69" t="s">
        <v>46</v>
      </c>
      <c r="F289" s="31">
        <f t="shared" si="32"/>
        <v>6</v>
      </c>
      <c r="G289" s="169" t="s">
        <v>1819</v>
      </c>
      <c r="H289" s="138">
        <v>9</v>
      </c>
      <c r="I289" s="92">
        <f t="shared" si="30"/>
        <v>0.41105465214512416</v>
      </c>
      <c r="J289" s="95">
        <v>7.2109304290248297E-2</v>
      </c>
      <c r="K289" s="137">
        <v>0.643968498544915</v>
      </c>
      <c r="L289" s="137">
        <v>0.75</v>
      </c>
      <c r="M289" s="137">
        <v>0.48492124636228701</v>
      </c>
      <c r="N289" s="136">
        <v>0</v>
      </c>
      <c r="O289" s="168">
        <v>43613</v>
      </c>
      <c r="P289" s="98">
        <f t="shared" si="33"/>
        <v>0</v>
      </c>
      <c r="Q289" s="111">
        <v>5.0999999999999996</v>
      </c>
      <c r="R289" s="111">
        <v>0</v>
      </c>
      <c r="S289" s="111">
        <v>0</v>
      </c>
      <c r="T289" s="112" t="s">
        <v>48</v>
      </c>
      <c r="U289" s="147" t="s">
        <v>1820</v>
      </c>
      <c r="V289" s="137" t="s">
        <v>1821</v>
      </c>
      <c r="W289" s="69">
        <v>67</v>
      </c>
      <c r="X289" s="147">
        <v>5</v>
      </c>
      <c r="Y289" s="147">
        <v>13</v>
      </c>
      <c r="Z289" s="69"/>
      <c r="AA289" t="s">
        <v>4564</v>
      </c>
      <c r="AB289" t="s">
        <v>4597</v>
      </c>
      <c r="AC289" t="s">
        <v>223</v>
      </c>
      <c r="AD289" t="s">
        <v>4734</v>
      </c>
      <c r="AE289" t="s">
        <v>4353</v>
      </c>
      <c r="AF289" t="s">
        <v>4506</v>
      </c>
      <c r="AG289" t="s">
        <v>223</v>
      </c>
      <c r="AH289" t="s">
        <v>4734</v>
      </c>
      <c r="AI289" t="s">
        <v>4353</v>
      </c>
      <c r="AJ289" t="s">
        <v>4506</v>
      </c>
      <c r="AK289" t="s">
        <v>4519</v>
      </c>
      <c r="AL289" t="s">
        <v>4519</v>
      </c>
      <c r="AM289" t="s">
        <v>4528</v>
      </c>
      <c r="AN289" t="s">
        <v>4529</v>
      </c>
      <c r="AO289" s="134">
        <v>113.974863387978</v>
      </c>
      <c r="AP289" s="135">
        <v>113.561674008811</v>
      </c>
      <c r="AQ289">
        <v>0.40308370044052899</v>
      </c>
      <c r="AR289" s="136">
        <v>1.2411894273127799</v>
      </c>
      <c r="AS289">
        <v>7.3887665198237897</v>
      </c>
    </row>
    <row r="290" spans="1:45" customFormat="1" ht="46">
      <c r="A290" s="65">
        <v>268</v>
      </c>
      <c r="B290" s="69" t="s">
        <v>589</v>
      </c>
      <c r="C290" s="69" t="s">
        <v>45</v>
      </c>
      <c r="D290" s="31">
        <f t="shared" si="31"/>
        <v>4</v>
      </c>
      <c r="E290" s="69" t="s">
        <v>221</v>
      </c>
      <c r="F290" s="31">
        <f t="shared" si="32"/>
        <v>2</v>
      </c>
      <c r="G290" s="147" t="s">
        <v>806</v>
      </c>
      <c r="H290" s="138">
        <v>28</v>
      </c>
      <c r="I290" s="92">
        <f t="shared" si="30"/>
        <v>0.44493515972068798</v>
      </c>
      <c r="J290" s="95">
        <v>0.13987031944137601</v>
      </c>
      <c r="K290" s="137">
        <v>0.76918779643582302</v>
      </c>
      <c r="L290" s="137">
        <v>0.75</v>
      </c>
      <c r="M290" s="137">
        <v>0.79796949108955795</v>
      </c>
      <c r="N290" s="136">
        <v>0</v>
      </c>
      <c r="O290" s="154">
        <v>43612</v>
      </c>
      <c r="P290" s="98">
        <f t="shared" si="33"/>
        <v>0</v>
      </c>
      <c r="Q290" s="111">
        <v>0</v>
      </c>
      <c r="R290" s="111">
        <v>1.65</v>
      </c>
      <c r="S290" s="111">
        <v>0</v>
      </c>
      <c r="T290" s="112" t="s">
        <v>48</v>
      </c>
      <c r="U290" s="147" t="s">
        <v>807</v>
      </c>
      <c r="V290" s="137" t="s">
        <v>808</v>
      </c>
      <c r="W290" s="69">
        <v>49</v>
      </c>
      <c r="X290" s="147">
        <v>1</v>
      </c>
      <c r="Y290" s="147">
        <v>2</v>
      </c>
      <c r="AA290" t="s">
        <v>4564</v>
      </c>
      <c r="AB290" t="s">
        <v>87</v>
      </c>
      <c r="AC290" t="s">
        <v>4530</v>
      </c>
      <c r="AD290" t="s">
        <v>4836</v>
      </c>
      <c r="AE290" t="s">
        <v>4353</v>
      </c>
      <c r="AF290" t="s">
        <v>4506</v>
      </c>
      <c r="AG290" t="s">
        <v>4353</v>
      </c>
      <c r="AH290" t="s">
        <v>4506</v>
      </c>
      <c r="AI290" t="s">
        <v>4353</v>
      </c>
      <c r="AJ290" t="s">
        <v>4506</v>
      </c>
      <c r="AK290" t="s">
        <v>4519</v>
      </c>
      <c r="AL290" t="s">
        <v>4519</v>
      </c>
      <c r="AM290" t="s">
        <v>4510</v>
      </c>
      <c r="AN290" t="s">
        <v>4550</v>
      </c>
      <c r="AO290" s="134">
        <v>114.032822757112</v>
      </c>
      <c r="AP290" s="135">
        <v>113.561674008811</v>
      </c>
      <c r="AQ290">
        <v>0.40308370044052899</v>
      </c>
      <c r="AR290" s="136">
        <v>1.2411894273127799</v>
      </c>
      <c r="AS290">
        <v>7.3887665198237897</v>
      </c>
    </row>
    <row r="291" spans="1:45" customFormat="1" ht="61">
      <c r="A291">
        <v>163</v>
      </c>
      <c r="B291" s="69" t="s">
        <v>499</v>
      </c>
      <c r="C291" s="69" t="s">
        <v>45</v>
      </c>
      <c r="D291" s="31">
        <f t="shared" si="31"/>
        <v>4</v>
      </c>
      <c r="E291" s="69" t="s">
        <v>46</v>
      </c>
      <c r="F291" s="31">
        <f t="shared" si="32"/>
        <v>6</v>
      </c>
      <c r="G291" s="137" t="s">
        <v>512</v>
      </c>
      <c r="H291" s="138">
        <v>61</v>
      </c>
      <c r="I291" s="92">
        <f t="shared" si="30"/>
        <v>0.37535745184307934</v>
      </c>
      <c r="J291" s="95">
        <v>7.1490368615867396E-4</v>
      </c>
      <c r="K291" s="137">
        <v>0.75102566813892102</v>
      </c>
      <c r="L291" s="137">
        <v>0.75</v>
      </c>
      <c r="M291" s="137">
        <v>0.75256417034730305</v>
      </c>
      <c r="N291" s="136">
        <v>1</v>
      </c>
      <c r="O291" s="154">
        <v>43612</v>
      </c>
      <c r="P291" s="98">
        <f t="shared" si="33"/>
        <v>1</v>
      </c>
      <c r="Q291" s="107">
        <v>0</v>
      </c>
      <c r="R291" s="107">
        <v>0</v>
      </c>
      <c r="S291" s="107">
        <v>0</v>
      </c>
      <c r="T291" s="108" t="s">
        <v>73</v>
      </c>
      <c r="U291" s="188" t="s">
        <v>513</v>
      </c>
      <c r="V291" s="137" t="s">
        <v>514</v>
      </c>
      <c r="W291" s="69">
        <v>71</v>
      </c>
      <c r="X291" s="195">
        <v>3</v>
      </c>
      <c r="Y291" s="195">
        <v>3</v>
      </c>
      <c r="AA291" t="s">
        <v>4522</v>
      </c>
      <c r="AB291" t="s">
        <v>51</v>
      </c>
      <c r="AC291" t="s">
        <v>4353</v>
      </c>
      <c r="AD291" t="s">
        <v>4506</v>
      </c>
      <c r="AE291" t="s">
        <v>4515</v>
      </c>
      <c r="AF291" t="s">
        <v>4769</v>
      </c>
      <c r="AG291" t="s">
        <v>223</v>
      </c>
      <c r="AH291" t="s">
        <v>4685</v>
      </c>
      <c r="AI291" t="s">
        <v>4353</v>
      </c>
      <c r="AJ291" t="s">
        <v>4506</v>
      </c>
      <c r="AK291" t="s">
        <v>4519</v>
      </c>
      <c r="AL291" t="s">
        <v>4519</v>
      </c>
      <c r="AM291" t="s">
        <v>4528</v>
      </c>
      <c r="AN291" t="s">
        <v>4529</v>
      </c>
      <c r="AO291" s="134">
        <v>114.12705366922199</v>
      </c>
      <c r="AP291" s="135">
        <v>113.561674008811</v>
      </c>
      <c r="AQ291">
        <v>0.40308370044052899</v>
      </c>
      <c r="AR291" s="136">
        <v>1.2411894273127799</v>
      </c>
      <c r="AS291">
        <v>7.3887665198237897</v>
      </c>
    </row>
    <row r="292" spans="1:45" customFormat="1" ht="61">
      <c r="A292">
        <v>590</v>
      </c>
      <c r="B292" s="69" t="s">
        <v>1628</v>
      </c>
      <c r="C292" s="69" t="s">
        <v>45</v>
      </c>
      <c r="D292" s="31">
        <f t="shared" si="31"/>
        <v>4</v>
      </c>
      <c r="E292" s="69" t="s">
        <v>221</v>
      </c>
      <c r="F292" s="31">
        <f t="shared" si="32"/>
        <v>2</v>
      </c>
      <c r="G292" s="137" t="s">
        <v>1650</v>
      </c>
      <c r="H292" s="138">
        <v>83</v>
      </c>
      <c r="I292" s="92">
        <f t="shared" si="30"/>
        <v>0.87153974717954252</v>
      </c>
      <c r="J292" s="95">
        <v>0.99307949435908505</v>
      </c>
      <c r="K292" s="137">
        <v>0.75102566813892102</v>
      </c>
      <c r="L292" s="137">
        <v>0.75</v>
      </c>
      <c r="M292" s="137">
        <v>0.75256417034730305</v>
      </c>
      <c r="N292" s="136">
        <v>1</v>
      </c>
      <c r="O292" s="155">
        <v>43611</v>
      </c>
      <c r="P292" s="98">
        <f t="shared" si="33"/>
        <v>0</v>
      </c>
      <c r="Q292" s="111">
        <v>2.5499999999999998</v>
      </c>
      <c r="R292" s="111">
        <v>3.3</v>
      </c>
      <c r="S292" s="111">
        <v>3.74</v>
      </c>
      <c r="T292" s="112" t="s">
        <v>48</v>
      </c>
      <c r="U292" s="137" t="s">
        <v>1651</v>
      </c>
      <c r="V292" s="186" t="s">
        <v>1651</v>
      </c>
      <c r="W292" s="71">
        <v>83</v>
      </c>
      <c r="X292" s="71">
        <v>1</v>
      </c>
      <c r="Y292" s="71">
        <v>3</v>
      </c>
      <c r="Z292" s="71"/>
      <c r="AA292" t="s">
        <v>4564</v>
      </c>
      <c r="AB292" t="s">
        <v>87</v>
      </c>
      <c r="AC292" t="s">
        <v>4515</v>
      </c>
      <c r="AD292" t="s">
        <v>4779</v>
      </c>
      <c r="AE292" t="s">
        <v>4353</v>
      </c>
      <c r="AF292" t="s">
        <v>4506</v>
      </c>
      <c r="AG292" t="s">
        <v>4353</v>
      </c>
      <c r="AH292" t="s">
        <v>4506</v>
      </c>
      <c r="AI292" t="s">
        <v>4353</v>
      </c>
      <c r="AJ292" t="s">
        <v>4506</v>
      </c>
      <c r="AK292" t="s">
        <v>4519</v>
      </c>
      <c r="AL292" t="s">
        <v>4519</v>
      </c>
      <c r="AM292" t="s">
        <v>4528</v>
      </c>
      <c r="AN292" t="s">
        <v>4529</v>
      </c>
      <c r="AO292" s="134">
        <v>114.161184210526</v>
      </c>
      <c r="AP292" s="135">
        <v>113.561674008811</v>
      </c>
      <c r="AQ292">
        <v>0.40308370044052899</v>
      </c>
      <c r="AR292" s="136">
        <v>1.2411894273127799</v>
      </c>
      <c r="AS292">
        <v>7.3887665198237897</v>
      </c>
    </row>
    <row r="293" spans="1:45" customFormat="1" ht="61">
      <c r="A293">
        <v>663</v>
      </c>
      <c r="B293" s="69" t="s">
        <v>1790</v>
      </c>
      <c r="C293" s="69" t="s">
        <v>45</v>
      </c>
      <c r="D293" s="31">
        <f t="shared" si="31"/>
        <v>4</v>
      </c>
      <c r="E293" s="69" t="s">
        <v>46</v>
      </c>
      <c r="F293" s="31">
        <f t="shared" si="32"/>
        <v>6</v>
      </c>
      <c r="G293" s="152" t="s">
        <v>1822</v>
      </c>
      <c r="H293" s="138">
        <v>20</v>
      </c>
      <c r="I293" s="92">
        <f t="shared" si="30"/>
        <v>0.3781840693162779</v>
      </c>
      <c r="J293" s="95">
        <v>6.3681386325558104E-3</v>
      </c>
      <c r="K293" s="137">
        <v>0.67857142857142805</v>
      </c>
      <c r="L293" s="137">
        <v>0.75</v>
      </c>
      <c r="M293" s="137">
        <v>0.57142857142857095</v>
      </c>
      <c r="N293" s="136">
        <v>0</v>
      </c>
      <c r="O293" s="154">
        <v>43611</v>
      </c>
      <c r="P293" s="98">
        <f t="shared" si="33"/>
        <v>0</v>
      </c>
      <c r="Q293" s="111">
        <v>2.5499999999999998</v>
      </c>
      <c r="R293" s="111">
        <v>0</v>
      </c>
      <c r="S293" s="111">
        <v>0</v>
      </c>
      <c r="T293" s="112" t="s">
        <v>48</v>
      </c>
      <c r="U293" s="147" t="s">
        <v>1823</v>
      </c>
      <c r="V293" s="137" t="s">
        <v>1824</v>
      </c>
      <c r="W293" s="69">
        <v>87</v>
      </c>
      <c r="X293" s="147">
        <v>4</v>
      </c>
      <c r="Y293" s="147">
        <v>9</v>
      </c>
      <c r="Z293" s="69"/>
      <c r="AA293" t="s">
        <v>4564</v>
      </c>
      <c r="AB293" t="s">
        <v>51</v>
      </c>
      <c r="AC293" t="s">
        <v>4353</v>
      </c>
      <c r="AD293" t="s">
        <v>4506</v>
      </c>
      <c r="AE293" t="s">
        <v>4538</v>
      </c>
      <c r="AF293" t="s">
        <v>4692</v>
      </c>
      <c r="AG293" t="s">
        <v>4515</v>
      </c>
      <c r="AH293" t="s">
        <v>4676</v>
      </c>
      <c r="AI293" t="s">
        <v>4353</v>
      </c>
      <c r="AJ293" t="s">
        <v>4506</v>
      </c>
      <c r="AK293" t="s">
        <v>4519</v>
      </c>
      <c r="AL293" t="s">
        <v>4519</v>
      </c>
      <c r="AM293" t="s">
        <v>4528</v>
      </c>
      <c r="AN293" t="s">
        <v>4529</v>
      </c>
      <c r="AO293" s="134">
        <v>114.264544456641</v>
      </c>
      <c r="AP293" s="135">
        <v>113.561674008811</v>
      </c>
      <c r="AQ293">
        <v>0.40308370044052899</v>
      </c>
      <c r="AR293" s="136">
        <v>1.2411894273127799</v>
      </c>
      <c r="AS293">
        <v>7.3887665198237897</v>
      </c>
    </row>
    <row r="294" spans="1:45" customFormat="1" ht="76">
      <c r="A294" s="65">
        <v>269</v>
      </c>
      <c r="B294" s="69" t="s">
        <v>589</v>
      </c>
      <c r="C294" s="69" t="s">
        <v>45</v>
      </c>
      <c r="D294" s="31">
        <f t="shared" si="31"/>
        <v>4</v>
      </c>
      <c r="E294" s="69" t="s">
        <v>4374</v>
      </c>
      <c r="F294" s="31">
        <f t="shared" si="32"/>
        <v>9</v>
      </c>
      <c r="G294" s="137" t="s">
        <v>809</v>
      </c>
      <c r="H294" s="138">
        <v>39</v>
      </c>
      <c r="I294" s="92">
        <f t="shared" si="30"/>
        <v>0.39255375343883747</v>
      </c>
      <c r="J294" s="95">
        <v>3.5107506877674999E-2</v>
      </c>
      <c r="K294" s="137">
        <v>0.73571428571428599</v>
      </c>
      <c r="L294" s="137">
        <v>0.75</v>
      </c>
      <c r="M294" s="137">
        <v>0.71428571428571397</v>
      </c>
      <c r="N294" s="136">
        <v>1</v>
      </c>
      <c r="O294" s="154">
        <v>43609</v>
      </c>
      <c r="P294" s="98">
        <f t="shared" si="33"/>
        <v>0</v>
      </c>
      <c r="Q294" s="111">
        <v>7.65</v>
      </c>
      <c r="R294" s="111">
        <v>0</v>
      </c>
      <c r="S294" s="111">
        <v>0</v>
      </c>
      <c r="T294" s="112" t="s">
        <v>48</v>
      </c>
      <c r="U294" s="137" t="s">
        <v>810</v>
      </c>
      <c r="V294" s="137" t="s">
        <v>811</v>
      </c>
      <c r="W294" s="69">
        <v>93</v>
      </c>
      <c r="X294" s="69">
        <v>1</v>
      </c>
      <c r="Y294" s="69">
        <v>4</v>
      </c>
      <c r="AA294" t="s">
        <v>4564</v>
      </c>
      <c r="AB294" t="s">
        <v>71</v>
      </c>
      <c r="AC294" t="s">
        <v>4353</v>
      </c>
      <c r="AD294" t="s">
        <v>4506</v>
      </c>
      <c r="AE294" t="s">
        <v>4353</v>
      </c>
      <c r="AF294" t="s">
        <v>4506</v>
      </c>
      <c r="AG294" t="s">
        <v>4515</v>
      </c>
      <c r="AH294" t="s">
        <v>4781</v>
      </c>
      <c r="AI294" t="s">
        <v>4353</v>
      </c>
      <c r="AJ294" t="s">
        <v>4506</v>
      </c>
      <c r="AK294" t="s">
        <v>4519</v>
      </c>
      <c r="AL294" t="s">
        <v>4519</v>
      </c>
      <c r="AM294" t="s">
        <v>4510</v>
      </c>
      <c r="AN294" t="s">
        <v>4550</v>
      </c>
      <c r="AO294" s="134">
        <v>114.34725274725299</v>
      </c>
      <c r="AP294" s="135">
        <v>113.565745856354</v>
      </c>
      <c r="AQ294">
        <v>0.402209944751381</v>
      </c>
      <c r="AR294" s="136">
        <v>1.23646408839779</v>
      </c>
      <c r="AS294">
        <v>7.3911602209944798</v>
      </c>
    </row>
    <row r="295" spans="1:45" customFormat="1" ht="196">
      <c r="A295">
        <v>451</v>
      </c>
      <c r="B295" s="69" t="s">
        <v>1222</v>
      </c>
      <c r="C295" s="69" t="s">
        <v>59</v>
      </c>
      <c r="D295" s="31">
        <f t="shared" si="31"/>
        <v>5</v>
      </c>
      <c r="E295" s="69" t="s">
        <v>46</v>
      </c>
      <c r="F295" s="31">
        <f t="shared" si="32"/>
        <v>6</v>
      </c>
      <c r="G295" s="137" t="s">
        <v>1287</v>
      </c>
      <c r="H295" s="138">
        <v>76</v>
      </c>
      <c r="I295" s="92">
        <f t="shared" si="30"/>
        <v>0.34113089708259386</v>
      </c>
      <c r="J295" s="95">
        <v>4.4361234700573997E-4</v>
      </c>
      <c r="K295" s="137">
        <v>0.62838932850985896</v>
      </c>
      <c r="L295" s="137">
        <v>0.68181818181818199</v>
      </c>
      <c r="M295" s="137">
        <v>0.54824604854737402</v>
      </c>
      <c r="N295" s="136">
        <v>0</v>
      </c>
      <c r="O295" s="154">
        <v>43609</v>
      </c>
      <c r="P295" s="98">
        <f t="shared" si="33"/>
        <v>0</v>
      </c>
      <c r="Q295" s="111">
        <v>0</v>
      </c>
      <c r="R295" s="111">
        <v>0</v>
      </c>
      <c r="S295" s="111">
        <v>0</v>
      </c>
      <c r="T295" s="112" t="s">
        <v>48</v>
      </c>
      <c r="U295" s="137" t="s">
        <v>1288</v>
      </c>
      <c r="V295" s="137" t="s">
        <v>1289</v>
      </c>
      <c r="W295" s="69">
        <v>279</v>
      </c>
      <c r="X295" s="69">
        <v>3</v>
      </c>
      <c r="Y295" s="69">
        <v>10</v>
      </c>
      <c r="AA295" t="s">
        <v>4603</v>
      </c>
      <c r="AB295" t="s">
        <v>87</v>
      </c>
      <c r="AC295" t="s">
        <v>4515</v>
      </c>
      <c r="AD295" t="s">
        <v>4616</v>
      </c>
      <c r="AE295" t="s">
        <v>4353</v>
      </c>
      <c r="AF295" t="s">
        <v>4506</v>
      </c>
      <c r="AG295" t="s">
        <v>4353</v>
      </c>
      <c r="AH295" t="s">
        <v>4506</v>
      </c>
      <c r="AI295" t="s">
        <v>4353</v>
      </c>
      <c r="AJ295" t="s">
        <v>4506</v>
      </c>
      <c r="AK295" t="s">
        <v>4519</v>
      </c>
      <c r="AL295" t="s">
        <v>4519</v>
      </c>
      <c r="AM295" t="s">
        <v>4562</v>
      </c>
      <c r="AN295" t="s">
        <v>4563</v>
      </c>
      <c r="AO295" s="134">
        <v>114.38943894389401</v>
      </c>
      <c r="AP295" s="135">
        <v>113.565745856354</v>
      </c>
      <c r="AQ295">
        <v>0.402209944751381</v>
      </c>
      <c r="AR295" s="136">
        <v>1.23646408839779</v>
      </c>
      <c r="AS295">
        <v>7.3911602209944798</v>
      </c>
    </row>
    <row r="296" spans="1:45" customFormat="1" ht="106">
      <c r="A296" s="65">
        <v>452</v>
      </c>
      <c r="B296" s="69" t="s">
        <v>1222</v>
      </c>
      <c r="C296" s="69" t="s">
        <v>45</v>
      </c>
      <c r="D296" s="31">
        <f t="shared" si="31"/>
        <v>4</v>
      </c>
      <c r="E296" s="69" t="s">
        <v>1223</v>
      </c>
      <c r="F296" s="31">
        <f t="shared" si="32"/>
        <v>8</v>
      </c>
      <c r="G296" s="137" t="s">
        <v>1290</v>
      </c>
      <c r="H296" s="138">
        <v>42</v>
      </c>
      <c r="I296" s="92">
        <f t="shared" si="30"/>
        <v>0.37962356042839052</v>
      </c>
      <c r="J296" s="95">
        <v>0.139412410112979</v>
      </c>
      <c r="K296" s="137">
        <v>0.480528282812408</v>
      </c>
      <c r="L296" s="137">
        <v>0.61983471074380203</v>
      </c>
      <c r="M296" s="137">
        <v>0.27156864091531702</v>
      </c>
      <c r="N296" s="136">
        <v>1</v>
      </c>
      <c r="O296" s="154">
        <v>43607</v>
      </c>
      <c r="P296" s="98">
        <f t="shared" si="33"/>
        <v>1</v>
      </c>
      <c r="Q296" s="111">
        <v>0</v>
      </c>
      <c r="R296" s="111">
        <v>0</v>
      </c>
      <c r="S296" s="111">
        <v>0</v>
      </c>
      <c r="T296" s="112" t="s">
        <v>73</v>
      </c>
      <c r="U296" s="147" t="s">
        <v>1291</v>
      </c>
      <c r="V296" s="137" t="s">
        <v>1292</v>
      </c>
      <c r="W296" s="69">
        <v>152</v>
      </c>
      <c r="X296" s="147">
        <v>7</v>
      </c>
      <c r="Y296" s="147">
        <v>26</v>
      </c>
      <c r="AA296" t="s">
        <v>4564</v>
      </c>
      <c r="AB296" t="s">
        <v>4732</v>
      </c>
      <c r="AC296" t="s">
        <v>4515</v>
      </c>
      <c r="AD296" t="s">
        <v>4532</v>
      </c>
      <c r="AE296" t="s">
        <v>4515</v>
      </c>
      <c r="AF296" t="s">
        <v>4532</v>
      </c>
      <c r="AG296" t="s">
        <v>4515</v>
      </c>
      <c r="AH296" t="s">
        <v>4532</v>
      </c>
      <c r="AI296" t="s">
        <v>4353</v>
      </c>
      <c r="AJ296" t="s">
        <v>4506</v>
      </c>
      <c r="AK296" t="s">
        <v>4519</v>
      </c>
      <c r="AL296" t="s">
        <v>4519</v>
      </c>
      <c r="AM296" t="s">
        <v>4528</v>
      </c>
      <c r="AN296" t="s">
        <v>4529</v>
      </c>
      <c r="AO296" s="134">
        <v>114.469162995595</v>
      </c>
      <c r="AP296" s="135">
        <v>113.624584717608</v>
      </c>
      <c r="AQ296">
        <v>0.40199335548172799</v>
      </c>
      <c r="AR296" s="136">
        <v>1.23698781838317</v>
      </c>
      <c r="AS296">
        <v>7.39977851605759</v>
      </c>
    </row>
    <row r="297" spans="1:45" customFormat="1" ht="61">
      <c r="A297" s="65">
        <v>453</v>
      </c>
      <c r="B297" s="69" t="s">
        <v>1222</v>
      </c>
      <c r="C297" s="69" t="s">
        <v>45</v>
      </c>
      <c r="D297" s="31">
        <f t="shared" si="31"/>
        <v>4</v>
      </c>
      <c r="E297" s="69" t="s">
        <v>80</v>
      </c>
      <c r="F297" s="31">
        <f t="shared" si="32"/>
        <v>4</v>
      </c>
      <c r="G297" s="196" t="s">
        <v>1293</v>
      </c>
      <c r="H297" s="138">
        <v>68</v>
      </c>
      <c r="I297" s="92">
        <f t="shared" si="30"/>
        <v>0.86679152203925258</v>
      </c>
      <c r="J297" s="95">
        <v>0.98358304407850505</v>
      </c>
      <c r="K297" s="137">
        <v>0.75102566813892102</v>
      </c>
      <c r="L297" s="137">
        <v>0.75</v>
      </c>
      <c r="M297" s="137">
        <v>0.75256417034730305</v>
      </c>
      <c r="N297" s="136">
        <v>0</v>
      </c>
      <c r="O297" s="154">
        <v>43606</v>
      </c>
      <c r="P297" s="98">
        <f t="shared" si="33"/>
        <v>0</v>
      </c>
      <c r="Q297" s="111">
        <v>2.5499999999999998</v>
      </c>
      <c r="R297" s="111">
        <v>0</v>
      </c>
      <c r="S297" s="111">
        <v>0</v>
      </c>
      <c r="T297" s="112" t="s">
        <v>48</v>
      </c>
      <c r="U297" s="137" t="s">
        <v>1294</v>
      </c>
      <c r="V297" s="136" t="s">
        <v>1295</v>
      </c>
      <c r="W297" s="69">
        <v>78</v>
      </c>
      <c r="X297" s="195">
        <v>2</v>
      </c>
      <c r="Y297" s="195">
        <v>3</v>
      </c>
      <c r="AA297" t="s">
        <v>4653</v>
      </c>
      <c r="AB297" t="s">
        <v>4594</v>
      </c>
      <c r="AC297" t="s">
        <v>4513</v>
      </c>
      <c r="AD297" t="s">
        <v>4837</v>
      </c>
      <c r="AE297" t="s">
        <v>4513</v>
      </c>
      <c r="AF297" t="s">
        <v>4837</v>
      </c>
      <c r="AG297" t="s">
        <v>223</v>
      </c>
      <c r="AH297" t="s">
        <v>4639</v>
      </c>
      <c r="AI297" t="s">
        <v>4353</v>
      </c>
      <c r="AJ297" t="s">
        <v>4506</v>
      </c>
      <c r="AK297" t="s">
        <v>4519</v>
      </c>
      <c r="AL297" t="s">
        <v>4519</v>
      </c>
      <c r="AM297" t="s">
        <v>4510</v>
      </c>
      <c r="AN297" t="s">
        <v>4550</v>
      </c>
      <c r="AO297" s="134">
        <v>114.5203969129</v>
      </c>
      <c r="AP297" s="135">
        <v>113.624584717608</v>
      </c>
      <c r="AQ297">
        <v>0.40199335548172799</v>
      </c>
      <c r="AR297" s="136">
        <v>1.23698781838317</v>
      </c>
      <c r="AS297">
        <v>7.39977851605759</v>
      </c>
    </row>
    <row r="298" spans="1:45" customFormat="1" ht="61">
      <c r="A298" s="65">
        <v>664</v>
      </c>
      <c r="B298" s="69" t="s">
        <v>1790</v>
      </c>
      <c r="C298" s="69" t="s">
        <v>45</v>
      </c>
      <c r="D298" s="31">
        <f t="shared" si="31"/>
        <v>4</v>
      </c>
      <c r="E298" s="69" t="s">
        <v>46</v>
      </c>
      <c r="F298" s="31">
        <f t="shared" si="32"/>
        <v>6</v>
      </c>
      <c r="G298" s="147" t="s">
        <v>1825</v>
      </c>
      <c r="H298" s="138">
        <v>115</v>
      </c>
      <c r="I298" s="92">
        <f t="shared" si="30"/>
        <v>0.50560383468590653</v>
      </c>
      <c r="J298" s="95">
        <v>0.103707669371813</v>
      </c>
      <c r="K298" s="137">
        <v>0.86368779643582305</v>
      </c>
      <c r="L298" s="137">
        <v>0.90749999999999997</v>
      </c>
      <c r="M298" s="137">
        <v>0.79796949108955795</v>
      </c>
      <c r="N298" s="136">
        <v>0</v>
      </c>
      <c r="O298" s="154">
        <v>43606</v>
      </c>
      <c r="P298" s="98">
        <f t="shared" si="33"/>
        <v>1</v>
      </c>
      <c r="Q298" s="111">
        <v>2.5499999999999998</v>
      </c>
      <c r="R298" s="111">
        <v>0</v>
      </c>
      <c r="S298" s="111">
        <v>0</v>
      </c>
      <c r="T298" s="112" t="s">
        <v>73</v>
      </c>
      <c r="U298" s="188" t="s">
        <v>4410</v>
      </c>
      <c r="V298" s="137" t="s">
        <v>1824</v>
      </c>
      <c r="W298" s="69">
        <v>87</v>
      </c>
      <c r="X298" s="188">
        <v>1</v>
      </c>
      <c r="Y298" s="188">
        <v>2</v>
      </c>
      <c r="Z298" s="69"/>
      <c r="AA298" t="s">
        <v>4564</v>
      </c>
      <c r="AB298" t="s">
        <v>51</v>
      </c>
      <c r="AC298" t="s">
        <v>4353</v>
      </c>
      <c r="AD298" t="s">
        <v>4506</v>
      </c>
      <c r="AE298" t="s">
        <v>4538</v>
      </c>
      <c r="AF298" t="s">
        <v>4692</v>
      </c>
      <c r="AG298" t="s">
        <v>4515</v>
      </c>
      <c r="AH298" t="s">
        <v>4676</v>
      </c>
      <c r="AI298" t="s">
        <v>4353</v>
      </c>
      <c r="AJ298" t="s">
        <v>4506</v>
      </c>
      <c r="AK298" t="s">
        <v>4519</v>
      </c>
      <c r="AL298" t="s">
        <v>4519</v>
      </c>
      <c r="AM298" t="s">
        <v>4562</v>
      </c>
      <c r="AN298" t="s">
        <v>4563</v>
      </c>
      <c r="AO298" s="134">
        <v>114.519867549669</v>
      </c>
      <c r="AP298" s="135">
        <v>113.624584717608</v>
      </c>
      <c r="AQ298">
        <v>0.40199335548172799</v>
      </c>
      <c r="AR298" s="136">
        <v>1.23698781838317</v>
      </c>
      <c r="AS298">
        <v>7.39977851605759</v>
      </c>
    </row>
    <row r="299" spans="1:45" customFormat="1" ht="91">
      <c r="A299">
        <v>270</v>
      </c>
      <c r="B299" s="69" t="s">
        <v>589</v>
      </c>
      <c r="C299" s="69" t="s">
        <v>59</v>
      </c>
      <c r="D299" s="31">
        <f t="shared" si="31"/>
        <v>5</v>
      </c>
      <c r="E299" s="69" t="s">
        <v>664</v>
      </c>
      <c r="F299" s="31">
        <f t="shared" si="32"/>
        <v>1</v>
      </c>
      <c r="G299" s="137" t="s">
        <v>812</v>
      </c>
      <c r="H299" s="138">
        <v>147</v>
      </c>
      <c r="I299" s="92">
        <f t="shared" si="30"/>
        <v>0.30991746344848831</v>
      </c>
      <c r="J299" s="95">
        <v>2.16153174581457E-7</v>
      </c>
      <c r="K299" s="137">
        <v>0.65761511216056701</v>
      </c>
      <c r="L299" s="137">
        <v>0.61983471074380203</v>
      </c>
      <c r="M299" s="137">
        <v>0.71428571428571397</v>
      </c>
      <c r="N299" s="136">
        <v>1</v>
      </c>
      <c r="O299" s="154">
        <v>43605</v>
      </c>
      <c r="P299" s="98">
        <f t="shared" si="33"/>
        <v>0</v>
      </c>
      <c r="Q299" s="111">
        <v>2.5499999999999998</v>
      </c>
      <c r="R299" s="111">
        <v>0</v>
      </c>
      <c r="S299" s="111">
        <v>0</v>
      </c>
      <c r="T299" s="112" t="s">
        <v>48</v>
      </c>
      <c r="U299" s="137" t="s">
        <v>813</v>
      </c>
      <c r="V299" s="137" t="s">
        <v>814</v>
      </c>
      <c r="W299" s="69">
        <v>103</v>
      </c>
      <c r="X299" s="69">
        <v>4</v>
      </c>
      <c r="Y299" s="69">
        <v>4</v>
      </c>
      <c r="AA299" t="s">
        <v>4564</v>
      </c>
      <c r="AB299" t="s">
        <v>51</v>
      </c>
      <c r="AC299" t="s">
        <v>4353</v>
      </c>
      <c r="AD299" t="s">
        <v>4506</v>
      </c>
      <c r="AE299" t="s">
        <v>223</v>
      </c>
      <c r="AF299" t="s">
        <v>4704</v>
      </c>
      <c r="AG299" t="s">
        <v>4353</v>
      </c>
      <c r="AH299" t="s">
        <v>4506</v>
      </c>
      <c r="AI299" t="s">
        <v>4353</v>
      </c>
      <c r="AJ299" t="s">
        <v>4506</v>
      </c>
      <c r="AK299" t="s">
        <v>4519</v>
      </c>
      <c r="AL299" t="s">
        <v>4519</v>
      </c>
      <c r="AM299" t="s">
        <v>4592</v>
      </c>
      <c r="AN299" t="s">
        <v>4626</v>
      </c>
      <c r="AO299" s="134">
        <v>114.48397790055201</v>
      </c>
      <c r="AP299" s="135">
        <v>113.506666666667</v>
      </c>
      <c r="AQ299">
        <v>0.39777777777777801</v>
      </c>
      <c r="AR299" s="136">
        <v>1.23555555555556</v>
      </c>
      <c r="AS299">
        <v>7.3922222222222196</v>
      </c>
    </row>
    <row r="300" spans="1:45" customFormat="1" ht="61">
      <c r="A300" s="65">
        <v>665</v>
      </c>
      <c r="B300" s="69" t="s">
        <v>1790</v>
      </c>
      <c r="C300" s="69" t="s">
        <v>45</v>
      </c>
      <c r="D300" s="31">
        <f t="shared" si="31"/>
        <v>4</v>
      </c>
      <c r="E300" s="69" t="s">
        <v>46</v>
      </c>
      <c r="F300" s="31">
        <f t="shared" si="32"/>
        <v>6</v>
      </c>
      <c r="G300" s="188" t="s">
        <v>1827</v>
      </c>
      <c r="H300" s="138">
        <v>47</v>
      </c>
      <c r="I300" s="92">
        <f t="shared" si="30"/>
        <v>0.82237434014284094</v>
      </c>
      <c r="J300" s="95">
        <v>0.96293049846750001</v>
      </c>
      <c r="K300" s="137">
        <v>0.68131559609092096</v>
      </c>
      <c r="L300" s="137">
        <v>0.68181818181818199</v>
      </c>
      <c r="M300" s="137">
        <v>0.68056171750003003</v>
      </c>
      <c r="N300" s="136">
        <v>0</v>
      </c>
      <c r="O300" s="154">
        <v>43603</v>
      </c>
      <c r="P300" s="98">
        <f t="shared" si="33"/>
        <v>1</v>
      </c>
      <c r="Q300" s="111">
        <v>2.5499999999999998</v>
      </c>
      <c r="R300" s="111">
        <v>1.65</v>
      </c>
      <c r="S300" s="111">
        <v>5.61</v>
      </c>
      <c r="T300" s="112" t="s">
        <v>73</v>
      </c>
      <c r="U300" s="137" t="s">
        <v>4411</v>
      </c>
      <c r="V300" s="137" t="s">
        <v>1824</v>
      </c>
      <c r="W300" s="69">
        <v>87</v>
      </c>
      <c r="X300" s="195">
        <v>2</v>
      </c>
      <c r="Y300" s="195">
        <v>5</v>
      </c>
      <c r="Z300" s="69"/>
      <c r="AA300" t="s">
        <v>4564</v>
      </c>
      <c r="AB300" t="s">
        <v>51</v>
      </c>
      <c r="AC300" t="s">
        <v>4353</v>
      </c>
      <c r="AD300" t="s">
        <v>4506</v>
      </c>
      <c r="AE300" t="s">
        <v>4538</v>
      </c>
      <c r="AF300" t="s">
        <v>4692</v>
      </c>
      <c r="AG300" t="s">
        <v>4515</v>
      </c>
      <c r="AH300" t="s">
        <v>4676</v>
      </c>
      <c r="AI300" t="s">
        <v>4353</v>
      </c>
      <c r="AJ300" t="s">
        <v>4506</v>
      </c>
      <c r="AK300" t="s">
        <v>4519</v>
      </c>
      <c r="AL300" t="s">
        <v>4519</v>
      </c>
      <c r="AM300" t="s">
        <v>4528</v>
      </c>
      <c r="AN300" t="s">
        <v>4529</v>
      </c>
      <c r="AO300" s="134">
        <v>114.558628318584</v>
      </c>
      <c r="AP300" s="135">
        <v>113.506666666667</v>
      </c>
      <c r="AQ300">
        <v>0.39777777777777801</v>
      </c>
      <c r="AR300" s="136">
        <v>1.23555555555556</v>
      </c>
      <c r="AS300">
        <v>7.3922222222222196</v>
      </c>
    </row>
    <row r="301" spans="1:45" customFormat="1" ht="46">
      <c r="A301">
        <v>271</v>
      </c>
      <c r="B301" s="69" t="s">
        <v>589</v>
      </c>
      <c r="C301" s="69" t="s">
        <v>45</v>
      </c>
      <c r="D301" s="31">
        <f t="shared" si="31"/>
        <v>4</v>
      </c>
      <c r="E301" s="69" t="s">
        <v>221</v>
      </c>
      <c r="F301" s="31">
        <f t="shared" si="32"/>
        <v>2</v>
      </c>
      <c r="G301" s="137" t="s">
        <v>815</v>
      </c>
      <c r="H301" s="138">
        <v>54</v>
      </c>
      <c r="I301" s="92">
        <f t="shared" si="30"/>
        <v>0.68922306733076799</v>
      </c>
      <c r="J301" s="95">
        <v>0.75861142391773395</v>
      </c>
      <c r="K301" s="137">
        <v>0.71475796930342395</v>
      </c>
      <c r="L301" s="137">
        <v>0.61983471074380203</v>
      </c>
      <c r="M301" s="137">
        <v>0.85714285714285698</v>
      </c>
      <c r="N301" s="136">
        <v>0</v>
      </c>
      <c r="O301" s="154">
        <v>43600</v>
      </c>
      <c r="P301" s="98">
        <f t="shared" si="33"/>
        <v>0</v>
      </c>
      <c r="Q301" s="111">
        <v>2.5499999999999998</v>
      </c>
      <c r="R301" s="111">
        <v>0</v>
      </c>
      <c r="S301" s="111">
        <v>0</v>
      </c>
      <c r="T301" s="112" t="s">
        <v>48</v>
      </c>
      <c r="U301" s="137" t="s">
        <v>816</v>
      </c>
      <c r="V301" s="137" t="s">
        <v>817</v>
      </c>
      <c r="W301" s="69">
        <v>57</v>
      </c>
      <c r="X301" s="69">
        <v>2</v>
      </c>
      <c r="Y301" s="69">
        <v>1</v>
      </c>
      <c r="AA301" t="s">
        <v>4603</v>
      </c>
      <c r="AB301" t="s">
        <v>51</v>
      </c>
      <c r="AC301" t="s">
        <v>223</v>
      </c>
      <c r="AD301" t="s">
        <v>4684</v>
      </c>
      <c r="AE301" t="s">
        <v>4513</v>
      </c>
      <c r="AF301" t="s">
        <v>4723</v>
      </c>
      <c r="AG301" t="s">
        <v>223</v>
      </c>
      <c r="AH301" t="s">
        <v>4684</v>
      </c>
      <c r="AI301" t="s">
        <v>4353</v>
      </c>
      <c r="AJ301" t="s">
        <v>4506</v>
      </c>
      <c r="AK301" t="s">
        <v>4519</v>
      </c>
      <c r="AL301" t="s">
        <v>4519</v>
      </c>
      <c r="AM301" t="s">
        <v>4592</v>
      </c>
      <c r="AN301" t="s">
        <v>4626</v>
      </c>
      <c r="AO301" s="134">
        <v>114.62569213732</v>
      </c>
      <c r="AP301" s="135">
        <v>113.136771300448</v>
      </c>
      <c r="AQ301">
        <v>0.39237668161435002</v>
      </c>
      <c r="AR301" s="136">
        <v>1.2309417040358701</v>
      </c>
      <c r="AS301">
        <v>7.3923766816143504</v>
      </c>
    </row>
    <row r="302" spans="1:45" customFormat="1" ht="61">
      <c r="A302" s="65">
        <v>164</v>
      </c>
      <c r="B302" s="69" t="s">
        <v>499</v>
      </c>
      <c r="C302" s="69" t="s">
        <v>45</v>
      </c>
      <c r="D302" s="31">
        <f t="shared" si="31"/>
        <v>4</v>
      </c>
      <c r="E302" s="69" t="s">
        <v>221</v>
      </c>
      <c r="F302" s="31">
        <f t="shared" si="32"/>
        <v>2</v>
      </c>
      <c r="G302" s="136" t="s">
        <v>499</v>
      </c>
      <c r="H302" s="138">
        <v>29</v>
      </c>
      <c r="I302" s="92">
        <f t="shared" si="30"/>
        <v>0.50009943504246546</v>
      </c>
      <c r="J302" s="95">
        <v>0.25019887008493102</v>
      </c>
      <c r="K302" s="137">
        <v>0.71002915755524698</v>
      </c>
      <c r="L302" s="137">
        <v>0.75</v>
      </c>
      <c r="M302" s="137">
        <v>0.65007289388811795</v>
      </c>
      <c r="N302" s="136">
        <v>0</v>
      </c>
      <c r="O302" s="154">
        <v>43599</v>
      </c>
      <c r="P302" s="98">
        <f t="shared" si="33"/>
        <v>1</v>
      </c>
      <c r="Q302" s="111">
        <v>0</v>
      </c>
      <c r="R302" s="111">
        <v>0</v>
      </c>
      <c r="S302" s="111">
        <v>0</v>
      </c>
      <c r="T302" s="112" t="s">
        <v>73</v>
      </c>
      <c r="U302" s="136" t="s">
        <v>515</v>
      </c>
      <c r="V302" s="137" t="s">
        <v>516</v>
      </c>
      <c r="W302" s="69">
        <v>81</v>
      </c>
      <c r="X302" s="69">
        <v>2</v>
      </c>
      <c r="Y302" s="69">
        <v>6</v>
      </c>
      <c r="AA302" t="s">
        <v>4556</v>
      </c>
      <c r="AB302" t="s">
        <v>71</v>
      </c>
      <c r="AC302" t="s">
        <v>4353</v>
      </c>
      <c r="AD302" t="s">
        <v>4506</v>
      </c>
      <c r="AE302" t="s">
        <v>223</v>
      </c>
      <c r="AF302" t="s">
        <v>4799</v>
      </c>
      <c r="AG302" t="s">
        <v>4515</v>
      </c>
      <c r="AH302" t="s">
        <v>4737</v>
      </c>
      <c r="AI302" t="s">
        <v>4353</v>
      </c>
      <c r="AJ302" t="s">
        <v>4506</v>
      </c>
      <c r="AK302" t="s">
        <v>4519</v>
      </c>
      <c r="AL302" t="s">
        <v>4541</v>
      </c>
      <c r="AM302" t="s">
        <v>4528</v>
      </c>
      <c r="AN302" t="s">
        <v>4542</v>
      </c>
      <c r="AO302" s="134">
        <v>114.720620842572</v>
      </c>
      <c r="AP302" s="135">
        <v>113.19235095613</v>
      </c>
      <c r="AQ302">
        <v>0.39257592800899899</v>
      </c>
      <c r="AR302" s="136">
        <v>1.2305961754780701</v>
      </c>
      <c r="AS302">
        <v>7.4049493813273299</v>
      </c>
    </row>
    <row r="303" spans="1:45" customFormat="1" ht="151">
      <c r="A303" s="65">
        <v>272</v>
      </c>
      <c r="B303" s="69" t="s">
        <v>589</v>
      </c>
      <c r="C303" s="69" t="s">
        <v>45</v>
      </c>
      <c r="D303" s="31">
        <f t="shared" si="31"/>
        <v>4</v>
      </c>
      <c r="E303" s="69" t="s">
        <v>46</v>
      </c>
      <c r="F303" s="31">
        <f t="shared" si="32"/>
        <v>6</v>
      </c>
      <c r="G303" s="137" t="s">
        <v>818</v>
      </c>
      <c r="H303" s="138">
        <v>199</v>
      </c>
      <c r="I303" s="92">
        <f t="shared" si="30"/>
        <v>0.91249989414621746</v>
      </c>
      <c r="J303" s="95">
        <v>0.99999978829243497</v>
      </c>
      <c r="K303" s="137">
        <v>0.81418779643582295</v>
      </c>
      <c r="L303" s="137">
        <v>0.82499999999999996</v>
      </c>
      <c r="M303" s="137">
        <v>0.79796949108955795</v>
      </c>
      <c r="N303" s="136">
        <v>1</v>
      </c>
      <c r="O303" s="154">
        <v>43597</v>
      </c>
      <c r="P303" s="98">
        <f t="shared" si="33"/>
        <v>2</v>
      </c>
      <c r="Q303" s="111">
        <v>5.0999999999999996</v>
      </c>
      <c r="R303" s="111">
        <v>1.65</v>
      </c>
      <c r="S303" s="111">
        <v>0</v>
      </c>
      <c r="T303" s="112" t="s">
        <v>64</v>
      </c>
      <c r="U303" s="136" t="s">
        <v>819</v>
      </c>
      <c r="V303" s="137" t="s">
        <v>820</v>
      </c>
      <c r="W303" s="69">
        <v>48</v>
      </c>
      <c r="X303" s="69">
        <v>3</v>
      </c>
      <c r="Y303" s="69">
        <v>2</v>
      </c>
      <c r="AA303" t="s">
        <v>4524</v>
      </c>
      <c r="AB303" t="s">
        <v>4594</v>
      </c>
      <c r="AC303" t="s">
        <v>4515</v>
      </c>
      <c r="AD303" t="s">
        <v>4749</v>
      </c>
      <c r="AE303" t="s">
        <v>4515</v>
      </c>
      <c r="AF303" t="s">
        <v>4749</v>
      </c>
      <c r="AG303" t="s">
        <v>4353</v>
      </c>
      <c r="AH303" t="s">
        <v>4506</v>
      </c>
      <c r="AI303" t="s">
        <v>4353</v>
      </c>
      <c r="AJ303" t="s">
        <v>4506</v>
      </c>
      <c r="AK303" t="s">
        <v>4519</v>
      </c>
      <c r="AL303" t="s">
        <v>4552</v>
      </c>
      <c r="AM303" t="s">
        <v>4510</v>
      </c>
      <c r="AN303" t="s">
        <v>4634</v>
      </c>
      <c r="AO303" s="134">
        <v>114.628190899001</v>
      </c>
      <c r="AP303" s="135">
        <v>113.126126126126</v>
      </c>
      <c r="AQ303">
        <v>0.38626126126126098</v>
      </c>
      <c r="AR303" s="136">
        <v>1.22972972972973</v>
      </c>
      <c r="AS303">
        <v>7.3806306306306304</v>
      </c>
    </row>
    <row r="304" spans="1:45" customFormat="1" ht="136">
      <c r="A304" s="65">
        <v>625</v>
      </c>
      <c r="B304" s="69" t="s">
        <v>1707</v>
      </c>
      <c r="C304" s="69" t="s">
        <v>45</v>
      </c>
      <c r="D304" s="31">
        <f t="shared" si="31"/>
        <v>4</v>
      </c>
      <c r="E304" s="69" t="s">
        <v>46</v>
      </c>
      <c r="F304" s="31">
        <f t="shared" si="32"/>
        <v>6</v>
      </c>
      <c r="G304" s="147" t="s">
        <v>818</v>
      </c>
      <c r="H304" s="138">
        <v>198</v>
      </c>
      <c r="I304" s="92">
        <f t="shared" si="30"/>
        <v>0.91249989414621746</v>
      </c>
      <c r="J304" s="95">
        <v>0.99999978829243497</v>
      </c>
      <c r="K304" s="137">
        <v>0.76722468700001201</v>
      </c>
      <c r="L304" s="137">
        <v>0.82499999999999996</v>
      </c>
      <c r="M304" s="137">
        <v>0.68056171750003003</v>
      </c>
      <c r="N304" s="136">
        <v>1</v>
      </c>
      <c r="O304" s="154">
        <v>43597</v>
      </c>
      <c r="P304" s="98">
        <f t="shared" si="33"/>
        <v>2</v>
      </c>
      <c r="Q304" s="111">
        <v>2.5499999999999998</v>
      </c>
      <c r="R304" s="111">
        <v>6.6</v>
      </c>
      <c r="S304" s="111">
        <v>0</v>
      </c>
      <c r="T304" s="112" t="s">
        <v>64</v>
      </c>
      <c r="U304" s="136" t="s">
        <v>1731</v>
      </c>
      <c r="V304" s="208" t="s">
        <v>1732</v>
      </c>
      <c r="W304" s="69">
        <v>89</v>
      </c>
      <c r="X304" s="147">
        <v>3</v>
      </c>
      <c r="Y304" s="147">
        <v>5</v>
      </c>
      <c r="Z304" s="69"/>
      <c r="AA304" t="s">
        <v>4524</v>
      </c>
      <c r="AB304" t="s">
        <v>87</v>
      </c>
      <c r="AC304" t="s">
        <v>4530</v>
      </c>
      <c r="AD304" t="s">
        <v>4838</v>
      </c>
      <c r="AE304" t="s">
        <v>4513</v>
      </c>
      <c r="AF304" t="s">
        <v>4751</v>
      </c>
      <c r="AG304" t="s">
        <v>223</v>
      </c>
      <c r="AH304" t="s">
        <v>4689</v>
      </c>
      <c r="AI304" t="s">
        <v>4353</v>
      </c>
      <c r="AJ304" t="s">
        <v>4506</v>
      </c>
      <c r="AK304" t="s">
        <v>4519</v>
      </c>
      <c r="AL304" t="s">
        <v>4552</v>
      </c>
      <c r="AM304" t="s">
        <v>4510</v>
      </c>
      <c r="AN304" t="s">
        <v>4634</v>
      </c>
      <c r="AO304" s="134">
        <v>114.51666666666701</v>
      </c>
      <c r="AP304" s="135">
        <v>113.126126126126</v>
      </c>
      <c r="AQ304">
        <v>0.38626126126126098</v>
      </c>
      <c r="AR304" s="136">
        <v>1.22972972972973</v>
      </c>
      <c r="AS304">
        <v>7.3806306306306304</v>
      </c>
    </row>
    <row r="305" spans="1:45" customFormat="1" ht="121">
      <c r="A305">
        <v>454</v>
      </c>
      <c r="B305" s="69" t="s">
        <v>1222</v>
      </c>
      <c r="C305" s="69" t="s">
        <v>45</v>
      </c>
      <c r="D305" s="31">
        <f t="shared" si="31"/>
        <v>4</v>
      </c>
      <c r="E305" s="69" t="s">
        <v>221</v>
      </c>
      <c r="F305" s="31">
        <f t="shared" si="32"/>
        <v>2</v>
      </c>
      <c r="G305" s="137" t="s">
        <v>1296</v>
      </c>
      <c r="H305" s="138">
        <v>215</v>
      </c>
      <c r="I305" s="92">
        <f t="shared" si="30"/>
        <v>0.23356984349716256</v>
      </c>
      <c r="J305" s="95">
        <v>1.4486946999591199E-3</v>
      </c>
      <c r="K305" s="137">
        <v>0.56512888109090498</v>
      </c>
      <c r="L305" s="137">
        <v>0.465690992294366</v>
      </c>
      <c r="M305" s="137">
        <v>0.71428571428571397</v>
      </c>
      <c r="N305" s="136">
        <v>1</v>
      </c>
      <c r="O305" s="154">
        <v>43597</v>
      </c>
      <c r="P305" s="98">
        <f t="shared" si="33"/>
        <v>2</v>
      </c>
      <c r="Q305" s="111">
        <v>2.5499999999999998</v>
      </c>
      <c r="R305" s="111">
        <v>0</v>
      </c>
      <c r="S305" s="111">
        <v>0</v>
      </c>
      <c r="T305" s="112" t="s">
        <v>64</v>
      </c>
      <c r="U305" s="136" t="s">
        <v>1297</v>
      </c>
      <c r="V305" s="137" t="s">
        <v>1298</v>
      </c>
      <c r="W305" s="69">
        <v>124</v>
      </c>
      <c r="X305" s="69">
        <v>3</v>
      </c>
      <c r="Y305" s="69">
        <v>4</v>
      </c>
      <c r="AA305" t="s">
        <v>4839</v>
      </c>
      <c r="AB305" t="s">
        <v>51</v>
      </c>
      <c r="AC305" t="s">
        <v>4353</v>
      </c>
      <c r="AD305" t="s">
        <v>4506</v>
      </c>
      <c r="AE305" t="s">
        <v>4513</v>
      </c>
      <c r="AF305" t="s">
        <v>4779</v>
      </c>
      <c r="AG305" t="s">
        <v>4515</v>
      </c>
      <c r="AH305" t="s">
        <v>4674</v>
      </c>
      <c r="AI305" t="s">
        <v>4353</v>
      </c>
      <c r="AJ305" t="s">
        <v>4506</v>
      </c>
      <c r="AK305" t="s">
        <v>4519</v>
      </c>
      <c r="AL305" t="s">
        <v>4519</v>
      </c>
      <c r="AM305" t="s">
        <v>4519</v>
      </c>
      <c r="AN305" t="s">
        <v>4564</v>
      </c>
      <c r="AO305" s="134">
        <v>114.423804226919</v>
      </c>
      <c r="AP305" s="135">
        <v>113.126126126126</v>
      </c>
      <c r="AQ305">
        <v>0.38626126126126098</v>
      </c>
      <c r="AR305" s="136">
        <v>1.22972972972973</v>
      </c>
      <c r="AS305">
        <v>7.3806306306306304</v>
      </c>
    </row>
    <row r="306" spans="1:45" customFormat="1" ht="106">
      <c r="A306">
        <v>274</v>
      </c>
      <c r="B306" s="69" t="s">
        <v>589</v>
      </c>
      <c r="C306" s="69" t="s">
        <v>59</v>
      </c>
      <c r="D306" s="31">
        <f t="shared" si="31"/>
        <v>5</v>
      </c>
      <c r="E306" s="69" t="s">
        <v>221</v>
      </c>
      <c r="F306" s="31">
        <f t="shared" si="32"/>
        <v>2</v>
      </c>
      <c r="G306" s="147" t="s">
        <v>824</v>
      </c>
      <c r="H306" s="138">
        <v>114</v>
      </c>
      <c r="I306" s="92">
        <f t="shared" si="30"/>
        <v>0.78738750987093908</v>
      </c>
      <c r="J306" s="95">
        <v>0.95494030899807603</v>
      </c>
      <c r="K306" s="137">
        <v>0.56586932499119602</v>
      </c>
      <c r="L306" s="137">
        <v>0.61983471074380203</v>
      </c>
      <c r="M306" s="137">
        <v>0.48492124636228701</v>
      </c>
      <c r="N306" s="136">
        <v>1</v>
      </c>
      <c r="O306" s="154">
        <v>43596</v>
      </c>
      <c r="P306" s="98">
        <f t="shared" si="33"/>
        <v>1</v>
      </c>
      <c r="Q306" s="111">
        <v>0</v>
      </c>
      <c r="R306" s="111">
        <v>0</v>
      </c>
      <c r="S306" s="111">
        <v>0</v>
      </c>
      <c r="T306" s="112" t="s">
        <v>73</v>
      </c>
      <c r="U306" s="137" t="s">
        <v>825</v>
      </c>
      <c r="V306" s="137" t="s">
        <v>826</v>
      </c>
      <c r="W306" s="69">
        <v>156</v>
      </c>
      <c r="X306" s="147">
        <v>4</v>
      </c>
      <c r="Y306" s="147">
        <v>13</v>
      </c>
      <c r="AA306" t="s">
        <v>4564</v>
      </c>
      <c r="AB306" t="s">
        <v>358</v>
      </c>
      <c r="AC306" t="s">
        <v>223</v>
      </c>
      <c r="AD306" t="s">
        <v>4789</v>
      </c>
      <c r="AE306" t="s">
        <v>4515</v>
      </c>
      <c r="AF306" t="s">
        <v>4790</v>
      </c>
      <c r="AG306" t="s">
        <v>223</v>
      </c>
      <c r="AH306" t="s">
        <v>4789</v>
      </c>
      <c r="AI306" t="s">
        <v>4513</v>
      </c>
      <c r="AJ306" t="s">
        <v>4614</v>
      </c>
      <c r="AK306" t="s">
        <v>4519</v>
      </c>
      <c r="AL306" t="s">
        <v>4519</v>
      </c>
      <c r="AM306" t="s">
        <v>4528</v>
      </c>
      <c r="AN306" t="s">
        <v>4529</v>
      </c>
      <c r="AO306" s="134">
        <v>114.44988864142501</v>
      </c>
      <c r="AP306" s="135">
        <v>113.126126126126</v>
      </c>
      <c r="AQ306">
        <v>0.38626126126126098</v>
      </c>
      <c r="AR306" s="136">
        <v>1.22972972972973</v>
      </c>
      <c r="AS306">
        <v>7.3806306306306304</v>
      </c>
    </row>
    <row r="307" spans="1:45" customFormat="1" ht="91">
      <c r="A307" s="65">
        <v>273</v>
      </c>
      <c r="B307" s="69" t="s">
        <v>589</v>
      </c>
      <c r="C307" s="69" t="s">
        <v>45</v>
      </c>
      <c r="D307" s="31">
        <f t="shared" si="31"/>
        <v>4</v>
      </c>
      <c r="E307" s="69" t="s">
        <v>46</v>
      </c>
      <c r="F307" s="31">
        <f t="shared" si="32"/>
        <v>6</v>
      </c>
      <c r="G307" s="188" t="s">
        <v>821</v>
      </c>
      <c r="H307" s="138">
        <v>91</v>
      </c>
      <c r="I307" s="92">
        <f t="shared" si="30"/>
        <v>0.60973932607299497</v>
      </c>
      <c r="J307" s="95">
        <v>0.53766047032780795</v>
      </c>
      <c r="K307" s="137">
        <v>0.69480519480519498</v>
      </c>
      <c r="L307" s="137">
        <v>0.68181818181818199</v>
      </c>
      <c r="M307" s="137">
        <v>0.71428571428571397</v>
      </c>
      <c r="N307" s="136">
        <v>0</v>
      </c>
      <c r="O307" s="154">
        <v>43596</v>
      </c>
      <c r="P307" s="98">
        <f t="shared" si="33"/>
        <v>1</v>
      </c>
      <c r="Q307" s="113">
        <v>2.5499999999999998</v>
      </c>
      <c r="R307" s="113">
        <v>1.65</v>
      </c>
      <c r="S307" s="113">
        <v>1.87</v>
      </c>
      <c r="T307" s="114" t="s">
        <v>73</v>
      </c>
      <c r="U307" s="147" t="s">
        <v>822</v>
      </c>
      <c r="V307" s="137" t="s">
        <v>823</v>
      </c>
      <c r="W307" s="69">
        <v>124</v>
      </c>
      <c r="X307" s="188">
        <v>1</v>
      </c>
      <c r="Y307" s="188">
        <v>4</v>
      </c>
      <c r="AA307" t="s">
        <v>4564</v>
      </c>
      <c r="AB307" t="s">
        <v>4576</v>
      </c>
      <c r="AC307" t="s">
        <v>223</v>
      </c>
      <c r="AD307" t="s">
        <v>4574</v>
      </c>
      <c r="AE307" t="s">
        <v>4530</v>
      </c>
      <c r="AF307" t="s">
        <v>4840</v>
      </c>
      <c r="AG307" t="s">
        <v>4530</v>
      </c>
      <c r="AH307" t="s">
        <v>4840</v>
      </c>
      <c r="AI307" t="s">
        <v>4353</v>
      </c>
      <c r="AJ307" t="s">
        <v>4506</v>
      </c>
      <c r="AK307" t="s">
        <v>4519</v>
      </c>
      <c r="AL307" t="s">
        <v>4519</v>
      </c>
      <c r="AM307" t="s">
        <v>4715</v>
      </c>
      <c r="AN307" t="s">
        <v>4716</v>
      </c>
      <c r="AO307" s="134">
        <v>114.450390189521</v>
      </c>
      <c r="AP307" s="135">
        <v>113.126126126126</v>
      </c>
      <c r="AQ307">
        <v>0.38626126126126098</v>
      </c>
      <c r="AR307" s="136">
        <v>1.22972972972973</v>
      </c>
      <c r="AS307">
        <v>7.3806306306306304</v>
      </c>
    </row>
    <row r="308" spans="1:45" customFormat="1" ht="91">
      <c r="A308">
        <v>1195</v>
      </c>
      <c r="B308" s="69" t="s">
        <v>3209</v>
      </c>
      <c r="C308" s="69" t="s">
        <v>45</v>
      </c>
      <c r="D308" s="31">
        <f t="shared" si="31"/>
        <v>4</v>
      </c>
      <c r="E308" s="69" t="s">
        <v>80</v>
      </c>
      <c r="F308" s="31">
        <f t="shared" si="32"/>
        <v>4</v>
      </c>
      <c r="G308" s="147" t="s">
        <v>3210</v>
      </c>
      <c r="H308" s="138">
        <v>38</v>
      </c>
      <c r="I308" s="92">
        <f t="shared" si="30"/>
        <v>0.76496752293477399</v>
      </c>
      <c r="J308" s="95">
        <v>0.70493504586954803</v>
      </c>
      <c r="K308" s="137">
        <v>0.78071428571428603</v>
      </c>
      <c r="L308" s="137">
        <v>0.82499999999999996</v>
      </c>
      <c r="M308" s="137">
        <v>0.71428571428571397</v>
      </c>
      <c r="N308" s="136">
        <v>1</v>
      </c>
      <c r="O308" s="154">
        <v>43595</v>
      </c>
      <c r="P308" s="98">
        <f t="shared" si="33"/>
        <v>2</v>
      </c>
      <c r="Q308" s="113">
        <v>0</v>
      </c>
      <c r="R308" s="113">
        <v>0</v>
      </c>
      <c r="S308" s="113">
        <v>0</v>
      </c>
      <c r="T308" s="119" t="s">
        <v>64</v>
      </c>
      <c r="U308" s="147" t="s">
        <v>3211</v>
      </c>
      <c r="V308" s="147" t="s">
        <v>3212</v>
      </c>
      <c r="W308" s="69">
        <v>121</v>
      </c>
      <c r="X308" s="147">
        <v>1</v>
      </c>
      <c r="Y308" s="147">
        <v>4</v>
      </c>
      <c r="Z308" s="69"/>
      <c r="AA308" t="s">
        <v>4543</v>
      </c>
      <c r="AB308" t="s">
        <v>51</v>
      </c>
      <c r="AC308" t="s">
        <v>223</v>
      </c>
      <c r="AD308" t="s">
        <v>4841</v>
      </c>
      <c r="AE308" t="s">
        <v>4515</v>
      </c>
      <c r="AF308" t="s">
        <v>4842</v>
      </c>
      <c r="AG308" t="s">
        <v>4353</v>
      </c>
      <c r="AH308" t="s">
        <v>4506</v>
      </c>
      <c r="AI308" t="s">
        <v>223</v>
      </c>
      <c r="AJ308" t="s">
        <v>4841</v>
      </c>
      <c r="AK308" t="s">
        <v>4519</v>
      </c>
      <c r="AL308" t="s">
        <v>4519</v>
      </c>
      <c r="AM308" t="s">
        <v>4528</v>
      </c>
      <c r="AN308" t="s">
        <v>4529</v>
      </c>
      <c r="AO308" s="134">
        <v>114.524553571429</v>
      </c>
      <c r="AP308" s="135">
        <v>113.126126126126</v>
      </c>
      <c r="AQ308">
        <v>0.38626126126126098</v>
      </c>
      <c r="AR308" s="136">
        <v>1.22972972972973</v>
      </c>
      <c r="AS308">
        <v>7.3806306306306304</v>
      </c>
    </row>
    <row r="309" spans="1:45" customFormat="1" ht="76">
      <c r="A309" s="65">
        <v>165</v>
      </c>
      <c r="B309" s="69" t="s">
        <v>499</v>
      </c>
      <c r="C309" s="69" t="s">
        <v>45</v>
      </c>
      <c r="D309" s="31">
        <f t="shared" si="31"/>
        <v>4</v>
      </c>
      <c r="E309" s="69" t="s">
        <v>221</v>
      </c>
      <c r="F309" s="31">
        <f t="shared" si="32"/>
        <v>2</v>
      </c>
      <c r="G309" s="189" t="s">
        <v>499</v>
      </c>
      <c r="H309" s="138">
        <v>48</v>
      </c>
      <c r="I309" s="92">
        <f t="shared" si="30"/>
        <v>0.31135143317761588</v>
      </c>
      <c r="J309" s="95">
        <v>2.8681556114297201E-3</v>
      </c>
      <c r="K309" s="137">
        <v>0.59119924586523098</v>
      </c>
      <c r="L309" s="137">
        <v>0.61983471074380203</v>
      </c>
      <c r="M309" s="137">
        <v>0.54824604854737402</v>
      </c>
      <c r="N309" s="136">
        <v>0</v>
      </c>
      <c r="O309" s="167">
        <v>43595</v>
      </c>
      <c r="P309" s="98">
        <f t="shared" si="33"/>
        <v>0</v>
      </c>
      <c r="Q309" s="113">
        <v>2.5499999999999998</v>
      </c>
      <c r="R309" s="113">
        <v>0</v>
      </c>
      <c r="S309" s="113">
        <v>0</v>
      </c>
      <c r="T309" s="114" t="s">
        <v>48</v>
      </c>
      <c r="U309" s="137" t="s">
        <v>517</v>
      </c>
      <c r="V309" s="137" t="s">
        <v>518</v>
      </c>
      <c r="W309" s="69">
        <v>94</v>
      </c>
      <c r="X309" s="195">
        <v>2</v>
      </c>
      <c r="Y309" s="195">
        <v>10</v>
      </c>
      <c r="AA309" t="s">
        <v>4564</v>
      </c>
      <c r="AB309" t="s">
        <v>51</v>
      </c>
      <c r="AC309" t="s">
        <v>4353</v>
      </c>
      <c r="AD309" t="s">
        <v>4506</v>
      </c>
      <c r="AE309" t="s">
        <v>4513</v>
      </c>
      <c r="AF309" t="s">
        <v>4724</v>
      </c>
      <c r="AG309" t="s">
        <v>4515</v>
      </c>
      <c r="AH309" t="s">
        <v>4781</v>
      </c>
      <c r="AI309" t="s">
        <v>4353</v>
      </c>
      <c r="AJ309" t="s">
        <v>4506</v>
      </c>
      <c r="AK309" t="s">
        <v>4519</v>
      </c>
      <c r="AL309" t="s">
        <v>4519</v>
      </c>
      <c r="AM309" t="s">
        <v>4528</v>
      </c>
      <c r="AN309" t="s">
        <v>4529</v>
      </c>
      <c r="AO309" s="134">
        <v>114.61005586592201</v>
      </c>
      <c r="AP309" s="135">
        <v>113.126126126126</v>
      </c>
      <c r="AQ309">
        <v>0.38626126126126098</v>
      </c>
      <c r="AR309" s="136">
        <v>1.22972972972973</v>
      </c>
      <c r="AS309">
        <v>7.3806306306306304</v>
      </c>
    </row>
    <row r="310" spans="1:45" customFormat="1" ht="91">
      <c r="A310" s="65">
        <v>1196</v>
      </c>
      <c r="B310" s="69" t="s">
        <v>3209</v>
      </c>
      <c r="C310" s="69" t="s">
        <v>45</v>
      </c>
      <c r="D310" s="31">
        <f t="shared" si="31"/>
        <v>4</v>
      </c>
      <c r="E310" s="69" t="s">
        <v>80</v>
      </c>
      <c r="F310" s="31">
        <f t="shared" si="32"/>
        <v>4</v>
      </c>
      <c r="G310" s="147" t="s">
        <v>268</v>
      </c>
      <c r="H310" s="138">
        <v>40</v>
      </c>
      <c r="I310" s="92">
        <f t="shared" si="30"/>
        <v>0.41421471520234376</v>
      </c>
      <c r="J310" s="95">
        <v>3.4294304046875702E-3</v>
      </c>
      <c r="K310" s="137">
        <v>0.76722468700001201</v>
      </c>
      <c r="L310" s="137">
        <v>0.82499999999999996</v>
      </c>
      <c r="M310" s="137">
        <v>0.68056171750003003</v>
      </c>
      <c r="N310" s="136">
        <v>1</v>
      </c>
      <c r="O310" s="194">
        <v>43594</v>
      </c>
      <c r="P310" s="98">
        <f t="shared" si="33"/>
        <v>0</v>
      </c>
      <c r="Q310" s="113">
        <v>0</v>
      </c>
      <c r="R310" s="113">
        <v>1.65</v>
      </c>
      <c r="S310" s="113">
        <v>0</v>
      </c>
      <c r="T310" s="119" t="s">
        <v>48</v>
      </c>
      <c r="U310" s="147" t="s">
        <v>3213</v>
      </c>
      <c r="V310" s="147" t="s">
        <v>3212</v>
      </c>
      <c r="W310" s="69">
        <v>121</v>
      </c>
      <c r="X310" s="147">
        <v>1</v>
      </c>
      <c r="Y310" s="147">
        <v>5</v>
      </c>
      <c r="Z310" s="69"/>
      <c r="AA310" t="s">
        <v>4619</v>
      </c>
      <c r="AB310" t="s">
        <v>51</v>
      </c>
      <c r="AC310" t="s">
        <v>223</v>
      </c>
      <c r="AD310" t="s">
        <v>4841</v>
      </c>
      <c r="AE310" t="s">
        <v>4515</v>
      </c>
      <c r="AF310" t="s">
        <v>4842</v>
      </c>
      <c r="AG310" t="s">
        <v>4353</v>
      </c>
      <c r="AH310" t="s">
        <v>4506</v>
      </c>
      <c r="AI310" t="s">
        <v>223</v>
      </c>
      <c r="AJ310" t="s">
        <v>4841</v>
      </c>
      <c r="AK310" t="s">
        <v>4519</v>
      </c>
      <c r="AL310" t="s">
        <v>4519</v>
      </c>
      <c r="AM310" t="s">
        <v>4520</v>
      </c>
      <c r="AN310" t="s">
        <v>4558</v>
      </c>
      <c r="AO310" s="134">
        <v>114.693512304251</v>
      </c>
      <c r="AP310" s="135">
        <v>113.126126126126</v>
      </c>
      <c r="AQ310">
        <v>0.38626126126126098</v>
      </c>
      <c r="AR310" s="136">
        <v>1.22972972972973</v>
      </c>
      <c r="AS310">
        <v>7.3806306306306304</v>
      </c>
    </row>
    <row r="311" spans="1:45" customFormat="1" ht="151">
      <c r="A311">
        <v>455</v>
      </c>
      <c r="B311" s="69" t="s">
        <v>1222</v>
      </c>
      <c r="C311" s="69" t="s">
        <v>45</v>
      </c>
      <c r="D311" s="31">
        <f t="shared" si="31"/>
        <v>4</v>
      </c>
      <c r="E311" s="69" t="s">
        <v>1223</v>
      </c>
      <c r="F311" s="31">
        <f t="shared" si="32"/>
        <v>8</v>
      </c>
      <c r="G311" s="137" t="s">
        <v>1299</v>
      </c>
      <c r="H311" s="138">
        <v>113</v>
      </c>
      <c r="I311" s="92">
        <f t="shared" si="30"/>
        <v>0.48304461922487602</v>
      </c>
      <c r="J311" s="95">
        <v>0.453829146925949</v>
      </c>
      <c r="K311" s="137">
        <v>0.55617026571059103</v>
      </c>
      <c r="L311" s="137">
        <v>0.51226009152380303</v>
      </c>
      <c r="M311" s="137">
        <v>0.62203552699077302</v>
      </c>
      <c r="N311" s="136">
        <v>1</v>
      </c>
      <c r="O311" s="154">
        <v>43593</v>
      </c>
      <c r="P311" s="98">
        <f t="shared" si="33"/>
        <v>0</v>
      </c>
      <c r="Q311" s="111">
        <v>2.5499999999999998</v>
      </c>
      <c r="R311" s="111">
        <v>0</v>
      </c>
      <c r="S311" s="111">
        <v>0</v>
      </c>
      <c r="T311" s="112" t="s">
        <v>48</v>
      </c>
      <c r="U311" s="147" t="s">
        <v>1300</v>
      </c>
      <c r="V311" s="137" t="s">
        <v>1301</v>
      </c>
      <c r="W311" s="69">
        <v>211</v>
      </c>
      <c r="X311" s="171">
        <v>2</v>
      </c>
      <c r="Y311" s="171">
        <v>7</v>
      </c>
      <c r="AA311" t="s">
        <v>4843</v>
      </c>
      <c r="AB311" t="s">
        <v>87</v>
      </c>
      <c r="AC311" t="s">
        <v>4513</v>
      </c>
      <c r="AD311" t="s">
        <v>4507</v>
      </c>
      <c r="AE311" t="s">
        <v>223</v>
      </c>
      <c r="AF311" t="s">
        <v>4844</v>
      </c>
      <c r="AG311" t="s">
        <v>4515</v>
      </c>
      <c r="AH311" t="s">
        <v>4845</v>
      </c>
      <c r="AI311" t="s">
        <v>223</v>
      </c>
      <c r="AJ311" t="s">
        <v>4844</v>
      </c>
      <c r="AK311" t="s">
        <v>4519</v>
      </c>
      <c r="AL311" t="s">
        <v>4519</v>
      </c>
      <c r="AM311" t="s">
        <v>4528</v>
      </c>
      <c r="AN311" t="s">
        <v>4529</v>
      </c>
      <c r="AO311" s="134">
        <v>114.695408734602</v>
      </c>
      <c r="AP311" s="135">
        <v>113.126126126126</v>
      </c>
      <c r="AQ311">
        <v>0.38626126126126098</v>
      </c>
      <c r="AR311" s="136">
        <v>1.22972972972973</v>
      </c>
      <c r="AS311">
        <v>7.3806306306306304</v>
      </c>
    </row>
    <row r="312" spans="1:45" customFormat="1" ht="151">
      <c r="A312" s="65">
        <v>456</v>
      </c>
      <c r="B312" s="69" t="s">
        <v>1222</v>
      </c>
      <c r="C312" s="69" t="s">
        <v>45</v>
      </c>
      <c r="D312" s="31">
        <f t="shared" si="31"/>
        <v>4</v>
      </c>
      <c r="E312" s="69" t="s">
        <v>1223</v>
      </c>
      <c r="F312" s="31">
        <f t="shared" si="32"/>
        <v>8</v>
      </c>
      <c r="G312" s="137" t="s">
        <v>1302</v>
      </c>
      <c r="H312" s="138">
        <v>78</v>
      </c>
      <c r="I312" s="92">
        <f t="shared" si="30"/>
        <v>0.28279784091187771</v>
      </c>
      <c r="J312" s="95">
        <v>2.1095811475724301E-3</v>
      </c>
      <c r="K312" s="137">
        <v>0.55739007982466005</v>
      </c>
      <c r="L312" s="137">
        <v>0.56348610067618299</v>
      </c>
      <c r="M312" s="137">
        <v>0.54824604854737402</v>
      </c>
      <c r="N312" s="136">
        <v>1</v>
      </c>
      <c r="O312" s="154">
        <v>43592</v>
      </c>
      <c r="P312" s="98">
        <f t="shared" si="33"/>
        <v>1</v>
      </c>
      <c r="Q312" s="111">
        <v>2.5499999999999998</v>
      </c>
      <c r="R312" s="111">
        <v>0</v>
      </c>
      <c r="S312" s="111">
        <v>0</v>
      </c>
      <c r="T312" s="112" t="s">
        <v>73</v>
      </c>
      <c r="U312" s="137" t="s">
        <v>1303</v>
      </c>
      <c r="V312" s="137" t="s">
        <v>1301</v>
      </c>
      <c r="W312" s="69">
        <v>211</v>
      </c>
      <c r="X312" s="69">
        <v>2</v>
      </c>
      <c r="Y312" s="69">
        <v>10</v>
      </c>
      <c r="AA312" t="s">
        <v>4846</v>
      </c>
      <c r="AB312" t="s">
        <v>87</v>
      </c>
      <c r="AC312" t="s">
        <v>4513</v>
      </c>
      <c r="AD312" t="s">
        <v>4507</v>
      </c>
      <c r="AE312" t="s">
        <v>223</v>
      </c>
      <c r="AF312" t="s">
        <v>4844</v>
      </c>
      <c r="AG312" t="s">
        <v>4515</v>
      </c>
      <c r="AH312" t="s">
        <v>4845</v>
      </c>
      <c r="AI312" t="s">
        <v>223</v>
      </c>
      <c r="AJ312" t="s">
        <v>4844</v>
      </c>
      <c r="AK312" t="s">
        <v>4508</v>
      </c>
      <c r="AL312" t="s">
        <v>4519</v>
      </c>
      <c r="AM312" t="s">
        <v>4510</v>
      </c>
      <c r="AN312" t="s">
        <v>4572</v>
      </c>
      <c r="AO312" s="134">
        <v>114.73654708520201</v>
      </c>
      <c r="AP312" s="135">
        <v>113.126126126126</v>
      </c>
      <c r="AQ312">
        <v>0.38626126126126098</v>
      </c>
      <c r="AR312" s="136">
        <v>1.22972972972973</v>
      </c>
      <c r="AS312">
        <v>7.3806306306306304</v>
      </c>
    </row>
    <row r="313" spans="1:45" customFormat="1" ht="211">
      <c r="A313" s="65">
        <v>457</v>
      </c>
      <c r="B313" s="69" t="s">
        <v>1222</v>
      </c>
      <c r="C313" s="69" t="s">
        <v>45</v>
      </c>
      <c r="D313" s="31">
        <f t="shared" si="31"/>
        <v>4</v>
      </c>
      <c r="E313" s="69" t="s">
        <v>1223</v>
      </c>
      <c r="F313" s="31">
        <f t="shared" si="32"/>
        <v>8</v>
      </c>
      <c r="G313" s="147" t="s">
        <v>1304</v>
      </c>
      <c r="H313" s="138">
        <v>105</v>
      </c>
      <c r="I313" s="92">
        <f t="shared" si="30"/>
        <v>0.3099174327043645</v>
      </c>
      <c r="J313" s="95">
        <v>1.5466492697679999E-7</v>
      </c>
      <c r="K313" s="137">
        <v>0.56586932499119602</v>
      </c>
      <c r="L313" s="137">
        <v>0.61983471074380203</v>
      </c>
      <c r="M313" s="137">
        <v>0.48492124636228701</v>
      </c>
      <c r="N313" s="136">
        <v>1</v>
      </c>
      <c r="O313" s="154">
        <v>43592</v>
      </c>
      <c r="P313" s="98">
        <f t="shared" si="33"/>
        <v>1</v>
      </c>
      <c r="Q313" s="113">
        <v>0</v>
      </c>
      <c r="R313" s="113">
        <v>0</v>
      </c>
      <c r="S313" s="113">
        <v>0</v>
      </c>
      <c r="T313" s="114" t="s">
        <v>73</v>
      </c>
      <c r="U313" s="188" t="s">
        <v>1305</v>
      </c>
      <c r="V313" s="147" t="s">
        <v>1306</v>
      </c>
      <c r="W313" s="69">
        <v>272</v>
      </c>
      <c r="X313" s="188">
        <v>6</v>
      </c>
      <c r="Y313" s="188">
        <v>13</v>
      </c>
      <c r="AA313" t="s">
        <v>4564</v>
      </c>
      <c r="AB313" t="s">
        <v>87</v>
      </c>
      <c r="AC313" t="s">
        <v>4513</v>
      </c>
      <c r="AD313" t="s">
        <v>4847</v>
      </c>
      <c r="AE313" t="s">
        <v>223</v>
      </c>
      <c r="AF313" t="s">
        <v>4848</v>
      </c>
      <c r="AG313" t="s">
        <v>223</v>
      </c>
      <c r="AH313" t="s">
        <v>4848</v>
      </c>
      <c r="AI313" t="s">
        <v>223</v>
      </c>
      <c r="AJ313" t="s">
        <v>4848</v>
      </c>
      <c r="AK313" t="s">
        <v>4519</v>
      </c>
      <c r="AL313" t="s">
        <v>4519</v>
      </c>
      <c r="AM313" t="s">
        <v>4528</v>
      </c>
      <c r="AN313" t="s">
        <v>4529</v>
      </c>
      <c r="AO313" s="134">
        <v>114.747474747475</v>
      </c>
      <c r="AP313" s="135">
        <v>113.126126126126</v>
      </c>
      <c r="AQ313">
        <v>0.38626126126126098</v>
      </c>
      <c r="AR313" s="136">
        <v>1.22972972972973</v>
      </c>
      <c r="AS313">
        <v>7.3806306306306304</v>
      </c>
    </row>
    <row r="314" spans="1:45" customFormat="1" ht="151">
      <c r="A314">
        <v>458</v>
      </c>
      <c r="B314" s="69" t="s">
        <v>1222</v>
      </c>
      <c r="C314" s="69" t="s">
        <v>45</v>
      </c>
      <c r="D314" s="31">
        <f t="shared" si="31"/>
        <v>4</v>
      </c>
      <c r="E314" s="69" t="s">
        <v>80</v>
      </c>
      <c r="F314" s="31">
        <f t="shared" si="32"/>
        <v>4</v>
      </c>
      <c r="G314" s="137" t="s">
        <v>1307</v>
      </c>
      <c r="H314" s="138">
        <v>108</v>
      </c>
      <c r="I314" s="92">
        <f t="shared" si="30"/>
        <v>0.70502267569934696</v>
      </c>
      <c r="J314" s="95">
        <v>0.98668990385836097</v>
      </c>
      <c r="K314" s="137">
        <v>0.44798176706911502</v>
      </c>
      <c r="L314" s="137">
        <v>0.423355447540333</v>
      </c>
      <c r="M314" s="137">
        <v>0.48492124636228701</v>
      </c>
      <c r="N314" s="136">
        <v>1</v>
      </c>
      <c r="O314" s="154">
        <v>43589</v>
      </c>
      <c r="P314" s="98">
        <f t="shared" si="33"/>
        <v>1</v>
      </c>
      <c r="Q314" s="111">
        <v>2.5499999999999998</v>
      </c>
      <c r="R314" s="111">
        <v>0</v>
      </c>
      <c r="S314" s="111">
        <v>0</v>
      </c>
      <c r="T314" s="112" t="s">
        <v>73</v>
      </c>
      <c r="U314" s="137" t="s">
        <v>1308</v>
      </c>
      <c r="V314" s="137" t="s">
        <v>1301</v>
      </c>
      <c r="W314" s="69">
        <v>211</v>
      </c>
      <c r="X314" s="69">
        <v>3</v>
      </c>
      <c r="Y314" s="69">
        <v>13</v>
      </c>
      <c r="AA314" t="s">
        <v>4636</v>
      </c>
      <c r="AB314" t="s">
        <v>87</v>
      </c>
      <c r="AC314" t="s">
        <v>4513</v>
      </c>
      <c r="AD314" t="s">
        <v>4507</v>
      </c>
      <c r="AE314" t="s">
        <v>223</v>
      </c>
      <c r="AF314" t="s">
        <v>4844</v>
      </c>
      <c r="AG314" t="s">
        <v>4515</v>
      </c>
      <c r="AH314" t="s">
        <v>4845</v>
      </c>
      <c r="AI314" t="s">
        <v>223</v>
      </c>
      <c r="AJ314" t="s">
        <v>4844</v>
      </c>
      <c r="AK314" t="s">
        <v>4519</v>
      </c>
      <c r="AL314" t="s">
        <v>4519</v>
      </c>
      <c r="AM314" t="s">
        <v>4528</v>
      </c>
      <c r="AN314" t="s">
        <v>4529</v>
      </c>
      <c r="AO314" s="134">
        <v>114.755056179775</v>
      </c>
      <c r="AP314" s="135">
        <v>113.148816234498</v>
      </c>
      <c r="AQ314">
        <v>0.38669673055242398</v>
      </c>
      <c r="AR314" s="136">
        <v>1.2299887260428399</v>
      </c>
      <c r="AS314">
        <v>7.3788049605411503</v>
      </c>
    </row>
    <row r="315" spans="1:45" customFormat="1" ht="151">
      <c r="A315">
        <v>459</v>
      </c>
      <c r="B315" s="69" t="s">
        <v>1222</v>
      </c>
      <c r="C315" s="69" t="s">
        <v>45</v>
      </c>
      <c r="D315" s="31">
        <f t="shared" si="31"/>
        <v>4</v>
      </c>
      <c r="E315" s="69" t="s">
        <v>1223</v>
      </c>
      <c r="F315" s="31">
        <f t="shared" si="32"/>
        <v>8</v>
      </c>
      <c r="G315" s="137" t="s">
        <v>1309</v>
      </c>
      <c r="H315" s="138">
        <v>123</v>
      </c>
      <c r="I315" s="92">
        <f t="shared" si="30"/>
        <v>0.23285377473112309</v>
      </c>
      <c r="J315" s="95">
        <v>1.6557167880182399E-5</v>
      </c>
      <c r="K315" s="137">
        <v>0.45810126130762402</v>
      </c>
      <c r="L315" s="137">
        <v>0.465690992294366</v>
      </c>
      <c r="M315" s="137">
        <v>0.44671666482751199</v>
      </c>
      <c r="N315" s="136">
        <v>1</v>
      </c>
      <c r="O315" s="154">
        <v>43587</v>
      </c>
      <c r="P315" s="98">
        <f t="shared" si="33"/>
        <v>1</v>
      </c>
      <c r="Q315" s="111">
        <v>0</v>
      </c>
      <c r="R315" s="111">
        <v>0</v>
      </c>
      <c r="S315" s="111">
        <v>0</v>
      </c>
      <c r="T315" s="112" t="s">
        <v>73</v>
      </c>
      <c r="U315" s="188" t="s">
        <v>1310</v>
      </c>
      <c r="V315" s="137" t="s">
        <v>1301</v>
      </c>
      <c r="W315" s="69">
        <v>211</v>
      </c>
      <c r="X315" s="195">
        <v>3</v>
      </c>
      <c r="Y315" s="195">
        <v>15</v>
      </c>
      <c r="AA315" t="s">
        <v>4556</v>
      </c>
      <c r="AB315" t="s">
        <v>87</v>
      </c>
      <c r="AC315" t="s">
        <v>4513</v>
      </c>
      <c r="AD315" t="s">
        <v>4507</v>
      </c>
      <c r="AE315" t="s">
        <v>223</v>
      </c>
      <c r="AF315" t="s">
        <v>4844</v>
      </c>
      <c r="AG315" t="s">
        <v>4515</v>
      </c>
      <c r="AH315" t="s">
        <v>4845</v>
      </c>
      <c r="AI315" t="s">
        <v>223</v>
      </c>
      <c r="AJ315" t="s">
        <v>4844</v>
      </c>
      <c r="AK315" t="s">
        <v>4519</v>
      </c>
      <c r="AL315" t="s">
        <v>4519</v>
      </c>
      <c r="AM315" t="s">
        <v>4592</v>
      </c>
      <c r="AN315" t="s">
        <v>4626</v>
      </c>
      <c r="AO315" s="134">
        <v>114.745781777278</v>
      </c>
      <c r="AP315" s="135">
        <v>113.148816234498</v>
      </c>
      <c r="AQ315">
        <v>0.38669673055242398</v>
      </c>
      <c r="AR315" s="136">
        <v>1.2299887260428399</v>
      </c>
      <c r="AS315">
        <v>7.3788049605411503</v>
      </c>
    </row>
    <row r="316" spans="1:45" customFormat="1" ht="61">
      <c r="A316">
        <v>702</v>
      </c>
      <c r="B316" s="69" t="s">
        <v>1913</v>
      </c>
      <c r="C316" s="69" t="s">
        <v>45</v>
      </c>
      <c r="D316" s="31">
        <f t="shared" si="31"/>
        <v>4</v>
      </c>
      <c r="E316" s="69" t="s">
        <v>46</v>
      </c>
      <c r="F316" s="31">
        <f t="shared" si="32"/>
        <v>6</v>
      </c>
      <c r="G316" s="188" t="s">
        <v>1929</v>
      </c>
      <c r="H316" s="138">
        <v>29</v>
      </c>
      <c r="I316" s="92">
        <f t="shared" si="30"/>
        <v>0.48626295973894679</v>
      </c>
      <c r="J316" s="95">
        <v>6.5025919477893601E-2</v>
      </c>
      <c r="K316" s="137">
        <v>0.88735714285714296</v>
      </c>
      <c r="L316" s="137">
        <v>0.90749999999999997</v>
      </c>
      <c r="M316" s="137">
        <v>0.85714285714285698</v>
      </c>
      <c r="N316" s="136">
        <v>1</v>
      </c>
      <c r="O316" s="154">
        <v>43584</v>
      </c>
      <c r="P316" s="98">
        <f t="shared" si="33"/>
        <v>0</v>
      </c>
      <c r="Q316" s="111">
        <v>5.0999999999999996</v>
      </c>
      <c r="R316" s="111">
        <v>0</v>
      </c>
      <c r="S316" s="111">
        <v>0</v>
      </c>
      <c r="T316" s="112" t="s">
        <v>48</v>
      </c>
      <c r="U316" s="169" t="s">
        <v>1930</v>
      </c>
      <c r="V316" s="137" t="s">
        <v>1931</v>
      </c>
      <c r="W316" s="69">
        <v>86</v>
      </c>
      <c r="X316" s="195">
        <v>1</v>
      </c>
      <c r="Y316" s="195">
        <v>1</v>
      </c>
      <c r="Z316" s="69"/>
      <c r="AA316" t="s">
        <v>4522</v>
      </c>
      <c r="AB316" t="s">
        <v>4594</v>
      </c>
      <c r="AC316" t="s">
        <v>4515</v>
      </c>
      <c r="AD316" t="s">
        <v>4779</v>
      </c>
      <c r="AE316" t="s">
        <v>4515</v>
      </c>
      <c r="AF316" t="s">
        <v>4779</v>
      </c>
      <c r="AG316" t="s">
        <v>223</v>
      </c>
      <c r="AH316" t="s">
        <v>4693</v>
      </c>
      <c r="AI316" t="s">
        <v>4353</v>
      </c>
      <c r="AJ316" t="s">
        <v>4506</v>
      </c>
      <c r="AK316" t="s">
        <v>4519</v>
      </c>
      <c r="AL316" t="s">
        <v>4519</v>
      </c>
      <c r="AM316" t="s">
        <v>4519</v>
      </c>
      <c r="AN316" t="s">
        <v>4564</v>
      </c>
      <c r="AO316" s="134">
        <v>114.84234234234199</v>
      </c>
      <c r="AP316" s="135">
        <v>113.15628539071299</v>
      </c>
      <c r="AQ316">
        <v>0.38731596828992099</v>
      </c>
      <c r="AR316" s="136">
        <v>1.2310305775764401</v>
      </c>
      <c r="AS316">
        <v>7.40203850509626</v>
      </c>
    </row>
    <row r="317" spans="1:45" customFormat="1" ht="121">
      <c r="A317">
        <v>75</v>
      </c>
      <c r="B317" s="69" t="s">
        <v>217</v>
      </c>
      <c r="C317" s="69" t="s">
        <v>45</v>
      </c>
      <c r="D317" s="31">
        <f t="shared" si="31"/>
        <v>4</v>
      </c>
      <c r="E317" s="69" t="s">
        <v>221</v>
      </c>
      <c r="F317" s="31">
        <f t="shared" si="32"/>
        <v>2</v>
      </c>
      <c r="G317" s="137" t="s">
        <v>271</v>
      </c>
      <c r="H317" s="138">
        <v>63</v>
      </c>
      <c r="I317" s="92">
        <f t="shared" si="30"/>
        <v>0.44409489633307497</v>
      </c>
      <c r="J317" s="95">
        <v>0.13818979266615</v>
      </c>
      <c r="K317" s="137">
        <v>0.79285714285714304</v>
      </c>
      <c r="L317" s="137">
        <v>0.75</v>
      </c>
      <c r="M317" s="137">
        <v>0.85714285714285698</v>
      </c>
      <c r="N317" s="136">
        <v>0</v>
      </c>
      <c r="O317" s="155">
        <v>43583</v>
      </c>
      <c r="P317" s="98">
        <f t="shared" si="33"/>
        <v>0</v>
      </c>
      <c r="Q317" s="111">
        <v>0</v>
      </c>
      <c r="R317" s="111">
        <v>0</v>
      </c>
      <c r="S317" s="111">
        <v>3.74</v>
      </c>
      <c r="T317" s="112" t="s">
        <v>48</v>
      </c>
      <c r="U317" s="137" t="s">
        <v>272</v>
      </c>
      <c r="V317" s="137" t="s">
        <v>273</v>
      </c>
      <c r="W317" s="69">
        <v>169</v>
      </c>
      <c r="X317" s="69">
        <v>1</v>
      </c>
      <c r="Y317" s="69">
        <v>1</v>
      </c>
      <c r="AA317" t="s">
        <v>4733</v>
      </c>
      <c r="AB317" t="s">
        <v>4576</v>
      </c>
      <c r="AC317" t="s">
        <v>223</v>
      </c>
      <c r="AD317" t="s">
        <v>4640</v>
      </c>
      <c r="AE317" t="s">
        <v>4515</v>
      </c>
      <c r="AF317" t="s">
        <v>4639</v>
      </c>
      <c r="AG317" t="s">
        <v>4515</v>
      </c>
      <c r="AH317" t="s">
        <v>4639</v>
      </c>
      <c r="AI317" t="s">
        <v>4353</v>
      </c>
      <c r="AJ317" t="s">
        <v>4506</v>
      </c>
      <c r="AK317" t="s">
        <v>4518</v>
      </c>
      <c r="AL317" t="s">
        <v>4519</v>
      </c>
      <c r="AM317" t="s">
        <v>4528</v>
      </c>
      <c r="AN317" t="s">
        <v>4624</v>
      </c>
      <c r="AO317" s="134">
        <v>114.900789177001</v>
      </c>
      <c r="AP317" s="135">
        <v>113.15628539071299</v>
      </c>
      <c r="AQ317">
        <v>0.38731596828992099</v>
      </c>
      <c r="AR317" s="136">
        <v>1.2310305775764401</v>
      </c>
      <c r="AS317">
        <v>7.40203850509626</v>
      </c>
    </row>
    <row r="318" spans="1:45" customFormat="1" ht="61">
      <c r="A318">
        <v>703</v>
      </c>
      <c r="B318" s="69" t="s">
        <v>1913</v>
      </c>
      <c r="C318" s="69" t="s">
        <v>59</v>
      </c>
      <c r="D318" s="31">
        <f t="shared" si="31"/>
        <v>5</v>
      </c>
      <c r="E318" s="69" t="s">
        <v>46</v>
      </c>
      <c r="F318" s="31">
        <f t="shared" si="32"/>
        <v>6</v>
      </c>
      <c r="G318" s="137" t="s">
        <v>1932</v>
      </c>
      <c r="H318" s="138">
        <v>101</v>
      </c>
      <c r="I318" s="92">
        <f t="shared" si="30"/>
        <v>0.40333233601260698</v>
      </c>
      <c r="J318" s="95">
        <v>0.24317857134903101</v>
      </c>
      <c r="K318" s="137">
        <v>0.63911732854463099</v>
      </c>
      <c r="L318" s="137">
        <v>0.56348610067618299</v>
      </c>
      <c r="M318" s="137">
        <v>0.75256417034730305</v>
      </c>
      <c r="N318" s="136">
        <v>1</v>
      </c>
      <c r="O318" s="154">
        <v>43582</v>
      </c>
      <c r="P318" s="98">
        <f t="shared" si="33"/>
        <v>1</v>
      </c>
      <c r="Q318" s="111">
        <v>2.5499999999999998</v>
      </c>
      <c r="R318" s="111">
        <v>0</v>
      </c>
      <c r="S318" s="111">
        <v>0</v>
      </c>
      <c r="T318" s="112" t="s">
        <v>73</v>
      </c>
      <c r="U318" s="137" t="s">
        <v>1933</v>
      </c>
      <c r="V318" s="137" t="s">
        <v>1931</v>
      </c>
      <c r="W318" s="69">
        <v>86</v>
      </c>
      <c r="X318" s="69">
        <v>2</v>
      </c>
      <c r="Y318" s="69">
        <v>3</v>
      </c>
      <c r="Z318" s="69"/>
      <c r="AA318" t="s">
        <v>4757</v>
      </c>
      <c r="AB318" t="s">
        <v>4594</v>
      </c>
      <c r="AC318" t="s">
        <v>4515</v>
      </c>
      <c r="AD318" t="s">
        <v>4779</v>
      </c>
      <c r="AE318" t="s">
        <v>4515</v>
      </c>
      <c r="AF318" t="s">
        <v>4779</v>
      </c>
      <c r="AG318" t="s">
        <v>223</v>
      </c>
      <c r="AH318" t="s">
        <v>4693</v>
      </c>
      <c r="AI318" t="s">
        <v>4353</v>
      </c>
      <c r="AJ318" t="s">
        <v>4506</v>
      </c>
      <c r="AK318" t="s">
        <v>4519</v>
      </c>
      <c r="AL318" t="s">
        <v>4519</v>
      </c>
      <c r="AM318" t="s">
        <v>4528</v>
      </c>
      <c r="AN318" t="s">
        <v>4529</v>
      </c>
      <c r="AO318" s="134">
        <v>114.97065462754</v>
      </c>
      <c r="AP318" s="135">
        <v>113.15628539071299</v>
      </c>
      <c r="AQ318">
        <v>0.38731596828992099</v>
      </c>
      <c r="AR318" s="136">
        <v>1.2310305775764401</v>
      </c>
      <c r="AS318">
        <v>7.40203850509626</v>
      </c>
    </row>
    <row r="319" spans="1:45" customFormat="1" ht="61">
      <c r="A319" s="65">
        <v>460</v>
      </c>
      <c r="B319" s="69" t="s">
        <v>1222</v>
      </c>
      <c r="C319" s="69" t="s">
        <v>45</v>
      </c>
      <c r="D319" s="31">
        <f t="shared" si="31"/>
        <v>4</v>
      </c>
      <c r="E319" s="69" t="s">
        <v>80</v>
      </c>
      <c r="F319" s="31">
        <f t="shared" si="32"/>
        <v>4</v>
      </c>
      <c r="G319" s="137" t="s">
        <v>1311</v>
      </c>
      <c r="H319" s="138">
        <v>53</v>
      </c>
      <c r="I319" s="92">
        <f t="shared" si="30"/>
        <v>0.41370185943310961</v>
      </c>
      <c r="J319" s="95">
        <v>2.4037188662192599E-3</v>
      </c>
      <c r="K319" s="137">
        <v>0.72357142857142898</v>
      </c>
      <c r="L319" s="137">
        <v>0.82499999999999996</v>
      </c>
      <c r="M319" s="137">
        <v>0.57142857142857095</v>
      </c>
      <c r="N319" s="136">
        <v>1</v>
      </c>
      <c r="O319" s="154">
        <v>43582</v>
      </c>
      <c r="P319" s="98">
        <f t="shared" si="33"/>
        <v>1</v>
      </c>
      <c r="Q319" s="111">
        <v>0</v>
      </c>
      <c r="R319" s="111">
        <v>0</v>
      </c>
      <c r="S319" s="111">
        <v>0</v>
      </c>
      <c r="T319" s="112" t="s">
        <v>73</v>
      </c>
      <c r="U319" s="137" t="s">
        <v>1312</v>
      </c>
      <c r="V319" s="137" t="s">
        <v>1313</v>
      </c>
      <c r="W319" s="69">
        <v>93</v>
      </c>
      <c r="X319" s="69">
        <v>1</v>
      </c>
      <c r="Y319" s="69">
        <v>9</v>
      </c>
      <c r="AA319" t="s">
        <v>4564</v>
      </c>
      <c r="AB319" t="s">
        <v>4566</v>
      </c>
      <c r="AC319" t="s">
        <v>4353</v>
      </c>
      <c r="AD319" t="s">
        <v>4506</v>
      </c>
      <c r="AE319" t="s">
        <v>223</v>
      </c>
      <c r="AF319" t="s">
        <v>4670</v>
      </c>
      <c r="AG319" t="s">
        <v>4353</v>
      </c>
      <c r="AH319" t="s">
        <v>4506</v>
      </c>
      <c r="AI319" t="s">
        <v>223</v>
      </c>
      <c r="AJ319" t="s">
        <v>4670</v>
      </c>
      <c r="AK319" t="s">
        <v>4519</v>
      </c>
      <c r="AL319" t="s">
        <v>4519</v>
      </c>
      <c r="AM319" t="s">
        <v>4528</v>
      </c>
      <c r="AN319" t="s">
        <v>4529</v>
      </c>
      <c r="AO319" s="134">
        <v>114.986440677966</v>
      </c>
      <c r="AP319" s="135">
        <v>113.15628539071299</v>
      </c>
      <c r="AQ319">
        <v>0.38731596828992099</v>
      </c>
      <c r="AR319" s="136">
        <v>1.2310305775764401</v>
      </c>
      <c r="AS319">
        <v>7.40203850509626</v>
      </c>
    </row>
    <row r="320" spans="1:45" customFormat="1" ht="106">
      <c r="A320">
        <v>275</v>
      </c>
      <c r="B320" s="69" t="s">
        <v>589</v>
      </c>
      <c r="C320" s="69" t="s">
        <v>45</v>
      </c>
      <c r="D320" s="31">
        <f t="shared" si="31"/>
        <v>4</v>
      </c>
      <c r="E320" s="69" t="s">
        <v>46</v>
      </c>
      <c r="F320" s="31">
        <f t="shared" si="32"/>
        <v>6</v>
      </c>
      <c r="G320" s="137" t="s">
        <v>827</v>
      </c>
      <c r="H320" s="138">
        <v>190</v>
      </c>
      <c r="I320" s="92">
        <f t="shared" si="30"/>
        <v>0.68181104316590402</v>
      </c>
      <c r="J320" s="95">
        <v>0.80013598565562505</v>
      </c>
      <c r="K320" s="137">
        <v>0.62380594611999596</v>
      </c>
      <c r="L320" s="137">
        <v>0.56348610067618299</v>
      </c>
      <c r="M320" s="137">
        <v>0.71428571428571397</v>
      </c>
      <c r="N320" s="136">
        <v>1</v>
      </c>
      <c r="O320" s="154">
        <v>43581</v>
      </c>
      <c r="P320" s="98">
        <f t="shared" si="33"/>
        <v>1</v>
      </c>
      <c r="Q320" s="111">
        <v>0</v>
      </c>
      <c r="R320" s="111">
        <v>0</v>
      </c>
      <c r="S320" s="111">
        <v>0</v>
      </c>
      <c r="T320" s="112" t="s">
        <v>73</v>
      </c>
      <c r="U320" s="137" t="s">
        <v>828</v>
      </c>
      <c r="V320" s="137" t="s">
        <v>829</v>
      </c>
      <c r="W320" s="69">
        <v>105</v>
      </c>
      <c r="X320" s="69">
        <v>1</v>
      </c>
      <c r="Y320" s="69">
        <v>4</v>
      </c>
      <c r="AA320" t="s">
        <v>4543</v>
      </c>
      <c r="AB320" t="s">
        <v>87</v>
      </c>
      <c r="AC320" t="s">
        <v>4515</v>
      </c>
      <c r="AD320" t="s">
        <v>4849</v>
      </c>
      <c r="AE320" t="s">
        <v>223</v>
      </c>
      <c r="AF320" t="s">
        <v>4668</v>
      </c>
      <c r="AG320" t="s">
        <v>4353</v>
      </c>
      <c r="AH320" t="s">
        <v>4506</v>
      </c>
      <c r="AI320" t="s">
        <v>4353</v>
      </c>
      <c r="AJ320" t="s">
        <v>4506</v>
      </c>
      <c r="AK320" t="s">
        <v>4519</v>
      </c>
      <c r="AL320" t="s">
        <v>4552</v>
      </c>
      <c r="AM320" t="s">
        <v>4528</v>
      </c>
      <c r="AN320" t="s">
        <v>4618</v>
      </c>
      <c r="AO320" s="134">
        <v>114.901583710407</v>
      </c>
      <c r="AP320" s="135">
        <v>113.15628539071299</v>
      </c>
      <c r="AQ320">
        <v>0.38731596828992099</v>
      </c>
      <c r="AR320" s="136">
        <v>1.2310305775764401</v>
      </c>
      <c r="AS320">
        <v>7.40203850509626</v>
      </c>
    </row>
    <row r="321" spans="1:45" customFormat="1" ht="121">
      <c r="A321" s="65">
        <v>461</v>
      </c>
      <c r="B321" s="69" t="s">
        <v>1222</v>
      </c>
      <c r="C321" s="69" t="s">
        <v>45</v>
      </c>
      <c r="D321" s="31">
        <f t="shared" si="31"/>
        <v>4</v>
      </c>
      <c r="E321" s="69" t="s">
        <v>1223</v>
      </c>
      <c r="F321" s="31">
        <f t="shared" si="32"/>
        <v>8</v>
      </c>
      <c r="G321" s="137" t="s">
        <v>1314</v>
      </c>
      <c r="H321" s="138">
        <v>211</v>
      </c>
      <c r="I321" s="92">
        <f t="shared" si="30"/>
        <v>0.25613004678160772</v>
      </c>
      <c r="J321" s="95">
        <v>2.0394124167211199E-9</v>
      </c>
      <c r="K321" s="137">
        <v>0.62654385135010504</v>
      </c>
      <c r="L321" s="137">
        <v>0.51226009152380303</v>
      </c>
      <c r="M321" s="137">
        <v>0.79796949108955795</v>
      </c>
      <c r="N321" s="136">
        <v>1</v>
      </c>
      <c r="O321" s="154">
        <v>43577</v>
      </c>
      <c r="P321" s="98">
        <f t="shared" si="33"/>
        <v>2</v>
      </c>
      <c r="Q321" s="111">
        <v>2.5499999999999998</v>
      </c>
      <c r="R321" s="111">
        <v>0</v>
      </c>
      <c r="S321" s="111">
        <v>0</v>
      </c>
      <c r="T321" s="112" t="s">
        <v>64</v>
      </c>
      <c r="U321" s="137" t="s">
        <v>1315</v>
      </c>
      <c r="V321" s="137" t="s">
        <v>1316</v>
      </c>
      <c r="W321" s="69">
        <v>52</v>
      </c>
      <c r="X321" s="69">
        <v>1</v>
      </c>
      <c r="Y321" s="69">
        <v>2</v>
      </c>
      <c r="AA321" t="s">
        <v>4850</v>
      </c>
      <c r="AB321" t="s">
        <v>358</v>
      </c>
      <c r="AC321" t="s">
        <v>4353</v>
      </c>
      <c r="AD321" t="s">
        <v>4506</v>
      </c>
      <c r="AE321" t="s">
        <v>4353</v>
      </c>
      <c r="AF321" t="s">
        <v>4506</v>
      </c>
      <c r="AG321" t="s">
        <v>4353</v>
      </c>
      <c r="AH321" t="s">
        <v>4506</v>
      </c>
      <c r="AI321" t="s">
        <v>223</v>
      </c>
      <c r="AJ321" t="s">
        <v>4648</v>
      </c>
      <c r="AK321" t="s">
        <v>4519</v>
      </c>
      <c r="AL321" t="s">
        <v>4519</v>
      </c>
      <c r="AM321" t="s">
        <v>4528</v>
      </c>
      <c r="AN321" t="s">
        <v>4529</v>
      </c>
      <c r="AO321" s="134">
        <v>114.79275198188</v>
      </c>
      <c r="AP321" s="135">
        <v>113.114642451759</v>
      </c>
      <c r="AQ321">
        <v>0.38819523269012501</v>
      </c>
      <c r="AR321" s="136">
        <v>1.23155505107832</v>
      </c>
      <c r="AS321">
        <v>7.4120317820658297</v>
      </c>
    </row>
    <row r="322" spans="1:45" customFormat="1" ht="151">
      <c r="A322">
        <v>462</v>
      </c>
      <c r="B322" s="69" t="s">
        <v>1222</v>
      </c>
      <c r="C322" s="69" t="s">
        <v>45</v>
      </c>
      <c r="D322" s="31">
        <f t="shared" si="31"/>
        <v>4</v>
      </c>
      <c r="E322" s="69" t="s">
        <v>1223</v>
      </c>
      <c r="F322" s="31">
        <f t="shared" si="32"/>
        <v>8</v>
      </c>
      <c r="G322" s="137" t="s">
        <v>1317</v>
      </c>
      <c r="H322" s="138">
        <v>258</v>
      </c>
      <c r="I322" s="92">
        <f t="shared" si="30"/>
        <v>0.305578110278236</v>
      </c>
      <c r="J322" s="95">
        <v>0.26127568539917201</v>
      </c>
      <c r="K322" s="137">
        <v>0.49564260680866601</v>
      </c>
      <c r="L322" s="137">
        <v>0.3498805351573</v>
      </c>
      <c r="M322" s="137">
        <v>0.71428571428571397</v>
      </c>
      <c r="N322" s="136">
        <v>1</v>
      </c>
      <c r="O322" s="154">
        <v>43574</v>
      </c>
      <c r="P322" s="98">
        <f t="shared" si="33"/>
        <v>0</v>
      </c>
      <c r="Q322" s="111">
        <v>0</v>
      </c>
      <c r="R322" s="111">
        <v>4.95</v>
      </c>
      <c r="S322" s="111">
        <v>0</v>
      </c>
      <c r="T322" s="112" t="s">
        <v>48</v>
      </c>
      <c r="U322" s="137" t="s">
        <v>1318</v>
      </c>
      <c r="V322" s="137" t="s">
        <v>1319</v>
      </c>
      <c r="W322" s="69">
        <v>211</v>
      </c>
      <c r="X322" s="69">
        <v>1</v>
      </c>
      <c r="Y322" s="69">
        <v>4</v>
      </c>
      <c r="AA322" t="s">
        <v>4851</v>
      </c>
      <c r="AB322" t="s">
        <v>71</v>
      </c>
      <c r="AC322" t="s">
        <v>4353</v>
      </c>
      <c r="AD322" t="s">
        <v>4506</v>
      </c>
      <c r="AE322" t="s">
        <v>4513</v>
      </c>
      <c r="AF322" t="s">
        <v>4852</v>
      </c>
      <c r="AG322" t="s">
        <v>4530</v>
      </c>
      <c r="AH322" t="s">
        <v>4853</v>
      </c>
      <c r="AI322" t="s">
        <v>4353</v>
      </c>
      <c r="AJ322" t="s">
        <v>4506</v>
      </c>
      <c r="AK322" t="s">
        <v>4519</v>
      </c>
      <c r="AL322" t="s">
        <v>4519</v>
      </c>
      <c r="AM322" t="s">
        <v>4562</v>
      </c>
      <c r="AN322" t="s">
        <v>4563</v>
      </c>
      <c r="AO322" s="134">
        <v>114.630385487528</v>
      </c>
      <c r="AP322" s="135">
        <v>113.114642451759</v>
      </c>
      <c r="AQ322">
        <v>0.38819523269012501</v>
      </c>
      <c r="AR322" s="136">
        <v>1.23155505107832</v>
      </c>
      <c r="AS322">
        <v>7.4120317820658297</v>
      </c>
    </row>
    <row r="323" spans="1:45" customFormat="1" ht="61">
      <c r="A323">
        <v>902</v>
      </c>
      <c r="B323" s="69" t="s">
        <v>2418</v>
      </c>
      <c r="C323" s="69" t="s">
        <v>59</v>
      </c>
      <c r="D323" s="31">
        <f t="shared" si="31"/>
        <v>5</v>
      </c>
      <c r="E323" s="69" t="s">
        <v>46</v>
      </c>
      <c r="F323" s="31">
        <f t="shared" si="32"/>
        <v>6</v>
      </c>
      <c r="G323" s="137" t="s">
        <v>2461</v>
      </c>
      <c r="H323" s="138">
        <v>71</v>
      </c>
      <c r="I323" s="92">
        <f t="shared" si="30"/>
        <v>0.48494854277815702</v>
      </c>
      <c r="J323" s="95">
        <v>0.35006237481251301</v>
      </c>
      <c r="K323" s="137">
        <v>0.67292649458520204</v>
      </c>
      <c r="L323" s="137">
        <v>0.61983471074380103</v>
      </c>
      <c r="M323" s="137">
        <v>0.75256417034730305</v>
      </c>
      <c r="N323" s="136">
        <v>1</v>
      </c>
      <c r="O323" s="154">
        <v>43569</v>
      </c>
      <c r="P323" s="98">
        <f t="shared" si="33"/>
        <v>2</v>
      </c>
      <c r="Q323" s="113">
        <v>0</v>
      </c>
      <c r="R323" s="113">
        <v>1.65</v>
      </c>
      <c r="S323" s="113">
        <v>1.87</v>
      </c>
      <c r="T323" s="114" t="s">
        <v>64</v>
      </c>
      <c r="U323" s="147" t="s">
        <v>2462</v>
      </c>
      <c r="V323" s="137" t="s">
        <v>2463</v>
      </c>
      <c r="W323" s="69">
        <v>85</v>
      </c>
      <c r="X323" s="171">
        <v>2</v>
      </c>
      <c r="Y323" s="171">
        <v>3</v>
      </c>
      <c r="Z323" s="69"/>
      <c r="AA323" t="s">
        <v>4573</v>
      </c>
      <c r="AB323" t="s">
        <v>51</v>
      </c>
      <c r="AC323" t="s">
        <v>4353</v>
      </c>
      <c r="AD323" t="s">
        <v>4506</v>
      </c>
      <c r="AE323" t="s">
        <v>4515</v>
      </c>
      <c r="AF323" t="s">
        <v>4602</v>
      </c>
      <c r="AG323" t="s">
        <v>223</v>
      </c>
      <c r="AH323" t="s">
        <v>4689</v>
      </c>
      <c r="AI323" t="s">
        <v>4353</v>
      </c>
      <c r="AJ323" t="s">
        <v>4506</v>
      </c>
      <c r="AK323" t="s">
        <v>4519</v>
      </c>
      <c r="AL323" t="s">
        <v>4552</v>
      </c>
      <c r="AM323" t="s">
        <v>4528</v>
      </c>
      <c r="AN323" t="s">
        <v>4618</v>
      </c>
      <c r="AO323" s="134">
        <v>114.706015891033</v>
      </c>
      <c r="AP323" s="135">
        <v>113.460571428571</v>
      </c>
      <c r="AQ323">
        <v>0.38857142857142901</v>
      </c>
      <c r="AR323" s="136">
        <v>1.232</v>
      </c>
      <c r="AS323">
        <v>7.4045714285714297</v>
      </c>
    </row>
    <row r="324" spans="1:45" customFormat="1" ht="121">
      <c r="A324">
        <v>463</v>
      </c>
      <c r="B324" s="69" t="s">
        <v>1222</v>
      </c>
      <c r="C324" s="69" t="s">
        <v>45</v>
      </c>
      <c r="D324" s="31">
        <f t="shared" si="31"/>
        <v>4</v>
      </c>
      <c r="E324" s="69" t="s">
        <v>80</v>
      </c>
      <c r="F324" s="31">
        <f t="shared" si="32"/>
        <v>4</v>
      </c>
      <c r="G324" s="147" t="s">
        <v>1320</v>
      </c>
      <c r="H324" s="138">
        <v>48</v>
      </c>
      <c r="I324" s="92">
        <f t="shared" ref="I324:I387" si="34">(J324+L324)/2</f>
        <v>0.34090909090909211</v>
      </c>
      <c r="J324" s="95">
        <v>2.2204460492503099E-15</v>
      </c>
      <c r="K324" s="137">
        <v>0.50136720582607996</v>
      </c>
      <c r="L324" s="137">
        <v>0.68181818181818199</v>
      </c>
      <c r="M324" s="137">
        <v>0.23069074183792801</v>
      </c>
      <c r="N324" s="136">
        <v>1</v>
      </c>
      <c r="O324" s="154">
        <v>43569</v>
      </c>
      <c r="P324" s="98">
        <f t="shared" si="33"/>
        <v>1</v>
      </c>
      <c r="Q324" s="111">
        <v>0</v>
      </c>
      <c r="R324" s="111">
        <v>1.65</v>
      </c>
      <c r="S324" s="111">
        <v>0</v>
      </c>
      <c r="T324" s="112" t="s">
        <v>73</v>
      </c>
      <c r="U324" s="147" t="s">
        <v>1321</v>
      </c>
      <c r="V324" s="137" t="s">
        <v>1322</v>
      </c>
      <c r="W324" s="69">
        <v>172</v>
      </c>
      <c r="X324" s="147">
        <v>8</v>
      </c>
      <c r="Y324" s="147">
        <v>29</v>
      </c>
      <c r="AA324" t="s">
        <v>4564</v>
      </c>
      <c r="AB324" t="s">
        <v>4597</v>
      </c>
      <c r="AC324" t="s">
        <v>223</v>
      </c>
      <c r="AD324" t="s">
        <v>4598</v>
      </c>
      <c r="AE324" t="s">
        <v>4353</v>
      </c>
      <c r="AF324" t="s">
        <v>4506</v>
      </c>
      <c r="AG324" t="s">
        <v>223</v>
      </c>
      <c r="AH324" t="s">
        <v>4598</v>
      </c>
      <c r="AI324" t="s">
        <v>4353</v>
      </c>
      <c r="AJ324" t="s">
        <v>4506</v>
      </c>
      <c r="AK324" t="s">
        <v>4519</v>
      </c>
      <c r="AL324" t="s">
        <v>4552</v>
      </c>
      <c r="AM324" t="s">
        <v>4592</v>
      </c>
      <c r="AN324" t="s">
        <v>4650</v>
      </c>
      <c r="AO324" s="134">
        <v>114.755681818182</v>
      </c>
      <c r="AP324" s="135">
        <v>113.460571428571</v>
      </c>
      <c r="AQ324">
        <v>0.38857142857142901</v>
      </c>
      <c r="AR324" s="136">
        <v>1.232</v>
      </c>
      <c r="AS324">
        <v>7.4045714285714297</v>
      </c>
    </row>
    <row r="325" spans="1:45" customFormat="1" ht="91">
      <c r="A325" s="65">
        <v>276</v>
      </c>
      <c r="B325" s="69" t="s">
        <v>589</v>
      </c>
      <c r="C325" s="69" t="s">
        <v>45</v>
      </c>
      <c r="D325" s="31">
        <f t="shared" si="31"/>
        <v>4</v>
      </c>
      <c r="E325" s="69" t="s">
        <v>80</v>
      </c>
      <c r="F325" s="31">
        <f t="shared" si="32"/>
        <v>4</v>
      </c>
      <c r="G325" s="188" t="s">
        <v>830</v>
      </c>
      <c r="H325" s="138">
        <v>95</v>
      </c>
      <c r="I325" s="92">
        <f t="shared" si="34"/>
        <v>0.85925217902618756</v>
      </c>
      <c r="J325" s="95">
        <v>0.968504358052375</v>
      </c>
      <c r="K325" s="137">
        <v>0.75102566813892102</v>
      </c>
      <c r="L325" s="137">
        <v>0.75</v>
      </c>
      <c r="M325" s="137">
        <v>0.75256417034730305</v>
      </c>
      <c r="N325" s="136">
        <v>1</v>
      </c>
      <c r="O325" s="167">
        <v>43568</v>
      </c>
      <c r="P325" s="98">
        <f t="shared" si="33"/>
        <v>0</v>
      </c>
      <c r="Q325" s="111">
        <v>2.5499999999999998</v>
      </c>
      <c r="R325" s="111">
        <v>0</v>
      </c>
      <c r="S325" s="111">
        <v>0</v>
      </c>
      <c r="T325" s="112" t="s">
        <v>48</v>
      </c>
      <c r="U325" s="137" t="s">
        <v>831</v>
      </c>
      <c r="V325" s="137" t="s">
        <v>832</v>
      </c>
      <c r="W325" s="69">
        <v>121</v>
      </c>
      <c r="X325" s="195">
        <v>1</v>
      </c>
      <c r="Y325" s="195">
        <v>3</v>
      </c>
      <c r="AA325" t="s">
        <v>4556</v>
      </c>
      <c r="AB325" t="s">
        <v>4576</v>
      </c>
      <c r="AC325" t="s">
        <v>223</v>
      </c>
      <c r="AD325" t="s">
        <v>4574</v>
      </c>
      <c r="AE325" t="s">
        <v>4515</v>
      </c>
      <c r="AF325" t="s">
        <v>4575</v>
      </c>
      <c r="AG325" t="s">
        <v>4515</v>
      </c>
      <c r="AH325" t="s">
        <v>4575</v>
      </c>
      <c r="AI325" t="s">
        <v>4353</v>
      </c>
      <c r="AJ325" t="s">
        <v>4506</v>
      </c>
      <c r="AK325" t="s">
        <v>4519</v>
      </c>
      <c r="AL325" t="s">
        <v>4541</v>
      </c>
      <c r="AM325" t="s">
        <v>4528</v>
      </c>
      <c r="AN325" t="s">
        <v>4542</v>
      </c>
      <c r="AO325" s="134">
        <v>114.778156996587</v>
      </c>
      <c r="AP325" s="135">
        <v>113.460571428571</v>
      </c>
      <c r="AQ325">
        <v>0.38857142857142901</v>
      </c>
      <c r="AR325" s="136">
        <v>1.232</v>
      </c>
      <c r="AS325">
        <v>7.4045714285714297</v>
      </c>
    </row>
    <row r="326" spans="1:45" customFormat="1" ht="90">
      <c r="A326" s="65">
        <v>1057</v>
      </c>
      <c r="B326" s="69" t="s">
        <v>2833</v>
      </c>
      <c r="C326" s="69" t="s">
        <v>59</v>
      </c>
      <c r="D326" s="31">
        <f t="shared" si="31"/>
        <v>5</v>
      </c>
      <c r="E326" s="69" t="s">
        <v>664</v>
      </c>
      <c r="F326" s="31">
        <f t="shared" si="32"/>
        <v>1</v>
      </c>
      <c r="G326" s="89" t="s">
        <v>2873</v>
      </c>
      <c r="H326" s="138">
        <v>150</v>
      </c>
      <c r="I326" s="92">
        <f t="shared" si="34"/>
        <v>0.84090908992082147</v>
      </c>
      <c r="J326" s="95">
        <v>0.99999999802346096</v>
      </c>
      <c r="K326" s="137">
        <v>0.69480519480519498</v>
      </c>
      <c r="L326" s="137">
        <v>0.68181818181818199</v>
      </c>
      <c r="M326" s="137">
        <v>0.71428571428571397</v>
      </c>
      <c r="N326" s="136">
        <v>1</v>
      </c>
      <c r="O326" s="156">
        <v>43567</v>
      </c>
      <c r="P326" s="98">
        <f t="shared" si="33"/>
        <v>1</v>
      </c>
      <c r="Q326" s="113">
        <v>0</v>
      </c>
      <c r="R326" s="113">
        <v>0</v>
      </c>
      <c r="S326" s="113">
        <v>0</v>
      </c>
      <c r="T326" s="119" t="s">
        <v>73</v>
      </c>
      <c r="U326" s="203" t="s">
        <v>2874</v>
      </c>
      <c r="V326" s="207" t="s">
        <v>2875</v>
      </c>
      <c r="W326" s="69">
        <v>44</v>
      </c>
      <c r="X326" s="195">
        <v>1</v>
      </c>
      <c r="Y326" s="195">
        <v>4</v>
      </c>
      <c r="Z326" s="69"/>
      <c r="AA326" t="s">
        <v>4603</v>
      </c>
      <c r="AB326" t="s">
        <v>67</v>
      </c>
      <c r="AC326" t="s">
        <v>4353</v>
      </c>
      <c r="AD326" t="s">
        <v>4506</v>
      </c>
      <c r="AE326" t="s">
        <v>4353</v>
      </c>
      <c r="AF326" t="s">
        <v>4506</v>
      </c>
      <c r="AG326" t="s">
        <v>4353</v>
      </c>
      <c r="AH326" t="s">
        <v>4506</v>
      </c>
      <c r="AI326" t="s">
        <v>4353</v>
      </c>
      <c r="AJ326" t="s">
        <v>4506</v>
      </c>
      <c r="AK326" t="s">
        <v>4519</v>
      </c>
      <c r="AL326" t="s">
        <v>4519</v>
      </c>
      <c r="AM326" t="s">
        <v>4562</v>
      </c>
      <c r="AN326" t="s">
        <v>4563</v>
      </c>
      <c r="AO326" s="134">
        <v>114.738041002278</v>
      </c>
      <c r="AP326" s="135">
        <v>113.500572737686</v>
      </c>
      <c r="AQ326">
        <v>0.38946162657502897</v>
      </c>
      <c r="AR326" s="136">
        <v>1.23253150057274</v>
      </c>
      <c r="AS326">
        <v>7.41580756013746</v>
      </c>
    </row>
    <row r="327" spans="1:45" customFormat="1" ht="151">
      <c r="A327" s="65">
        <v>277</v>
      </c>
      <c r="B327" s="69" t="s">
        <v>589</v>
      </c>
      <c r="C327" s="69" t="s">
        <v>45</v>
      </c>
      <c r="D327" s="31">
        <f t="shared" si="31"/>
        <v>4</v>
      </c>
      <c r="E327" s="69" t="s">
        <v>833</v>
      </c>
      <c r="F327" s="31">
        <f t="shared" si="32"/>
        <v>3</v>
      </c>
      <c r="G327" s="137" t="s">
        <v>834</v>
      </c>
      <c r="H327" s="138">
        <v>285</v>
      </c>
      <c r="I327" s="92">
        <f t="shared" si="34"/>
        <v>0.23284549614733088</v>
      </c>
      <c r="J327" s="95">
        <v>2.9576341376014201E-13</v>
      </c>
      <c r="K327" s="137">
        <v>0.59860239181244301</v>
      </c>
      <c r="L327" s="137">
        <v>0.465690992294366</v>
      </c>
      <c r="M327" s="137">
        <v>0.79796949108955795</v>
      </c>
      <c r="N327" s="136">
        <v>1</v>
      </c>
      <c r="O327" s="154">
        <v>43565</v>
      </c>
      <c r="P327" s="98">
        <f t="shared" si="33"/>
        <v>0</v>
      </c>
      <c r="Q327" s="111">
        <v>7.65</v>
      </c>
      <c r="R327" s="111">
        <v>3.3</v>
      </c>
      <c r="S327" s="111">
        <v>0</v>
      </c>
      <c r="T327" s="112" t="s">
        <v>48</v>
      </c>
      <c r="U327" s="137" t="s">
        <v>835</v>
      </c>
      <c r="V327" s="137" t="s">
        <v>836</v>
      </c>
      <c r="W327" s="69">
        <v>96</v>
      </c>
      <c r="X327" s="69">
        <v>1</v>
      </c>
      <c r="Y327" s="69">
        <v>2</v>
      </c>
      <c r="AA327" t="s">
        <v>4854</v>
      </c>
      <c r="AB327" t="s">
        <v>4597</v>
      </c>
      <c r="AC327" t="s">
        <v>4515</v>
      </c>
      <c r="AD327" t="s">
        <v>4607</v>
      </c>
      <c r="AE327" t="s">
        <v>223</v>
      </c>
      <c r="AF327" t="s">
        <v>4606</v>
      </c>
      <c r="AG327" t="s">
        <v>4515</v>
      </c>
      <c r="AH327" t="s">
        <v>4607</v>
      </c>
      <c r="AI327" t="s">
        <v>4353</v>
      </c>
      <c r="AJ327" t="s">
        <v>4506</v>
      </c>
      <c r="AK327" t="s">
        <v>4518</v>
      </c>
      <c r="AL327" t="s">
        <v>4552</v>
      </c>
      <c r="AM327" t="s">
        <v>4562</v>
      </c>
      <c r="AN327" t="s">
        <v>4855</v>
      </c>
      <c r="AO327" s="134">
        <v>114.543899657925</v>
      </c>
      <c r="AP327" s="135">
        <v>113.56880733945</v>
      </c>
      <c r="AQ327">
        <v>0.38876146788990801</v>
      </c>
      <c r="AR327" s="136">
        <v>1.23165137614679</v>
      </c>
      <c r="AS327">
        <v>7.4105504587156004</v>
      </c>
    </row>
    <row r="328" spans="1:45" customFormat="1" ht="151">
      <c r="A328">
        <v>278</v>
      </c>
      <c r="B328" s="69" t="s">
        <v>589</v>
      </c>
      <c r="C328" s="69" t="s">
        <v>45</v>
      </c>
      <c r="D328" s="31">
        <f t="shared" si="31"/>
        <v>4</v>
      </c>
      <c r="E328" s="69" t="s">
        <v>46</v>
      </c>
      <c r="F328" s="31">
        <f t="shared" si="32"/>
        <v>6</v>
      </c>
      <c r="G328" s="137" t="s">
        <v>834</v>
      </c>
      <c r="H328" s="138">
        <v>285</v>
      </c>
      <c r="I328" s="92">
        <f t="shared" si="34"/>
        <v>0.23284549614733088</v>
      </c>
      <c r="J328" s="95">
        <v>2.9576341376014201E-13</v>
      </c>
      <c r="K328" s="137">
        <v>0.58044026351554101</v>
      </c>
      <c r="L328" s="137">
        <v>0.465690992294366</v>
      </c>
      <c r="M328" s="137">
        <v>0.75256417034730305</v>
      </c>
      <c r="N328" s="136">
        <v>1</v>
      </c>
      <c r="O328" s="154">
        <v>43564</v>
      </c>
      <c r="P328" s="98">
        <f t="shared" si="33"/>
        <v>0</v>
      </c>
      <c r="Q328" s="111">
        <v>0</v>
      </c>
      <c r="R328" s="111">
        <v>0</v>
      </c>
      <c r="S328" s="111">
        <v>0</v>
      </c>
      <c r="T328" s="112" t="s">
        <v>48</v>
      </c>
      <c r="U328" s="188" t="s">
        <v>837</v>
      </c>
      <c r="V328" s="137" t="s">
        <v>838</v>
      </c>
      <c r="W328" s="69">
        <v>96</v>
      </c>
      <c r="X328" s="195">
        <v>2</v>
      </c>
      <c r="Y328" s="195">
        <v>3</v>
      </c>
      <c r="AA328" t="s">
        <v>4854</v>
      </c>
      <c r="AB328" t="s">
        <v>4597</v>
      </c>
      <c r="AC328" t="s">
        <v>4515</v>
      </c>
      <c r="AD328" t="s">
        <v>4607</v>
      </c>
      <c r="AE328" t="s">
        <v>223</v>
      </c>
      <c r="AF328" t="s">
        <v>4606</v>
      </c>
      <c r="AG328" t="s">
        <v>4515</v>
      </c>
      <c r="AH328" t="s">
        <v>4607</v>
      </c>
      <c r="AI328" t="s">
        <v>4353</v>
      </c>
      <c r="AJ328" t="s">
        <v>4506</v>
      </c>
      <c r="AK328" t="s">
        <v>4518</v>
      </c>
      <c r="AL328" t="s">
        <v>4552</v>
      </c>
      <c r="AM328" t="s">
        <v>4562</v>
      </c>
      <c r="AN328" t="s">
        <v>4855</v>
      </c>
      <c r="AO328" s="134">
        <v>114.349315068493</v>
      </c>
      <c r="AP328" s="135">
        <v>113.735632183908</v>
      </c>
      <c r="AQ328">
        <v>0.38965517241379299</v>
      </c>
      <c r="AR328" s="136">
        <v>1.23218390804598</v>
      </c>
      <c r="AS328">
        <v>7.3954022988505699</v>
      </c>
    </row>
    <row r="329" spans="1:45" customFormat="1" ht="60">
      <c r="A329">
        <v>1058</v>
      </c>
      <c r="B329" s="69" t="s">
        <v>2833</v>
      </c>
      <c r="C329" s="69" t="s">
        <v>59</v>
      </c>
      <c r="D329" s="31">
        <f t="shared" si="31"/>
        <v>5</v>
      </c>
      <c r="E329" s="69" t="s">
        <v>664</v>
      </c>
      <c r="F329" s="31">
        <f t="shared" si="32"/>
        <v>1</v>
      </c>
      <c r="G329" s="89" t="s">
        <v>2876</v>
      </c>
      <c r="H329" s="138">
        <v>93</v>
      </c>
      <c r="I329" s="92">
        <f t="shared" si="34"/>
        <v>0.80500978750932894</v>
      </c>
      <c r="J329" s="95">
        <v>0.99018486427485597</v>
      </c>
      <c r="K329" s="137">
        <v>0.58237940985454395</v>
      </c>
      <c r="L329" s="137">
        <v>0.61983471074380203</v>
      </c>
      <c r="M329" s="137">
        <v>0.526196458520657</v>
      </c>
      <c r="N329" s="136">
        <v>1</v>
      </c>
      <c r="O329" s="157">
        <v>43559</v>
      </c>
      <c r="P329" s="98">
        <f t="shared" si="33"/>
        <v>1</v>
      </c>
      <c r="Q329" s="113">
        <v>0</v>
      </c>
      <c r="R329" s="113">
        <v>0</v>
      </c>
      <c r="S329" s="113">
        <v>0</v>
      </c>
      <c r="T329" s="119" t="s">
        <v>73</v>
      </c>
      <c r="U329" s="89" t="s">
        <v>2877</v>
      </c>
      <c r="V329" s="172" t="s">
        <v>2875</v>
      </c>
      <c r="W329" s="69">
        <v>44</v>
      </c>
      <c r="X329" s="69">
        <v>3</v>
      </c>
      <c r="Y329" s="69">
        <v>11</v>
      </c>
      <c r="Z329" s="69"/>
      <c r="AA329" t="s">
        <v>4543</v>
      </c>
      <c r="AB329" t="s">
        <v>67</v>
      </c>
      <c r="AC329" t="s">
        <v>4353</v>
      </c>
      <c r="AD329" t="s">
        <v>4506</v>
      </c>
      <c r="AE329" t="s">
        <v>4353</v>
      </c>
      <c r="AF329" t="s">
        <v>4506</v>
      </c>
      <c r="AG329" t="s">
        <v>4353</v>
      </c>
      <c r="AH329" t="s">
        <v>4506</v>
      </c>
      <c r="AI329" t="s">
        <v>4353</v>
      </c>
      <c r="AJ329" t="s">
        <v>4506</v>
      </c>
      <c r="AK329" t="s">
        <v>4519</v>
      </c>
      <c r="AL329" t="s">
        <v>4519</v>
      </c>
      <c r="AM329" t="s">
        <v>4562</v>
      </c>
      <c r="AN329" t="s">
        <v>4563</v>
      </c>
      <c r="AO329" s="134">
        <v>114.373714285714</v>
      </c>
      <c r="AP329" s="135">
        <v>113.736175115207</v>
      </c>
      <c r="AQ329">
        <v>0.38940092165898599</v>
      </c>
      <c r="AR329" s="136">
        <v>1.23271889400922</v>
      </c>
      <c r="AS329">
        <v>7.4032258064516103</v>
      </c>
    </row>
    <row r="330" spans="1:45" customFormat="1" ht="61">
      <c r="A330">
        <v>903</v>
      </c>
      <c r="B330" s="69" t="s">
        <v>2418</v>
      </c>
      <c r="C330" s="69" t="s">
        <v>59</v>
      </c>
      <c r="D330" s="31">
        <f t="shared" si="31"/>
        <v>5</v>
      </c>
      <c r="E330" s="69" t="s">
        <v>46</v>
      </c>
      <c r="F330" s="31">
        <f t="shared" si="32"/>
        <v>6</v>
      </c>
      <c r="G330" s="137" t="s">
        <v>2464</v>
      </c>
      <c r="H330" s="138">
        <v>12</v>
      </c>
      <c r="I330" s="92">
        <f t="shared" si="34"/>
        <v>0.52324511959527054</v>
      </c>
      <c r="J330" s="95">
        <v>0.36467205737235903</v>
      </c>
      <c r="K330" s="137">
        <v>0.68131559609092096</v>
      </c>
      <c r="L330" s="137">
        <v>0.68181818181818199</v>
      </c>
      <c r="M330" s="137">
        <v>0.68056171750003003</v>
      </c>
      <c r="N330" s="136">
        <v>1</v>
      </c>
      <c r="O330" s="154">
        <v>43558</v>
      </c>
      <c r="P330" s="98">
        <f t="shared" si="33"/>
        <v>1</v>
      </c>
      <c r="Q330" s="107">
        <v>0</v>
      </c>
      <c r="R330" s="107">
        <v>1.65</v>
      </c>
      <c r="S330" s="107">
        <v>1.87</v>
      </c>
      <c r="T330" s="108" t="s">
        <v>73</v>
      </c>
      <c r="U330" s="169" t="s">
        <v>2465</v>
      </c>
      <c r="V330" s="137" t="s">
        <v>2466</v>
      </c>
      <c r="W330" s="69">
        <v>86</v>
      </c>
      <c r="X330" s="69">
        <v>2</v>
      </c>
      <c r="Y330" s="69">
        <v>5</v>
      </c>
      <c r="Z330" s="69"/>
      <c r="AA330" t="s">
        <v>4564</v>
      </c>
      <c r="AB330" t="s">
        <v>51</v>
      </c>
      <c r="AC330" t="s">
        <v>4353</v>
      </c>
      <c r="AD330" t="s">
        <v>4506</v>
      </c>
      <c r="AE330" t="s">
        <v>4515</v>
      </c>
      <c r="AF330" t="s">
        <v>4602</v>
      </c>
      <c r="AG330" t="s">
        <v>223</v>
      </c>
      <c r="AH330" t="s">
        <v>4689</v>
      </c>
      <c r="AI330" t="s">
        <v>4353</v>
      </c>
      <c r="AJ330" t="s">
        <v>4506</v>
      </c>
      <c r="AK330" t="s">
        <v>4519</v>
      </c>
      <c r="AL330" t="s">
        <v>4519</v>
      </c>
      <c r="AM330" t="s">
        <v>4528</v>
      </c>
      <c r="AN330" t="s">
        <v>4529</v>
      </c>
      <c r="AO330" s="134">
        <v>114.49084668192199</v>
      </c>
      <c r="AP330" s="135">
        <v>113.736175115207</v>
      </c>
      <c r="AQ330">
        <v>0.38940092165898599</v>
      </c>
      <c r="AR330" s="136">
        <v>1.23271889400922</v>
      </c>
      <c r="AS330">
        <v>7.4032258064516103</v>
      </c>
    </row>
    <row r="331" spans="1:45" customFormat="1" ht="91">
      <c r="A331" s="65">
        <v>465</v>
      </c>
      <c r="B331" s="69" t="s">
        <v>1222</v>
      </c>
      <c r="C331" s="69" t="s">
        <v>45</v>
      </c>
      <c r="D331" s="31">
        <f t="shared" ref="D331:D394" si="35">IF(C331="投诉",4,IF(C331="建议",1,IF(C331="举报",2,IF(C331="求助",3,5))))</f>
        <v>4</v>
      </c>
      <c r="E331" s="69" t="s">
        <v>664</v>
      </c>
      <c r="F331" s="31">
        <f t="shared" ref="F331:F394" si="36">IF(E331="12345app",1,IF(E331="e福州app",2,IF(E331="qq",3,IF(E331="电话",4,IF(E331="短信",5,IF(E331="网站",6,IF(E331="微博",7,IF(E331="微信",8,9))))))))</f>
        <v>1</v>
      </c>
      <c r="G331" s="137" t="s">
        <v>1326</v>
      </c>
      <c r="H331" s="138">
        <v>152</v>
      </c>
      <c r="I331" s="92">
        <f t="shared" si="34"/>
        <v>0.62170283796812698</v>
      </c>
      <c r="J331" s="95">
        <v>0.49340567593625401</v>
      </c>
      <c r="K331" s="137">
        <v>0.62868666593100497</v>
      </c>
      <c r="L331" s="137">
        <v>0.75</v>
      </c>
      <c r="M331" s="137">
        <v>0.44671666482751199</v>
      </c>
      <c r="N331" s="136">
        <v>1</v>
      </c>
      <c r="O331" s="154">
        <v>43557</v>
      </c>
      <c r="P331" s="98">
        <f t="shared" ref="P331:P394" si="37">IF(T331="利己",0,IF(T331="生态",2,1))</f>
        <v>0</v>
      </c>
      <c r="Q331" s="111">
        <v>0</v>
      </c>
      <c r="R331" s="111">
        <v>0</v>
      </c>
      <c r="S331" s="111">
        <v>0</v>
      </c>
      <c r="T331" s="112" t="s">
        <v>48</v>
      </c>
      <c r="U331" s="188" t="s">
        <v>1327</v>
      </c>
      <c r="V331" s="137" t="s">
        <v>1325</v>
      </c>
      <c r="W331" s="69">
        <v>41</v>
      </c>
      <c r="X331" s="195">
        <v>1</v>
      </c>
      <c r="Y331" s="195">
        <v>15</v>
      </c>
      <c r="AA331" t="s">
        <v>4564</v>
      </c>
      <c r="AB331" t="s">
        <v>4594</v>
      </c>
      <c r="AC331" t="s">
        <v>223</v>
      </c>
      <c r="AD331" t="s">
        <v>4554</v>
      </c>
      <c r="AE331" t="s">
        <v>223</v>
      </c>
      <c r="AF331" t="s">
        <v>4554</v>
      </c>
      <c r="AG331" t="s">
        <v>4353</v>
      </c>
      <c r="AH331" t="s">
        <v>4506</v>
      </c>
      <c r="AI331" t="s">
        <v>4353</v>
      </c>
      <c r="AJ331" t="s">
        <v>4506</v>
      </c>
      <c r="AK331" t="s">
        <v>4519</v>
      </c>
      <c r="AL331" t="s">
        <v>4519</v>
      </c>
      <c r="AM331" t="s">
        <v>4528</v>
      </c>
      <c r="AN331" t="s">
        <v>4529</v>
      </c>
      <c r="AO331" s="134">
        <v>114.317296678121</v>
      </c>
      <c r="AP331" s="135">
        <v>113.736175115207</v>
      </c>
      <c r="AQ331">
        <v>0.38940092165898599</v>
      </c>
      <c r="AR331" s="136">
        <v>1.23271889400922</v>
      </c>
      <c r="AS331">
        <v>7.4032258064516103</v>
      </c>
    </row>
    <row r="332" spans="1:45" customFormat="1" ht="151">
      <c r="A332" s="65">
        <v>464</v>
      </c>
      <c r="B332" s="69" t="s">
        <v>1222</v>
      </c>
      <c r="C332" s="69" t="s">
        <v>45</v>
      </c>
      <c r="D332" s="31">
        <f t="shared" si="35"/>
        <v>4</v>
      </c>
      <c r="E332" s="69" t="s">
        <v>664</v>
      </c>
      <c r="F332" s="31">
        <f t="shared" si="36"/>
        <v>1</v>
      </c>
      <c r="G332" s="137" t="s">
        <v>1323</v>
      </c>
      <c r="H332" s="138">
        <v>266</v>
      </c>
      <c r="I332" s="92">
        <f t="shared" si="34"/>
        <v>0.3750001122797707</v>
      </c>
      <c r="J332" s="95">
        <v>2.2455954140632199E-7</v>
      </c>
      <c r="K332" s="137">
        <v>0.62868666593100497</v>
      </c>
      <c r="L332" s="137">
        <v>0.75</v>
      </c>
      <c r="M332" s="137">
        <v>0.44671666482751199</v>
      </c>
      <c r="N332" s="136">
        <v>1</v>
      </c>
      <c r="O332" s="194">
        <v>43557</v>
      </c>
      <c r="P332" s="98">
        <f t="shared" si="37"/>
        <v>0</v>
      </c>
      <c r="Q332" s="111">
        <v>0</v>
      </c>
      <c r="R332" s="111">
        <v>1.65</v>
      </c>
      <c r="S332" s="111">
        <v>0</v>
      </c>
      <c r="T332" s="112" t="s">
        <v>48</v>
      </c>
      <c r="U332" s="137" t="s">
        <v>1324</v>
      </c>
      <c r="V332" s="137" t="s">
        <v>1325</v>
      </c>
      <c r="W332" s="69">
        <v>41</v>
      </c>
      <c r="X332" s="69">
        <v>1</v>
      </c>
      <c r="Y332" s="69">
        <v>15</v>
      </c>
      <c r="AA332" t="s">
        <v>4660</v>
      </c>
      <c r="AB332" t="s">
        <v>4594</v>
      </c>
      <c r="AC332" t="s">
        <v>223</v>
      </c>
      <c r="AD332" t="s">
        <v>4554</v>
      </c>
      <c r="AE332" t="s">
        <v>223</v>
      </c>
      <c r="AF332" t="s">
        <v>4554</v>
      </c>
      <c r="AG332" t="s">
        <v>4353</v>
      </c>
      <c r="AH332" t="s">
        <v>4506</v>
      </c>
      <c r="AI332" t="s">
        <v>4353</v>
      </c>
      <c r="AJ332" t="s">
        <v>4506</v>
      </c>
      <c r="AK332" t="s">
        <v>4519</v>
      </c>
      <c r="AL332" t="s">
        <v>4519</v>
      </c>
      <c r="AM332" t="s">
        <v>4510</v>
      </c>
      <c r="AN332" t="s">
        <v>4550</v>
      </c>
      <c r="AO332" s="134">
        <v>114.274082568807</v>
      </c>
      <c r="AP332" s="135">
        <v>113.736175115207</v>
      </c>
      <c r="AQ332">
        <v>0.38940092165898599</v>
      </c>
      <c r="AR332" s="136">
        <v>1.23271889400922</v>
      </c>
      <c r="AS332">
        <v>7.4032258064516103</v>
      </c>
    </row>
    <row r="333" spans="1:45" customFormat="1" ht="106">
      <c r="A333" s="65">
        <v>685</v>
      </c>
      <c r="B333" s="69" t="s">
        <v>1871</v>
      </c>
      <c r="C333" s="69" t="s">
        <v>119</v>
      </c>
      <c r="D333" s="31">
        <f t="shared" si="35"/>
        <v>1</v>
      </c>
      <c r="E333" s="69" t="s">
        <v>664</v>
      </c>
      <c r="F333" s="31">
        <f t="shared" si="36"/>
        <v>1</v>
      </c>
      <c r="G333" s="147" t="s">
        <v>1884</v>
      </c>
      <c r="H333" s="138">
        <v>159</v>
      </c>
      <c r="I333" s="92">
        <f t="shared" si="34"/>
        <v>0.38436404311211153</v>
      </c>
      <c r="J333" s="95">
        <v>1.87280862242231E-2</v>
      </c>
      <c r="K333" s="137">
        <v>0.75102566813892102</v>
      </c>
      <c r="L333" s="137">
        <v>0.75</v>
      </c>
      <c r="M333" s="137">
        <v>0.75256417034730305</v>
      </c>
      <c r="N333" s="136">
        <v>1</v>
      </c>
      <c r="O333" s="154">
        <v>43556</v>
      </c>
      <c r="P333" s="98">
        <f t="shared" si="37"/>
        <v>1</v>
      </c>
      <c r="Q333" s="113">
        <v>2.5499999999999998</v>
      </c>
      <c r="R333" s="113">
        <v>1.65</v>
      </c>
      <c r="S333" s="113">
        <v>3.74</v>
      </c>
      <c r="T333" s="114" t="s">
        <v>73</v>
      </c>
      <c r="U333" s="137" t="s">
        <v>1885</v>
      </c>
      <c r="V333" s="137" t="s">
        <v>1886</v>
      </c>
      <c r="W333" s="69">
        <v>141</v>
      </c>
      <c r="X333" s="147">
        <v>1</v>
      </c>
      <c r="Y333" s="147">
        <v>3</v>
      </c>
      <c r="Z333" s="69"/>
      <c r="AA333" t="s">
        <v>4564</v>
      </c>
      <c r="AB333" t="s">
        <v>87</v>
      </c>
      <c r="AC333" t="s">
        <v>4515</v>
      </c>
      <c r="AD333" t="s">
        <v>4674</v>
      </c>
      <c r="AE333" t="s">
        <v>223</v>
      </c>
      <c r="AF333" t="s">
        <v>4679</v>
      </c>
      <c r="AG333" t="s">
        <v>223</v>
      </c>
      <c r="AH333" t="s">
        <v>4679</v>
      </c>
      <c r="AI333" t="s">
        <v>4353</v>
      </c>
      <c r="AJ333" t="s">
        <v>4506</v>
      </c>
      <c r="AK333" t="s">
        <v>4519</v>
      </c>
      <c r="AL333" t="s">
        <v>4552</v>
      </c>
      <c r="AM333" t="s">
        <v>4562</v>
      </c>
      <c r="AN333" t="s">
        <v>4742</v>
      </c>
      <c r="AO333" s="134">
        <v>114.222732491389</v>
      </c>
      <c r="AP333" s="135">
        <v>113.736175115207</v>
      </c>
      <c r="AQ333">
        <v>0.38940092165898599</v>
      </c>
      <c r="AR333" s="136">
        <v>1.23271889400922</v>
      </c>
      <c r="AS333">
        <v>7.4032258064516103</v>
      </c>
    </row>
    <row r="334" spans="1:45" customFormat="1" ht="61">
      <c r="A334">
        <v>279</v>
      </c>
      <c r="B334" s="69" t="s">
        <v>589</v>
      </c>
      <c r="C334" s="69" t="s">
        <v>45</v>
      </c>
      <c r="D334" s="31">
        <f t="shared" si="35"/>
        <v>4</v>
      </c>
      <c r="E334" s="69" t="s">
        <v>46</v>
      </c>
      <c r="F334" s="31">
        <f t="shared" si="36"/>
        <v>6</v>
      </c>
      <c r="G334" s="137" t="s">
        <v>839</v>
      </c>
      <c r="H334" s="138">
        <v>98</v>
      </c>
      <c r="I334" s="92">
        <f t="shared" si="34"/>
        <v>0.43999118204698695</v>
      </c>
      <c r="J334" s="95">
        <v>5.4982364093974001E-2</v>
      </c>
      <c r="K334" s="137">
        <v>0.69705133627784299</v>
      </c>
      <c r="L334" s="137">
        <v>0.82499999999999996</v>
      </c>
      <c r="M334" s="137">
        <v>0.50512834069460699</v>
      </c>
      <c r="N334" s="136">
        <v>1</v>
      </c>
      <c r="O334" s="154">
        <v>43553</v>
      </c>
      <c r="P334" s="98">
        <f t="shared" si="37"/>
        <v>0</v>
      </c>
      <c r="Q334" s="111">
        <v>2.5499999999999998</v>
      </c>
      <c r="R334" s="111">
        <v>1.65</v>
      </c>
      <c r="S334" s="111">
        <v>0</v>
      </c>
      <c r="T334" s="112" t="s">
        <v>48</v>
      </c>
      <c r="U334" s="137" t="s">
        <v>840</v>
      </c>
      <c r="V334" s="137" t="s">
        <v>841</v>
      </c>
      <c r="W334" s="69">
        <v>54</v>
      </c>
      <c r="X334" s="69">
        <v>2</v>
      </c>
      <c r="Y334" s="69">
        <v>12</v>
      </c>
      <c r="AA334" t="s">
        <v>4556</v>
      </c>
      <c r="AB334" t="s">
        <v>71</v>
      </c>
      <c r="AC334" t="s">
        <v>4353</v>
      </c>
      <c r="AD334" t="s">
        <v>4506</v>
      </c>
      <c r="AE334" t="s">
        <v>4353</v>
      </c>
      <c r="AF334" t="s">
        <v>4506</v>
      </c>
      <c r="AG334" t="s">
        <v>223</v>
      </c>
      <c r="AH334" t="s">
        <v>4590</v>
      </c>
      <c r="AI334" t="s">
        <v>4353</v>
      </c>
      <c r="AJ334" t="s">
        <v>4506</v>
      </c>
      <c r="AK334" t="s">
        <v>4519</v>
      </c>
      <c r="AL334" t="s">
        <v>4519</v>
      </c>
      <c r="AM334" t="s">
        <v>4510</v>
      </c>
      <c r="AN334" t="s">
        <v>4550</v>
      </c>
      <c r="AO334" s="134">
        <v>114.241379310345</v>
      </c>
      <c r="AP334" s="135">
        <v>113.664359861592</v>
      </c>
      <c r="AQ334">
        <v>0.38985005767012698</v>
      </c>
      <c r="AR334" s="136">
        <v>1.23298731257209</v>
      </c>
      <c r="AS334">
        <v>7.4094579008073804</v>
      </c>
    </row>
    <row r="335" spans="1:45" customFormat="1" ht="121">
      <c r="A335">
        <v>1118</v>
      </c>
      <c r="B335" s="69" t="s">
        <v>3030</v>
      </c>
      <c r="C335" s="69" t="s">
        <v>59</v>
      </c>
      <c r="D335" s="31">
        <f t="shared" si="35"/>
        <v>5</v>
      </c>
      <c r="E335" s="69" t="s">
        <v>80</v>
      </c>
      <c r="F335" s="31">
        <f t="shared" si="36"/>
        <v>4</v>
      </c>
      <c r="G335" s="89" t="s">
        <v>3040</v>
      </c>
      <c r="H335" s="138">
        <v>41</v>
      </c>
      <c r="I335" s="92">
        <f t="shared" si="34"/>
        <v>0.34105754213985756</v>
      </c>
      <c r="J335" s="95">
        <v>2.9690246153313298E-4</v>
      </c>
      <c r="K335" s="137">
        <v>0.72827870552673202</v>
      </c>
      <c r="L335" s="137">
        <v>0.68181818181818199</v>
      </c>
      <c r="M335" s="137">
        <v>0.79796949108955795</v>
      </c>
      <c r="N335" s="136">
        <v>1</v>
      </c>
      <c r="O335" s="157">
        <v>43551</v>
      </c>
      <c r="P335" s="98">
        <f t="shared" si="37"/>
        <v>1</v>
      </c>
      <c r="Q335" s="113">
        <v>0</v>
      </c>
      <c r="R335" s="113">
        <v>0</v>
      </c>
      <c r="S335" s="113">
        <v>0</v>
      </c>
      <c r="T335" s="119" t="s">
        <v>73</v>
      </c>
      <c r="U335" s="89" t="s">
        <v>3041</v>
      </c>
      <c r="V335" s="172" t="s">
        <v>3042</v>
      </c>
      <c r="W335" s="69">
        <v>176</v>
      </c>
      <c r="X335" s="69">
        <v>1</v>
      </c>
      <c r="Y335" s="69">
        <v>2</v>
      </c>
      <c r="Z335" s="69"/>
      <c r="AA335" t="s">
        <v>4522</v>
      </c>
      <c r="AB335" t="s">
        <v>87</v>
      </c>
      <c r="AC335" t="s">
        <v>4513</v>
      </c>
      <c r="AD335" t="s">
        <v>4684</v>
      </c>
      <c r="AE335" t="s">
        <v>4515</v>
      </c>
      <c r="AF335" t="s">
        <v>4615</v>
      </c>
      <c r="AG335" t="s">
        <v>4353</v>
      </c>
      <c r="AH335" t="s">
        <v>4506</v>
      </c>
      <c r="AI335" t="s">
        <v>4353</v>
      </c>
      <c r="AJ335" t="s">
        <v>4506</v>
      </c>
      <c r="AK335" t="s">
        <v>4519</v>
      </c>
      <c r="AL335" t="s">
        <v>4519</v>
      </c>
      <c r="AM335" t="s">
        <v>4592</v>
      </c>
      <c r="AN335" t="s">
        <v>4626</v>
      </c>
      <c r="AO335" s="134">
        <v>114.325661680092</v>
      </c>
      <c r="AP335" s="135">
        <v>113.71791907514501</v>
      </c>
      <c r="AQ335">
        <v>0.38959537572254299</v>
      </c>
      <c r="AR335" s="136">
        <v>1.2335260115606901</v>
      </c>
      <c r="AS335">
        <v>7.40115606936416</v>
      </c>
    </row>
    <row r="336" spans="1:45" customFormat="1" ht="91">
      <c r="A336">
        <v>467</v>
      </c>
      <c r="B336" s="69" t="s">
        <v>1222</v>
      </c>
      <c r="C336" s="69" t="s">
        <v>45</v>
      </c>
      <c r="D336" s="31">
        <f t="shared" si="35"/>
        <v>4</v>
      </c>
      <c r="E336" s="69" t="s">
        <v>664</v>
      </c>
      <c r="F336" s="31">
        <f t="shared" si="36"/>
        <v>1</v>
      </c>
      <c r="G336" s="137" t="s">
        <v>1330</v>
      </c>
      <c r="H336" s="138">
        <v>129</v>
      </c>
      <c r="I336" s="92">
        <f t="shared" si="34"/>
        <v>0.34090909560801996</v>
      </c>
      <c r="J336" s="95">
        <v>9.39785793629966E-9</v>
      </c>
      <c r="K336" s="137">
        <v>0.59528191556096999</v>
      </c>
      <c r="L336" s="137">
        <v>0.68181818181818199</v>
      </c>
      <c r="M336" s="137">
        <v>0.46547751617515098</v>
      </c>
      <c r="N336" s="136">
        <v>1</v>
      </c>
      <c r="O336" s="154">
        <v>43550</v>
      </c>
      <c r="P336" s="98">
        <f t="shared" si="37"/>
        <v>2</v>
      </c>
      <c r="Q336" s="111">
        <v>0</v>
      </c>
      <c r="R336" s="111">
        <v>0</v>
      </c>
      <c r="S336" s="111">
        <v>0</v>
      </c>
      <c r="T336" s="112" t="s">
        <v>64</v>
      </c>
      <c r="U336" s="137" t="s">
        <v>1331</v>
      </c>
      <c r="V336" s="137" t="s">
        <v>1325</v>
      </c>
      <c r="W336" s="69">
        <v>41</v>
      </c>
      <c r="X336" s="69">
        <v>1</v>
      </c>
      <c r="Y336" s="69">
        <v>14</v>
      </c>
      <c r="AA336" t="s">
        <v>4660</v>
      </c>
      <c r="AB336" t="s">
        <v>4594</v>
      </c>
      <c r="AC336" t="s">
        <v>223</v>
      </c>
      <c r="AD336" t="s">
        <v>4554</v>
      </c>
      <c r="AE336" t="s">
        <v>223</v>
      </c>
      <c r="AF336" t="s">
        <v>4554</v>
      </c>
      <c r="AG336" t="s">
        <v>4353</v>
      </c>
      <c r="AH336" t="s">
        <v>4506</v>
      </c>
      <c r="AI336" t="s">
        <v>4353</v>
      </c>
      <c r="AJ336" t="s">
        <v>4506</v>
      </c>
      <c r="AK336" t="s">
        <v>4519</v>
      </c>
      <c r="AL336" t="s">
        <v>4519</v>
      </c>
      <c r="AM336" t="s">
        <v>4510</v>
      </c>
      <c r="AN336" t="s">
        <v>4550</v>
      </c>
      <c r="AO336" s="134">
        <v>114.29838709677399</v>
      </c>
      <c r="AP336" s="135">
        <v>113.677083333333</v>
      </c>
      <c r="AQ336">
        <v>0.390046296296296</v>
      </c>
      <c r="AR336" s="136">
        <v>1.2337962962963001</v>
      </c>
      <c r="AS336">
        <v>7.4050925925925899</v>
      </c>
    </row>
    <row r="337" spans="1:45" customFormat="1" ht="151">
      <c r="A337">
        <v>466</v>
      </c>
      <c r="B337" s="69" t="s">
        <v>1222</v>
      </c>
      <c r="C337" s="69" t="s">
        <v>45</v>
      </c>
      <c r="D337" s="31">
        <f t="shared" si="35"/>
        <v>4</v>
      </c>
      <c r="E337" s="69" t="s">
        <v>664</v>
      </c>
      <c r="F337" s="31">
        <f t="shared" si="36"/>
        <v>1</v>
      </c>
      <c r="G337" s="137" t="s">
        <v>1328</v>
      </c>
      <c r="H337" s="138">
        <v>138</v>
      </c>
      <c r="I337" s="92">
        <f t="shared" si="34"/>
        <v>0.41250000000000608</v>
      </c>
      <c r="J337" s="95">
        <v>1.22124532708767E-14</v>
      </c>
      <c r="K337" s="137">
        <v>0.68119100647006003</v>
      </c>
      <c r="L337" s="137">
        <v>0.82499999999999996</v>
      </c>
      <c r="M337" s="137">
        <v>0.46547751617515098</v>
      </c>
      <c r="N337" s="136">
        <v>1</v>
      </c>
      <c r="O337" s="154">
        <v>43550</v>
      </c>
      <c r="P337" s="98">
        <f t="shared" si="37"/>
        <v>0</v>
      </c>
      <c r="Q337" s="111">
        <v>2.5499999999999998</v>
      </c>
      <c r="R337" s="111">
        <v>1.65</v>
      </c>
      <c r="S337" s="111">
        <v>0</v>
      </c>
      <c r="T337" s="112" t="s">
        <v>48</v>
      </c>
      <c r="U337" s="137" t="s">
        <v>4390</v>
      </c>
      <c r="V337" s="137" t="s">
        <v>1325</v>
      </c>
      <c r="W337" s="69">
        <v>41</v>
      </c>
      <c r="X337" s="69">
        <v>1</v>
      </c>
      <c r="Y337" s="69">
        <v>14</v>
      </c>
      <c r="AA337" t="s">
        <v>4512</v>
      </c>
      <c r="AB337" t="s">
        <v>4594</v>
      </c>
      <c r="AC337" t="s">
        <v>223</v>
      </c>
      <c r="AD337" t="s">
        <v>4554</v>
      </c>
      <c r="AE337" t="s">
        <v>223</v>
      </c>
      <c r="AF337" t="s">
        <v>4554</v>
      </c>
      <c r="AG337" t="s">
        <v>4353</v>
      </c>
      <c r="AH337" t="s">
        <v>4506</v>
      </c>
      <c r="AI337" t="s">
        <v>4353</v>
      </c>
      <c r="AJ337" t="s">
        <v>4506</v>
      </c>
      <c r="AK337" t="s">
        <v>4519</v>
      </c>
      <c r="AL337" t="s">
        <v>4519</v>
      </c>
      <c r="AM337" t="s">
        <v>4528</v>
      </c>
      <c r="AN337" t="s">
        <v>4529</v>
      </c>
      <c r="AO337" s="134">
        <v>114.281430219146</v>
      </c>
      <c r="AP337" s="135">
        <v>113.677083333333</v>
      </c>
      <c r="AQ337">
        <v>0.390046296296296</v>
      </c>
      <c r="AR337" s="136">
        <v>1.2337962962963001</v>
      </c>
      <c r="AS337">
        <v>7.4050925925925899</v>
      </c>
    </row>
    <row r="338" spans="1:45" customFormat="1" ht="106">
      <c r="A338" s="65">
        <v>1020</v>
      </c>
      <c r="B338" s="69" t="s">
        <v>2752</v>
      </c>
      <c r="C338" s="69" t="s">
        <v>45</v>
      </c>
      <c r="D338" s="31">
        <f t="shared" si="35"/>
        <v>4</v>
      </c>
      <c r="E338" s="69" t="s">
        <v>46</v>
      </c>
      <c r="F338" s="31">
        <f t="shared" si="36"/>
        <v>6</v>
      </c>
      <c r="G338" s="190" t="s">
        <v>2771</v>
      </c>
      <c r="H338" s="138">
        <v>111</v>
      </c>
      <c r="I338" s="92">
        <f t="shared" si="34"/>
        <v>0.37733576675417402</v>
      </c>
      <c r="J338" s="95">
        <v>4.6715335083480402E-3</v>
      </c>
      <c r="K338" s="137">
        <v>0.73571428571428599</v>
      </c>
      <c r="L338" s="137">
        <v>0.75</v>
      </c>
      <c r="M338" s="137">
        <v>0.71428571428571397</v>
      </c>
      <c r="N338" s="136">
        <v>1</v>
      </c>
      <c r="O338" s="157">
        <v>43546</v>
      </c>
      <c r="P338" s="98">
        <f t="shared" si="37"/>
        <v>0</v>
      </c>
      <c r="Q338" s="201">
        <v>7.65</v>
      </c>
      <c r="R338" s="201">
        <v>0</v>
      </c>
      <c r="S338" s="201">
        <v>0</v>
      </c>
      <c r="T338" s="202" t="s">
        <v>48</v>
      </c>
      <c r="U338" s="203" t="s">
        <v>2772</v>
      </c>
      <c r="V338" s="172" t="s">
        <v>2773</v>
      </c>
      <c r="W338" s="69">
        <v>149</v>
      </c>
      <c r="X338" s="195">
        <v>1</v>
      </c>
      <c r="Y338" s="195">
        <v>4</v>
      </c>
      <c r="Z338" s="69"/>
      <c r="AA338" t="s">
        <v>4543</v>
      </c>
      <c r="AB338" t="s">
        <v>87</v>
      </c>
      <c r="AC338" t="s">
        <v>4530</v>
      </c>
      <c r="AD338" t="s">
        <v>4537</v>
      </c>
      <c r="AE338" t="s">
        <v>223</v>
      </c>
      <c r="AF338" t="s">
        <v>4787</v>
      </c>
      <c r="AG338" t="s">
        <v>4353</v>
      </c>
      <c r="AH338" t="s">
        <v>4506</v>
      </c>
      <c r="AI338" t="s">
        <v>223</v>
      </c>
      <c r="AJ338" t="s">
        <v>4787</v>
      </c>
      <c r="AK338" t="s">
        <v>4519</v>
      </c>
      <c r="AL338" t="s">
        <v>4519</v>
      </c>
      <c r="AM338" t="s">
        <v>4510</v>
      </c>
      <c r="AN338" t="s">
        <v>4550</v>
      </c>
      <c r="AO338" s="134">
        <v>114.222863741339</v>
      </c>
      <c r="AP338" s="135">
        <v>113.717265353418</v>
      </c>
      <c r="AQ338">
        <v>0.39049826187717301</v>
      </c>
      <c r="AR338" s="136">
        <v>1.23406720741599</v>
      </c>
      <c r="AS338">
        <v>7.4101969872537703</v>
      </c>
    </row>
    <row r="339" spans="1:45" customFormat="1" ht="91">
      <c r="A339">
        <v>923</v>
      </c>
      <c r="B339" s="69" t="s">
        <v>2510</v>
      </c>
      <c r="C339" s="69" t="s">
        <v>45</v>
      </c>
      <c r="D339" s="31">
        <f t="shared" si="35"/>
        <v>4</v>
      </c>
      <c r="E339" s="69" t="s">
        <v>46</v>
      </c>
      <c r="F339" s="31">
        <f t="shared" si="36"/>
        <v>6</v>
      </c>
      <c r="G339" s="137" t="s">
        <v>2518</v>
      </c>
      <c r="H339" s="138">
        <v>165</v>
      </c>
      <c r="I339" s="92">
        <f t="shared" si="34"/>
        <v>0.30991822895194865</v>
      </c>
      <c r="J339" s="95">
        <v>1.7471600962659701E-6</v>
      </c>
      <c r="K339" s="137">
        <v>0.67292649458520204</v>
      </c>
      <c r="L339" s="137">
        <v>0.61983471074380103</v>
      </c>
      <c r="M339" s="137">
        <v>0.75256417034730305</v>
      </c>
      <c r="N339" s="136">
        <v>1</v>
      </c>
      <c r="O339" s="154">
        <v>43546</v>
      </c>
      <c r="P339" s="98">
        <f t="shared" si="37"/>
        <v>0</v>
      </c>
      <c r="Q339" s="111">
        <v>2.5499999999999998</v>
      </c>
      <c r="R339" s="111">
        <v>0</v>
      </c>
      <c r="S339" s="111">
        <v>0</v>
      </c>
      <c r="T339" s="112" t="s">
        <v>48</v>
      </c>
      <c r="U339" s="137" t="s">
        <v>2519</v>
      </c>
      <c r="V339" s="137" t="s">
        <v>2520</v>
      </c>
      <c r="W339" s="69">
        <v>79</v>
      </c>
      <c r="X339" s="69">
        <v>1</v>
      </c>
      <c r="Y339" s="69">
        <v>3</v>
      </c>
      <c r="Z339" s="69"/>
      <c r="AA339" t="s">
        <v>4653</v>
      </c>
      <c r="AB339" t="s">
        <v>87</v>
      </c>
      <c r="AC339" t="s">
        <v>4515</v>
      </c>
      <c r="AD339" t="s">
        <v>4517</v>
      </c>
      <c r="AE339" t="s">
        <v>223</v>
      </c>
      <c r="AF339" t="s">
        <v>4584</v>
      </c>
      <c r="AG339" t="s">
        <v>223</v>
      </c>
      <c r="AH339" t="s">
        <v>4584</v>
      </c>
      <c r="AI339" t="s">
        <v>4353</v>
      </c>
      <c r="AJ339" t="s">
        <v>4506</v>
      </c>
      <c r="AK339" t="s">
        <v>4518</v>
      </c>
      <c r="AL339" t="s">
        <v>4519</v>
      </c>
      <c r="AM339" t="s">
        <v>4592</v>
      </c>
      <c r="AN339" t="s">
        <v>4661</v>
      </c>
      <c r="AO339" s="134">
        <v>114.226589595376</v>
      </c>
      <c r="AP339" s="135">
        <v>113.717265353418</v>
      </c>
      <c r="AQ339">
        <v>0.39049826187717301</v>
      </c>
      <c r="AR339" s="136">
        <v>1.23406720741599</v>
      </c>
      <c r="AS339">
        <v>7.4101969872537703</v>
      </c>
    </row>
    <row r="340" spans="1:45" customFormat="1" ht="76">
      <c r="A340" s="65">
        <v>993</v>
      </c>
      <c r="B340" s="69" t="s">
        <v>2638</v>
      </c>
      <c r="C340" s="69" t="s">
        <v>119</v>
      </c>
      <c r="D340" s="31">
        <f t="shared" si="35"/>
        <v>1</v>
      </c>
      <c r="E340" s="69" t="s">
        <v>46</v>
      </c>
      <c r="F340" s="31">
        <f t="shared" si="36"/>
        <v>6</v>
      </c>
      <c r="G340" s="203" t="s">
        <v>2689</v>
      </c>
      <c r="H340" s="138">
        <v>138</v>
      </c>
      <c r="I340" s="92">
        <f t="shared" si="34"/>
        <v>0.85005143929573002</v>
      </c>
      <c r="J340" s="95">
        <v>0.95010287859146003</v>
      </c>
      <c r="K340" s="137">
        <v>0.69881421079630901</v>
      </c>
      <c r="L340" s="137">
        <v>0.75</v>
      </c>
      <c r="M340" s="137">
        <v>0.62203552699077302</v>
      </c>
      <c r="N340" s="136">
        <v>1</v>
      </c>
      <c r="O340" s="157">
        <v>43545</v>
      </c>
      <c r="P340" s="98">
        <f t="shared" si="37"/>
        <v>0</v>
      </c>
      <c r="Q340" s="124">
        <v>5.0999999999999996</v>
      </c>
      <c r="R340" s="124">
        <v>0</v>
      </c>
      <c r="S340" s="124">
        <v>0</v>
      </c>
      <c r="T340" s="170" t="s">
        <v>48</v>
      </c>
      <c r="U340" s="172" t="s">
        <v>2690</v>
      </c>
      <c r="V340" s="172" t="s">
        <v>2691</v>
      </c>
      <c r="W340" s="69">
        <v>87</v>
      </c>
      <c r="X340" s="195">
        <v>1</v>
      </c>
      <c r="Y340" s="195">
        <v>7</v>
      </c>
      <c r="Z340" s="69"/>
      <c r="AA340" t="s">
        <v>4653</v>
      </c>
      <c r="AB340" t="s">
        <v>51</v>
      </c>
      <c r="AC340" t="s">
        <v>4353</v>
      </c>
      <c r="AD340" t="s">
        <v>4506</v>
      </c>
      <c r="AE340" t="s">
        <v>4513</v>
      </c>
      <c r="AF340" t="s">
        <v>4627</v>
      </c>
      <c r="AG340" t="s">
        <v>4353</v>
      </c>
      <c r="AH340" t="s">
        <v>4506</v>
      </c>
      <c r="AI340" t="s">
        <v>4353</v>
      </c>
      <c r="AJ340" t="s">
        <v>4506</v>
      </c>
      <c r="AK340" t="s">
        <v>4519</v>
      </c>
      <c r="AL340" t="s">
        <v>4541</v>
      </c>
      <c r="AM340" t="s">
        <v>4562</v>
      </c>
      <c r="AN340" t="s">
        <v>4785</v>
      </c>
      <c r="AO340" s="134">
        <v>114.19907407407401</v>
      </c>
      <c r="AP340" s="135">
        <v>113.717265353418</v>
      </c>
      <c r="AQ340">
        <v>0.39049826187717301</v>
      </c>
      <c r="AR340" s="136">
        <v>1.23406720741599</v>
      </c>
      <c r="AS340">
        <v>7.4101969872537703</v>
      </c>
    </row>
    <row r="341" spans="1:45" customFormat="1" ht="76">
      <c r="A341" s="65">
        <v>280</v>
      </c>
      <c r="B341" s="69" t="s">
        <v>589</v>
      </c>
      <c r="C341" s="69" t="s">
        <v>59</v>
      </c>
      <c r="D341" s="31">
        <f t="shared" si="35"/>
        <v>5</v>
      </c>
      <c r="E341" s="69" t="s">
        <v>80</v>
      </c>
      <c r="F341" s="31">
        <f t="shared" si="36"/>
        <v>4</v>
      </c>
      <c r="G341" s="137" t="s">
        <v>842</v>
      </c>
      <c r="H341" s="138">
        <v>40</v>
      </c>
      <c r="I341" s="92">
        <f t="shared" si="34"/>
        <v>0.39025056486690668</v>
      </c>
      <c r="J341" s="95">
        <v>3.0501129733813401E-2</v>
      </c>
      <c r="K341" s="137">
        <v>0.79285714285714304</v>
      </c>
      <c r="L341" s="137">
        <v>0.75</v>
      </c>
      <c r="M341" s="137">
        <v>0.85714285714285698</v>
      </c>
      <c r="N341" s="136">
        <v>1</v>
      </c>
      <c r="O341" s="154">
        <v>43543</v>
      </c>
      <c r="P341" s="98">
        <f t="shared" si="37"/>
        <v>1</v>
      </c>
      <c r="Q341" s="111">
        <v>5.0999999999999996</v>
      </c>
      <c r="R341" s="111">
        <v>1.65</v>
      </c>
      <c r="S341" s="111">
        <v>1.87</v>
      </c>
      <c r="T341" s="112" t="s">
        <v>73</v>
      </c>
      <c r="U341" s="147" t="s">
        <v>843</v>
      </c>
      <c r="V341" s="137" t="s">
        <v>844</v>
      </c>
      <c r="W341" s="69">
        <v>48</v>
      </c>
      <c r="X341" s="147">
        <v>1</v>
      </c>
      <c r="Y341" s="147">
        <v>1</v>
      </c>
      <c r="AA341" t="s">
        <v>4673</v>
      </c>
      <c r="AB341" t="s">
        <v>4594</v>
      </c>
      <c r="AC341" t="s">
        <v>4515</v>
      </c>
      <c r="AD341" t="s">
        <v>4749</v>
      </c>
      <c r="AE341" t="s">
        <v>4515</v>
      </c>
      <c r="AF341" t="s">
        <v>4749</v>
      </c>
      <c r="AG341" t="s">
        <v>4353</v>
      </c>
      <c r="AH341" t="s">
        <v>4506</v>
      </c>
      <c r="AI341" t="s">
        <v>4353</v>
      </c>
      <c r="AJ341" t="s">
        <v>4506</v>
      </c>
      <c r="AK341" t="s">
        <v>4519</v>
      </c>
      <c r="AL341" t="s">
        <v>4519</v>
      </c>
      <c r="AM341" t="s">
        <v>4562</v>
      </c>
      <c r="AN341" t="s">
        <v>4563</v>
      </c>
      <c r="AO341" s="134">
        <v>114.28505214368499</v>
      </c>
      <c r="AP341" s="135">
        <v>113.925581395349</v>
      </c>
      <c r="AQ341">
        <v>0.39186046511627898</v>
      </c>
      <c r="AR341" s="136">
        <v>1.2348837209302299</v>
      </c>
      <c r="AS341">
        <v>7.4174418604651198</v>
      </c>
    </row>
    <row r="342" spans="1:45" customFormat="1" ht="46">
      <c r="A342" s="65">
        <v>468</v>
      </c>
      <c r="B342" s="69" t="s">
        <v>1222</v>
      </c>
      <c r="C342" s="69" t="s">
        <v>45</v>
      </c>
      <c r="D342" s="31">
        <f t="shared" si="35"/>
        <v>4</v>
      </c>
      <c r="E342" s="69" t="s">
        <v>80</v>
      </c>
      <c r="F342" s="31">
        <f t="shared" si="36"/>
        <v>4</v>
      </c>
      <c r="G342" s="137" t="s">
        <v>1332</v>
      </c>
      <c r="H342" s="138">
        <v>80</v>
      </c>
      <c r="I342" s="92">
        <f t="shared" si="34"/>
        <v>0.31016529283292776</v>
      </c>
      <c r="J342" s="95">
        <v>4.9587492205349604E-4</v>
      </c>
      <c r="K342" s="137">
        <v>0.71475796930342395</v>
      </c>
      <c r="L342" s="137">
        <v>0.61983471074380203</v>
      </c>
      <c r="M342" s="137">
        <v>0.85714285714285698</v>
      </c>
      <c r="N342" s="136">
        <v>1</v>
      </c>
      <c r="O342" s="154">
        <v>43543</v>
      </c>
      <c r="P342" s="98">
        <f t="shared" si="37"/>
        <v>1</v>
      </c>
      <c r="Q342" s="111">
        <v>0</v>
      </c>
      <c r="R342" s="111">
        <v>0</v>
      </c>
      <c r="S342" s="111">
        <v>0</v>
      </c>
      <c r="T342" s="112" t="s">
        <v>73</v>
      </c>
      <c r="U342" s="137" t="s">
        <v>1333</v>
      </c>
      <c r="V342" s="137" t="s">
        <v>1334</v>
      </c>
      <c r="W342" s="69">
        <v>48</v>
      </c>
      <c r="X342" s="69">
        <v>1</v>
      </c>
      <c r="Y342" s="69">
        <v>1</v>
      </c>
      <c r="AA342" t="s">
        <v>4543</v>
      </c>
      <c r="AB342" t="s">
        <v>4594</v>
      </c>
      <c r="AC342" t="s">
        <v>4515</v>
      </c>
      <c r="AD342" t="s">
        <v>4749</v>
      </c>
      <c r="AE342" t="s">
        <v>4515</v>
      </c>
      <c r="AF342" t="s">
        <v>4749</v>
      </c>
      <c r="AG342" t="s">
        <v>4353</v>
      </c>
      <c r="AH342" t="s">
        <v>4506</v>
      </c>
      <c r="AI342" t="s">
        <v>4353</v>
      </c>
      <c r="AJ342" t="s">
        <v>4506</v>
      </c>
      <c r="AK342" t="s">
        <v>4519</v>
      </c>
      <c r="AL342" t="s">
        <v>4541</v>
      </c>
      <c r="AM342" t="s">
        <v>4528</v>
      </c>
      <c r="AN342" t="s">
        <v>4542</v>
      </c>
      <c r="AO342" s="134">
        <v>114.32482598607901</v>
      </c>
      <c r="AP342" s="135">
        <v>113.925581395349</v>
      </c>
      <c r="AQ342">
        <v>0.39186046511627898</v>
      </c>
      <c r="AR342" s="136">
        <v>1.2348837209302299</v>
      </c>
      <c r="AS342">
        <v>7.4174418604651198</v>
      </c>
    </row>
    <row r="343" spans="1:45" customFormat="1" ht="76">
      <c r="A343" s="65">
        <v>1076</v>
      </c>
      <c r="B343" s="69" t="s">
        <v>2916</v>
      </c>
      <c r="C343" s="69" t="s">
        <v>45</v>
      </c>
      <c r="D343" s="31">
        <f t="shared" si="35"/>
        <v>4</v>
      </c>
      <c r="E343" s="69" t="s">
        <v>46</v>
      </c>
      <c r="F343" s="31">
        <f t="shared" si="36"/>
        <v>6</v>
      </c>
      <c r="G343" s="191" t="s">
        <v>2923</v>
      </c>
      <c r="H343" s="138">
        <v>77</v>
      </c>
      <c r="I343" s="92">
        <f t="shared" si="34"/>
        <v>0.37933420205013724</v>
      </c>
      <c r="J343" s="95">
        <v>8.6684041002744704E-3</v>
      </c>
      <c r="K343" s="137">
        <v>0.62868666593100497</v>
      </c>
      <c r="L343" s="137">
        <v>0.75</v>
      </c>
      <c r="M343" s="137">
        <v>0.44671666482751199</v>
      </c>
      <c r="N343" s="136">
        <v>1</v>
      </c>
      <c r="O343" s="157">
        <v>43537</v>
      </c>
      <c r="P343" s="98">
        <f t="shared" si="37"/>
        <v>0</v>
      </c>
      <c r="Q343" s="113">
        <v>0</v>
      </c>
      <c r="R343" s="113">
        <v>3.3</v>
      </c>
      <c r="S343" s="113">
        <v>0</v>
      </c>
      <c r="T343" s="119" t="s">
        <v>48</v>
      </c>
      <c r="U343" s="89" t="s">
        <v>2924</v>
      </c>
      <c r="V343" s="172" t="s">
        <v>2925</v>
      </c>
      <c r="W343" s="69">
        <v>94</v>
      </c>
      <c r="X343" s="171">
        <v>2</v>
      </c>
      <c r="Y343" s="171">
        <v>15</v>
      </c>
      <c r="Z343" s="69"/>
      <c r="AA343" t="s">
        <v>4564</v>
      </c>
      <c r="AB343" t="s">
        <v>51</v>
      </c>
      <c r="AC343" t="s">
        <v>4515</v>
      </c>
      <c r="AD343" t="s">
        <v>4607</v>
      </c>
      <c r="AE343" t="s">
        <v>4580</v>
      </c>
      <c r="AF343" t="s">
        <v>4856</v>
      </c>
      <c r="AG343" t="s">
        <v>4353</v>
      </c>
      <c r="AH343" t="s">
        <v>4506</v>
      </c>
      <c r="AI343" t="s">
        <v>4353</v>
      </c>
      <c r="AJ343" t="s">
        <v>4506</v>
      </c>
      <c r="AK343" t="s">
        <v>4519</v>
      </c>
      <c r="AL343" t="s">
        <v>4519</v>
      </c>
      <c r="AM343" t="s">
        <v>4510</v>
      </c>
      <c r="AN343" t="s">
        <v>4550</v>
      </c>
      <c r="AO343" s="134">
        <v>114.368176538908</v>
      </c>
      <c r="AP343" s="135">
        <v>113.870327102804</v>
      </c>
      <c r="AQ343">
        <v>0.39018691588784998</v>
      </c>
      <c r="AR343" s="136">
        <v>1.2313084112149499</v>
      </c>
      <c r="AS343">
        <v>7.41588785046729</v>
      </c>
    </row>
    <row r="344" spans="1:45" customFormat="1" ht="91">
      <c r="A344">
        <v>626</v>
      </c>
      <c r="B344" s="69" t="s">
        <v>1707</v>
      </c>
      <c r="C344" s="69" t="s">
        <v>45</v>
      </c>
      <c r="D344" s="31">
        <f t="shared" si="35"/>
        <v>4</v>
      </c>
      <c r="E344" s="69" t="s">
        <v>80</v>
      </c>
      <c r="F344" s="31">
        <f t="shared" si="36"/>
        <v>4</v>
      </c>
      <c r="G344" s="147" t="s">
        <v>1733</v>
      </c>
      <c r="H344" s="138">
        <v>62</v>
      </c>
      <c r="I344" s="92">
        <f t="shared" si="34"/>
        <v>0.50871093098241948</v>
      </c>
      <c r="J344" s="95">
        <v>0.19242186196483901</v>
      </c>
      <c r="K344" s="137">
        <v>0.78071428571428603</v>
      </c>
      <c r="L344" s="137">
        <v>0.82499999999999996</v>
      </c>
      <c r="M344" s="137">
        <v>0.71428571428571397</v>
      </c>
      <c r="N344" s="136">
        <v>1</v>
      </c>
      <c r="O344" s="154">
        <v>43533</v>
      </c>
      <c r="P344" s="98">
        <f t="shared" si="37"/>
        <v>1</v>
      </c>
      <c r="Q344" s="113">
        <v>2.5499999999999998</v>
      </c>
      <c r="R344" s="113">
        <v>4.95</v>
      </c>
      <c r="S344" s="113">
        <v>0</v>
      </c>
      <c r="T344" s="114" t="s">
        <v>73</v>
      </c>
      <c r="U344" s="147" t="s">
        <v>1734</v>
      </c>
      <c r="V344" s="137" t="s">
        <v>1735</v>
      </c>
      <c r="W344" s="69">
        <v>130</v>
      </c>
      <c r="X344" s="152">
        <v>2</v>
      </c>
      <c r="Y344" s="152">
        <v>4</v>
      </c>
      <c r="Z344" s="69"/>
      <c r="AA344" t="s">
        <v>4522</v>
      </c>
      <c r="AB344" t="s">
        <v>4597</v>
      </c>
      <c r="AC344" t="s">
        <v>4515</v>
      </c>
      <c r="AD344" t="s">
        <v>4684</v>
      </c>
      <c r="AE344" t="s">
        <v>223</v>
      </c>
      <c r="AF344" t="s">
        <v>4675</v>
      </c>
      <c r="AG344" t="s">
        <v>4515</v>
      </c>
      <c r="AH344" t="s">
        <v>4684</v>
      </c>
      <c r="AI344" t="s">
        <v>4353</v>
      </c>
      <c r="AJ344" t="s">
        <v>4506</v>
      </c>
      <c r="AK344" t="s">
        <v>4519</v>
      </c>
      <c r="AL344" t="s">
        <v>4519</v>
      </c>
      <c r="AM344" t="s">
        <v>4520</v>
      </c>
      <c r="AN344" t="s">
        <v>4558</v>
      </c>
      <c r="AO344" s="134">
        <v>114.31976744185999</v>
      </c>
      <c r="AP344" s="135">
        <v>113.959064327485</v>
      </c>
      <c r="AQ344">
        <v>0.39064327485380101</v>
      </c>
      <c r="AR344" s="136">
        <v>1.23157894736842</v>
      </c>
      <c r="AS344">
        <v>7.4187134502924001</v>
      </c>
    </row>
    <row r="345" spans="1:45" customFormat="1" ht="91">
      <c r="A345" s="65">
        <v>281</v>
      </c>
      <c r="B345" s="69" t="s">
        <v>589</v>
      </c>
      <c r="C345" s="69" t="s">
        <v>45</v>
      </c>
      <c r="D345" s="31">
        <f t="shared" si="35"/>
        <v>4</v>
      </c>
      <c r="E345" s="69" t="s">
        <v>46</v>
      </c>
      <c r="F345" s="31">
        <f t="shared" si="36"/>
        <v>6</v>
      </c>
      <c r="G345" s="188" t="s">
        <v>845</v>
      </c>
      <c r="H345" s="138">
        <v>156</v>
      </c>
      <c r="I345" s="92">
        <f t="shared" si="34"/>
        <v>0.45375000885624756</v>
      </c>
      <c r="J345" s="95">
        <v>1.7712495137267601E-8</v>
      </c>
      <c r="K345" s="137">
        <v>0.83021428571428602</v>
      </c>
      <c r="L345" s="137">
        <v>0.90749999999999997</v>
      </c>
      <c r="M345" s="137">
        <v>0.71428571428571397</v>
      </c>
      <c r="N345" s="136">
        <v>0</v>
      </c>
      <c r="O345" s="154">
        <v>43533</v>
      </c>
      <c r="P345" s="98">
        <f t="shared" si="37"/>
        <v>0</v>
      </c>
      <c r="Q345" s="111">
        <v>0</v>
      </c>
      <c r="R345" s="111">
        <v>1.65</v>
      </c>
      <c r="S345" s="111">
        <v>1.87</v>
      </c>
      <c r="T345" s="112" t="s">
        <v>48</v>
      </c>
      <c r="U345" s="137" t="s">
        <v>846</v>
      </c>
      <c r="V345" s="137" t="s">
        <v>847</v>
      </c>
      <c r="W345" s="69">
        <v>121</v>
      </c>
      <c r="X345" s="195">
        <v>2</v>
      </c>
      <c r="Y345" s="195">
        <v>4</v>
      </c>
      <c r="AA345" t="s">
        <v>4857</v>
      </c>
      <c r="AB345" t="s">
        <v>71</v>
      </c>
      <c r="AC345" t="s">
        <v>4353</v>
      </c>
      <c r="AD345" t="s">
        <v>4506</v>
      </c>
      <c r="AE345" t="s">
        <v>4515</v>
      </c>
      <c r="AF345" t="s">
        <v>4858</v>
      </c>
      <c r="AG345" t="s">
        <v>4513</v>
      </c>
      <c r="AH345" t="s">
        <v>4737</v>
      </c>
      <c r="AI345" t="s">
        <v>4353</v>
      </c>
      <c r="AJ345" t="s">
        <v>4506</v>
      </c>
      <c r="AK345" t="s">
        <v>4518</v>
      </c>
      <c r="AL345" t="s">
        <v>4519</v>
      </c>
      <c r="AM345" t="s">
        <v>4592</v>
      </c>
      <c r="AN345" t="s">
        <v>4661</v>
      </c>
      <c r="AO345" s="134">
        <v>114.380675203725</v>
      </c>
      <c r="AP345" s="135">
        <v>113.959064327485</v>
      </c>
      <c r="AQ345">
        <v>0.39064327485380101</v>
      </c>
      <c r="AR345" s="136">
        <v>1.23157894736842</v>
      </c>
      <c r="AS345">
        <v>7.4187134502924001</v>
      </c>
    </row>
    <row r="346" spans="1:45" customFormat="1" ht="46">
      <c r="A346">
        <v>166</v>
      </c>
      <c r="B346" s="69" t="s">
        <v>499</v>
      </c>
      <c r="C346" s="69" t="s">
        <v>59</v>
      </c>
      <c r="D346" s="31">
        <f t="shared" si="35"/>
        <v>5</v>
      </c>
      <c r="E346" s="69" t="s">
        <v>519</v>
      </c>
      <c r="F346" s="31">
        <f t="shared" si="36"/>
        <v>5</v>
      </c>
      <c r="G346" s="147" t="s">
        <v>520</v>
      </c>
      <c r="H346" s="138">
        <v>86</v>
      </c>
      <c r="I346" s="92">
        <f t="shared" si="34"/>
        <v>0.35373338800935794</v>
      </c>
      <c r="J346" s="95">
        <v>2.5648594200533899E-2</v>
      </c>
      <c r="K346" s="137">
        <v>0.68131559609092096</v>
      </c>
      <c r="L346" s="137">
        <v>0.68181818181818199</v>
      </c>
      <c r="M346" s="137">
        <v>0.68056171750003003</v>
      </c>
      <c r="N346" s="136">
        <v>1</v>
      </c>
      <c r="O346" s="154">
        <v>43530</v>
      </c>
      <c r="P346" s="98">
        <f t="shared" si="37"/>
        <v>2</v>
      </c>
      <c r="Q346" s="111">
        <v>0</v>
      </c>
      <c r="R346" s="111">
        <v>4.95</v>
      </c>
      <c r="S346" s="111">
        <v>1.87</v>
      </c>
      <c r="T346" s="112" t="s">
        <v>64</v>
      </c>
      <c r="U346" s="188" t="s">
        <v>521</v>
      </c>
      <c r="V346" s="137" t="s">
        <v>522</v>
      </c>
      <c r="W346" s="69">
        <v>38</v>
      </c>
      <c r="X346" s="188">
        <v>2</v>
      </c>
      <c r="Y346" s="188">
        <v>5</v>
      </c>
      <c r="AA346" t="s">
        <v>4522</v>
      </c>
      <c r="AB346" t="s">
        <v>67</v>
      </c>
      <c r="AC346" t="s">
        <v>4353</v>
      </c>
      <c r="AD346" t="s">
        <v>4506</v>
      </c>
      <c r="AE346" t="s">
        <v>4353</v>
      </c>
      <c r="AF346" t="s">
        <v>4506</v>
      </c>
      <c r="AG346" t="s">
        <v>4353</v>
      </c>
      <c r="AH346" t="s">
        <v>4506</v>
      </c>
      <c r="AI346" t="s">
        <v>4353</v>
      </c>
      <c r="AJ346" t="s">
        <v>4506</v>
      </c>
      <c r="AK346" t="s">
        <v>4519</v>
      </c>
      <c r="AL346" t="s">
        <v>4519</v>
      </c>
      <c r="AM346" t="s">
        <v>4528</v>
      </c>
      <c r="AN346" t="s">
        <v>4529</v>
      </c>
      <c r="AO346" s="134">
        <v>114.413752913753</v>
      </c>
      <c r="AP346" s="135">
        <v>113.853458382181</v>
      </c>
      <c r="AQ346">
        <v>0.38804220398593198</v>
      </c>
      <c r="AR346" s="136">
        <v>1.22977725674091</v>
      </c>
      <c r="AS346">
        <v>7.4150058616647101</v>
      </c>
    </row>
    <row r="347" spans="1:45" customFormat="1" ht="61">
      <c r="A347" s="65">
        <v>704</v>
      </c>
      <c r="B347" s="69" t="s">
        <v>1913</v>
      </c>
      <c r="C347" s="69" t="s">
        <v>45</v>
      </c>
      <c r="D347" s="31">
        <f t="shared" si="35"/>
        <v>4</v>
      </c>
      <c r="E347" s="69" t="s">
        <v>46</v>
      </c>
      <c r="F347" s="31">
        <f t="shared" si="36"/>
        <v>6</v>
      </c>
      <c r="G347" s="147" t="s">
        <v>1934</v>
      </c>
      <c r="H347" s="138">
        <v>22</v>
      </c>
      <c r="I347" s="92">
        <f t="shared" si="34"/>
        <v>0.3948975405984389</v>
      </c>
      <c r="J347" s="95">
        <v>3.9795081196877802E-2</v>
      </c>
      <c r="K347" s="137">
        <v>0.63619100647005999</v>
      </c>
      <c r="L347" s="137">
        <v>0.75</v>
      </c>
      <c r="M347" s="137">
        <v>0.46547751617515098</v>
      </c>
      <c r="N347" s="136">
        <v>1</v>
      </c>
      <c r="O347" s="154">
        <v>43529</v>
      </c>
      <c r="P347" s="98">
        <f t="shared" si="37"/>
        <v>2</v>
      </c>
      <c r="Q347" s="107">
        <v>2.5499999999999998</v>
      </c>
      <c r="R347" s="107">
        <v>0</v>
      </c>
      <c r="S347" s="107">
        <v>0</v>
      </c>
      <c r="T347" s="108" t="s">
        <v>64</v>
      </c>
      <c r="U347" s="169" t="s">
        <v>1935</v>
      </c>
      <c r="V347" s="137" t="s">
        <v>1936</v>
      </c>
      <c r="W347" s="69">
        <v>66</v>
      </c>
      <c r="X347" s="147">
        <v>1</v>
      </c>
      <c r="Y347" s="147">
        <v>14</v>
      </c>
      <c r="Z347" s="69"/>
      <c r="AA347" t="s">
        <v>4564</v>
      </c>
      <c r="AB347" t="s">
        <v>358</v>
      </c>
      <c r="AC347" t="s">
        <v>223</v>
      </c>
      <c r="AD347" t="s">
        <v>4568</v>
      </c>
      <c r="AE347" t="s">
        <v>223</v>
      </c>
      <c r="AF347" t="s">
        <v>4568</v>
      </c>
      <c r="AG347" t="s">
        <v>223</v>
      </c>
      <c r="AH347" t="s">
        <v>4568</v>
      </c>
      <c r="AI347" t="s">
        <v>4513</v>
      </c>
      <c r="AJ347" t="s">
        <v>4700</v>
      </c>
      <c r="AK347" t="s">
        <v>4519</v>
      </c>
      <c r="AL347" t="s">
        <v>4519</v>
      </c>
      <c r="AM347" t="s">
        <v>4528</v>
      </c>
      <c r="AN347" t="s">
        <v>4529</v>
      </c>
      <c r="AO347" s="134">
        <v>114.521586931155</v>
      </c>
      <c r="AP347" s="135">
        <v>113.73122065727701</v>
      </c>
      <c r="AQ347">
        <v>0.38849765258216001</v>
      </c>
      <c r="AR347" s="136">
        <v>1.22887323943662</v>
      </c>
      <c r="AS347">
        <v>7.4072769953051596</v>
      </c>
    </row>
    <row r="348" spans="1:45" customFormat="1" ht="121">
      <c r="A348" s="65">
        <v>469</v>
      </c>
      <c r="B348" s="69" t="s">
        <v>1222</v>
      </c>
      <c r="C348" s="69" t="s">
        <v>52</v>
      </c>
      <c r="D348" s="31">
        <f t="shared" si="35"/>
        <v>3</v>
      </c>
      <c r="E348" s="69" t="s">
        <v>46</v>
      </c>
      <c r="F348" s="31">
        <f t="shared" si="36"/>
        <v>6</v>
      </c>
      <c r="G348" s="147" t="s">
        <v>1335</v>
      </c>
      <c r="H348" s="138">
        <v>196</v>
      </c>
      <c r="I348" s="92">
        <f t="shared" si="34"/>
        <v>0.809917340527467</v>
      </c>
      <c r="J348" s="95">
        <v>0.99999997031113197</v>
      </c>
      <c r="K348" s="137">
        <v>0.67292649458520204</v>
      </c>
      <c r="L348" s="137">
        <v>0.61983471074380203</v>
      </c>
      <c r="M348" s="137">
        <v>0.75256417034730305</v>
      </c>
      <c r="N348" s="136">
        <v>1</v>
      </c>
      <c r="O348" s="154">
        <v>43528</v>
      </c>
      <c r="P348" s="98">
        <f t="shared" si="37"/>
        <v>1</v>
      </c>
      <c r="Q348" s="111">
        <v>0</v>
      </c>
      <c r="R348" s="111">
        <v>1.65</v>
      </c>
      <c r="S348" s="111">
        <v>1.87</v>
      </c>
      <c r="T348" s="112" t="s">
        <v>73</v>
      </c>
      <c r="U348" s="137" t="s">
        <v>1336</v>
      </c>
      <c r="V348" s="137" t="s">
        <v>1337</v>
      </c>
      <c r="W348" s="69">
        <v>159</v>
      </c>
      <c r="X348" s="147">
        <v>3</v>
      </c>
      <c r="Y348" s="147">
        <v>3</v>
      </c>
      <c r="AA348" t="s">
        <v>4543</v>
      </c>
      <c r="AB348" t="s">
        <v>51</v>
      </c>
      <c r="AC348" t="s">
        <v>223</v>
      </c>
      <c r="AD348" t="s">
        <v>4640</v>
      </c>
      <c r="AE348" t="s">
        <v>4538</v>
      </c>
      <c r="AF348" t="s">
        <v>4859</v>
      </c>
      <c r="AG348" t="s">
        <v>223</v>
      </c>
      <c r="AH348" t="s">
        <v>4640</v>
      </c>
      <c r="AI348" t="s">
        <v>4353</v>
      </c>
      <c r="AJ348" t="s">
        <v>4506</v>
      </c>
      <c r="AK348" t="s">
        <v>4519</v>
      </c>
      <c r="AL348" t="s">
        <v>4541</v>
      </c>
      <c r="AM348" t="s">
        <v>4528</v>
      </c>
      <c r="AN348" t="s">
        <v>4542</v>
      </c>
      <c r="AO348" s="134">
        <v>114.293224299065</v>
      </c>
      <c r="AP348" s="135">
        <v>113.90330188679199</v>
      </c>
      <c r="AQ348">
        <v>0.38561320754716999</v>
      </c>
      <c r="AR348" s="136">
        <v>1.22995283018868</v>
      </c>
      <c r="AS348">
        <v>7.42570754716981</v>
      </c>
    </row>
    <row r="349" spans="1:45" customFormat="1" ht="166">
      <c r="A349">
        <v>282</v>
      </c>
      <c r="B349" s="69" t="s">
        <v>589</v>
      </c>
      <c r="C349" s="69" t="s">
        <v>45</v>
      </c>
      <c r="D349" s="31">
        <f t="shared" si="35"/>
        <v>4</v>
      </c>
      <c r="E349" s="69" t="s">
        <v>848</v>
      </c>
      <c r="F349" s="31">
        <f t="shared" si="36"/>
        <v>9</v>
      </c>
      <c r="G349" s="188" t="s">
        <v>849</v>
      </c>
      <c r="H349" s="138">
        <v>310</v>
      </c>
      <c r="I349" s="92">
        <f t="shared" si="34"/>
        <v>0.41250056079373626</v>
      </c>
      <c r="J349" s="95">
        <v>1.12158747256341E-6</v>
      </c>
      <c r="K349" s="137">
        <v>0.70547858340826297</v>
      </c>
      <c r="L349" s="137">
        <v>0.82499999999999996</v>
      </c>
      <c r="M349" s="137">
        <v>0.526196458520657</v>
      </c>
      <c r="N349" s="136">
        <v>1</v>
      </c>
      <c r="O349" s="154">
        <v>43528</v>
      </c>
      <c r="P349" s="98">
        <f t="shared" si="37"/>
        <v>0</v>
      </c>
      <c r="Q349" s="111">
        <v>10.199999999999999</v>
      </c>
      <c r="R349" s="111">
        <v>0</v>
      </c>
      <c r="S349" s="111">
        <v>0</v>
      </c>
      <c r="T349" s="112" t="s">
        <v>48</v>
      </c>
      <c r="U349" s="137" t="s">
        <v>850</v>
      </c>
      <c r="V349" s="137" t="s">
        <v>851</v>
      </c>
      <c r="W349" s="69">
        <v>218</v>
      </c>
      <c r="X349" s="195">
        <v>4</v>
      </c>
      <c r="Y349" s="195">
        <v>11</v>
      </c>
      <c r="AA349" t="s">
        <v>4628</v>
      </c>
      <c r="AB349" t="s">
        <v>51</v>
      </c>
      <c r="AC349" t="s">
        <v>4353</v>
      </c>
      <c r="AD349" t="s">
        <v>4506</v>
      </c>
      <c r="AE349" t="s">
        <v>4513</v>
      </c>
      <c r="AF349" t="s">
        <v>4860</v>
      </c>
      <c r="AG349" t="s">
        <v>223</v>
      </c>
      <c r="AH349" t="s">
        <v>4861</v>
      </c>
      <c r="AI349" t="s">
        <v>4353</v>
      </c>
      <c r="AJ349" t="s">
        <v>4506</v>
      </c>
      <c r="AK349" t="s">
        <v>4519</v>
      </c>
      <c r="AL349" t="s">
        <v>4552</v>
      </c>
      <c r="AM349" t="s">
        <v>4520</v>
      </c>
      <c r="AN349" t="s">
        <v>4652</v>
      </c>
      <c r="AO349" s="134">
        <v>114.197660818713</v>
      </c>
      <c r="AP349" s="135">
        <v>113.90330188679199</v>
      </c>
      <c r="AQ349">
        <v>0.38561320754716999</v>
      </c>
      <c r="AR349" s="136">
        <v>1.22995283018868</v>
      </c>
      <c r="AS349">
        <v>7.42570754716981</v>
      </c>
    </row>
    <row r="350" spans="1:45" customFormat="1" ht="91">
      <c r="A350">
        <v>3</v>
      </c>
      <c r="B350" s="136" t="s">
        <v>44</v>
      </c>
      <c r="C350" s="136" t="s">
        <v>45</v>
      </c>
      <c r="D350" s="31">
        <f t="shared" si="35"/>
        <v>4</v>
      </c>
      <c r="E350" s="136" t="s">
        <v>46</v>
      </c>
      <c r="F350" s="31">
        <f t="shared" si="36"/>
        <v>6</v>
      </c>
      <c r="G350" s="147" t="s">
        <v>56</v>
      </c>
      <c r="H350" s="138">
        <v>153</v>
      </c>
      <c r="I350" s="92">
        <f t="shared" si="34"/>
        <v>0.7732409219215175</v>
      </c>
      <c r="J350" s="95">
        <v>0.86466366202485301</v>
      </c>
      <c r="K350" s="137">
        <v>0.61114224536875195</v>
      </c>
      <c r="L350" s="137">
        <v>0.68181818181818199</v>
      </c>
      <c r="M350" s="137">
        <v>0.50512834069460699</v>
      </c>
      <c r="N350" s="136">
        <v>1</v>
      </c>
      <c r="O350" s="41">
        <v>43527</v>
      </c>
      <c r="P350" s="98">
        <f t="shared" si="37"/>
        <v>0</v>
      </c>
      <c r="Q350" s="111">
        <v>2.5499999999999998</v>
      </c>
      <c r="R350" s="111">
        <v>1.65</v>
      </c>
      <c r="S350" s="111">
        <v>1.87</v>
      </c>
      <c r="T350" s="112" t="s">
        <v>48</v>
      </c>
      <c r="U350" s="137" t="s">
        <v>57</v>
      </c>
      <c r="V350" s="137" t="s">
        <v>58</v>
      </c>
      <c r="W350" s="69">
        <v>34</v>
      </c>
      <c r="X350" s="209">
        <v>1</v>
      </c>
      <c r="Y350" s="209">
        <v>12</v>
      </c>
      <c r="Z350" s="69">
        <f>AVERAGE(Y349:Y945)</f>
        <v>6.5092127303182581</v>
      </c>
      <c r="AA350" t="s">
        <v>4564</v>
      </c>
      <c r="AB350" t="s">
        <v>51</v>
      </c>
      <c r="AC350" t="s">
        <v>223</v>
      </c>
      <c r="AD350" t="s">
        <v>4517</v>
      </c>
      <c r="AE350" t="s">
        <v>4530</v>
      </c>
      <c r="AF350" t="s">
        <v>4862</v>
      </c>
      <c r="AG350" t="s">
        <v>223</v>
      </c>
      <c r="AH350" t="s">
        <v>4517</v>
      </c>
      <c r="AI350" t="s">
        <v>4353</v>
      </c>
      <c r="AJ350" t="s">
        <v>4506</v>
      </c>
      <c r="AK350" t="s">
        <v>4519</v>
      </c>
      <c r="AL350" t="s">
        <v>4552</v>
      </c>
      <c r="AM350" t="s">
        <v>4528</v>
      </c>
      <c r="AN350" t="s">
        <v>4618</v>
      </c>
      <c r="AO350" s="134">
        <v>114.152224824356</v>
      </c>
      <c r="AP350" s="135">
        <v>113.90330188679199</v>
      </c>
      <c r="AQ350">
        <v>0.38561320754716999</v>
      </c>
      <c r="AR350" s="136">
        <v>1.22995283018868</v>
      </c>
      <c r="AS350">
        <v>7.42570754716981</v>
      </c>
    </row>
    <row r="351" spans="1:45" customFormat="1" ht="61">
      <c r="A351">
        <v>283</v>
      </c>
      <c r="B351" s="69" t="s">
        <v>589</v>
      </c>
      <c r="C351" s="69" t="s">
        <v>45</v>
      </c>
      <c r="D351" s="31">
        <f t="shared" si="35"/>
        <v>4</v>
      </c>
      <c r="E351" s="69" t="s">
        <v>80</v>
      </c>
      <c r="F351" s="31">
        <f t="shared" si="36"/>
        <v>4</v>
      </c>
      <c r="G351" s="137" t="s">
        <v>852</v>
      </c>
      <c r="H351" s="138">
        <v>55</v>
      </c>
      <c r="I351" s="92">
        <f t="shared" si="34"/>
        <v>0.84605715588267305</v>
      </c>
      <c r="J351" s="95">
        <v>0.78461431176534602</v>
      </c>
      <c r="K351" s="137">
        <v>0.84552566813892105</v>
      </c>
      <c r="L351" s="137">
        <v>0.90749999999999997</v>
      </c>
      <c r="M351" s="137">
        <v>0.75256417034730305</v>
      </c>
      <c r="N351" s="136">
        <v>1</v>
      </c>
      <c r="O351" s="154">
        <v>43525</v>
      </c>
      <c r="P351" s="98">
        <f t="shared" si="37"/>
        <v>0</v>
      </c>
      <c r="Q351" s="111">
        <v>7.65</v>
      </c>
      <c r="R351" s="111">
        <v>0</v>
      </c>
      <c r="S351" s="111">
        <v>0</v>
      </c>
      <c r="T351" s="112" t="s">
        <v>48</v>
      </c>
      <c r="U351" s="137" t="s">
        <v>853</v>
      </c>
      <c r="V351" s="137" t="s">
        <v>854</v>
      </c>
      <c r="W351" s="69">
        <v>67</v>
      </c>
      <c r="X351" s="69">
        <v>3</v>
      </c>
      <c r="Y351" s="69">
        <v>3</v>
      </c>
      <c r="AA351" t="s">
        <v>4512</v>
      </c>
      <c r="AB351" t="s">
        <v>67</v>
      </c>
      <c r="AC351" t="s">
        <v>4353</v>
      </c>
      <c r="AD351" t="s">
        <v>4506</v>
      </c>
      <c r="AE351" t="s">
        <v>4353</v>
      </c>
      <c r="AF351" t="s">
        <v>4506</v>
      </c>
      <c r="AG351" t="s">
        <v>4353</v>
      </c>
      <c r="AH351" t="s">
        <v>4506</v>
      </c>
      <c r="AI351" t="s">
        <v>4353</v>
      </c>
      <c r="AJ351" t="s">
        <v>4506</v>
      </c>
      <c r="AK351" t="s">
        <v>4519</v>
      </c>
      <c r="AL351" t="s">
        <v>4519</v>
      </c>
      <c r="AM351" t="s">
        <v>4510</v>
      </c>
      <c r="AN351" t="s">
        <v>4550</v>
      </c>
      <c r="AO351" s="134">
        <v>114.221570926143</v>
      </c>
      <c r="AP351" s="135">
        <v>113.90330188679199</v>
      </c>
      <c r="AQ351">
        <v>0.38561320754716999</v>
      </c>
      <c r="AR351" s="136">
        <v>1.22995283018868</v>
      </c>
      <c r="AS351">
        <v>7.42570754716981</v>
      </c>
    </row>
    <row r="352" spans="1:45" customFormat="1" ht="91">
      <c r="A352" s="65">
        <v>924</v>
      </c>
      <c r="B352" s="69" t="s">
        <v>2510</v>
      </c>
      <c r="C352" s="69" t="s">
        <v>59</v>
      </c>
      <c r="D352" s="31">
        <f t="shared" si="35"/>
        <v>5</v>
      </c>
      <c r="E352" s="69" t="s">
        <v>46</v>
      </c>
      <c r="F352" s="31">
        <f t="shared" si="36"/>
        <v>6</v>
      </c>
      <c r="G352" s="137" t="s">
        <v>2521</v>
      </c>
      <c r="H352" s="138">
        <v>82</v>
      </c>
      <c r="I352" s="92">
        <f t="shared" si="34"/>
        <v>0.30996526824897691</v>
      </c>
      <c r="J352" s="95">
        <v>9.5825754151790399E-5</v>
      </c>
      <c r="K352" s="137">
        <v>0.67292649458520204</v>
      </c>
      <c r="L352" s="137">
        <v>0.61983471074380203</v>
      </c>
      <c r="M352" s="137">
        <v>0.75256417034730305</v>
      </c>
      <c r="N352" s="136">
        <v>1</v>
      </c>
      <c r="O352" s="154">
        <v>43525</v>
      </c>
      <c r="P352" s="98">
        <f t="shared" si="37"/>
        <v>0</v>
      </c>
      <c r="Q352" s="107">
        <v>0</v>
      </c>
      <c r="R352" s="107">
        <v>0</v>
      </c>
      <c r="S352" s="107">
        <v>1.87</v>
      </c>
      <c r="T352" s="108" t="s">
        <v>48</v>
      </c>
      <c r="U352" s="137" t="s">
        <v>2522</v>
      </c>
      <c r="V352" s="137" t="s">
        <v>2523</v>
      </c>
      <c r="W352" s="69">
        <v>130</v>
      </c>
      <c r="X352" s="69">
        <v>1</v>
      </c>
      <c r="Y352" s="69">
        <v>3</v>
      </c>
      <c r="Z352" s="69"/>
      <c r="AA352" t="s">
        <v>4556</v>
      </c>
      <c r="AB352" t="s">
        <v>4783</v>
      </c>
      <c r="AC352" t="s">
        <v>223</v>
      </c>
      <c r="AD352" t="s">
        <v>4710</v>
      </c>
      <c r="AE352" t="s">
        <v>223</v>
      </c>
      <c r="AF352" t="s">
        <v>4710</v>
      </c>
      <c r="AG352" t="s">
        <v>223</v>
      </c>
      <c r="AH352" t="s">
        <v>4710</v>
      </c>
      <c r="AI352" t="s">
        <v>223</v>
      </c>
      <c r="AJ352" t="s">
        <v>4710</v>
      </c>
      <c r="AK352" t="s">
        <v>4518</v>
      </c>
      <c r="AL352" t="s">
        <v>4519</v>
      </c>
      <c r="AM352" t="s">
        <v>4592</v>
      </c>
      <c r="AN352" t="s">
        <v>4661</v>
      </c>
      <c r="AO352" s="134">
        <v>114.259389671362</v>
      </c>
      <c r="AP352" s="135">
        <v>113.90330188679199</v>
      </c>
      <c r="AQ352">
        <v>0.38561320754716999</v>
      </c>
      <c r="AR352" s="136">
        <v>1.22995283018868</v>
      </c>
      <c r="AS352">
        <v>7.42570754716981</v>
      </c>
    </row>
    <row r="353" spans="1:45" customFormat="1" ht="76">
      <c r="A353">
        <v>167</v>
      </c>
      <c r="B353" s="69" t="s">
        <v>499</v>
      </c>
      <c r="C353" s="69" t="s">
        <v>119</v>
      </c>
      <c r="D353" s="31">
        <f t="shared" si="35"/>
        <v>1</v>
      </c>
      <c r="E353" s="69" t="s">
        <v>519</v>
      </c>
      <c r="F353" s="31">
        <f t="shared" si="36"/>
        <v>5</v>
      </c>
      <c r="G353" s="188" t="s">
        <v>520</v>
      </c>
      <c r="H353" s="138">
        <v>121</v>
      </c>
      <c r="I353" s="92">
        <f t="shared" si="34"/>
        <v>0.80979991652849659</v>
      </c>
      <c r="J353" s="95">
        <v>0.99976512231319203</v>
      </c>
      <c r="K353" s="137">
        <v>0.65761511216056701</v>
      </c>
      <c r="L353" s="137">
        <v>0.61983471074380103</v>
      </c>
      <c r="M353" s="137">
        <v>0.71428571428571397</v>
      </c>
      <c r="N353" s="136">
        <v>1</v>
      </c>
      <c r="O353" s="154">
        <v>43524</v>
      </c>
      <c r="P353" s="98">
        <f t="shared" si="37"/>
        <v>1</v>
      </c>
      <c r="Q353" s="111">
        <v>0</v>
      </c>
      <c r="R353" s="111">
        <v>0</v>
      </c>
      <c r="S353" s="111">
        <v>0</v>
      </c>
      <c r="T353" s="112" t="s">
        <v>73</v>
      </c>
      <c r="U353" s="188" t="s">
        <v>523</v>
      </c>
      <c r="V353" s="137" t="s">
        <v>524</v>
      </c>
      <c r="W353" s="69">
        <v>56</v>
      </c>
      <c r="X353" s="195">
        <v>2</v>
      </c>
      <c r="Y353" s="195">
        <v>4</v>
      </c>
      <c r="AA353" t="s">
        <v>4678</v>
      </c>
      <c r="AB353" t="s">
        <v>4594</v>
      </c>
      <c r="AC353" t="s">
        <v>4515</v>
      </c>
      <c r="AD353" t="s">
        <v>4751</v>
      </c>
      <c r="AE353" t="s">
        <v>4515</v>
      </c>
      <c r="AF353" t="s">
        <v>4751</v>
      </c>
      <c r="AG353" t="s">
        <v>223</v>
      </c>
      <c r="AH353" t="s">
        <v>4750</v>
      </c>
      <c r="AI353" t="s">
        <v>4353</v>
      </c>
      <c r="AJ353" t="s">
        <v>4506</v>
      </c>
      <c r="AK353" t="s">
        <v>4519</v>
      </c>
      <c r="AL353" t="s">
        <v>4519</v>
      </c>
      <c r="AM353" t="s">
        <v>4528</v>
      </c>
      <c r="AN353" t="s">
        <v>4529</v>
      </c>
      <c r="AO353" s="134">
        <v>114.25146886016501</v>
      </c>
      <c r="AP353" s="135">
        <v>113.90330188679199</v>
      </c>
      <c r="AQ353">
        <v>0.38561320754716999</v>
      </c>
      <c r="AR353" s="136">
        <v>1.22995283018868</v>
      </c>
      <c r="AS353">
        <v>7.42570754716981</v>
      </c>
    </row>
    <row r="354" spans="1:45" customFormat="1" ht="76">
      <c r="A354">
        <v>646</v>
      </c>
      <c r="B354" s="69" t="s">
        <v>1779</v>
      </c>
      <c r="C354" s="69" t="s">
        <v>119</v>
      </c>
      <c r="D354" s="31">
        <f t="shared" si="35"/>
        <v>1</v>
      </c>
      <c r="E354" s="69" t="s">
        <v>519</v>
      </c>
      <c r="F354" s="31">
        <f t="shared" si="36"/>
        <v>5</v>
      </c>
      <c r="G354" s="169" t="s">
        <v>520</v>
      </c>
      <c r="H354" s="138">
        <v>121</v>
      </c>
      <c r="I354" s="92">
        <f t="shared" si="34"/>
        <v>0.80979991652849659</v>
      </c>
      <c r="J354" s="95">
        <v>0.99976512231319203</v>
      </c>
      <c r="K354" s="137">
        <v>0.65761511216056701</v>
      </c>
      <c r="L354" s="137">
        <v>0.61983471074380103</v>
      </c>
      <c r="M354" s="137">
        <v>0.71428571428571397</v>
      </c>
      <c r="N354" s="136">
        <v>1</v>
      </c>
      <c r="O354" s="154">
        <v>43524</v>
      </c>
      <c r="P354" s="98">
        <f t="shared" si="37"/>
        <v>2</v>
      </c>
      <c r="Q354" s="111">
        <v>2.5499999999999998</v>
      </c>
      <c r="R354" s="111">
        <v>0</v>
      </c>
      <c r="S354" s="111">
        <v>0</v>
      </c>
      <c r="T354" s="112" t="s">
        <v>64</v>
      </c>
      <c r="U354" s="137" t="s">
        <v>523</v>
      </c>
      <c r="V354" s="137" t="s">
        <v>524</v>
      </c>
      <c r="W354" s="69">
        <v>56</v>
      </c>
      <c r="X354" s="69">
        <v>2</v>
      </c>
      <c r="Y354" s="69">
        <v>4</v>
      </c>
      <c r="Z354" s="69"/>
      <c r="AA354" t="s">
        <v>4678</v>
      </c>
      <c r="AB354" t="s">
        <v>4594</v>
      </c>
      <c r="AC354" t="s">
        <v>4515</v>
      </c>
      <c r="AD354" t="s">
        <v>4751</v>
      </c>
      <c r="AE354" t="s">
        <v>4515</v>
      </c>
      <c r="AF354" t="s">
        <v>4751</v>
      </c>
      <c r="AG354" t="s">
        <v>223</v>
      </c>
      <c r="AH354" t="s">
        <v>4750</v>
      </c>
      <c r="AI354" t="s">
        <v>4353</v>
      </c>
      <c r="AJ354" t="s">
        <v>4506</v>
      </c>
      <c r="AK354" t="s">
        <v>4519</v>
      </c>
      <c r="AL354" t="s">
        <v>4519</v>
      </c>
      <c r="AM354" t="s">
        <v>4528</v>
      </c>
      <c r="AN354" t="s">
        <v>4529</v>
      </c>
      <c r="AO354" s="134">
        <v>114.243529411765</v>
      </c>
      <c r="AP354" s="135">
        <v>113.90330188679199</v>
      </c>
      <c r="AQ354">
        <v>0.38561320754716999</v>
      </c>
      <c r="AR354" s="136">
        <v>1.22995283018868</v>
      </c>
      <c r="AS354">
        <v>7.42570754716981</v>
      </c>
    </row>
    <row r="355" spans="1:45" customFormat="1" ht="121">
      <c r="A355">
        <v>470</v>
      </c>
      <c r="B355" s="69" t="s">
        <v>1222</v>
      </c>
      <c r="C355" s="69" t="s">
        <v>45</v>
      </c>
      <c r="D355" s="31">
        <f t="shared" si="35"/>
        <v>4</v>
      </c>
      <c r="E355" s="69" t="s">
        <v>46</v>
      </c>
      <c r="F355" s="31">
        <f t="shared" si="36"/>
        <v>6</v>
      </c>
      <c r="G355" s="188" t="s">
        <v>1338</v>
      </c>
      <c r="H355" s="138">
        <v>147</v>
      </c>
      <c r="I355" s="92">
        <f t="shared" si="34"/>
        <v>0.80934650901463745</v>
      </c>
      <c r="J355" s="95">
        <v>0.99885830728547298</v>
      </c>
      <c r="K355" s="137">
        <v>0.55058749237728599</v>
      </c>
      <c r="L355" s="137">
        <v>0.61983471074380203</v>
      </c>
      <c r="M355" s="137">
        <v>0.44671666482751199</v>
      </c>
      <c r="N355" s="136">
        <v>1</v>
      </c>
      <c r="O355" s="154">
        <v>43516</v>
      </c>
      <c r="P355" s="98">
        <f t="shared" si="37"/>
        <v>1</v>
      </c>
      <c r="Q355" s="111">
        <v>5.0999999999999996</v>
      </c>
      <c r="R355" s="111">
        <v>0</v>
      </c>
      <c r="S355" s="111">
        <v>0</v>
      </c>
      <c r="T355" s="112" t="s">
        <v>73</v>
      </c>
      <c r="U355" s="188" t="s">
        <v>1339</v>
      </c>
      <c r="V355" s="137" t="s">
        <v>1337</v>
      </c>
      <c r="W355" s="69">
        <v>159</v>
      </c>
      <c r="X355" s="69">
        <v>3</v>
      </c>
      <c r="Y355" s="69">
        <v>15</v>
      </c>
      <c r="AA355" t="s">
        <v>4564</v>
      </c>
      <c r="AB355" t="s">
        <v>51</v>
      </c>
      <c r="AC355" t="s">
        <v>223</v>
      </c>
      <c r="AD355" t="s">
        <v>4640</v>
      </c>
      <c r="AE355" t="s">
        <v>4538</v>
      </c>
      <c r="AF355" t="s">
        <v>4859</v>
      </c>
      <c r="AG355" t="s">
        <v>223</v>
      </c>
      <c r="AH355" t="s">
        <v>4640</v>
      </c>
      <c r="AI355" t="s">
        <v>4353</v>
      </c>
      <c r="AJ355" t="s">
        <v>4506</v>
      </c>
      <c r="AK355" t="s">
        <v>4519</v>
      </c>
      <c r="AL355" t="s">
        <v>4552</v>
      </c>
      <c r="AM355" t="s">
        <v>4528</v>
      </c>
      <c r="AN355" t="s">
        <v>4618</v>
      </c>
      <c r="AO355" s="134">
        <v>114.20494699646601</v>
      </c>
      <c r="AP355" s="135">
        <v>113.90330188679199</v>
      </c>
      <c r="AQ355">
        <v>0.38561320754716999</v>
      </c>
      <c r="AR355" s="136">
        <v>1.22995283018868</v>
      </c>
      <c r="AS355">
        <v>7.42570754716981</v>
      </c>
    </row>
    <row r="356" spans="1:45" customFormat="1" ht="151">
      <c r="A356" s="65">
        <v>284</v>
      </c>
      <c r="B356" s="69" t="s">
        <v>589</v>
      </c>
      <c r="C356" s="69" t="s">
        <v>45</v>
      </c>
      <c r="D356" s="31">
        <f t="shared" si="35"/>
        <v>4</v>
      </c>
      <c r="E356" s="69" t="s">
        <v>46</v>
      </c>
      <c r="F356" s="31">
        <f t="shared" si="36"/>
        <v>6</v>
      </c>
      <c r="G356" s="137" t="s">
        <v>855</v>
      </c>
      <c r="H356" s="138">
        <v>46</v>
      </c>
      <c r="I356" s="92">
        <f t="shared" si="34"/>
        <v>0.85322547513431446</v>
      </c>
      <c r="J356" s="95">
        <v>0.95645095026862903</v>
      </c>
      <c r="K356" s="137">
        <v>0.63619100647005999</v>
      </c>
      <c r="L356" s="137">
        <v>0.75</v>
      </c>
      <c r="M356" s="137">
        <v>0.46547751617515098</v>
      </c>
      <c r="N356" s="136">
        <v>1</v>
      </c>
      <c r="O356" s="154">
        <v>43515</v>
      </c>
      <c r="P356" s="98">
        <f t="shared" si="37"/>
        <v>1</v>
      </c>
      <c r="Q356" s="111">
        <v>7.65</v>
      </c>
      <c r="R356" s="111">
        <v>0</v>
      </c>
      <c r="S356" s="111">
        <v>0</v>
      </c>
      <c r="T356" s="112" t="s">
        <v>73</v>
      </c>
      <c r="U356" s="137" t="s">
        <v>4375</v>
      </c>
      <c r="V356" s="137" t="s">
        <v>851</v>
      </c>
      <c r="W356" s="69">
        <v>218</v>
      </c>
      <c r="X356" s="195">
        <v>2</v>
      </c>
      <c r="Y356" s="195">
        <v>14</v>
      </c>
      <c r="AA356" t="s">
        <v>4564</v>
      </c>
      <c r="AB356" t="s">
        <v>51</v>
      </c>
      <c r="AC356" t="s">
        <v>4353</v>
      </c>
      <c r="AD356" t="s">
        <v>4506</v>
      </c>
      <c r="AE356" t="s">
        <v>4513</v>
      </c>
      <c r="AF356" t="s">
        <v>4860</v>
      </c>
      <c r="AG356" t="s">
        <v>223</v>
      </c>
      <c r="AH356" t="s">
        <v>4861</v>
      </c>
      <c r="AI356" t="s">
        <v>4353</v>
      </c>
      <c r="AJ356" t="s">
        <v>4506</v>
      </c>
      <c r="AK356" t="s">
        <v>4519</v>
      </c>
      <c r="AL356" t="s">
        <v>4519</v>
      </c>
      <c r="AM356" t="s">
        <v>4528</v>
      </c>
      <c r="AN356" t="s">
        <v>4529</v>
      </c>
      <c r="AO356" s="134">
        <v>114.285377358491</v>
      </c>
      <c r="AP356" s="135">
        <v>113.90330188679199</v>
      </c>
      <c r="AQ356">
        <v>0.38561320754716999</v>
      </c>
      <c r="AR356" s="136">
        <v>1.22995283018868</v>
      </c>
      <c r="AS356">
        <v>7.42570754716981</v>
      </c>
    </row>
    <row r="357" spans="1:45" customFormat="1" ht="136">
      <c r="A357">
        <v>471</v>
      </c>
      <c r="B357" s="69" t="s">
        <v>1222</v>
      </c>
      <c r="C357" s="69" t="s">
        <v>59</v>
      </c>
      <c r="D357" s="31">
        <f t="shared" si="35"/>
        <v>5</v>
      </c>
      <c r="E357" s="69" t="s">
        <v>1223</v>
      </c>
      <c r="F357" s="31">
        <f t="shared" si="36"/>
        <v>8</v>
      </c>
      <c r="G357" s="188" t="s">
        <v>1340</v>
      </c>
      <c r="H357" s="138">
        <v>88</v>
      </c>
      <c r="I357" s="92">
        <f t="shared" si="34"/>
        <v>0.27207870309262749</v>
      </c>
      <c r="J357" s="95">
        <v>0.12080195864492201</v>
      </c>
      <c r="K357" s="137">
        <v>0.596870411381343</v>
      </c>
      <c r="L357" s="137">
        <v>0.423355447540333</v>
      </c>
      <c r="M357" s="137">
        <v>0.85714285714285698</v>
      </c>
      <c r="N357" s="136">
        <v>1</v>
      </c>
      <c r="O357" s="154">
        <v>43494</v>
      </c>
      <c r="P357" s="98">
        <f t="shared" si="37"/>
        <v>0</v>
      </c>
      <c r="Q357" s="111">
        <v>5.0999999999999996</v>
      </c>
      <c r="R357" s="111">
        <v>1.65</v>
      </c>
      <c r="S357" s="111">
        <v>0</v>
      </c>
      <c r="T357" s="112" t="s">
        <v>48</v>
      </c>
      <c r="U357" s="147" t="s">
        <v>1341</v>
      </c>
      <c r="V357" s="147" t="s">
        <v>1342</v>
      </c>
      <c r="W357" s="69">
        <v>163</v>
      </c>
      <c r="X357" s="188">
        <v>1</v>
      </c>
      <c r="Y357" s="188">
        <v>1</v>
      </c>
      <c r="AA357" t="s">
        <v>4753</v>
      </c>
      <c r="AB357" t="s">
        <v>51</v>
      </c>
      <c r="AC357" t="s">
        <v>4353</v>
      </c>
      <c r="AD357" t="s">
        <v>4506</v>
      </c>
      <c r="AE357" t="s">
        <v>4513</v>
      </c>
      <c r="AF357" t="s">
        <v>4726</v>
      </c>
      <c r="AG357" t="s">
        <v>4515</v>
      </c>
      <c r="AH357" t="s">
        <v>4727</v>
      </c>
      <c r="AI357" t="s">
        <v>4353</v>
      </c>
      <c r="AJ357" t="s">
        <v>4506</v>
      </c>
      <c r="AK357" t="s">
        <v>4519</v>
      </c>
      <c r="AL357" t="s">
        <v>4519</v>
      </c>
      <c r="AM357" t="s">
        <v>4562</v>
      </c>
      <c r="AN357" t="s">
        <v>4563</v>
      </c>
      <c r="AO357" s="134">
        <v>114.31641086186499</v>
      </c>
      <c r="AP357" s="135">
        <v>114.23361144219299</v>
      </c>
      <c r="AQ357">
        <v>0.38617401668653201</v>
      </c>
      <c r="AR357" s="136">
        <v>1.2312276519666301</v>
      </c>
      <c r="AS357">
        <v>7.4052443384982096</v>
      </c>
    </row>
    <row r="358" spans="1:45" customFormat="1" ht="106">
      <c r="A358" s="65">
        <v>756</v>
      </c>
      <c r="B358" s="69" t="s">
        <v>2053</v>
      </c>
      <c r="C358" s="69" t="s">
        <v>45</v>
      </c>
      <c r="D358" s="31">
        <f t="shared" si="35"/>
        <v>4</v>
      </c>
      <c r="E358" s="69" t="s">
        <v>46</v>
      </c>
      <c r="F358" s="31">
        <f t="shared" si="36"/>
        <v>6</v>
      </c>
      <c r="G358" s="137" t="s">
        <v>2068</v>
      </c>
      <c r="H358" s="138">
        <v>184</v>
      </c>
      <c r="I358" s="92">
        <f t="shared" si="34"/>
        <v>0.64266320158613199</v>
      </c>
      <c r="J358" s="95">
        <v>0.53532640317226399</v>
      </c>
      <c r="K358" s="137">
        <v>0.63619100647005999</v>
      </c>
      <c r="L358" s="137">
        <v>0.75</v>
      </c>
      <c r="M358" s="137">
        <v>0.46547751617515098</v>
      </c>
      <c r="N358" s="136">
        <v>0</v>
      </c>
      <c r="O358" s="154">
        <v>43493</v>
      </c>
      <c r="P358" s="98">
        <f t="shared" si="37"/>
        <v>0</v>
      </c>
      <c r="Q358" s="111">
        <v>0</v>
      </c>
      <c r="R358" s="111">
        <v>0</v>
      </c>
      <c r="S358" s="111">
        <v>0</v>
      </c>
      <c r="T358" s="112" t="s">
        <v>48</v>
      </c>
      <c r="U358" s="188" t="s">
        <v>2069</v>
      </c>
      <c r="V358" s="137" t="s">
        <v>2067</v>
      </c>
      <c r="W358" s="69">
        <v>37</v>
      </c>
      <c r="X358" s="195">
        <v>2</v>
      </c>
      <c r="Y358" s="195">
        <v>14</v>
      </c>
      <c r="Z358" s="69"/>
      <c r="AA358" t="s">
        <v>4512</v>
      </c>
      <c r="AB358" t="s">
        <v>51</v>
      </c>
      <c r="AC358" t="s">
        <v>4353</v>
      </c>
      <c r="AD358" t="s">
        <v>4506</v>
      </c>
      <c r="AE358" t="s">
        <v>4513</v>
      </c>
      <c r="AF358" t="s">
        <v>4622</v>
      </c>
      <c r="AG358" t="s">
        <v>223</v>
      </c>
      <c r="AH358" t="s">
        <v>4531</v>
      </c>
      <c r="AI358" t="s">
        <v>4353</v>
      </c>
      <c r="AJ358" t="s">
        <v>4506</v>
      </c>
      <c r="AK358" t="s">
        <v>4519</v>
      </c>
      <c r="AL358" t="s">
        <v>4519</v>
      </c>
      <c r="AM358" t="s">
        <v>4671</v>
      </c>
      <c r="AN358" t="s">
        <v>4863</v>
      </c>
      <c r="AO358" s="134">
        <v>114.212765957447</v>
      </c>
      <c r="AP358" s="135">
        <v>114.23361144219299</v>
      </c>
      <c r="AQ358">
        <v>0.38617401668653201</v>
      </c>
      <c r="AR358" s="136">
        <v>1.2312276519666301</v>
      </c>
      <c r="AS358">
        <v>7.4052443384982096</v>
      </c>
    </row>
    <row r="359" spans="1:45" customFormat="1" ht="106">
      <c r="A359">
        <v>755</v>
      </c>
      <c r="B359" s="69" t="s">
        <v>2053</v>
      </c>
      <c r="C359" s="69" t="s">
        <v>45</v>
      </c>
      <c r="D359" s="31">
        <f t="shared" si="35"/>
        <v>4</v>
      </c>
      <c r="E359" s="69" t="s">
        <v>46</v>
      </c>
      <c r="F359" s="31">
        <f t="shared" si="36"/>
        <v>6</v>
      </c>
      <c r="G359" s="169" t="s">
        <v>2065</v>
      </c>
      <c r="H359" s="138">
        <v>202</v>
      </c>
      <c r="I359" s="92">
        <f t="shared" si="34"/>
        <v>0.37932115128010913</v>
      </c>
      <c r="J359" s="95">
        <v>8.6423025602182495E-3</v>
      </c>
      <c r="K359" s="137">
        <v>0.63619100647005999</v>
      </c>
      <c r="L359" s="137">
        <v>0.75</v>
      </c>
      <c r="M359" s="137">
        <v>0.46547751617515098</v>
      </c>
      <c r="N359" s="136">
        <v>0</v>
      </c>
      <c r="O359" s="154">
        <v>43493</v>
      </c>
      <c r="P359" s="98">
        <f t="shared" si="37"/>
        <v>0</v>
      </c>
      <c r="Q359" s="111">
        <v>2.5499999999999998</v>
      </c>
      <c r="R359" s="111">
        <v>0</v>
      </c>
      <c r="S359" s="111">
        <v>0</v>
      </c>
      <c r="T359" s="112" t="s">
        <v>48</v>
      </c>
      <c r="U359" s="147" t="s">
        <v>2066</v>
      </c>
      <c r="V359" s="137" t="s">
        <v>2067</v>
      </c>
      <c r="W359" s="69">
        <v>37</v>
      </c>
      <c r="X359" s="171">
        <v>2</v>
      </c>
      <c r="Y359" s="171">
        <v>14</v>
      </c>
      <c r="Z359" s="69"/>
      <c r="AA359" t="s">
        <v>4512</v>
      </c>
      <c r="AB359" t="s">
        <v>51</v>
      </c>
      <c r="AC359" t="s">
        <v>4353</v>
      </c>
      <c r="AD359" t="s">
        <v>4506</v>
      </c>
      <c r="AE359" t="s">
        <v>4513</v>
      </c>
      <c r="AF359" t="s">
        <v>4622</v>
      </c>
      <c r="AG359" t="s">
        <v>223</v>
      </c>
      <c r="AH359" t="s">
        <v>4531</v>
      </c>
      <c r="AI359" t="s">
        <v>4353</v>
      </c>
      <c r="AJ359" t="s">
        <v>4506</v>
      </c>
      <c r="AK359" t="s">
        <v>4519</v>
      </c>
      <c r="AL359" t="s">
        <v>4519</v>
      </c>
      <c r="AM359" t="s">
        <v>4671</v>
      </c>
      <c r="AN359" t="s">
        <v>4863</v>
      </c>
      <c r="AO359" s="134">
        <v>114.130177514793</v>
      </c>
      <c r="AP359" s="135">
        <v>114.23361144219299</v>
      </c>
      <c r="AQ359">
        <v>0.38617401668653201</v>
      </c>
      <c r="AR359" s="136">
        <v>1.2312276519666301</v>
      </c>
      <c r="AS359">
        <v>7.4052443384982096</v>
      </c>
    </row>
    <row r="360" spans="1:45" customFormat="1" ht="31">
      <c r="A360" s="65">
        <v>757</v>
      </c>
      <c r="B360" s="69" t="s">
        <v>2053</v>
      </c>
      <c r="C360" s="69" t="s">
        <v>45</v>
      </c>
      <c r="D360" s="31">
        <f t="shared" si="35"/>
        <v>4</v>
      </c>
      <c r="E360" s="69" t="s">
        <v>46</v>
      </c>
      <c r="F360" s="31">
        <f t="shared" si="36"/>
        <v>6</v>
      </c>
      <c r="G360" s="169" t="s">
        <v>2070</v>
      </c>
      <c r="H360" s="138">
        <v>23</v>
      </c>
      <c r="I360" s="92">
        <f t="shared" si="34"/>
        <v>0.89072284588507356</v>
      </c>
      <c r="J360" s="95">
        <v>0.95644569177014704</v>
      </c>
      <c r="K360" s="137">
        <v>0.79602566813892095</v>
      </c>
      <c r="L360" s="137">
        <v>0.82499999999999996</v>
      </c>
      <c r="M360" s="137">
        <v>0.75256417034730305</v>
      </c>
      <c r="N360" s="136">
        <v>0</v>
      </c>
      <c r="O360" s="154">
        <v>43491</v>
      </c>
      <c r="P360" s="98">
        <f t="shared" si="37"/>
        <v>1</v>
      </c>
      <c r="Q360" s="111">
        <v>0</v>
      </c>
      <c r="R360" s="111">
        <v>1.65</v>
      </c>
      <c r="S360" s="111">
        <v>0</v>
      </c>
      <c r="T360" s="112" t="s">
        <v>73</v>
      </c>
      <c r="U360" s="69" t="s">
        <v>2071</v>
      </c>
      <c r="V360" s="137" t="s">
        <v>2067</v>
      </c>
      <c r="W360" s="69">
        <v>37</v>
      </c>
      <c r="X360" s="69">
        <v>1</v>
      </c>
      <c r="Y360" s="69">
        <v>3</v>
      </c>
      <c r="Z360" s="69"/>
      <c r="AA360" t="s">
        <v>4551</v>
      </c>
      <c r="AB360" t="s">
        <v>51</v>
      </c>
      <c r="AC360" t="s">
        <v>4353</v>
      </c>
      <c r="AD360" t="s">
        <v>4506</v>
      </c>
      <c r="AE360" t="s">
        <v>4513</v>
      </c>
      <c r="AF360" t="s">
        <v>4622</v>
      </c>
      <c r="AG360" t="s">
        <v>223</v>
      </c>
      <c r="AH360" t="s">
        <v>4531</v>
      </c>
      <c r="AI360" t="s">
        <v>4353</v>
      </c>
      <c r="AJ360" t="s">
        <v>4506</v>
      </c>
      <c r="AK360" t="s">
        <v>4519</v>
      </c>
      <c r="AL360" t="s">
        <v>4519</v>
      </c>
      <c r="AM360" t="s">
        <v>4528</v>
      </c>
      <c r="AN360" t="s">
        <v>4529</v>
      </c>
      <c r="AO360" s="134">
        <v>114.238151658768</v>
      </c>
      <c r="AP360" s="135">
        <v>114.23361144219299</v>
      </c>
      <c r="AQ360">
        <v>0.38617401668653201</v>
      </c>
      <c r="AR360" s="136">
        <v>1.2312276519666301</v>
      </c>
      <c r="AS360">
        <v>7.4052443384982096</v>
      </c>
    </row>
    <row r="361" spans="1:45" customFormat="1" ht="61">
      <c r="A361" s="65">
        <v>1197</v>
      </c>
      <c r="B361" s="69" t="s">
        <v>3209</v>
      </c>
      <c r="C361" s="69" t="s">
        <v>45</v>
      </c>
      <c r="D361" s="31">
        <f t="shared" si="35"/>
        <v>4</v>
      </c>
      <c r="E361" s="69" t="s">
        <v>46</v>
      </c>
      <c r="F361" s="31">
        <f t="shared" si="36"/>
        <v>6</v>
      </c>
      <c r="G361" s="137" t="s">
        <v>3214</v>
      </c>
      <c r="H361" s="138">
        <v>118</v>
      </c>
      <c r="I361" s="92">
        <f t="shared" si="34"/>
        <v>0.87898319170032846</v>
      </c>
      <c r="J361" s="95">
        <v>0.93296638340065696</v>
      </c>
      <c r="K361" s="137">
        <v>0.76722468700001201</v>
      </c>
      <c r="L361" s="137">
        <v>0.82499999999999996</v>
      </c>
      <c r="M361" s="137">
        <v>0.68056171750003003</v>
      </c>
      <c r="N361" s="136">
        <v>1</v>
      </c>
      <c r="O361" s="154">
        <v>43490</v>
      </c>
      <c r="P361" s="98">
        <f t="shared" si="37"/>
        <v>1</v>
      </c>
      <c r="Q361" s="210">
        <v>0</v>
      </c>
      <c r="R361" s="210">
        <v>1.65</v>
      </c>
      <c r="S361" s="210">
        <v>3.74</v>
      </c>
      <c r="T361" s="211" t="s">
        <v>73</v>
      </c>
      <c r="U361" s="137" t="s">
        <v>3215</v>
      </c>
      <c r="V361" s="137" t="s">
        <v>3216</v>
      </c>
      <c r="W361" s="69">
        <v>36</v>
      </c>
      <c r="X361" s="69">
        <v>1</v>
      </c>
      <c r="Y361" s="69">
        <v>5</v>
      </c>
      <c r="Z361" s="69"/>
      <c r="AA361" t="s">
        <v>4551</v>
      </c>
      <c r="AB361" t="s">
        <v>51</v>
      </c>
      <c r="AC361" t="s">
        <v>4353</v>
      </c>
      <c r="AD361" t="s">
        <v>4506</v>
      </c>
      <c r="AE361" t="s">
        <v>4513</v>
      </c>
      <c r="AF361" t="s">
        <v>4864</v>
      </c>
      <c r="AG361" t="s">
        <v>4353</v>
      </c>
      <c r="AH361" t="s">
        <v>4506</v>
      </c>
      <c r="AI361" t="s">
        <v>4353</v>
      </c>
      <c r="AJ361" t="s">
        <v>4506</v>
      </c>
      <c r="AK361" t="s">
        <v>4518</v>
      </c>
      <c r="AL361" t="s">
        <v>4519</v>
      </c>
      <c r="AM361" t="s">
        <v>4528</v>
      </c>
      <c r="AN361" t="s">
        <v>4624</v>
      </c>
      <c r="AO361" s="134">
        <v>114.310794780546</v>
      </c>
      <c r="AP361" s="135">
        <v>114.23361144219299</v>
      </c>
      <c r="AQ361">
        <v>0.38617401668653201</v>
      </c>
      <c r="AR361" s="136">
        <v>1.2312276519666301</v>
      </c>
      <c r="AS361">
        <v>7.4052443384982096</v>
      </c>
    </row>
    <row r="362" spans="1:45" customFormat="1" ht="31">
      <c r="A362">
        <v>759</v>
      </c>
      <c r="B362" s="69" t="s">
        <v>2053</v>
      </c>
      <c r="C362" s="69" t="s">
        <v>45</v>
      </c>
      <c r="D362" s="31">
        <f t="shared" si="35"/>
        <v>4</v>
      </c>
      <c r="E362" s="69" t="s">
        <v>46</v>
      </c>
      <c r="F362" s="31">
        <f t="shared" si="36"/>
        <v>6</v>
      </c>
      <c r="G362" s="169" t="s">
        <v>2070</v>
      </c>
      <c r="H362" s="138">
        <v>47</v>
      </c>
      <c r="I362" s="92">
        <f t="shared" si="34"/>
        <v>0.7326315347143425</v>
      </c>
      <c r="J362" s="95">
        <v>0.64026306942868505</v>
      </c>
      <c r="K362" s="137">
        <v>0.78071428571428603</v>
      </c>
      <c r="L362" s="137">
        <v>0.82499999999999996</v>
      </c>
      <c r="M362" s="137">
        <v>0.71428571428571397</v>
      </c>
      <c r="N362" s="136">
        <v>0</v>
      </c>
      <c r="O362" s="154">
        <v>43490</v>
      </c>
      <c r="P362" s="98">
        <f t="shared" si="37"/>
        <v>1</v>
      </c>
      <c r="Q362" s="111">
        <v>2.5499999999999998</v>
      </c>
      <c r="R362" s="111">
        <v>0</v>
      </c>
      <c r="S362" s="111">
        <v>0</v>
      </c>
      <c r="T362" s="112" t="s">
        <v>73</v>
      </c>
      <c r="U362" s="137" t="s">
        <v>2074</v>
      </c>
      <c r="V362" s="137" t="s">
        <v>2067</v>
      </c>
      <c r="W362" s="69">
        <v>37</v>
      </c>
      <c r="X362" s="69">
        <v>1</v>
      </c>
      <c r="Y362" s="69">
        <v>4</v>
      </c>
      <c r="Z362" s="69"/>
      <c r="AA362" t="s">
        <v>4556</v>
      </c>
      <c r="AB362" t="s">
        <v>51</v>
      </c>
      <c r="AC362" t="s">
        <v>4353</v>
      </c>
      <c r="AD362" t="s">
        <v>4506</v>
      </c>
      <c r="AE362" t="s">
        <v>4513</v>
      </c>
      <c r="AF362" t="s">
        <v>4622</v>
      </c>
      <c r="AG362" t="s">
        <v>223</v>
      </c>
      <c r="AH362" t="s">
        <v>4531</v>
      </c>
      <c r="AI362" t="s">
        <v>4353</v>
      </c>
      <c r="AJ362" t="s">
        <v>4506</v>
      </c>
      <c r="AK362" t="s">
        <v>4519</v>
      </c>
      <c r="AL362" t="s">
        <v>4519</v>
      </c>
      <c r="AM362" t="s">
        <v>4528</v>
      </c>
      <c r="AN362" t="s">
        <v>4529</v>
      </c>
      <c r="AO362" s="134">
        <v>114.390736342043</v>
      </c>
      <c r="AP362" s="135">
        <v>114.23361144219299</v>
      </c>
      <c r="AQ362">
        <v>0.38617401668653201</v>
      </c>
      <c r="AR362" s="136">
        <v>1.2312276519666301</v>
      </c>
      <c r="AS362">
        <v>7.4052443384982096</v>
      </c>
    </row>
    <row r="363" spans="1:45" customFormat="1" ht="31">
      <c r="A363">
        <v>758</v>
      </c>
      <c r="B363" s="69" t="s">
        <v>2053</v>
      </c>
      <c r="C363" s="69" t="s">
        <v>45</v>
      </c>
      <c r="D363" s="31">
        <f t="shared" si="35"/>
        <v>4</v>
      </c>
      <c r="E363" s="69" t="s">
        <v>46</v>
      </c>
      <c r="F363" s="31">
        <f t="shared" si="36"/>
        <v>6</v>
      </c>
      <c r="G363" s="147" t="s">
        <v>2072</v>
      </c>
      <c r="H363" s="138">
        <v>53</v>
      </c>
      <c r="I363" s="92">
        <f t="shared" si="34"/>
        <v>0.41954613936268298</v>
      </c>
      <c r="J363" s="95">
        <v>1.4092278725366E-2</v>
      </c>
      <c r="K363" s="137">
        <v>0.78071428571428603</v>
      </c>
      <c r="L363" s="137">
        <v>0.82499999999999996</v>
      </c>
      <c r="M363" s="137">
        <v>0.71428571428571397</v>
      </c>
      <c r="N363" s="136">
        <v>0</v>
      </c>
      <c r="O363" s="154">
        <v>43490</v>
      </c>
      <c r="P363" s="98">
        <f t="shared" si="37"/>
        <v>1</v>
      </c>
      <c r="Q363" s="111">
        <v>0</v>
      </c>
      <c r="R363" s="111">
        <v>0</v>
      </c>
      <c r="S363" s="111">
        <v>0</v>
      </c>
      <c r="T363" s="112" t="s">
        <v>73</v>
      </c>
      <c r="U363" s="137" t="s">
        <v>2073</v>
      </c>
      <c r="V363" s="137" t="s">
        <v>2067</v>
      </c>
      <c r="W363" s="69">
        <v>37</v>
      </c>
      <c r="X363" s="147">
        <v>1</v>
      </c>
      <c r="Y363" s="147">
        <v>4</v>
      </c>
      <c r="Z363" s="69"/>
      <c r="AA363" t="s">
        <v>4556</v>
      </c>
      <c r="AB363" t="s">
        <v>51</v>
      </c>
      <c r="AC363" t="s">
        <v>4353</v>
      </c>
      <c r="AD363" t="s">
        <v>4506</v>
      </c>
      <c r="AE363" t="s">
        <v>4513</v>
      </c>
      <c r="AF363" t="s">
        <v>4622</v>
      </c>
      <c r="AG363" t="s">
        <v>223</v>
      </c>
      <c r="AH363" t="s">
        <v>4531</v>
      </c>
      <c r="AI363" t="s">
        <v>4353</v>
      </c>
      <c r="AJ363" t="s">
        <v>4506</v>
      </c>
      <c r="AK363" t="s">
        <v>4519</v>
      </c>
      <c r="AL363" t="s">
        <v>4519</v>
      </c>
      <c r="AM363" t="s">
        <v>4510</v>
      </c>
      <c r="AN363" t="s">
        <v>4550</v>
      </c>
      <c r="AO363" s="134">
        <v>114.38644470868</v>
      </c>
      <c r="AP363" s="135">
        <v>114.23361144219299</v>
      </c>
      <c r="AQ363">
        <v>0.38617401668653201</v>
      </c>
      <c r="AR363" s="136">
        <v>1.2312276519666301</v>
      </c>
      <c r="AS363">
        <v>7.4052443384982096</v>
      </c>
    </row>
    <row r="364" spans="1:45" customFormat="1" ht="399">
      <c r="A364" s="65">
        <v>472</v>
      </c>
      <c r="B364" s="69" t="s">
        <v>1222</v>
      </c>
      <c r="C364" s="69" t="s">
        <v>45</v>
      </c>
      <c r="D364" s="31">
        <f t="shared" si="35"/>
        <v>4</v>
      </c>
      <c r="E364" s="69" t="s">
        <v>1223</v>
      </c>
      <c r="F364" s="31">
        <f t="shared" si="36"/>
        <v>8</v>
      </c>
      <c r="G364" s="137" t="s">
        <v>1343</v>
      </c>
      <c r="H364" s="138">
        <v>778</v>
      </c>
      <c r="I364" s="92">
        <f t="shared" si="34"/>
        <v>9.0886331255521563E-2</v>
      </c>
      <c r="J364" s="95">
        <v>2.22862548417113E-3</v>
      </c>
      <c r="K364" s="137">
        <v>0.34610201508777</v>
      </c>
      <c r="L364" s="137">
        <v>0.17954403702687199</v>
      </c>
      <c r="M364" s="137">
        <v>0.59593898217911601</v>
      </c>
      <c r="N364" s="136">
        <v>1</v>
      </c>
      <c r="O364" s="154">
        <v>43487</v>
      </c>
      <c r="P364" s="98">
        <f t="shared" si="37"/>
        <v>2</v>
      </c>
      <c r="Q364" s="111">
        <v>2.5499999999999998</v>
      </c>
      <c r="R364" s="111">
        <v>0</v>
      </c>
      <c r="S364" s="111">
        <v>0</v>
      </c>
      <c r="T364" s="112" t="s">
        <v>64</v>
      </c>
      <c r="U364" s="137" t="s">
        <v>4391</v>
      </c>
      <c r="V364" s="136" t="s">
        <v>1345</v>
      </c>
      <c r="W364" s="69">
        <v>259</v>
      </c>
      <c r="X364" s="69">
        <v>1</v>
      </c>
      <c r="Y364" s="69">
        <v>8</v>
      </c>
      <c r="AA364" t="s">
        <v>4865</v>
      </c>
      <c r="AB364" t="s">
        <v>51</v>
      </c>
      <c r="AC364" t="s">
        <v>223</v>
      </c>
      <c r="AD364" t="s">
        <v>4866</v>
      </c>
      <c r="AE364" t="s">
        <v>4513</v>
      </c>
      <c r="AF364" t="s">
        <v>4693</v>
      </c>
      <c r="AG364" t="s">
        <v>4515</v>
      </c>
      <c r="AH364" t="s">
        <v>4679</v>
      </c>
      <c r="AI364" t="s">
        <v>4353</v>
      </c>
      <c r="AJ364" t="s">
        <v>4506</v>
      </c>
      <c r="AK364" t="s">
        <v>4578</v>
      </c>
      <c r="AL364" t="s">
        <v>4519</v>
      </c>
      <c r="AM364" t="s">
        <v>4510</v>
      </c>
      <c r="AN364" t="s">
        <v>4579</v>
      </c>
      <c r="AO364" s="134">
        <v>113.596428571429</v>
      </c>
      <c r="AP364" s="135">
        <v>114.244630071599</v>
      </c>
      <c r="AQ364">
        <v>0.385441527446301</v>
      </c>
      <c r="AR364" s="136">
        <v>1.23150357995227</v>
      </c>
      <c r="AS364">
        <v>7.3926014319809097</v>
      </c>
    </row>
    <row r="365" spans="1:45" customFormat="1" ht="61">
      <c r="A365" s="65">
        <v>285</v>
      </c>
      <c r="B365" s="69" t="s">
        <v>589</v>
      </c>
      <c r="C365" s="69" t="s">
        <v>45</v>
      </c>
      <c r="D365" s="31">
        <f t="shared" si="35"/>
        <v>4</v>
      </c>
      <c r="E365" s="69" t="s">
        <v>80</v>
      </c>
      <c r="F365" s="31">
        <f t="shared" si="36"/>
        <v>4</v>
      </c>
      <c r="G365" s="137" t="s">
        <v>857</v>
      </c>
      <c r="H365" s="138">
        <v>49</v>
      </c>
      <c r="I365" s="92">
        <f t="shared" si="34"/>
        <v>0.41843067310588911</v>
      </c>
      <c r="J365" s="95">
        <v>1.18613462117783E-2</v>
      </c>
      <c r="K365" s="137">
        <v>0.83785714285714297</v>
      </c>
      <c r="L365" s="137">
        <v>0.82499999999999996</v>
      </c>
      <c r="M365" s="137">
        <v>0.85714285714285698</v>
      </c>
      <c r="N365" s="136">
        <v>1</v>
      </c>
      <c r="O365" s="154">
        <v>43481</v>
      </c>
      <c r="P365" s="98">
        <f t="shared" si="37"/>
        <v>0</v>
      </c>
      <c r="Q365" s="111">
        <v>5.0999999999999996</v>
      </c>
      <c r="R365" s="111">
        <v>0</v>
      </c>
      <c r="S365" s="111">
        <v>1.87</v>
      </c>
      <c r="T365" s="112" t="s">
        <v>48</v>
      </c>
      <c r="U365" s="137" t="s">
        <v>858</v>
      </c>
      <c r="V365" s="137" t="s">
        <v>859</v>
      </c>
      <c r="W365" s="69">
        <v>71</v>
      </c>
      <c r="X365" s="69">
        <v>1</v>
      </c>
      <c r="Y365" s="69">
        <v>1</v>
      </c>
      <c r="AA365" t="s">
        <v>4522</v>
      </c>
      <c r="AB365" t="s">
        <v>71</v>
      </c>
      <c r="AC365" t="s">
        <v>223</v>
      </c>
      <c r="AD365" t="s">
        <v>4734</v>
      </c>
      <c r="AE365" t="s">
        <v>4353</v>
      </c>
      <c r="AF365" t="s">
        <v>4506</v>
      </c>
      <c r="AG365" t="s">
        <v>4515</v>
      </c>
      <c r="AH365" t="s">
        <v>4561</v>
      </c>
      <c r="AI365" t="s">
        <v>4353</v>
      </c>
      <c r="AJ365" t="s">
        <v>4506</v>
      </c>
      <c r="AK365" t="s">
        <v>4591</v>
      </c>
      <c r="AL365" t="s">
        <v>4509</v>
      </c>
      <c r="AM365" t="s">
        <v>4510</v>
      </c>
      <c r="AN365" t="s">
        <v>4867</v>
      </c>
      <c r="AO365" s="134">
        <v>113.673420738975</v>
      </c>
      <c r="AP365" s="135">
        <v>114.26207729468599</v>
      </c>
      <c r="AQ365">
        <v>0.38647342995169098</v>
      </c>
      <c r="AR365" s="136">
        <v>1.2330917874396099</v>
      </c>
      <c r="AS365">
        <v>7.3574879227053103</v>
      </c>
    </row>
    <row r="366" spans="1:45" customFormat="1" ht="181">
      <c r="A366" s="65">
        <v>473</v>
      </c>
      <c r="B366" s="69" t="s">
        <v>1222</v>
      </c>
      <c r="C366" s="69" t="s">
        <v>45</v>
      </c>
      <c r="D366" s="31">
        <f t="shared" si="35"/>
        <v>4</v>
      </c>
      <c r="E366" s="69" t="s">
        <v>1223</v>
      </c>
      <c r="F366" s="31">
        <f t="shared" si="36"/>
        <v>8</v>
      </c>
      <c r="G366" s="137" t="s">
        <v>1346</v>
      </c>
      <c r="H366" s="138">
        <v>141</v>
      </c>
      <c r="I366" s="92">
        <f t="shared" si="34"/>
        <v>0.17498249283916711</v>
      </c>
      <c r="J366" s="95">
        <v>8.4450521034229494E-5</v>
      </c>
      <c r="K366" s="137">
        <v>0.51095398923330104</v>
      </c>
      <c r="L366" s="137">
        <v>0.3498805351573</v>
      </c>
      <c r="M366" s="137">
        <v>0.75256417034730305</v>
      </c>
      <c r="N366" s="136">
        <v>1</v>
      </c>
      <c r="O366" s="154">
        <v>43480</v>
      </c>
      <c r="P366" s="98">
        <f t="shared" si="37"/>
        <v>2</v>
      </c>
      <c r="Q366" s="111">
        <v>2.5499999999999998</v>
      </c>
      <c r="R366" s="111">
        <v>4.95</v>
      </c>
      <c r="S366" s="111">
        <v>0</v>
      </c>
      <c r="T366" s="112" t="s">
        <v>64</v>
      </c>
      <c r="U366" s="147" t="s">
        <v>1347</v>
      </c>
      <c r="V366" s="147" t="s">
        <v>1348</v>
      </c>
      <c r="W366" s="69">
        <v>229</v>
      </c>
      <c r="X366" s="147">
        <v>1</v>
      </c>
      <c r="Y366" s="147">
        <v>3</v>
      </c>
      <c r="AA366" t="s">
        <v>4851</v>
      </c>
      <c r="AB366" t="s">
        <v>51</v>
      </c>
      <c r="AC366" t="s">
        <v>4353</v>
      </c>
      <c r="AD366" t="s">
        <v>4506</v>
      </c>
      <c r="AE366" t="s">
        <v>4513</v>
      </c>
      <c r="AF366" t="s">
        <v>4868</v>
      </c>
      <c r="AG366" t="s">
        <v>4515</v>
      </c>
      <c r="AH366" t="s">
        <v>4588</v>
      </c>
      <c r="AI366" t="s">
        <v>4353</v>
      </c>
      <c r="AJ366" t="s">
        <v>4506</v>
      </c>
      <c r="AK366" t="s">
        <v>4519</v>
      </c>
      <c r="AL366" t="s">
        <v>4519</v>
      </c>
      <c r="AM366" t="s">
        <v>4510</v>
      </c>
      <c r="AN366" t="s">
        <v>4550</v>
      </c>
      <c r="AO366" s="134">
        <v>113.640811455847</v>
      </c>
      <c r="AP366" s="135">
        <v>114.16928657799301</v>
      </c>
      <c r="AQ366">
        <v>0.38694074969770298</v>
      </c>
      <c r="AR366" s="136">
        <v>1.2333736396614301</v>
      </c>
      <c r="AS366">
        <v>7.3615477629987902</v>
      </c>
    </row>
    <row r="367" spans="1:45" customFormat="1" ht="181">
      <c r="A367">
        <v>1119</v>
      </c>
      <c r="B367" s="69" t="s">
        <v>3030</v>
      </c>
      <c r="C367" s="69" t="s">
        <v>59</v>
      </c>
      <c r="D367" s="31">
        <f t="shared" si="35"/>
        <v>5</v>
      </c>
      <c r="E367" s="69" t="s">
        <v>46</v>
      </c>
      <c r="F367" s="31">
        <f t="shared" si="36"/>
        <v>6</v>
      </c>
      <c r="G367" s="89" t="s">
        <v>3043</v>
      </c>
      <c r="H367" s="138">
        <v>331</v>
      </c>
      <c r="I367" s="92">
        <f t="shared" si="34"/>
        <v>0.8088971399378645</v>
      </c>
      <c r="J367" s="95">
        <v>0.99795956913192796</v>
      </c>
      <c r="K367" s="137">
        <v>0.631929984001528</v>
      </c>
      <c r="L367" s="137">
        <v>0.61983471074380103</v>
      </c>
      <c r="M367" s="137">
        <v>0.65007289388811795</v>
      </c>
      <c r="N367" s="136">
        <v>1</v>
      </c>
      <c r="O367" s="157">
        <v>43476</v>
      </c>
      <c r="P367" s="98">
        <f t="shared" si="37"/>
        <v>2</v>
      </c>
      <c r="Q367" s="113">
        <v>0</v>
      </c>
      <c r="R367" s="113">
        <v>0</v>
      </c>
      <c r="S367" s="113">
        <v>0</v>
      </c>
      <c r="T367" s="119" t="s">
        <v>64</v>
      </c>
      <c r="U367" s="136" t="s">
        <v>4460</v>
      </c>
      <c r="V367" s="172" t="s">
        <v>3045</v>
      </c>
      <c r="W367" s="69">
        <v>87</v>
      </c>
      <c r="X367" s="69">
        <v>3</v>
      </c>
      <c r="Y367" s="69">
        <v>6</v>
      </c>
      <c r="Z367" s="69"/>
      <c r="AA367" t="s">
        <v>4564</v>
      </c>
      <c r="AB367" t="s">
        <v>4594</v>
      </c>
      <c r="AC367" t="s">
        <v>223</v>
      </c>
      <c r="AD367" t="s">
        <v>4799</v>
      </c>
      <c r="AE367" t="s">
        <v>223</v>
      </c>
      <c r="AF367" t="s">
        <v>4799</v>
      </c>
      <c r="AG367" t="s">
        <v>4353</v>
      </c>
      <c r="AH367" t="s">
        <v>4506</v>
      </c>
      <c r="AI367" t="s">
        <v>4353</v>
      </c>
      <c r="AJ367" t="s">
        <v>4506</v>
      </c>
      <c r="AK367" t="s">
        <v>4519</v>
      </c>
      <c r="AL367" t="s">
        <v>4552</v>
      </c>
      <c r="AM367" t="s">
        <v>4519</v>
      </c>
      <c r="AN367" t="s">
        <v>4659</v>
      </c>
      <c r="AO367" s="134">
        <v>113.56391875746699</v>
      </c>
      <c r="AP367" s="135">
        <v>114.33657351154299</v>
      </c>
      <c r="AQ367">
        <v>0.38760631834750903</v>
      </c>
      <c r="AR367" s="136">
        <v>1.23450789793439</v>
      </c>
      <c r="AS367">
        <v>7.3669501822600196</v>
      </c>
    </row>
    <row r="368" spans="1:45" customFormat="1" ht="76">
      <c r="A368" s="65">
        <v>289</v>
      </c>
      <c r="B368" s="69" t="s">
        <v>589</v>
      </c>
      <c r="C368" s="69" t="s">
        <v>45</v>
      </c>
      <c r="D368" s="31">
        <f t="shared" si="35"/>
        <v>4</v>
      </c>
      <c r="E368" s="69" t="s">
        <v>80</v>
      </c>
      <c r="F368" s="31">
        <f t="shared" si="36"/>
        <v>4</v>
      </c>
      <c r="G368" s="137" t="s">
        <v>867</v>
      </c>
      <c r="H368" s="138">
        <v>103</v>
      </c>
      <c r="I368" s="92">
        <f t="shared" si="34"/>
        <v>0.68476598395897592</v>
      </c>
      <c r="J368" s="95">
        <v>0.544531967917952</v>
      </c>
      <c r="K368" s="137">
        <v>0.79602566813892095</v>
      </c>
      <c r="L368" s="137">
        <v>0.82499999999999996</v>
      </c>
      <c r="M368" s="137">
        <v>0.75256417034730305</v>
      </c>
      <c r="N368" s="136">
        <v>1</v>
      </c>
      <c r="O368" s="154">
        <v>43476</v>
      </c>
      <c r="P368" s="98">
        <f t="shared" si="37"/>
        <v>0</v>
      </c>
      <c r="Q368" s="111">
        <v>2.5499999999999998</v>
      </c>
      <c r="R368" s="111">
        <v>0</v>
      </c>
      <c r="S368" s="111">
        <v>0</v>
      </c>
      <c r="T368" s="112" t="s">
        <v>48</v>
      </c>
      <c r="U368" s="137" t="s">
        <v>868</v>
      </c>
      <c r="V368" s="137" t="s">
        <v>869</v>
      </c>
      <c r="W368" s="69">
        <v>95</v>
      </c>
      <c r="X368" s="69">
        <v>1</v>
      </c>
      <c r="Y368" s="69">
        <v>3</v>
      </c>
      <c r="AA368" t="s">
        <v>4512</v>
      </c>
      <c r="AB368" t="s">
        <v>71</v>
      </c>
      <c r="AC368" t="s">
        <v>4515</v>
      </c>
      <c r="AD368" t="s">
        <v>4798</v>
      </c>
      <c r="AE368" t="s">
        <v>223</v>
      </c>
      <c r="AF368" t="s">
        <v>4670</v>
      </c>
      <c r="AG368" t="s">
        <v>4513</v>
      </c>
      <c r="AH368" t="s">
        <v>4669</v>
      </c>
      <c r="AI368" t="s">
        <v>4353</v>
      </c>
      <c r="AJ368" t="s">
        <v>4506</v>
      </c>
      <c r="AK368" t="s">
        <v>4578</v>
      </c>
      <c r="AL368" t="s">
        <v>4552</v>
      </c>
      <c r="AM368" t="s">
        <v>4520</v>
      </c>
      <c r="AN368" t="s">
        <v>4869</v>
      </c>
      <c r="AO368" s="134">
        <v>113.504784688995</v>
      </c>
      <c r="AP368" s="135">
        <v>114.33657351154299</v>
      </c>
      <c r="AQ368">
        <v>0.38760631834750903</v>
      </c>
      <c r="AR368" s="136">
        <v>1.23450789793439</v>
      </c>
      <c r="AS368">
        <v>7.3669501822600196</v>
      </c>
    </row>
    <row r="369" spans="1:45" customFormat="1" ht="106">
      <c r="A369" s="65">
        <v>288</v>
      </c>
      <c r="B369" s="69" t="s">
        <v>589</v>
      </c>
      <c r="C369" s="69" t="s">
        <v>45</v>
      </c>
      <c r="D369" s="31">
        <f t="shared" si="35"/>
        <v>4</v>
      </c>
      <c r="E369" s="69" t="s">
        <v>80</v>
      </c>
      <c r="F369" s="31">
        <f t="shared" si="36"/>
        <v>4</v>
      </c>
      <c r="G369" s="169" t="s">
        <v>180</v>
      </c>
      <c r="H369" s="138">
        <v>112</v>
      </c>
      <c r="I369" s="92">
        <f t="shared" si="34"/>
        <v>0.4016105793779905</v>
      </c>
      <c r="J369" s="95">
        <v>5.3221158755980998E-2</v>
      </c>
      <c r="K369" s="137">
        <v>0.72222468700001197</v>
      </c>
      <c r="L369" s="137">
        <v>0.75</v>
      </c>
      <c r="M369" s="137">
        <v>0.68056171750003003</v>
      </c>
      <c r="N369" s="136">
        <v>1</v>
      </c>
      <c r="O369" s="154">
        <v>43476</v>
      </c>
      <c r="P369" s="98">
        <f t="shared" si="37"/>
        <v>0</v>
      </c>
      <c r="Q369" s="111">
        <v>0</v>
      </c>
      <c r="R369" s="111">
        <v>1.65</v>
      </c>
      <c r="S369" s="111">
        <v>1.87</v>
      </c>
      <c r="T369" s="112" t="s">
        <v>48</v>
      </c>
      <c r="U369" s="137" t="s">
        <v>865</v>
      </c>
      <c r="V369" s="137" t="s">
        <v>866</v>
      </c>
      <c r="W369" s="69">
        <v>142</v>
      </c>
      <c r="X369" s="69">
        <v>1</v>
      </c>
      <c r="Y369" s="69">
        <v>5</v>
      </c>
      <c r="AA369" t="s">
        <v>4628</v>
      </c>
      <c r="AB369" t="s">
        <v>87</v>
      </c>
      <c r="AC369" t="s">
        <v>4513</v>
      </c>
      <c r="AD369" t="s">
        <v>4755</v>
      </c>
      <c r="AE369" t="s">
        <v>4515</v>
      </c>
      <c r="AF369" t="s">
        <v>4584</v>
      </c>
      <c r="AG369" t="s">
        <v>223</v>
      </c>
      <c r="AH369" t="s">
        <v>4583</v>
      </c>
      <c r="AI369" t="s">
        <v>4515</v>
      </c>
      <c r="AJ369" t="s">
        <v>4584</v>
      </c>
      <c r="AK369" t="s">
        <v>4591</v>
      </c>
      <c r="AL369" t="s">
        <v>4519</v>
      </c>
      <c r="AM369" t="s">
        <v>4520</v>
      </c>
      <c r="AN369" t="s">
        <v>4870</v>
      </c>
      <c r="AO369" s="134">
        <v>113.506586826347</v>
      </c>
      <c r="AP369" s="135">
        <v>114.33657351154299</v>
      </c>
      <c r="AQ369">
        <v>0.38760631834750903</v>
      </c>
      <c r="AR369" s="136">
        <v>1.23450789793439</v>
      </c>
      <c r="AS369">
        <v>7.3669501822600196</v>
      </c>
    </row>
    <row r="370" spans="1:45" customFormat="1" ht="136">
      <c r="A370">
        <v>287</v>
      </c>
      <c r="B370" s="69" t="s">
        <v>589</v>
      </c>
      <c r="C370" s="69" t="s">
        <v>45</v>
      </c>
      <c r="D370" s="31">
        <f t="shared" si="35"/>
        <v>4</v>
      </c>
      <c r="E370" s="69" t="s">
        <v>80</v>
      </c>
      <c r="F370" s="31">
        <f t="shared" si="36"/>
        <v>4</v>
      </c>
      <c r="G370" s="137" t="s">
        <v>862</v>
      </c>
      <c r="H370" s="138">
        <v>163</v>
      </c>
      <c r="I370" s="92">
        <f t="shared" si="34"/>
        <v>0.4130733270032117</v>
      </c>
      <c r="J370" s="95">
        <v>1.1466540064234399E-3</v>
      </c>
      <c r="K370" s="137">
        <v>0.78071428571428603</v>
      </c>
      <c r="L370" s="137">
        <v>0.82499999999999996</v>
      </c>
      <c r="M370" s="137">
        <v>0.71428571428571397</v>
      </c>
      <c r="N370" s="136">
        <v>1</v>
      </c>
      <c r="O370" s="154">
        <v>43476</v>
      </c>
      <c r="P370" s="98">
        <f t="shared" si="37"/>
        <v>0</v>
      </c>
      <c r="Q370" s="111">
        <v>5.0999999999999996</v>
      </c>
      <c r="R370" s="111">
        <v>1.65</v>
      </c>
      <c r="S370" s="111">
        <v>0</v>
      </c>
      <c r="T370" s="112" t="s">
        <v>48</v>
      </c>
      <c r="U370" s="137" t="s">
        <v>863</v>
      </c>
      <c r="V370" s="137" t="s">
        <v>864</v>
      </c>
      <c r="W370" s="69">
        <v>191</v>
      </c>
      <c r="X370" s="69">
        <v>1</v>
      </c>
      <c r="Y370" s="69">
        <v>4</v>
      </c>
      <c r="AA370" t="s">
        <v>4551</v>
      </c>
      <c r="AB370" t="s">
        <v>71</v>
      </c>
      <c r="AC370" t="s">
        <v>223</v>
      </c>
      <c r="AD370" t="s">
        <v>4825</v>
      </c>
      <c r="AE370" t="s">
        <v>223</v>
      </c>
      <c r="AF370" t="s">
        <v>4825</v>
      </c>
      <c r="AG370" t="s">
        <v>4530</v>
      </c>
      <c r="AH370" t="s">
        <v>4798</v>
      </c>
      <c r="AI370" t="s">
        <v>223</v>
      </c>
      <c r="AJ370" t="s">
        <v>4825</v>
      </c>
      <c r="AK370" t="s">
        <v>4591</v>
      </c>
      <c r="AL370" t="s">
        <v>4552</v>
      </c>
      <c r="AM370" t="s">
        <v>4528</v>
      </c>
      <c r="AN370" t="s">
        <v>4871</v>
      </c>
      <c r="AO370" s="134">
        <v>113.519184652278</v>
      </c>
      <c r="AP370" s="135">
        <v>114.33657351154299</v>
      </c>
      <c r="AQ370">
        <v>0.38760631834750903</v>
      </c>
      <c r="AR370" s="136">
        <v>1.23450789793439</v>
      </c>
      <c r="AS370">
        <v>7.3669501822600196</v>
      </c>
    </row>
    <row r="371" spans="1:45" customFormat="1" ht="106">
      <c r="A371">
        <v>286</v>
      </c>
      <c r="B371" s="69" t="s">
        <v>589</v>
      </c>
      <c r="C371" s="69" t="s">
        <v>45</v>
      </c>
      <c r="D371" s="31">
        <f t="shared" si="35"/>
        <v>4</v>
      </c>
      <c r="E371" s="69" t="s">
        <v>80</v>
      </c>
      <c r="F371" s="31">
        <f t="shared" si="36"/>
        <v>4</v>
      </c>
      <c r="G371" s="169" t="s">
        <v>159</v>
      </c>
      <c r="H371" s="138">
        <v>178</v>
      </c>
      <c r="I371" s="92">
        <f t="shared" si="34"/>
        <v>0.41250000022319211</v>
      </c>
      <c r="J371" s="95">
        <v>4.46384262886568E-10</v>
      </c>
      <c r="K371" s="137">
        <v>0.76722468700001201</v>
      </c>
      <c r="L371" s="137">
        <v>0.82499999999999996</v>
      </c>
      <c r="M371" s="137">
        <v>0.68056171750003003</v>
      </c>
      <c r="N371" s="136">
        <v>1</v>
      </c>
      <c r="O371" s="154">
        <v>43476</v>
      </c>
      <c r="P371" s="98">
        <f t="shared" si="37"/>
        <v>0</v>
      </c>
      <c r="Q371" s="111">
        <v>5.0999999999999996</v>
      </c>
      <c r="R371" s="111">
        <v>0</v>
      </c>
      <c r="S371" s="111">
        <v>0</v>
      </c>
      <c r="T371" s="112" t="s">
        <v>48</v>
      </c>
      <c r="U371" s="137" t="s">
        <v>860</v>
      </c>
      <c r="V371" s="137" t="s">
        <v>861</v>
      </c>
      <c r="W371" s="69">
        <v>75</v>
      </c>
      <c r="X371" s="69">
        <v>1</v>
      </c>
      <c r="Y371" s="69">
        <v>5</v>
      </c>
      <c r="AA371" t="s">
        <v>4628</v>
      </c>
      <c r="AB371" t="s">
        <v>358</v>
      </c>
      <c r="AC371" t="s">
        <v>4353</v>
      </c>
      <c r="AD371" t="s">
        <v>4506</v>
      </c>
      <c r="AE371" t="s">
        <v>223</v>
      </c>
      <c r="AF371" t="s">
        <v>4532</v>
      </c>
      <c r="AG371" t="s">
        <v>4353</v>
      </c>
      <c r="AH371" t="s">
        <v>4506</v>
      </c>
      <c r="AI371" t="s">
        <v>4515</v>
      </c>
      <c r="AJ371" t="s">
        <v>4531</v>
      </c>
      <c r="AK371" t="s">
        <v>4740</v>
      </c>
      <c r="AL371" t="s">
        <v>4552</v>
      </c>
      <c r="AM371" t="s">
        <v>4510</v>
      </c>
      <c r="AN371" t="s">
        <v>4805</v>
      </c>
      <c r="AO371" s="134">
        <v>113.25810324129699</v>
      </c>
      <c r="AP371" s="135">
        <v>114.33657351154299</v>
      </c>
      <c r="AQ371">
        <v>0.38760631834750903</v>
      </c>
      <c r="AR371" s="136">
        <v>1.23450789793439</v>
      </c>
      <c r="AS371">
        <v>7.3669501822600196</v>
      </c>
    </row>
    <row r="372" spans="1:45" customFormat="1" ht="31">
      <c r="A372">
        <v>290</v>
      </c>
      <c r="B372" s="69" t="s">
        <v>589</v>
      </c>
      <c r="C372" s="69" t="s">
        <v>59</v>
      </c>
      <c r="D372" s="31">
        <f t="shared" si="35"/>
        <v>5</v>
      </c>
      <c r="E372" s="69" t="s">
        <v>46</v>
      </c>
      <c r="F372" s="31">
        <f t="shared" si="36"/>
        <v>6</v>
      </c>
      <c r="G372" s="169" t="s">
        <v>870</v>
      </c>
      <c r="H372" s="138">
        <v>21</v>
      </c>
      <c r="I372" s="92">
        <f t="shared" si="34"/>
        <v>0.87220414090018306</v>
      </c>
      <c r="J372" s="95">
        <v>0.994408281800366</v>
      </c>
      <c r="K372" s="137">
        <v>0.79285714285714304</v>
      </c>
      <c r="L372" s="137">
        <v>0.75</v>
      </c>
      <c r="M372" s="137">
        <v>0.85714285714285698</v>
      </c>
      <c r="N372" s="136">
        <v>0</v>
      </c>
      <c r="O372" s="154">
        <v>43475</v>
      </c>
      <c r="P372" s="98">
        <f t="shared" si="37"/>
        <v>1</v>
      </c>
      <c r="Q372" s="111">
        <v>0</v>
      </c>
      <c r="R372" s="111">
        <v>1.65</v>
      </c>
      <c r="S372" s="111">
        <v>1.87</v>
      </c>
      <c r="T372" s="112" t="s">
        <v>73</v>
      </c>
      <c r="U372" s="147" t="s">
        <v>871</v>
      </c>
      <c r="V372" s="137" t="s">
        <v>872</v>
      </c>
      <c r="W372" s="69">
        <v>36</v>
      </c>
      <c r="X372" s="147">
        <v>1</v>
      </c>
      <c r="Y372" s="147">
        <v>1</v>
      </c>
      <c r="AA372" t="s">
        <v>4564</v>
      </c>
      <c r="AB372" t="s">
        <v>87</v>
      </c>
      <c r="AC372" t="s">
        <v>4515</v>
      </c>
      <c r="AD372" t="s">
        <v>4516</v>
      </c>
      <c r="AE372" t="s">
        <v>223</v>
      </c>
      <c r="AF372" t="s">
        <v>4517</v>
      </c>
      <c r="AG372" t="s">
        <v>4353</v>
      </c>
      <c r="AH372" t="s">
        <v>4506</v>
      </c>
      <c r="AI372" t="s">
        <v>4353</v>
      </c>
      <c r="AJ372" t="s">
        <v>4506</v>
      </c>
      <c r="AK372" t="s">
        <v>4519</v>
      </c>
      <c r="AL372" t="s">
        <v>4519</v>
      </c>
      <c r="AM372" t="s">
        <v>4562</v>
      </c>
      <c r="AN372" t="s">
        <v>4563</v>
      </c>
      <c r="AO372" s="134">
        <v>113.368990384615</v>
      </c>
      <c r="AP372" s="135">
        <v>114.441605839416</v>
      </c>
      <c r="AQ372">
        <v>0.386861313868613</v>
      </c>
      <c r="AR372" s="136">
        <v>1.2347931873479301</v>
      </c>
      <c r="AS372">
        <v>7.3710462287104601</v>
      </c>
    </row>
    <row r="373" spans="1:45" customFormat="1" ht="61">
      <c r="A373">
        <v>291</v>
      </c>
      <c r="B373" s="69" t="s">
        <v>589</v>
      </c>
      <c r="C373" s="69" t="s">
        <v>45</v>
      </c>
      <c r="D373" s="31">
        <f t="shared" si="35"/>
        <v>4</v>
      </c>
      <c r="E373" s="69" t="s">
        <v>80</v>
      </c>
      <c r="F373" s="31">
        <f t="shared" si="36"/>
        <v>4</v>
      </c>
      <c r="G373" s="137" t="s">
        <v>873</v>
      </c>
      <c r="H373" s="138">
        <v>64</v>
      </c>
      <c r="I373" s="92">
        <f t="shared" si="34"/>
        <v>0.74220534887087752</v>
      </c>
      <c r="J373" s="95">
        <v>0.73441069774175505</v>
      </c>
      <c r="K373" s="137">
        <v>0.73571428571428599</v>
      </c>
      <c r="L373" s="137">
        <v>0.75</v>
      </c>
      <c r="M373" s="137">
        <v>0.71428571428571397</v>
      </c>
      <c r="N373" s="136">
        <v>1</v>
      </c>
      <c r="O373" s="154">
        <v>43475</v>
      </c>
      <c r="P373" s="98">
        <f t="shared" si="37"/>
        <v>1</v>
      </c>
      <c r="Q373" s="111">
        <v>0</v>
      </c>
      <c r="R373" s="111">
        <v>1.65</v>
      </c>
      <c r="S373" s="111">
        <v>1.87</v>
      </c>
      <c r="T373" s="112" t="s">
        <v>73</v>
      </c>
      <c r="U373" s="137" t="s">
        <v>874</v>
      </c>
      <c r="V373" s="137" t="s">
        <v>875</v>
      </c>
      <c r="W373" s="69">
        <v>77</v>
      </c>
      <c r="X373" s="69">
        <v>1</v>
      </c>
      <c r="Y373" s="69">
        <v>4</v>
      </c>
      <c r="AA373" t="s">
        <v>4543</v>
      </c>
      <c r="AB373" t="s">
        <v>51</v>
      </c>
      <c r="AC373" t="s">
        <v>4353</v>
      </c>
      <c r="AD373" t="s">
        <v>4506</v>
      </c>
      <c r="AE373" t="s">
        <v>223</v>
      </c>
      <c r="AF373" t="s">
        <v>4584</v>
      </c>
      <c r="AG373" t="s">
        <v>4353</v>
      </c>
      <c r="AH373" t="s">
        <v>4506</v>
      </c>
      <c r="AI373" t="s">
        <v>4353</v>
      </c>
      <c r="AJ373" t="s">
        <v>4506</v>
      </c>
      <c r="AK373" t="s">
        <v>4519</v>
      </c>
      <c r="AL373" t="s">
        <v>4519</v>
      </c>
      <c r="AM373" t="s">
        <v>4528</v>
      </c>
      <c r="AN373" t="s">
        <v>4529</v>
      </c>
      <c r="AO373" s="134">
        <v>113.428399518652</v>
      </c>
      <c r="AP373" s="135">
        <v>114.441605839416</v>
      </c>
      <c r="AQ373">
        <v>0.386861313868613</v>
      </c>
      <c r="AR373" s="136">
        <v>1.2347931873479301</v>
      </c>
      <c r="AS373">
        <v>7.3710462287104601</v>
      </c>
    </row>
    <row r="374" spans="1:45" customFormat="1" ht="46">
      <c r="A374" s="65">
        <v>705</v>
      </c>
      <c r="B374" s="69" t="s">
        <v>1913</v>
      </c>
      <c r="C374" s="69" t="s">
        <v>45</v>
      </c>
      <c r="D374" s="31">
        <f t="shared" si="35"/>
        <v>4</v>
      </c>
      <c r="E374" s="69" t="s">
        <v>46</v>
      </c>
      <c r="F374" s="31">
        <f t="shared" si="36"/>
        <v>6</v>
      </c>
      <c r="G374" s="196" t="s">
        <v>1937</v>
      </c>
      <c r="H374" s="138">
        <v>68</v>
      </c>
      <c r="I374" s="92">
        <f t="shared" si="34"/>
        <v>0.80461310476057302</v>
      </c>
      <c r="J374" s="95">
        <v>0.85922620952114603</v>
      </c>
      <c r="K374" s="137">
        <v>0.73571428571428599</v>
      </c>
      <c r="L374" s="137">
        <v>0.75</v>
      </c>
      <c r="M374" s="137">
        <v>0.71428571428571397</v>
      </c>
      <c r="N374" s="136">
        <v>1</v>
      </c>
      <c r="O374" s="154">
        <v>43471</v>
      </c>
      <c r="P374" s="98">
        <f t="shared" si="37"/>
        <v>0</v>
      </c>
      <c r="Q374" s="111">
        <v>2.5499999999999998</v>
      </c>
      <c r="R374" s="111">
        <v>0</v>
      </c>
      <c r="S374" s="111">
        <v>0</v>
      </c>
      <c r="T374" s="112" t="s">
        <v>48</v>
      </c>
      <c r="U374" s="136" t="s">
        <v>1938</v>
      </c>
      <c r="V374" s="137" t="s">
        <v>1939</v>
      </c>
      <c r="W374" s="69">
        <v>28</v>
      </c>
      <c r="X374" s="195">
        <v>2</v>
      </c>
      <c r="Y374" s="195">
        <v>4</v>
      </c>
      <c r="Z374" s="69"/>
      <c r="AA374" t="s">
        <v>4564</v>
      </c>
      <c r="AB374" t="s">
        <v>4576</v>
      </c>
      <c r="AC374" t="s">
        <v>4353</v>
      </c>
      <c r="AD374" t="s">
        <v>4506</v>
      </c>
      <c r="AE374" t="s">
        <v>223</v>
      </c>
      <c r="AF374" t="s">
        <v>4763</v>
      </c>
      <c r="AG374" t="s">
        <v>223</v>
      </c>
      <c r="AH374" t="s">
        <v>4763</v>
      </c>
      <c r="AI374" t="s">
        <v>4353</v>
      </c>
      <c r="AJ374" t="s">
        <v>4506</v>
      </c>
      <c r="AK374" t="s">
        <v>4519</v>
      </c>
      <c r="AL374" t="s">
        <v>4519</v>
      </c>
      <c r="AM374" t="s">
        <v>4528</v>
      </c>
      <c r="AN374" t="s">
        <v>4529</v>
      </c>
      <c r="AO374" s="134">
        <v>113.48313253012</v>
      </c>
      <c r="AP374" s="135">
        <v>114.512195121951</v>
      </c>
      <c r="AQ374">
        <v>0.38414634146341498</v>
      </c>
      <c r="AR374" s="136">
        <v>1.23414634146341</v>
      </c>
      <c r="AS374">
        <v>7.36829268292683</v>
      </c>
    </row>
    <row r="375" spans="1:45" customFormat="1" ht="136">
      <c r="A375" s="65">
        <v>292</v>
      </c>
      <c r="B375" s="69" t="s">
        <v>589</v>
      </c>
      <c r="C375" s="69" t="s">
        <v>45</v>
      </c>
      <c r="D375" s="31">
        <f t="shared" si="35"/>
        <v>4</v>
      </c>
      <c r="E375" s="69" t="s">
        <v>833</v>
      </c>
      <c r="F375" s="31">
        <f t="shared" si="36"/>
        <v>3</v>
      </c>
      <c r="G375" s="137" t="s">
        <v>876</v>
      </c>
      <c r="H375" s="138">
        <v>269</v>
      </c>
      <c r="I375" s="92">
        <f t="shared" si="34"/>
        <v>0.37500000044165271</v>
      </c>
      <c r="J375" s="95">
        <v>8.8330542880043998E-10</v>
      </c>
      <c r="K375" s="137">
        <v>0.607563389307469</v>
      </c>
      <c r="L375" s="137">
        <v>0.75</v>
      </c>
      <c r="M375" s="137">
        <v>0.39390847326867401</v>
      </c>
      <c r="N375" s="136">
        <v>0</v>
      </c>
      <c r="O375" s="154">
        <v>43470</v>
      </c>
      <c r="P375" s="98">
        <f t="shared" si="37"/>
        <v>0</v>
      </c>
      <c r="Q375" s="111">
        <v>0</v>
      </c>
      <c r="R375" s="111">
        <v>0</v>
      </c>
      <c r="S375" s="111">
        <v>0</v>
      </c>
      <c r="T375" s="112" t="s">
        <v>48</v>
      </c>
      <c r="U375" s="137" t="s">
        <v>877</v>
      </c>
      <c r="V375" s="137" t="s">
        <v>878</v>
      </c>
      <c r="W375" s="69">
        <v>105</v>
      </c>
      <c r="X375" s="69">
        <v>2</v>
      </c>
      <c r="Y375" s="69">
        <v>18</v>
      </c>
      <c r="AA375" t="s">
        <v>4512</v>
      </c>
      <c r="AB375" t="s">
        <v>4827</v>
      </c>
      <c r="AC375" t="s">
        <v>4515</v>
      </c>
      <c r="AD375" t="s">
        <v>4590</v>
      </c>
      <c r="AE375" t="s">
        <v>4515</v>
      </c>
      <c r="AF375" t="s">
        <v>4590</v>
      </c>
      <c r="AG375" t="s">
        <v>223</v>
      </c>
      <c r="AH375" t="s">
        <v>4588</v>
      </c>
      <c r="AI375" t="s">
        <v>4515</v>
      </c>
      <c r="AJ375" t="s">
        <v>4590</v>
      </c>
      <c r="AK375" t="s">
        <v>4518</v>
      </c>
      <c r="AL375" t="s">
        <v>4519</v>
      </c>
      <c r="AM375" t="s">
        <v>4528</v>
      </c>
      <c r="AN375" t="s">
        <v>4624</v>
      </c>
      <c r="AO375" s="134">
        <v>113.295536791315</v>
      </c>
      <c r="AP375" s="135">
        <v>114.512195121951</v>
      </c>
      <c r="AQ375">
        <v>0.38414634146341498</v>
      </c>
      <c r="AR375" s="136">
        <v>1.23414634146341</v>
      </c>
      <c r="AS375">
        <v>7.36829268292683</v>
      </c>
    </row>
    <row r="376" spans="1:45" customFormat="1" ht="166">
      <c r="A376" s="65">
        <v>293</v>
      </c>
      <c r="B376" s="69" t="s">
        <v>589</v>
      </c>
      <c r="C376" s="69" t="s">
        <v>45</v>
      </c>
      <c r="D376" s="31">
        <f t="shared" si="35"/>
        <v>4</v>
      </c>
      <c r="E376" s="69" t="s">
        <v>833</v>
      </c>
      <c r="F376" s="31">
        <f t="shared" si="36"/>
        <v>3</v>
      </c>
      <c r="G376" s="137" t="s">
        <v>879</v>
      </c>
      <c r="H376" s="138">
        <v>270</v>
      </c>
      <c r="I376" s="92">
        <f t="shared" si="34"/>
        <v>0.37500000023426328</v>
      </c>
      <c r="J376" s="95">
        <v>4.6852655088969197E-10</v>
      </c>
      <c r="K376" s="137">
        <v>0.63619100647005999</v>
      </c>
      <c r="L376" s="137">
        <v>0.75</v>
      </c>
      <c r="M376" s="137">
        <v>0.46547751617515098</v>
      </c>
      <c r="N376" s="136">
        <v>0</v>
      </c>
      <c r="O376" s="154">
        <v>43468</v>
      </c>
      <c r="P376" s="98">
        <f t="shared" si="37"/>
        <v>0</v>
      </c>
      <c r="Q376" s="111">
        <v>0</v>
      </c>
      <c r="R376" s="111">
        <v>0</v>
      </c>
      <c r="S376" s="111">
        <v>0</v>
      </c>
      <c r="T376" s="112" t="s">
        <v>48</v>
      </c>
      <c r="U376" s="189" t="s">
        <v>880</v>
      </c>
      <c r="V376" s="137" t="s">
        <v>881</v>
      </c>
      <c r="W376" s="69">
        <v>103</v>
      </c>
      <c r="X376" s="195">
        <v>1</v>
      </c>
      <c r="Y376" s="195">
        <v>14</v>
      </c>
      <c r="AA376" t="s">
        <v>4512</v>
      </c>
      <c r="AB376" t="s">
        <v>87</v>
      </c>
      <c r="AC376" t="s">
        <v>4513</v>
      </c>
      <c r="AD376" t="s">
        <v>4780</v>
      </c>
      <c r="AE376" t="s">
        <v>4515</v>
      </c>
      <c r="AF376" t="s">
        <v>4718</v>
      </c>
      <c r="AG376" t="s">
        <v>223</v>
      </c>
      <c r="AH376" t="s">
        <v>4717</v>
      </c>
      <c r="AI376" t="s">
        <v>4515</v>
      </c>
      <c r="AJ376" t="s">
        <v>4718</v>
      </c>
      <c r="AK376" t="s">
        <v>4518</v>
      </c>
      <c r="AL376" t="s">
        <v>4519</v>
      </c>
      <c r="AM376" t="s">
        <v>4528</v>
      </c>
      <c r="AN376" t="s">
        <v>4624</v>
      </c>
      <c r="AO376" s="134">
        <v>113.106280193237</v>
      </c>
      <c r="AP376" s="135">
        <v>114.512195121951</v>
      </c>
      <c r="AQ376">
        <v>0.38414634146341498</v>
      </c>
      <c r="AR376" s="136">
        <v>1.23414634146341</v>
      </c>
      <c r="AS376">
        <v>7.36829268292683</v>
      </c>
    </row>
    <row r="377" spans="1:45" customFormat="1" ht="136">
      <c r="A377">
        <v>295</v>
      </c>
      <c r="B377" s="69" t="s">
        <v>589</v>
      </c>
      <c r="C377" s="69" t="s">
        <v>45</v>
      </c>
      <c r="D377" s="31">
        <f t="shared" si="35"/>
        <v>4</v>
      </c>
      <c r="E377" s="69" t="s">
        <v>833</v>
      </c>
      <c r="F377" s="31">
        <f t="shared" si="36"/>
        <v>3</v>
      </c>
      <c r="G377" s="137" t="s">
        <v>883</v>
      </c>
      <c r="H377" s="138">
        <v>262</v>
      </c>
      <c r="I377" s="92">
        <f t="shared" si="34"/>
        <v>0.34090909104191897</v>
      </c>
      <c r="J377" s="95">
        <v>2.6565594168914701E-10</v>
      </c>
      <c r="K377" s="137">
        <v>0.66912006664615598</v>
      </c>
      <c r="L377" s="137">
        <v>0.68181818181818199</v>
      </c>
      <c r="M377" s="137">
        <v>0.65007289388811795</v>
      </c>
      <c r="N377" s="136">
        <v>0</v>
      </c>
      <c r="O377" s="154">
        <v>43467</v>
      </c>
      <c r="P377" s="98">
        <f t="shared" si="37"/>
        <v>1</v>
      </c>
      <c r="Q377" s="111">
        <v>5.0999999999999996</v>
      </c>
      <c r="R377" s="111">
        <v>0</v>
      </c>
      <c r="S377" s="111">
        <v>0</v>
      </c>
      <c r="T377" s="112" t="s">
        <v>73</v>
      </c>
      <c r="U377" s="137" t="s">
        <v>884</v>
      </c>
      <c r="V377" s="137" t="s">
        <v>885</v>
      </c>
      <c r="W377" s="69">
        <v>64</v>
      </c>
      <c r="X377" s="69">
        <v>3</v>
      </c>
      <c r="Y377" s="69">
        <v>6</v>
      </c>
      <c r="AA377" t="s">
        <v>4522</v>
      </c>
      <c r="AB377" t="s">
        <v>71</v>
      </c>
      <c r="AC377" t="s">
        <v>4353</v>
      </c>
      <c r="AD377" t="s">
        <v>4506</v>
      </c>
      <c r="AE377" t="s">
        <v>4353</v>
      </c>
      <c r="AF377" t="s">
        <v>4506</v>
      </c>
      <c r="AG377" t="s">
        <v>4515</v>
      </c>
      <c r="AH377" t="s">
        <v>4782</v>
      </c>
      <c r="AI377" t="s">
        <v>4353</v>
      </c>
      <c r="AJ377" t="s">
        <v>4506</v>
      </c>
      <c r="AK377" t="s">
        <v>4518</v>
      </c>
      <c r="AL377" t="s">
        <v>4519</v>
      </c>
      <c r="AM377" t="s">
        <v>4528</v>
      </c>
      <c r="AN377" t="s">
        <v>4624</v>
      </c>
      <c r="AO377" s="134">
        <v>112.91172914147501</v>
      </c>
      <c r="AP377" s="135">
        <v>114.84275184275199</v>
      </c>
      <c r="AQ377">
        <v>0.38329238329238302</v>
      </c>
      <c r="AR377" s="136">
        <v>1.23587223587224</v>
      </c>
      <c r="AS377">
        <v>7.3906633906633896</v>
      </c>
    </row>
    <row r="378" spans="1:45" customFormat="1" ht="151">
      <c r="A378">
        <v>294</v>
      </c>
      <c r="B378" s="69" t="s">
        <v>589</v>
      </c>
      <c r="C378" s="69" t="s">
        <v>45</v>
      </c>
      <c r="D378" s="31">
        <f t="shared" si="35"/>
        <v>4</v>
      </c>
      <c r="E378" s="69" t="s">
        <v>833</v>
      </c>
      <c r="F378" s="31">
        <f t="shared" si="36"/>
        <v>3</v>
      </c>
      <c r="G378" s="137" t="s">
        <v>879</v>
      </c>
      <c r="H378" s="138">
        <v>274</v>
      </c>
      <c r="I378" s="92">
        <f t="shared" si="34"/>
        <v>0.41250000005137166</v>
      </c>
      <c r="J378" s="95">
        <v>1.02743369367886E-10</v>
      </c>
      <c r="K378" s="137">
        <v>0.66642857142857104</v>
      </c>
      <c r="L378" s="137">
        <v>0.82499999999999996</v>
      </c>
      <c r="M378" s="137">
        <v>0.42857142857142899</v>
      </c>
      <c r="N378" s="136">
        <v>0</v>
      </c>
      <c r="O378" s="154">
        <v>43467</v>
      </c>
      <c r="P378" s="98">
        <f t="shared" si="37"/>
        <v>0</v>
      </c>
      <c r="Q378" s="113">
        <v>2.5499999999999998</v>
      </c>
      <c r="R378" s="113">
        <v>0</v>
      </c>
      <c r="S378" s="113">
        <v>0</v>
      </c>
      <c r="T378" s="114" t="s">
        <v>48</v>
      </c>
      <c r="U378" s="137" t="s">
        <v>882</v>
      </c>
      <c r="V378" s="137" t="s">
        <v>881</v>
      </c>
      <c r="W378" s="69">
        <v>103</v>
      </c>
      <c r="X378" s="69">
        <v>1</v>
      </c>
      <c r="Y378" s="69">
        <v>16</v>
      </c>
      <c r="AA378" t="s">
        <v>4619</v>
      </c>
      <c r="AB378" t="s">
        <v>87</v>
      </c>
      <c r="AC378" t="s">
        <v>4513</v>
      </c>
      <c r="AD378" t="s">
        <v>4780</v>
      </c>
      <c r="AE378" t="s">
        <v>4515</v>
      </c>
      <c r="AF378" t="s">
        <v>4718</v>
      </c>
      <c r="AG378" t="s">
        <v>223</v>
      </c>
      <c r="AH378" t="s">
        <v>4717</v>
      </c>
      <c r="AI378" t="s">
        <v>4515</v>
      </c>
      <c r="AJ378" t="s">
        <v>4718</v>
      </c>
      <c r="AK378" t="s">
        <v>4518</v>
      </c>
      <c r="AL378" t="s">
        <v>4519</v>
      </c>
      <c r="AM378" t="s">
        <v>4510</v>
      </c>
      <c r="AN378" t="s">
        <v>4523</v>
      </c>
      <c r="AO378" s="134">
        <v>112.731234866828</v>
      </c>
      <c r="AP378" s="135">
        <v>114.84275184275199</v>
      </c>
      <c r="AQ378">
        <v>0.385441527446301</v>
      </c>
      <c r="AR378" s="136">
        <v>1.23587223587224</v>
      </c>
      <c r="AS378">
        <v>7.3906633906633896</v>
      </c>
    </row>
    <row r="379" spans="1:45" customFormat="1" ht="91">
      <c r="A379">
        <v>299</v>
      </c>
      <c r="B379" s="69" t="s">
        <v>589</v>
      </c>
      <c r="C379" s="69" t="s">
        <v>45</v>
      </c>
      <c r="D379" s="31">
        <f t="shared" si="35"/>
        <v>4</v>
      </c>
      <c r="E379" s="69" t="s">
        <v>833</v>
      </c>
      <c r="F379" s="31">
        <f t="shared" si="36"/>
        <v>3</v>
      </c>
      <c r="G379" s="147" t="s">
        <v>879</v>
      </c>
      <c r="H379" s="138">
        <v>151</v>
      </c>
      <c r="I379" s="92">
        <f t="shared" si="34"/>
        <v>0.37820750825852356</v>
      </c>
      <c r="J379" s="95">
        <v>6.4150165170471203E-3</v>
      </c>
      <c r="K379" s="137">
        <v>0.61439396425041903</v>
      </c>
      <c r="L379" s="137">
        <v>0.75</v>
      </c>
      <c r="M379" s="137">
        <v>0.41098491062604903</v>
      </c>
      <c r="N379" s="136">
        <v>0</v>
      </c>
      <c r="O379" s="154">
        <v>43464</v>
      </c>
      <c r="P379" s="98">
        <f t="shared" si="37"/>
        <v>0</v>
      </c>
      <c r="Q379" s="111">
        <v>0</v>
      </c>
      <c r="R379" s="111">
        <v>3.3</v>
      </c>
      <c r="S379" s="111">
        <v>0</v>
      </c>
      <c r="T379" s="112" t="s">
        <v>48</v>
      </c>
      <c r="U379" s="137" t="s">
        <v>892</v>
      </c>
      <c r="V379" s="137" t="s">
        <v>893</v>
      </c>
      <c r="W379" s="69">
        <v>108</v>
      </c>
      <c r="X379" s="147">
        <v>1</v>
      </c>
      <c r="Y379" s="147">
        <v>17</v>
      </c>
      <c r="AA379" t="s">
        <v>4660</v>
      </c>
      <c r="AB379" t="s">
        <v>87</v>
      </c>
      <c r="AC379" t="s">
        <v>4513</v>
      </c>
      <c r="AD379" t="s">
        <v>4801</v>
      </c>
      <c r="AE379" t="s">
        <v>4515</v>
      </c>
      <c r="AF379" t="s">
        <v>4762</v>
      </c>
      <c r="AG379" t="s">
        <v>223</v>
      </c>
      <c r="AH379" t="s">
        <v>4768</v>
      </c>
      <c r="AI379" t="s">
        <v>4515</v>
      </c>
      <c r="AJ379" t="s">
        <v>4762</v>
      </c>
      <c r="AK379" t="s">
        <v>4518</v>
      </c>
      <c r="AL379" t="s">
        <v>4519</v>
      </c>
      <c r="AM379" t="s">
        <v>4510</v>
      </c>
      <c r="AN379" t="s">
        <v>4523</v>
      </c>
      <c r="AO379" s="134">
        <v>112.37333333333299</v>
      </c>
      <c r="AP379" s="135">
        <v>114.84275184275199</v>
      </c>
      <c r="AQ379">
        <v>0.38329238329238302</v>
      </c>
      <c r="AR379" s="136">
        <v>1.23587223587224</v>
      </c>
      <c r="AS379">
        <v>7.3906633906633896</v>
      </c>
    </row>
    <row r="380" spans="1:45" customFormat="1" ht="91">
      <c r="A380" s="65">
        <v>297</v>
      </c>
      <c r="B380" s="69" t="s">
        <v>589</v>
      </c>
      <c r="C380" s="69" t="s">
        <v>45</v>
      </c>
      <c r="D380" s="31">
        <f t="shared" si="35"/>
        <v>4</v>
      </c>
      <c r="E380" s="69" t="s">
        <v>833</v>
      </c>
      <c r="F380" s="31">
        <f t="shared" si="36"/>
        <v>3</v>
      </c>
      <c r="G380" s="137" t="s">
        <v>879</v>
      </c>
      <c r="H380" s="138">
        <v>173</v>
      </c>
      <c r="I380" s="92">
        <f t="shared" si="34"/>
        <v>0.37500114618306235</v>
      </c>
      <c r="J380" s="95">
        <v>2.2923661247009602E-6</v>
      </c>
      <c r="K380" s="137">
        <v>0.61439396425041903</v>
      </c>
      <c r="L380" s="137">
        <v>0.75</v>
      </c>
      <c r="M380" s="137">
        <v>0.41098491062604903</v>
      </c>
      <c r="N380" s="136">
        <v>0</v>
      </c>
      <c r="O380" s="154">
        <v>43464</v>
      </c>
      <c r="P380" s="98">
        <f t="shared" si="37"/>
        <v>0</v>
      </c>
      <c r="Q380" s="111">
        <v>2.5499999999999998</v>
      </c>
      <c r="R380" s="111">
        <v>1.65</v>
      </c>
      <c r="S380" s="111">
        <v>5.61</v>
      </c>
      <c r="T380" s="112" t="s">
        <v>48</v>
      </c>
      <c r="U380" s="147" t="s">
        <v>888</v>
      </c>
      <c r="V380" s="137" t="s">
        <v>889</v>
      </c>
      <c r="W380" s="69">
        <v>107</v>
      </c>
      <c r="X380" s="147">
        <v>1</v>
      </c>
      <c r="Y380" s="147">
        <v>17</v>
      </c>
      <c r="AA380" t="s">
        <v>4660</v>
      </c>
      <c r="AB380" t="s">
        <v>87</v>
      </c>
      <c r="AC380" t="s">
        <v>4513</v>
      </c>
      <c r="AD380" t="s">
        <v>4531</v>
      </c>
      <c r="AE380" t="s">
        <v>4515</v>
      </c>
      <c r="AF380" t="s">
        <v>4849</v>
      </c>
      <c r="AG380" t="s">
        <v>223</v>
      </c>
      <c r="AH380" t="s">
        <v>4668</v>
      </c>
      <c r="AI380" t="s">
        <v>4515</v>
      </c>
      <c r="AJ380" t="s">
        <v>4849</v>
      </c>
      <c r="AK380" t="s">
        <v>4518</v>
      </c>
      <c r="AL380" t="s">
        <v>4519</v>
      </c>
      <c r="AM380" t="s">
        <v>4510</v>
      </c>
      <c r="AN380" t="s">
        <v>4523</v>
      </c>
      <c r="AO380" s="134">
        <v>112.299757281553</v>
      </c>
      <c r="AP380" s="135">
        <v>114.84275184275199</v>
      </c>
      <c r="AQ380">
        <v>0.38329238329238302</v>
      </c>
      <c r="AR380" s="136">
        <v>1.23587223587224</v>
      </c>
      <c r="AS380">
        <v>7.3906633906633896</v>
      </c>
    </row>
    <row r="381" spans="1:45" customFormat="1" ht="121">
      <c r="A381">
        <v>298</v>
      </c>
      <c r="B381" s="69" t="s">
        <v>589</v>
      </c>
      <c r="C381" s="69" t="s">
        <v>45</v>
      </c>
      <c r="D381" s="31">
        <f t="shared" si="35"/>
        <v>4</v>
      </c>
      <c r="E381" s="69" t="s">
        <v>833</v>
      </c>
      <c r="F381" s="31">
        <f t="shared" si="36"/>
        <v>3</v>
      </c>
      <c r="G381" s="137" t="s">
        <v>886</v>
      </c>
      <c r="H381" s="138">
        <v>229</v>
      </c>
      <c r="I381" s="92">
        <f t="shared" si="34"/>
        <v>0.37500000055936222</v>
      </c>
      <c r="J381" s="95">
        <v>1.11872444641392E-9</v>
      </c>
      <c r="K381" s="137">
        <v>0.53184203640971295</v>
      </c>
      <c r="L381" s="137">
        <v>0.75</v>
      </c>
      <c r="M381" s="137">
        <v>0.20460509102428301</v>
      </c>
      <c r="N381" s="136">
        <v>0</v>
      </c>
      <c r="O381" s="154">
        <v>43464</v>
      </c>
      <c r="P381" s="98">
        <f t="shared" si="37"/>
        <v>0</v>
      </c>
      <c r="Q381" s="111">
        <v>0</v>
      </c>
      <c r="R381" s="111">
        <v>0</v>
      </c>
      <c r="S381" s="111">
        <v>0</v>
      </c>
      <c r="T381" s="112" t="s">
        <v>48</v>
      </c>
      <c r="U381" s="137" t="s">
        <v>890</v>
      </c>
      <c r="V381" s="137" t="s">
        <v>891</v>
      </c>
      <c r="W381" s="69">
        <v>105</v>
      </c>
      <c r="X381" s="69">
        <v>3</v>
      </c>
      <c r="Y381" s="69">
        <v>31</v>
      </c>
      <c r="AA381" t="s">
        <v>4660</v>
      </c>
      <c r="AB381" t="s">
        <v>87</v>
      </c>
      <c r="AC381" t="s">
        <v>4513</v>
      </c>
      <c r="AD381" t="s">
        <v>4589</v>
      </c>
      <c r="AE381" t="s">
        <v>4515</v>
      </c>
      <c r="AF381" t="s">
        <v>4590</v>
      </c>
      <c r="AG381" t="s">
        <v>223</v>
      </c>
      <c r="AH381" t="s">
        <v>4588</v>
      </c>
      <c r="AI381" t="s">
        <v>4515</v>
      </c>
      <c r="AJ381" t="s">
        <v>4590</v>
      </c>
      <c r="AK381" t="s">
        <v>4518</v>
      </c>
      <c r="AL381" t="s">
        <v>4519</v>
      </c>
      <c r="AM381" t="s">
        <v>4520</v>
      </c>
      <c r="AN381" t="s">
        <v>4521</v>
      </c>
      <c r="AO381" s="134">
        <v>112.157958687728</v>
      </c>
      <c r="AP381" s="135">
        <v>114.84275184275199</v>
      </c>
      <c r="AQ381">
        <v>0.38329238329238302</v>
      </c>
      <c r="AR381" s="136">
        <v>1.23587223587224</v>
      </c>
      <c r="AS381">
        <v>7.3906633906633896</v>
      </c>
    </row>
    <row r="382" spans="1:45" customFormat="1" ht="211">
      <c r="A382" s="65">
        <v>296</v>
      </c>
      <c r="B382" s="69" t="s">
        <v>589</v>
      </c>
      <c r="C382" s="69" t="s">
        <v>45</v>
      </c>
      <c r="D382" s="31">
        <f t="shared" si="35"/>
        <v>4</v>
      </c>
      <c r="E382" s="69" t="s">
        <v>833</v>
      </c>
      <c r="F382" s="31">
        <f t="shared" si="36"/>
        <v>3</v>
      </c>
      <c r="G382" s="147" t="s">
        <v>886</v>
      </c>
      <c r="H382" s="138">
        <v>408</v>
      </c>
      <c r="I382" s="92">
        <f t="shared" si="34"/>
        <v>0.37500000000000011</v>
      </c>
      <c r="J382" s="95">
        <v>2.2204460492503101E-16</v>
      </c>
      <c r="K382" s="137">
        <v>0.60092006036910395</v>
      </c>
      <c r="L382" s="137">
        <v>0.75</v>
      </c>
      <c r="M382" s="137">
        <v>0.37730015092276098</v>
      </c>
      <c r="N382" s="136">
        <v>0</v>
      </c>
      <c r="O382" s="154">
        <v>43464</v>
      </c>
      <c r="P382" s="98">
        <f t="shared" si="37"/>
        <v>0</v>
      </c>
      <c r="Q382" s="111">
        <v>2.5499999999999998</v>
      </c>
      <c r="R382" s="111">
        <v>0</v>
      </c>
      <c r="S382" s="111">
        <v>0</v>
      </c>
      <c r="T382" s="112" t="s">
        <v>48</v>
      </c>
      <c r="U382" s="137" t="s">
        <v>887</v>
      </c>
      <c r="V382" s="137" t="s">
        <v>881</v>
      </c>
      <c r="W382" s="69">
        <v>103</v>
      </c>
      <c r="X382" s="147">
        <v>3</v>
      </c>
      <c r="Y382" s="147">
        <v>19</v>
      </c>
      <c r="AA382" t="s">
        <v>4872</v>
      </c>
      <c r="AB382" t="s">
        <v>87</v>
      </c>
      <c r="AC382" t="s">
        <v>4513</v>
      </c>
      <c r="AD382" t="s">
        <v>4780</v>
      </c>
      <c r="AE382" t="s">
        <v>4515</v>
      </c>
      <c r="AF382" t="s">
        <v>4718</v>
      </c>
      <c r="AG382" t="s">
        <v>223</v>
      </c>
      <c r="AH382" t="s">
        <v>4717</v>
      </c>
      <c r="AI382" t="s">
        <v>4515</v>
      </c>
      <c r="AJ382" t="s">
        <v>4718</v>
      </c>
      <c r="AK382" t="s">
        <v>4591</v>
      </c>
      <c r="AL382" t="s">
        <v>4519</v>
      </c>
      <c r="AM382" t="s">
        <v>4520</v>
      </c>
      <c r="AN382" t="s">
        <v>4870</v>
      </c>
      <c r="AO382" s="134">
        <v>112.110705596107</v>
      </c>
      <c r="AP382" s="135">
        <v>114.84275184275199</v>
      </c>
      <c r="AQ382">
        <v>0.38329238329238302</v>
      </c>
      <c r="AR382" s="136">
        <v>1.23587223587224</v>
      </c>
      <c r="AS382">
        <v>7.3906633906633896</v>
      </c>
    </row>
    <row r="383" spans="1:45" customFormat="1" ht="106">
      <c r="A383">
        <v>627</v>
      </c>
      <c r="B383" s="69" t="s">
        <v>1707</v>
      </c>
      <c r="C383" s="69" t="s">
        <v>119</v>
      </c>
      <c r="D383" s="31">
        <f t="shared" si="35"/>
        <v>1</v>
      </c>
      <c r="E383" s="69" t="s">
        <v>46</v>
      </c>
      <c r="F383" s="31">
        <f t="shared" si="36"/>
        <v>6</v>
      </c>
      <c r="G383" s="169" t="s">
        <v>1349</v>
      </c>
      <c r="H383" s="138">
        <v>193</v>
      </c>
      <c r="I383" s="92">
        <f t="shared" si="34"/>
        <v>0.87499999528339201</v>
      </c>
      <c r="J383" s="95">
        <v>0.99999999056678401</v>
      </c>
      <c r="K383" s="137">
        <v>0.73571428571428599</v>
      </c>
      <c r="L383" s="137">
        <v>0.75</v>
      </c>
      <c r="M383" s="137">
        <v>0.71428571428571397</v>
      </c>
      <c r="N383" s="136">
        <v>1</v>
      </c>
      <c r="O383" s="154">
        <v>43463</v>
      </c>
      <c r="P383" s="98">
        <f t="shared" si="37"/>
        <v>2</v>
      </c>
      <c r="Q383" s="111">
        <v>0</v>
      </c>
      <c r="R383" s="111">
        <v>3.3</v>
      </c>
      <c r="S383" s="111">
        <v>0</v>
      </c>
      <c r="T383" s="112" t="s">
        <v>64</v>
      </c>
      <c r="U383" s="137" t="s">
        <v>1350</v>
      </c>
      <c r="V383" s="137" t="s">
        <v>1351</v>
      </c>
      <c r="W383" s="69">
        <v>69</v>
      </c>
      <c r="X383" s="69">
        <v>2</v>
      </c>
      <c r="Y383" s="69">
        <v>4</v>
      </c>
      <c r="Z383" s="69"/>
      <c r="AA383" t="s">
        <v>4543</v>
      </c>
      <c r="AB383" t="s">
        <v>51</v>
      </c>
      <c r="AC383" t="s">
        <v>223</v>
      </c>
      <c r="AD383" t="s">
        <v>4535</v>
      </c>
      <c r="AE383" t="s">
        <v>4515</v>
      </c>
      <c r="AF383" t="s">
        <v>4534</v>
      </c>
      <c r="AG383" t="s">
        <v>4353</v>
      </c>
      <c r="AH383" t="s">
        <v>4506</v>
      </c>
      <c r="AI383" t="s">
        <v>4353</v>
      </c>
      <c r="AJ383" t="s">
        <v>4506</v>
      </c>
      <c r="AK383" t="s">
        <v>4519</v>
      </c>
      <c r="AL383" t="s">
        <v>4552</v>
      </c>
      <c r="AM383" t="s">
        <v>4528</v>
      </c>
      <c r="AN383" t="s">
        <v>4618</v>
      </c>
      <c r="AO383" s="134">
        <v>112.136419001218</v>
      </c>
      <c r="AP383" s="135">
        <v>114.84275184275199</v>
      </c>
      <c r="AQ383">
        <v>0.38329238329238302</v>
      </c>
      <c r="AR383" s="136">
        <v>1.23587223587224</v>
      </c>
      <c r="AS383">
        <v>7.3906633906633896</v>
      </c>
    </row>
    <row r="384" spans="1:45" customFormat="1" ht="76">
      <c r="A384" s="65">
        <v>300</v>
      </c>
      <c r="B384" s="69" t="s">
        <v>589</v>
      </c>
      <c r="C384" s="69" t="s">
        <v>45</v>
      </c>
      <c r="D384" s="31">
        <f t="shared" si="35"/>
        <v>4</v>
      </c>
      <c r="E384" s="69" t="s">
        <v>80</v>
      </c>
      <c r="F384" s="31">
        <f t="shared" si="36"/>
        <v>4</v>
      </c>
      <c r="G384" s="169" t="s">
        <v>180</v>
      </c>
      <c r="H384" s="138">
        <v>91</v>
      </c>
      <c r="I384" s="92">
        <f t="shared" si="34"/>
        <v>0.89579283451352498</v>
      </c>
      <c r="J384" s="95">
        <v>0.96658566902705001</v>
      </c>
      <c r="K384" s="137">
        <v>0.78071428571428603</v>
      </c>
      <c r="L384" s="137">
        <v>0.82499999999999996</v>
      </c>
      <c r="M384" s="137">
        <v>0.71428571428571397</v>
      </c>
      <c r="N384" s="136">
        <v>0</v>
      </c>
      <c r="O384" s="154">
        <v>43463</v>
      </c>
      <c r="P384" s="98">
        <f t="shared" si="37"/>
        <v>0</v>
      </c>
      <c r="Q384" s="111">
        <v>0</v>
      </c>
      <c r="R384" s="111">
        <v>1.65</v>
      </c>
      <c r="S384" s="111">
        <v>0</v>
      </c>
      <c r="T384" s="112" t="s">
        <v>48</v>
      </c>
      <c r="U384" s="137" t="s">
        <v>894</v>
      </c>
      <c r="V384" s="137" t="s">
        <v>895</v>
      </c>
      <c r="W384" s="69">
        <v>95</v>
      </c>
      <c r="X384" s="69">
        <v>1</v>
      </c>
      <c r="Y384" s="69">
        <v>4</v>
      </c>
      <c r="AA384" t="s">
        <v>4628</v>
      </c>
      <c r="AB384" t="s">
        <v>71</v>
      </c>
      <c r="AC384" t="s">
        <v>4353</v>
      </c>
      <c r="AD384" t="s">
        <v>4506</v>
      </c>
      <c r="AE384" t="s">
        <v>4353</v>
      </c>
      <c r="AF384" t="s">
        <v>4506</v>
      </c>
      <c r="AG384" t="s">
        <v>223</v>
      </c>
      <c r="AH384" t="s">
        <v>4655</v>
      </c>
      <c r="AI384" t="s">
        <v>4353</v>
      </c>
      <c r="AJ384" t="s">
        <v>4506</v>
      </c>
      <c r="AK384" t="s">
        <v>4740</v>
      </c>
      <c r="AL384" t="s">
        <v>4519</v>
      </c>
      <c r="AM384" t="s">
        <v>4520</v>
      </c>
      <c r="AN384" t="s">
        <v>4873</v>
      </c>
      <c r="AO384" s="134">
        <v>112.121951219512</v>
      </c>
      <c r="AP384" s="135">
        <v>114.84275184275199</v>
      </c>
      <c r="AQ384">
        <v>0.38329238329238302</v>
      </c>
      <c r="AR384" s="136">
        <v>1.23587223587224</v>
      </c>
      <c r="AS384">
        <v>7.3906633906633896</v>
      </c>
    </row>
    <row r="385" spans="1:45" customFormat="1" ht="91">
      <c r="A385" s="65">
        <v>301</v>
      </c>
      <c r="B385" s="69" t="s">
        <v>589</v>
      </c>
      <c r="C385" s="69" t="s">
        <v>45</v>
      </c>
      <c r="D385" s="31">
        <f t="shared" si="35"/>
        <v>4</v>
      </c>
      <c r="E385" s="69" t="s">
        <v>833</v>
      </c>
      <c r="F385" s="31">
        <f t="shared" si="36"/>
        <v>3</v>
      </c>
      <c r="G385" s="137" t="s">
        <v>896</v>
      </c>
      <c r="H385" s="138">
        <v>124</v>
      </c>
      <c r="I385" s="92">
        <f t="shared" si="34"/>
        <v>0.58889524709861996</v>
      </c>
      <c r="J385" s="95">
        <v>0.42779049419724002</v>
      </c>
      <c r="K385" s="137">
        <v>0.73571428571428599</v>
      </c>
      <c r="L385" s="137">
        <v>0.75</v>
      </c>
      <c r="M385" s="137">
        <v>0.71428571428571397</v>
      </c>
      <c r="N385" s="136">
        <v>0</v>
      </c>
      <c r="O385" s="154">
        <v>43463</v>
      </c>
      <c r="P385" s="98">
        <f t="shared" si="37"/>
        <v>0</v>
      </c>
      <c r="Q385" s="111">
        <v>5.0999999999999996</v>
      </c>
      <c r="R385" s="111">
        <v>0</v>
      </c>
      <c r="S385" s="111">
        <v>0</v>
      </c>
      <c r="T385" s="112" t="s">
        <v>48</v>
      </c>
      <c r="U385" s="136" t="s">
        <v>897</v>
      </c>
      <c r="V385" s="137" t="s">
        <v>898</v>
      </c>
      <c r="W385" s="69">
        <v>49</v>
      </c>
      <c r="X385" s="69">
        <v>1</v>
      </c>
      <c r="Y385" s="69">
        <v>4</v>
      </c>
      <c r="AA385" t="s">
        <v>4564</v>
      </c>
      <c r="AB385" t="s">
        <v>71</v>
      </c>
      <c r="AC385" t="s">
        <v>4353</v>
      </c>
      <c r="AD385" t="s">
        <v>4506</v>
      </c>
      <c r="AE385" t="s">
        <v>4353</v>
      </c>
      <c r="AF385" t="s">
        <v>4506</v>
      </c>
      <c r="AG385" t="s">
        <v>223</v>
      </c>
      <c r="AH385" t="s">
        <v>4614</v>
      </c>
      <c r="AI385" t="s">
        <v>4353</v>
      </c>
      <c r="AJ385" t="s">
        <v>4506</v>
      </c>
      <c r="AK385" t="s">
        <v>4518</v>
      </c>
      <c r="AL385" t="s">
        <v>4519</v>
      </c>
      <c r="AM385" t="s">
        <v>4528</v>
      </c>
      <c r="AN385" t="s">
        <v>4624</v>
      </c>
      <c r="AO385" s="134">
        <v>111.969474969475</v>
      </c>
      <c r="AP385" s="135">
        <v>114.84275184275199</v>
      </c>
      <c r="AQ385">
        <v>0.38329238329238302</v>
      </c>
      <c r="AR385" s="136">
        <v>1.23587223587224</v>
      </c>
      <c r="AS385">
        <v>7.3906633906633896</v>
      </c>
    </row>
    <row r="386" spans="1:45" customFormat="1" ht="151">
      <c r="A386">
        <v>302</v>
      </c>
      <c r="B386" s="69" t="s">
        <v>589</v>
      </c>
      <c r="C386" s="69" t="s">
        <v>45</v>
      </c>
      <c r="D386" s="31">
        <f t="shared" si="35"/>
        <v>4</v>
      </c>
      <c r="E386" s="69" t="s">
        <v>833</v>
      </c>
      <c r="F386" s="31">
        <f t="shared" si="36"/>
        <v>3</v>
      </c>
      <c r="G386" s="137" t="s">
        <v>899</v>
      </c>
      <c r="H386" s="138">
        <v>237</v>
      </c>
      <c r="I386" s="92">
        <f t="shared" si="34"/>
        <v>0.35883972191608798</v>
      </c>
      <c r="J386" s="95">
        <v>3.5861262013993998E-2</v>
      </c>
      <c r="K386" s="137">
        <v>0.69480519480519498</v>
      </c>
      <c r="L386" s="137">
        <v>0.68181818181818199</v>
      </c>
      <c r="M386" s="137">
        <v>0.71428571428571397</v>
      </c>
      <c r="N386" s="136">
        <v>0</v>
      </c>
      <c r="O386" s="154">
        <v>43463</v>
      </c>
      <c r="P386" s="98">
        <f t="shared" si="37"/>
        <v>1</v>
      </c>
      <c r="Q386" s="113">
        <v>7.65</v>
      </c>
      <c r="R386" s="113">
        <v>4.95</v>
      </c>
      <c r="S386" s="113">
        <v>0</v>
      </c>
      <c r="T386" s="114" t="s">
        <v>73</v>
      </c>
      <c r="U386" s="136" t="s">
        <v>900</v>
      </c>
      <c r="V386" s="137" t="s">
        <v>901</v>
      </c>
      <c r="W386" s="69">
        <v>67</v>
      </c>
      <c r="X386" s="69">
        <v>1</v>
      </c>
      <c r="Y386" s="69">
        <v>4</v>
      </c>
      <c r="AA386" t="s">
        <v>4564</v>
      </c>
      <c r="AB386" t="s">
        <v>51</v>
      </c>
      <c r="AC386" t="s">
        <v>223</v>
      </c>
      <c r="AD386" t="s">
        <v>4507</v>
      </c>
      <c r="AE386" t="s">
        <v>4515</v>
      </c>
      <c r="AF386" t="s">
        <v>4565</v>
      </c>
      <c r="AG386" t="s">
        <v>223</v>
      </c>
      <c r="AH386" t="s">
        <v>4507</v>
      </c>
      <c r="AI386" t="s">
        <v>4353</v>
      </c>
      <c r="AJ386" t="s">
        <v>4506</v>
      </c>
      <c r="AK386" t="s">
        <v>4578</v>
      </c>
      <c r="AL386" t="s">
        <v>4519</v>
      </c>
      <c r="AM386" t="s">
        <v>4528</v>
      </c>
      <c r="AN386" t="s">
        <v>4874</v>
      </c>
      <c r="AO386" s="134">
        <v>111.757946210269</v>
      </c>
      <c r="AP386" s="135">
        <v>114.84275184275199</v>
      </c>
      <c r="AQ386">
        <v>0.38329238329238302</v>
      </c>
      <c r="AR386" s="136">
        <v>1.23587223587224</v>
      </c>
      <c r="AS386">
        <v>7.3906633906633896</v>
      </c>
    </row>
    <row r="387" spans="1:45" customFormat="1" ht="106">
      <c r="A387">
        <v>474</v>
      </c>
      <c r="B387" s="69" t="s">
        <v>1222</v>
      </c>
      <c r="C387" s="69" t="s">
        <v>119</v>
      </c>
      <c r="D387" s="31">
        <f t="shared" si="35"/>
        <v>1</v>
      </c>
      <c r="E387" s="69" t="s">
        <v>46</v>
      </c>
      <c r="F387" s="31">
        <f t="shared" si="36"/>
        <v>6</v>
      </c>
      <c r="G387" s="188" t="s">
        <v>1349</v>
      </c>
      <c r="H387" s="138">
        <v>193</v>
      </c>
      <c r="I387" s="92">
        <f t="shared" si="34"/>
        <v>0.37500000746388584</v>
      </c>
      <c r="J387" s="95">
        <v>1.49277716854357E-8</v>
      </c>
      <c r="K387" s="137">
        <v>0.73571428571428599</v>
      </c>
      <c r="L387" s="137">
        <v>0.75</v>
      </c>
      <c r="M387" s="137">
        <v>0.71428571428571397</v>
      </c>
      <c r="N387" s="136">
        <v>1</v>
      </c>
      <c r="O387" s="154">
        <v>43463</v>
      </c>
      <c r="P387" s="98">
        <f t="shared" si="37"/>
        <v>2</v>
      </c>
      <c r="Q387" s="210">
        <v>0</v>
      </c>
      <c r="R387" s="210">
        <v>1.65</v>
      </c>
      <c r="S387" s="210">
        <v>1.87</v>
      </c>
      <c r="T387" s="211" t="s">
        <v>64</v>
      </c>
      <c r="U387" s="188" t="s">
        <v>1350</v>
      </c>
      <c r="V387" s="137" t="s">
        <v>1351</v>
      </c>
      <c r="W387" s="69">
        <v>69</v>
      </c>
      <c r="X387" s="188">
        <v>2</v>
      </c>
      <c r="Y387" s="188">
        <v>4</v>
      </c>
      <c r="AA387" t="s">
        <v>4543</v>
      </c>
      <c r="AB387" t="s">
        <v>51</v>
      </c>
      <c r="AC387" t="s">
        <v>223</v>
      </c>
      <c r="AD387" t="s">
        <v>4535</v>
      </c>
      <c r="AE387" t="s">
        <v>4515</v>
      </c>
      <c r="AF387" t="s">
        <v>4534</v>
      </c>
      <c r="AG387" t="s">
        <v>4353</v>
      </c>
      <c r="AH387" t="s">
        <v>4506</v>
      </c>
      <c r="AI387" t="s">
        <v>4353</v>
      </c>
      <c r="AJ387" t="s">
        <v>4506</v>
      </c>
      <c r="AK387" t="s">
        <v>4519</v>
      </c>
      <c r="AL387" t="s">
        <v>4552</v>
      </c>
      <c r="AM387" t="s">
        <v>4528</v>
      </c>
      <c r="AN387" t="s">
        <v>4618</v>
      </c>
      <c r="AO387" s="134">
        <v>111.65850673194601</v>
      </c>
      <c r="AP387" s="135">
        <v>114.84275184275199</v>
      </c>
      <c r="AQ387">
        <v>0.38329238329238302</v>
      </c>
      <c r="AR387" s="136">
        <v>1.23587223587224</v>
      </c>
      <c r="AS387">
        <v>7.3906633906633896</v>
      </c>
    </row>
    <row r="388" spans="1:45" customFormat="1" ht="181">
      <c r="A388">
        <v>303</v>
      </c>
      <c r="B388" s="69" t="s">
        <v>589</v>
      </c>
      <c r="C388" s="69" t="s">
        <v>45</v>
      </c>
      <c r="D388" s="31">
        <f t="shared" si="35"/>
        <v>4</v>
      </c>
      <c r="E388" s="69" t="s">
        <v>833</v>
      </c>
      <c r="F388" s="31">
        <f t="shared" si="36"/>
        <v>3</v>
      </c>
      <c r="G388" s="188" t="s">
        <v>902</v>
      </c>
      <c r="H388" s="138">
        <v>285</v>
      </c>
      <c r="I388" s="92">
        <f t="shared" ref="I388:I451" si="38">(J388+L388)/2</f>
        <v>0.3409090909091495</v>
      </c>
      <c r="J388" s="95">
        <v>1.1701750679549099E-13</v>
      </c>
      <c r="K388" s="137">
        <v>0.61956949249917204</v>
      </c>
      <c r="L388" s="137">
        <v>0.68181818181818199</v>
      </c>
      <c r="M388" s="137">
        <v>0.526196458520657</v>
      </c>
      <c r="N388" s="136">
        <v>0</v>
      </c>
      <c r="O388" s="154">
        <v>43463</v>
      </c>
      <c r="P388" s="98">
        <f t="shared" si="37"/>
        <v>0</v>
      </c>
      <c r="Q388" s="113">
        <v>7.65</v>
      </c>
      <c r="R388" s="113">
        <v>4.95</v>
      </c>
      <c r="S388" s="113">
        <v>0</v>
      </c>
      <c r="T388" s="114" t="s">
        <v>48</v>
      </c>
      <c r="U388" s="136" t="s">
        <v>903</v>
      </c>
      <c r="V388" s="137" t="s">
        <v>889</v>
      </c>
      <c r="W388" s="69">
        <v>107</v>
      </c>
      <c r="X388" s="195">
        <v>4</v>
      </c>
      <c r="Y388" s="195">
        <v>11</v>
      </c>
      <c r="AA388" t="s">
        <v>4653</v>
      </c>
      <c r="AB388" t="s">
        <v>87</v>
      </c>
      <c r="AC388" t="s">
        <v>4513</v>
      </c>
      <c r="AD388" t="s">
        <v>4531</v>
      </c>
      <c r="AE388" t="s">
        <v>4515</v>
      </c>
      <c r="AF388" t="s">
        <v>4849</v>
      </c>
      <c r="AG388" t="s">
        <v>223</v>
      </c>
      <c r="AH388" t="s">
        <v>4668</v>
      </c>
      <c r="AI388" t="s">
        <v>4515</v>
      </c>
      <c r="AJ388" t="s">
        <v>4849</v>
      </c>
      <c r="AK388" t="s">
        <v>4578</v>
      </c>
      <c r="AL388" t="s">
        <v>4509</v>
      </c>
      <c r="AM388" t="s">
        <v>4520</v>
      </c>
      <c r="AN388" t="s">
        <v>4875</v>
      </c>
      <c r="AO388" s="134">
        <v>111.558823529412</v>
      </c>
      <c r="AP388" s="135">
        <v>114.84275184275199</v>
      </c>
      <c r="AQ388">
        <v>0.38329238329238302</v>
      </c>
      <c r="AR388" s="136">
        <v>1.23587223587224</v>
      </c>
      <c r="AS388">
        <v>7.3906633906633896</v>
      </c>
    </row>
    <row r="389" spans="1:45" customFormat="1" ht="136">
      <c r="A389" s="65">
        <v>304</v>
      </c>
      <c r="B389" s="69" t="s">
        <v>589</v>
      </c>
      <c r="C389" s="69" t="s">
        <v>45</v>
      </c>
      <c r="D389" s="31">
        <f t="shared" si="35"/>
        <v>4</v>
      </c>
      <c r="E389" s="69" t="s">
        <v>833</v>
      </c>
      <c r="F389" s="31">
        <f t="shared" si="36"/>
        <v>3</v>
      </c>
      <c r="G389" s="188" t="s">
        <v>904</v>
      </c>
      <c r="H389" s="138">
        <v>258</v>
      </c>
      <c r="I389" s="92">
        <f t="shared" si="38"/>
        <v>0.84090909080572251</v>
      </c>
      <c r="J389" s="95">
        <v>0.99999999979326304</v>
      </c>
      <c r="K389" s="137">
        <v>0.57348487334132803</v>
      </c>
      <c r="L389" s="137">
        <v>0.68181818181818199</v>
      </c>
      <c r="M389" s="137">
        <v>0.41098491062604903</v>
      </c>
      <c r="N389" s="136">
        <v>0</v>
      </c>
      <c r="O389" s="154">
        <v>43462</v>
      </c>
      <c r="P389" s="98">
        <f t="shared" si="37"/>
        <v>0</v>
      </c>
      <c r="Q389" s="113">
        <v>2.5499999999999998</v>
      </c>
      <c r="R389" s="113">
        <v>0</v>
      </c>
      <c r="S389" s="113">
        <v>0</v>
      </c>
      <c r="T389" s="114" t="s">
        <v>48</v>
      </c>
      <c r="U389" s="137" t="s">
        <v>905</v>
      </c>
      <c r="V389" s="137" t="s">
        <v>906</v>
      </c>
      <c r="W389" s="69">
        <v>111</v>
      </c>
      <c r="X389" s="195">
        <v>2</v>
      </c>
      <c r="Y389" s="195">
        <v>17</v>
      </c>
      <c r="AA389" t="s">
        <v>4551</v>
      </c>
      <c r="AB389" t="s">
        <v>51</v>
      </c>
      <c r="AC389" t="s">
        <v>223</v>
      </c>
      <c r="AD389" t="s">
        <v>4841</v>
      </c>
      <c r="AE389" t="s">
        <v>4513</v>
      </c>
      <c r="AF389" t="s">
        <v>4876</v>
      </c>
      <c r="AG389" t="s">
        <v>223</v>
      </c>
      <c r="AH389" t="s">
        <v>4841</v>
      </c>
      <c r="AI389" t="s">
        <v>4515</v>
      </c>
      <c r="AJ389" t="s">
        <v>4842</v>
      </c>
      <c r="AK389" t="s">
        <v>4508</v>
      </c>
      <c r="AL389" t="s">
        <v>4552</v>
      </c>
      <c r="AM389" t="s">
        <v>4528</v>
      </c>
      <c r="AN389" t="s">
        <v>4877</v>
      </c>
      <c r="AO389" s="134">
        <v>111.37914110429401</v>
      </c>
      <c r="AP389" s="135">
        <v>114.84275184275199</v>
      </c>
      <c r="AQ389">
        <v>0.38329238329238302</v>
      </c>
      <c r="AR389" s="136">
        <v>1.23587223587224</v>
      </c>
      <c r="AS389">
        <v>7.3906633906633896</v>
      </c>
    </row>
    <row r="390" spans="1:45" customFormat="1" ht="106">
      <c r="A390">
        <v>475</v>
      </c>
      <c r="B390" s="69" t="s">
        <v>1222</v>
      </c>
      <c r="C390" s="69" t="s">
        <v>119</v>
      </c>
      <c r="D390" s="31">
        <f t="shared" si="35"/>
        <v>1</v>
      </c>
      <c r="E390" s="69" t="s">
        <v>46</v>
      </c>
      <c r="F390" s="31">
        <f t="shared" si="36"/>
        <v>6</v>
      </c>
      <c r="G390" s="169" t="s">
        <v>1352</v>
      </c>
      <c r="H390" s="138">
        <v>193</v>
      </c>
      <c r="I390" s="92">
        <f t="shared" si="38"/>
        <v>0.37500000000000566</v>
      </c>
      <c r="J390" s="95">
        <v>1.13242748511766E-14</v>
      </c>
      <c r="K390" s="137">
        <v>0.71002915755524698</v>
      </c>
      <c r="L390" s="137">
        <v>0.75</v>
      </c>
      <c r="M390" s="137">
        <v>0.65007289388811795</v>
      </c>
      <c r="N390" s="136">
        <v>1</v>
      </c>
      <c r="O390" s="154">
        <v>43461</v>
      </c>
      <c r="P390" s="98">
        <f t="shared" si="37"/>
        <v>2</v>
      </c>
      <c r="Q390" s="111">
        <v>0</v>
      </c>
      <c r="R390" s="111">
        <v>1.65</v>
      </c>
      <c r="S390" s="111">
        <v>0</v>
      </c>
      <c r="T390" s="112" t="s">
        <v>64</v>
      </c>
      <c r="U390" s="137" t="s">
        <v>1350</v>
      </c>
      <c r="V390" s="137" t="s">
        <v>1351</v>
      </c>
      <c r="W390" s="69">
        <v>69</v>
      </c>
      <c r="X390" s="69">
        <v>2</v>
      </c>
      <c r="Y390" s="69">
        <v>6</v>
      </c>
      <c r="AA390" t="s">
        <v>4543</v>
      </c>
      <c r="AB390" t="s">
        <v>51</v>
      </c>
      <c r="AC390" t="s">
        <v>223</v>
      </c>
      <c r="AD390" t="s">
        <v>4535</v>
      </c>
      <c r="AE390" t="s">
        <v>4515</v>
      </c>
      <c r="AF390" t="s">
        <v>4534</v>
      </c>
      <c r="AG390" t="s">
        <v>4353</v>
      </c>
      <c r="AH390" t="s">
        <v>4506</v>
      </c>
      <c r="AI390" t="s">
        <v>4353</v>
      </c>
      <c r="AJ390" t="s">
        <v>4506</v>
      </c>
      <c r="AK390" t="s">
        <v>4519</v>
      </c>
      <c r="AL390" t="s">
        <v>4552</v>
      </c>
      <c r="AM390" t="s">
        <v>4528</v>
      </c>
      <c r="AN390" t="s">
        <v>4618</v>
      </c>
      <c r="AO390" s="134">
        <v>111.27886977887</v>
      </c>
      <c r="AP390" s="135">
        <v>114.908979089791</v>
      </c>
      <c r="AQ390">
        <v>0.38130381303812999</v>
      </c>
      <c r="AR390" s="136">
        <v>1.2361623616236199</v>
      </c>
      <c r="AS390">
        <v>7.39729397293973</v>
      </c>
    </row>
    <row r="391" spans="1:45" customFormat="1" ht="46">
      <c r="A391">
        <v>706</v>
      </c>
      <c r="B391" s="69" t="s">
        <v>1913</v>
      </c>
      <c r="C391" s="69" t="s">
        <v>119</v>
      </c>
      <c r="D391" s="31">
        <f t="shared" si="35"/>
        <v>1</v>
      </c>
      <c r="E391" s="69" t="s">
        <v>46</v>
      </c>
      <c r="F391" s="31">
        <f t="shared" si="36"/>
        <v>6</v>
      </c>
      <c r="G391" s="137" t="s">
        <v>1940</v>
      </c>
      <c r="H391" s="138">
        <v>73</v>
      </c>
      <c r="I391" s="92">
        <f t="shared" si="38"/>
        <v>0.39511233733902879</v>
      </c>
      <c r="J391" s="95">
        <v>4.0224674678057598E-2</v>
      </c>
      <c r="K391" s="137">
        <v>0.76918779643582302</v>
      </c>
      <c r="L391" s="137">
        <v>0.75</v>
      </c>
      <c r="M391" s="137">
        <v>0.79796949108955795</v>
      </c>
      <c r="N391" s="136">
        <v>1</v>
      </c>
      <c r="O391" s="154">
        <v>43459</v>
      </c>
      <c r="P391" s="98">
        <f t="shared" si="37"/>
        <v>0</v>
      </c>
      <c r="Q391" s="107">
        <v>0</v>
      </c>
      <c r="R391" s="107">
        <v>0</v>
      </c>
      <c r="S391" s="107">
        <v>0</v>
      </c>
      <c r="T391" s="108" t="s">
        <v>48</v>
      </c>
      <c r="U391" s="147" t="s">
        <v>1941</v>
      </c>
      <c r="V391" s="147" t="s">
        <v>4415</v>
      </c>
      <c r="W391" s="69">
        <v>61</v>
      </c>
      <c r="X391" s="171">
        <v>3</v>
      </c>
      <c r="Y391" s="171">
        <v>2</v>
      </c>
      <c r="Z391" s="69"/>
      <c r="AA391" t="s">
        <v>4512</v>
      </c>
      <c r="AB391" t="s">
        <v>71</v>
      </c>
      <c r="AC391" t="s">
        <v>4353</v>
      </c>
      <c r="AD391" t="s">
        <v>4506</v>
      </c>
      <c r="AE391" t="s">
        <v>223</v>
      </c>
      <c r="AF391" t="s">
        <v>4507</v>
      </c>
      <c r="AG391" t="s">
        <v>4515</v>
      </c>
      <c r="AH391" t="s">
        <v>4565</v>
      </c>
      <c r="AI391" t="s">
        <v>4353</v>
      </c>
      <c r="AJ391" t="s">
        <v>4506</v>
      </c>
      <c r="AK391" t="s">
        <v>4518</v>
      </c>
      <c r="AL391" t="s">
        <v>4541</v>
      </c>
      <c r="AM391" t="s">
        <v>4528</v>
      </c>
      <c r="AN391" t="s">
        <v>4878</v>
      </c>
      <c r="AO391" s="134">
        <v>111.32595325953299</v>
      </c>
      <c r="AP391" s="135">
        <v>114.945745992602</v>
      </c>
      <c r="AQ391">
        <v>0.38101109741060402</v>
      </c>
      <c r="AR391" s="136">
        <v>1.23551171393342</v>
      </c>
      <c r="AS391">
        <v>7.4069050554870497</v>
      </c>
    </row>
    <row r="392" spans="1:45" customFormat="1" ht="196">
      <c r="A392" s="65">
        <v>476</v>
      </c>
      <c r="B392" s="69" t="s">
        <v>1222</v>
      </c>
      <c r="C392" s="69" t="s">
        <v>45</v>
      </c>
      <c r="D392" s="31">
        <f t="shared" si="35"/>
        <v>4</v>
      </c>
      <c r="E392" s="69" t="s">
        <v>1223</v>
      </c>
      <c r="F392" s="31">
        <f t="shared" si="36"/>
        <v>8</v>
      </c>
      <c r="G392" s="137" t="s">
        <v>1353</v>
      </c>
      <c r="H392" s="138">
        <v>359</v>
      </c>
      <c r="I392" s="92">
        <f t="shared" si="38"/>
        <v>0.67494026286204201</v>
      </c>
      <c r="J392" s="95">
        <v>0.99999999056678401</v>
      </c>
      <c r="K392" s="137">
        <v>0.49564260680866601</v>
      </c>
      <c r="L392" s="137">
        <v>0.3498805351573</v>
      </c>
      <c r="M392" s="137">
        <v>0.71428571428571397</v>
      </c>
      <c r="N392" s="136">
        <v>1</v>
      </c>
      <c r="O392" s="154">
        <v>43456</v>
      </c>
      <c r="P392" s="98">
        <f t="shared" si="37"/>
        <v>0</v>
      </c>
      <c r="Q392" s="210">
        <v>2.5499999999999998</v>
      </c>
      <c r="R392" s="210">
        <v>0</v>
      </c>
      <c r="S392" s="210">
        <v>0</v>
      </c>
      <c r="T392" s="211" t="s">
        <v>48</v>
      </c>
      <c r="U392" s="137" t="s">
        <v>1354</v>
      </c>
      <c r="V392" s="137" t="s">
        <v>1355</v>
      </c>
      <c r="W392" s="69">
        <v>78</v>
      </c>
      <c r="X392" s="69">
        <v>1</v>
      </c>
      <c r="Y392" s="69">
        <v>4</v>
      </c>
      <c r="AA392" t="s">
        <v>4879</v>
      </c>
      <c r="AB392" t="s">
        <v>4576</v>
      </c>
      <c r="AC392" t="s">
        <v>4353</v>
      </c>
      <c r="AD392" t="s">
        <v>4506</v>
      </c>
      <c r="AE392" t="s">
        <v>4515</v>
      </c>
      <c r="AF392" t="s">
        <v>4531</v>
      </c>
      <c r="AG392" t="s">
        <v>4515</v>
      </c>
      <c r="AH392" t="s">
        <v>4531</v>
      </c>
      <c r="AI392" t="s">
        <v>4353</v>
      </c>
      <c r="AJ392" t="s">
        <v>4506</v>
      </c>
      <c r="AK392" t="s">
        <v>4519</v>
      </c>
      <c r="AL392" t="s">
        <v>4519</v>
      </c>
      <c r="AM392" t="s">
        <v>4592</v>
      </c>
      <c r="AN392" t="s">
        <v>4626</v>
      </c>
      <c r="AO392" s="134">
        <v>111.432266009852</v>
      </c>
      <c r="AP392" s="135">
        <v>114.974074074074</v>
      </c>
      <c r="AQ392">
        <v>0.38148148148148098</v>
      </c>
      <c r="AR392" s="136">
        <v>1.2358024691358001</v>
      </c>
      <c r="AS392">
        <v>7.4135802469135799</v>
      </c>
    </row>
    <row r="393" spans="1:45" customFormat="1" ht="91">
      <c r="A393" s="65">
        <v>477</v>
      </c>
      <c r="B393" s="69" t="s">
        <v>1222</v>
      </c>
      <c r="C393" s="69" t="s">
        <v>45</v>
      </c>
      <c r="D393" s="31">
        <f t="shared" si="35"/>
        <v>4</v>
      </c>
      <c r="E393" s="69" t="s">
        <v>80</v>
      </c>
      <c r="F393" s="31">
        <f t="shared" si="36"/>
        <v>4</v>
      </c>
      <c r="G393" s="169" t="s">
        <v>1356</v>
      </c>
      <c r="H393" s="138">
        <v>102</v>
      </c>
      <c r="I393" s="92">
        <f t="shared" si="38"/>
        <v>0.87499999528339201</v>
      </c>
      <c r="J393" s="95">
        <v>0.99999999056678401</v>
      </c>
      <c r="K393" s="137">
        <v>0.75102566813892102</v>
      </c>
      <c r="L393" s="137">
        <v>0.75</v>
      </c>
      <c r="M393" s="137">
        <v>0.75256417034730305</v>
      </c>
      <c r="N393" s="136">
        <v>1</v>
      </c>
      <c r="O393" s="154">
        <v>43456</v>
      </c>
      <c r="P393" s="98">
        <f t="shared" si="37"/>
        <v>0</v>
      </c>
      <c r="Q393" s="111">
        <v>2.5499999999999998</v>
      </c>
      <c r="R393" s="111">
        <v>0</v>
      </c>
      <c r="S393" s="111">
        <v>0</v>
      </c>
      <c r="T393" s="112" t="s">
        <v>48</v>
      </c>
      <c r="U393" s="137" t="s">
        <v>1357</v>
      </c>
      <c r="V393" s="137" t="s">
        <v>1358</v>
      </c>
      <c r="W393" s="69">
        <v>122</v>
      </c>
      <c r="X393" s="69">
        <v>2</v>
      </c>
      <c r="Y393" s="69">
        <v>3</v>
      </c>
      <c r="AA393" t="s">
        <v>4556</v>
      </c>
      <c r="AB393" t="s">
        <v>4576</v>
      </c>
      <c r="AC393" t="s">
        <v>4353</v>
      </c>
      <c r="AD393" t="s">
        <v>4506</v>
      </c>
      <c r="AE393" t="s">
        <v>4515</v>
      </c>
      <c r="AF393" t="s">
        <v>4643</v>
      </c>
      <c r="AG393" t="s">
        <v>4515</v>
      </c>
      <c r="AH393" t="s">
        <v>4643</v>
      </c>
      <c r="AI393" t="s">
        <v>4353</v>
      </c>
      <c r="AJ393" t="s">
        <v>4506</v>
      </c>
      <c r="AK393" t="s">
        <v>4519</v>
      </c>
      <c r="AL393" t="s">
        <v>4552</v>
      </c>
      <c r="AM393" t="s">
        <v>4562</v>
      </c>
      <c r="AN393" t="s">
        <v>4742</v>
      </c>
      <c r="AO393" s="134">
        <v>111.12700369913701</v>
      </c>
      <c r="AP393" s="135">
        <v>114.974074074074</v>
      </c>
      <c r="AQ393">
        <v>0.38148148148148098</v>
      </c>
      <c r="AR393" s="136">
        <v>1.2358024691358001</v>
      </c>
      <c r="AS393">
        <v>7.4135802469135799</v>
      </c>
    </row>
    <row r="394" spans="1:45" customFormat="1" ht="76">
      <c r="A394" s="65">
        <v>76</v>
      </c>
      <c r="B394" s="69" t="s">
        <v>217</v>
      </c>
      <c r="C394" s="69" t="s">
        <v>45</v>
      </c>
      <c r="D394" s="31">
        <f t="shared" si="35"/>
        <v>4</v>
      </c>
      <c r="E394" s="69" t="s">
        <v>46</v>
      </c>
      <c r="F394" s="31">
        <f t="shared" si="36"/>
        <v>6</v>
      </c>
      <c r="G394" s="188" t="s">
        <v>274</v>
      </c>
      <c r="H394" s="138">
        <v>25</v>
      </c>
      <c r="I394" s="92">
        <f t="shared" si="38"/>
        <v>0.41254416447246683</v>
      </c>
      <c r="J394" s="95">
        <v>8.8328944933713198E-5</v>
      </c>
      <c r="K394" s="137">
        <v>0.81418779643582295</v>
      </c>
      <c r="L394" s="137">
        <v>0.82499999999999996</v>
      </c>
      <c r="M394" s="137">
        <v>0.79796949108955795</v>
      </c>
      <c r="N394" s="136">
        <v>1</v>
      </c>
      <c r="O394" s="154">
        <v>43456</v>
      </c>
      <c r="P394" s="98">
        <f t="shared" si="37"/>
        <v>1</v>
      </c>
      <c r="Q394" s="113">
        <v>0</v>
      </c>
      <c r="R394" s="113">
        <v>4.95</v>
      </c>
      <c r="S394" s="113">
        <v>0</v>
      </c>
      <c r="T394" s="114" t="s">
        <v>73</v>
      </c>
      <c r="U394" s="136" t="s">
        <v>275</v>
      </c>
      <c r="V394" s="137" t="s">
        <v>276</v>
      </c>
      <c r="W394" s="69">
        <v>92</v>
      </c>
      <c r="X394" s="195">
        <v>1</v>
      </c>
      <c r="Y394" s="195">
        <v>2</v>
      </c>
      <c r="AA394" t="s">
        <v>4543</v>
      </c>
      <c r="AB394" t="s">
        <v>4732</v>
      </c>
      <c r="AC394" t="s">
        <v>223</v>
      </c>
      <c r="AD394" t="s">
        <v>4555</v>
      </c>
      <c r="AE394" t="s">
        <v>223</v>
      </c>
      <c r="AF394" t="s">
        <v>4555</v>
      </c>
      <c r="AG394" t="s">
        <v>223</v>
      </c>
      <c r="AH394" t="s">
        <v>4555</v>
      </c>
      <c r="AI394" t="s">
        <v>4353</v>
      </c>
      <c r="AJ394" t="s">
        <v>4506</v>
      </c>
      <c r="AK394" t="s">
        <v>4519</v>
      </c>
      <c r="AL394" t="s">
        <v>4519</v>
      </c>
      <c r="AM394" t="s">
        <v>4528</v>
      </c>
      <c r="AN394" t="s">
        <v>4529</v>
      </c>
      <c r="AO394" s="134">
        <v>111.138271604938</v>
      </c>
      <c r="AP394" s="135">
        <v>114.974074074074</v>
      </c>
      <c r="AQ394">
        <v>0.38148148148148098</v>
      </c>
      <c r="AR394" s="136">
        <v>1.2358024691358001</v>
      </c>
      <c r="AS394">
        <v>7.4135802469135799</v>
      </c>
    </row>
    <row r="395" spans="1:45" customFormat="1" ht="61">
      <c r="A395">
        <v>799</v>
      </c>
      <c r="B395" s="69" t="s">
        <v>2179</v>
      </c>
      <c r="C395" s="69" t="s">
        <v>45</v>
      </c>
      <c r="D395" s="31">
        <f t="shared" ref="D395:D458" si="39">IF(C395="投诉",4,IF(C395="建议",1,IF(C395="举报",2,IF(C395="求助",3,5))))</f>
        <v>4</v>
      </c>
      <c r="E395" s="69" t="s">
        <v>46</v>
      </c>
      <c r="F395" s="31">
        <f t="shared" ref="F395:F458" si="40">IF(E395="12345app",1,IF(E395="e福州app",2,IF(E395="qq",3,IF(E395="电话",4,IF(E395="短信",5,IF(E395="网站",6,IF(E395="微博",7,IF(E395="微信",8,9))))))))</f>
        <v>6</v>
      </c>
      <c r="G395" s="136" t="s">
        <v>2183</v>
      </c>
      <c r="H395" s="138">
        <v>23</v>
      </c>
      <c r="I395" s="92">
        <f t="shared" si="38"/>
        <v>0.84083113388830655</v>
      </c>
      <c r="J395" s="95">
        <v>0.99984408595843099</v>
      </c>
      <c r="K395" s="137">
        <v>0.75194805194805203</v>
      </c>
      <c r="L395" s="137">
        <v>0.68181818181818199</v>
      </c>
      <c r="M395" s="137">
        <v>0.85714285714285698</v>
      </c>
      <c r="N395" s="136">
        <v>1</v>
      </c>
      <c r="O395" s="199">
        <v>43454</v>
      </c>
      <c r="P395" s="98">
        <f t="shared" ref="P395:P458" si="41">IF(T395="利己",0,IF(T395="生态",2,1))</f>
        <v>1</v>
      </c>
      <c r="Q395" s="111">
        <v>10.199999999999999</v>
      </c>
      <c r="R395" s="111">
        <v>0</v>
      </c>
      <c r="S395" s="111">
        <v>0</v>
      </c>
      <c r="T395" s="112" t="s">
        <v>73</v>
      </c>
      <c r="U395" s="69" t="s">
        <v>2184</v>
      </c>
      <c r="V395" s="136" t="s">
        <v>2185</v>
      </c>
      <c r="W395" s="69">
        <v>87</v>
      </c>
      <c r="X395" s="69">
        <v>0</v>
      </c>
      <c r="Y395" s="69">
        <v>1</v>
      </c>
      <c r="Z395" s="69"/>
      <c r="AA395" t="s">
        <v>4603</v>
      </c>
      <c r="AB395" t="s">
        <v>87</v>
      </c>
      <c r="AC395" t="s">
        <v>4530</v>
      </c>
      <c r="AD395" t="s">
        <v>4880</v>
      </c>
      <c r="AE395" t="s">
        <v>4515</v>
      </c>
      <c r="AF395" t="s">
        <v>4779</v>
      </c>
      <c r="AG395" t="s">
        <v>4515</v>
      </c>
      <c r="AH395" t="s">
        <v>4779</v>
      </c>
      <c r="AI395" t="s">
        <v>4353</v>
      </c>
      <c r="AJ395" t="s">
        <v>4506</v>
      </c>
      <c r="AK395" t="s">
        <v>4519</v>
      </c>
      <c r="AL395" t="s">
        <v>4519</v>
      </c>
      <c r="AM395" t="s">
        <v>4528</v>
      </c>
      <c r="AN395" t="s">
        <v>4529</v>
      </c>
      <c r="AO395" s="134">
        <v>111.247218788628</v>
      </c>
      <c r="AP395" s="135">
        <v>115.173697270471</v>
      </c>
      <c r="AQ395">
        <v>0.380893300248139</v>
      </c>
      <c r="AR395" s="136">
        <v>1.23573200992556</v>
      </c>
      <c r="AS395">
        <v>7.4354838709677402</v>
      </c>
    </row>
    <row r="396" spans="1:45" customFormat="1" ht="76">
      <c r="A396" s="65">
        <v>869</v>
      </c>
      <c r="B396" s="69" t="s">
        <v>2355</v>
      </c>
      <c r="C396" s="69" t="s">
        <v>59</v>
      </c>
      <c r="D396" s="31">
        <f t="shared" si="39"/>
        <v>5</v>
      </c>
      <c r="E396" s="69" t="s">
        <v>46</v>
      </c>
      <c r="F396" s="31">
        <f t="shared" si="40"/>
        <v>6</v>
      </c>
      <c r="G396" s="147" t="s">
        <v>2365</v>
      </c>
      <c r="H396" s="138">
        <v>118</v>
      </c>
      <c r="I396" s="92">
        <f t="shared" si="38"/>
        <v>0.30782058562550502</v>
      </c>
      <c r="J396" s="95">
        <v>0.149950178956644</v>
      </c>
      <c r="K396" s="137">
        <v>0.62227173823376303</v>
      </c>
      <c r="L396" s="137">
        <v>0.465690992294366</v>
      </c>
      <c r="M396" s="137">
        <v>0.85714285714285698</v>
      </c>
      <c r="N396" s="136">
        <v>1</v>
      </c>
      <c r="O396" s="154">
        <v>43454</v>
      </c>
      <c r="P396" s="98">
        <f t="shared" si="41"/>
        <v>1</v>
      </c>
      <c r="Q396" s="111">
        <v>2.5499999999999998</v>
      </c>
      <c r="R396" s="111">
        <v>1.65</v>
      </c>
      <c r="S396" s="111">
        <v>0</v>
      </c>
      <c r="T396" s="112" t="s">
        <v>73</v>
      </c>
      <c r="U396" s="137" t="s">
        <v>4433</v>
      </c>
      <c r="V396" s="137" t="s">
        <v>2367</v>
      </c>
      <c r="W396" s="69">
        <v>58</v>
      </c>
      <c r="X396" s="171">
        <v>2</v>
      </c>
      <c r="Y396" s="171">
        <v>1</v>
      </c>
      <c r="Z396" s="69"/>
      <c r="AA396" t="s">
        <v>4881</v>
      </c>
      <c r="AB396" t="s">
        <v>87</v>
      </c>
      <c r="AC396" t="s">
        <v>223</v>
      </c>
      <c r="AD396" t="s">
        <v>4762</v>
      </c>
      <c r="AE396" t="s">
        <v>4353</v>
      </c>
      <c r="AF396" t="s">
        <v>4506</v>
      </c>
      <c r="AG396" t="s">
        <v>4353</v>
      </c>
      <c r="AH396" t="s">
        <v>4506</v>
      </c>
      <c r="AI396" t="s">
        <v>4353</v>
      </c>
      <c r="AJ396" t="s">
        <v>4506</v>
      </c>
      <c r="AK396" t="s">
        <v>4519</v>
      </c>
      <c r="AL396" t="s">
        <v>4519</v>
      </c>
      <c r="AM396" t="s">
        <v>4528</v>
      </c>
      <c r="AN396" t="s">
        <v>4529</v>
      </c>
      <c r="AO396" s="134">
        <v>111.23886138613901</v>
      </c>
      <c r="AP396" s="135">
        <v>115.173697270471</v>
      </c>
      <c r="AQ396">
        <v>0.380893300248139</v>
      </c>
      <c r="AR396" s="136">
        <v>1.23573200992556</v>
      </c>
      <c r="AS396">
        <v>7.4354838709677402</v>
      </c>
    </row>
    <row r="397" spans="1:45" customFormat="1" ht="121">
      <c r="A397">
        <v>478</v>
      </c>
      <c r="B397" s="69" t="s">
        <v>1222</v>
      </c>
      <c r="C397" s="69" t="s">
        <v>45</v>
      </c>
      <c r="D397" s="31">
        <f t="shared" si="39"/>
        <v>4</v>
      </c>
      <c r="E397" s="69" t="s">
        <v>1223</v>
      </c>
      <c r="F397" s="31">
        <f t="shared" si="40"/>
        <v>8</v>
      </c>
      <c r="G397" s="188" t="s">
        <v>1359</v>
      </c>
      <c r="H397" s="138">
        <v>136</v>
      </c>
      <c r="I397" s="92">
        <f t="shared" si="38"/>
        <v>0.28174305033809149</v>
      </c>
      <c r="J397" s="95">
        <v>0</v>
      </c>
      <c r="K397" s="137">
        <v>0.65727945684153299</v>
      </c>
      <c r="L397" s="137">
        <v>0.56348610067618299</v>
      </c>
      <c r="M397" s="137">
        <v>0.79796949108955795</v>
      </c>
      <c r="N397" s="136">
        <v>1</v>
      </c>
      <c r="O397" s="154">
        <v>43453</v>
      </c>
      <c r="P397" s="98">
        <f t="shared" si="41"/>
        <v>0</v>
      </c>
      <c r="Q397" s="111">
        <v>2.5499999999999998</v>
      </c>
      <c r="R397" s="111">
        <v>0</v>
      </c>
      <c r="S397" s="111">
        <v>0</v>
      </c>
      <c r="T397" s="112" t="s">
        <v>48</v>
      </c>
      <c r="U397" s="147" t="s">
        <v>1360</v>
      </c>
      <c r="V397" s="147" t="s">
        <v>1361</v>
      </c>
      <c r="W397" s="69">
        <v>111</v>
      </c>
      <c r="X397" s="188">
        <v>2</v>
      </c>
      <c r="Y397" s="188">
        <v>2</v>
      </c>
      <c r="AA397" t="s">
        <v>4663</v>
      </c>
      <c r="AB397" t="s">
        <v>71</v>
      </c>
      <c r="AC397" t="s">
        <v>4353</v>
      </c>
      <c r="AD397" t="s">
        <v>4506</v>
      </c>
      <c r="AE397" t="s">
        <v>4515</v>
      </c>
      <c r="AF397" t="s">
        <v>4849</v>
      </c>
      <c r="AG397" t="s">
        <v>4513</v>
      </c>
      <c r="AH397" t="s">
        <v>4531</v>
      </c>
      <c r="AI397" t="s">
        <v>4353</v>
      </c>
      <c r="AJ397" t="s">
        <v>4506</v>
      </c>
      <c r="AK397" t="s">
        <v>4519</v>
      </c>
      <c r="AL397" t="s">
        <v>4519</v>
      </c>
      <c r="AM397" t="s">
        <v>4510</v>
      </c>
      <c r="AN397" t="s">
        <v>4550</v>
      </c>
      <c r="AO397" s="134">
        <v>111.208178438662</v>
      </c>
      <c r="AP397" s="135">
        <v>115.39601494396</v>
      </c>
      <c r="AQ397">
        <v>0.37858032378580297</v>
      </c>
      <c r="AR397" s="136">
        <v>1.23661270236613</v>
      </c>
      <c r="AS397">
        <v>7.42216687422167</v>
      </c>
    </row>
    <row r="398" spans="1:45" customFormat="1" ht="61">
      <c r="A398">
        <v>1059</v>
      </c>
      <c r="B398" s="69" t="s">
        <v>2833</v>
      </c>
      <c r="C398" s="69" t="s">
        <v>59</v>
      </c>
      <c r="D398" s="31">
        <f t="shared" si="39"/>
        <v>5</v>
      </c>
      <c r="E398" s="69" t="s">
        <v>80</v>
      </c>
      <c r="F398" s="31">
        <f t="shared" si="40"/>
        <v>4</v>
      </c>
      <c r="G398" s="139" t="s">
        <v>2878</v>
      </c>
      <c r="H398" s="138">
        <v>52</v>
      </c>
      <c r="I398" s="92">
        <f t="shared" si="38"/>
        <v>0.42222687893489574</v>
      </c>
      <c r="J398" s="95">
        <v>9.4453757869791502E-2</v>
      </c>
      <c r="K398" s="137">
        <v>0.72222468700001197</v>
      </c>
      <c r="L398" s="137">
        <v>0.75</v>
      </c>
      <c r="M398" s="137">
        <v>0.68056171750003003</v>
      </c>
      <c r="N398" s="136">
        <v>1</v>
      </c>
      <c r="O398" s="157">
        <v>43448</v>
      </c>
      <c r="P398" s="98">
        <f t="shared" si="41"/>
        <v>0</v>
      </c>
      <c r="Q398" s="113">
        <v>0</v>
      </c>
      <c r="R398" s="113">
        <v>1.65</v>
      </c>
      <c r="S398" s="113">
        <v>0</v>
      </c>
      <c r="T398" s="119" t="s">
        <v>48</v>
      </c>
      <c r="U398" s="89" t="s">
        <v>2879</v>
      </c>
      <c r="V398" s="172" t="s">
        <v>2880</v>
      </c>
      <c r="W398" s="69">
        <v>71</v>
      </c>
      <c r="X398" s="69">
        <v>1</v>
      </c>
      <c r="Y398" s="69">
        <v>5</v>
      </c>
      <c r="Z398" s="69"/>
      <c r="AA398" t="s">
        <v>4564</v>
      </c>
      <c r="AB398" t="s">
        <v>51</v>
      </c>
      <c r="AC398" t="s">
        <v>4515</v>
      </c>
      <c r="AD398" t="s">
        <v>4517</v>
      </c>
      <c r="AE398" t="s">
        <v>4513</v>
      </c>
      <c r="AF398" t="s">
        <v>4642</v>
      </c>
      <c r="AG398" t="s">
        <v>223</v>
      </c>
      <c r="AH398" t="s">
        <v>4584</v>
      </c>
      <c r="AI398" t="s">
        <v>4353</v>
      </c>
      <c r="AJ398" t="s">
        <v>4506</v>
      </c>
      <c r="AK398" t="s">
        <v>4519</v>
      </c>
      <c r="AL398" t="s">
        <v>4552</v>
      </c>
      <c r="AM398" t="s">
        <v>4510</v>
      </c>
      <c r="AN398" t="s">
        <v>4634</v>
      </c>
      <c r="AO398" s="134">
        <v>111.281637717122</v>
      </c>
      <c r="AP398" s="135">
        <v>115.477556109726</v>
      </c>
      <c r="AQ398">
        <v>0.37655860349127201</v>
      </c>
      <c r="AR398" s="136">
        <v>1.23690773067332</v>
      </c>
      <c r="AS398">
        <v>7.3915211970074797</v>
      </c>
    </row>
    <row r="399" spans="1:45" customFormat="1" ht="61">
      <c r="A399">
        <v>479</v>
      </c>
      <c r="B399" s="69" t="s">
        <v>1222</v>
      </c>
      <c r="C399" s="69" t="s">
        <v>45</v>
      </c>
      <c r="D399" s="31">
        <f t="shared" si="39"/>
        <v>4</v>
      </c>
      <c r="E399" s="69" t="s">
        <v>80</v>
      </c>
      <c r="F399" s="31">
        <f t="shared" si="40"/>
        <v>4</v>
      </c>
      <c r="G399" s="196" t="s">
        <v>938</v>
      </c>
      <c r="H399" s="138">
        <v>47</v>
      </c>
      <c r="I399" s="92">
        <f t="shared" si="38"/>
        <v>0.87491286383001654</v>
      </c>
      <c r="J399" s="95">
        <v>0.99982572766003297</v>
      </c>
      <c r="K399" s="137">
        <v>0.71002915755524698</v>
      </c>
      <c r="L399" s="137">
        <v>0.75</v>
      </c>
      <c r="M399" s="137">
        <v>0.65007289388811795</v>
      </c>
      <c r="N399" s="136">
        <v>1</v>
      </c>
      <c r="O399" s="154">
        <v>43447</v>
      </c>
      <c r="P399" s="98">
        <f t="shared" si="41"/>
        <v>0</v>
      </c>
      <c r="Q399" s="111">
        <v>0</v>
      </c>
      <c r="R399" s="111">
        <v>0</v>
      </c>
      <c r="S399" s="111">
        <v>0</v>
      </c>
      <c r="T399" s="112" t="s">
        <v>48</v>
      </c>
      <c r="U399" s="147" t="s">
        <v>1362</v>
      </c>
      <c r="V399" s="137" t="s">
        <v>1363</v>
      </c>
      <c r="W399" s="69">
        <v>77</v>
      </c>
      <c r="X399" s="188">
        <v>2</v>
      </c>
      <c r="Y399" s="188">
        <v>6</v>
      </c>
      <c r="AA399" t="s">
        <v>4564</v>
      </c>
      <c r="AB399" t="s">
        <v>4827</v>
      </c>
      <c r="AC399" t="s">
        <v>4515</v>
      </c>
      <c r="AD399" t="s">
        <v>4769</v>
      </c>
      <c r="AE399" t="s">
        <v>4515</v>
      </c>
      <c r="AF399" t="s">
        <v>4769</v>
      </c>
      <c r="AG399" t="s">
        <v>4353</v>
      </c>
      <c r="AH399" t="s">
        <v>4506</v>
      </c>
      <c r="AI399" t="s">
        <v>4515</v>
      </c>
      <c r="AJ399" t="s">
        <v>4769</v>
      </c>
      <c r="AK399" t="s">
        <v>4518</v>
      </c>
      <c r="AL399" t="s">
        <v>4519</v>
      </c>
      <c r="AM399" t="s">
        <v>4520</v>
      </c>
      <c r="AN399" t="s">
        <v>4521</v>
      </c>
      <c r="AO399" s="134">
        <v>111.362732919255</v>
      </c>
      <c r="AP399" s="135">
        <v>115.546816479401</v>
      </c>
      <c r="AQ399">
        <v>0.37702871410736599</v>
      </c>
      <c r="AR399" s="136">
        <v>1.2359550561797801</v>
      </c>
      <c r="AS399">
        <v>7.3707865168539302</v>
      </c>
    </row>
    <row r="400" spans="1:45" customFormat="1" ht="31">
      <c r="A400" s="65">
        <v>77</v>
      </c>
      <c r="B400" s="69" t="s">
        <v>217</v>
      </c>
      <c r="C400" s="69" t="s">
        <v>45</v>
      </c>
      <c r="D400" s="31">
        <f t="shared" si="39"/>
        <v>4</v>
      </c>
      <c r="E400" s="69" t="s">
        <v>80</v>
      </c>
      <c r="F400" s="31">
        <f t="shared" si="40"/>
        <v>4</v>
      </c>
      <c r="G400" s="147" t="s">
        <v>277</v>
      </c>
      <c r="H400" s="138">
        <v>46</v>
      </c>
      <c r="I400" s="92">
        <f t="shared" si="38"/>
        <v>0.41914338823422748</v>
      </c>
      <c r="J400" s="95">
        <v>1.3286776468455001E-2</v>
      </c>
      <c r="K400" s="137">
        <v>0.733375592871646</v>
      </c>
      <c r="L400" s="137">
        <v>0.82499999999999996</v>
      </c>
      <c r="M400" s="137">
        <v>0.59593898217911601</v>
      </c>
      <c r="N400" s="136">
        <v>1</v>
      </c>
      <c r="O400" s="154">
        <v>43447</v>
      </c>
      <c r="P400" s="98">
        <f t="shared" si="41"/>
        <v>0</v>
      </c>
      <c r="Q400" s="113">
        <v>2.5499999999999998</v>
      </c>
      <c r="R400" s="113">
        <v>1.65</v>
      </c>
      <c r="S400" s="113">
        <v>0</v>
      </c>
      <c r="T400" s="114" t="s">
        <v>48</v>
      </c>
      <c r="U400" s="136" t="s">
        <v>278</v>
      </c>
      <c r="V400" s="137" t="s">
        <v>279</v>
      </c>
      <c r="W400" s="69">
        <v>43</v>
      </c>
      <c r="X400" s="171">
        <v>3</v>
      </c>
      <c r="Y400" s="171">
        <v>8</v>
      </c>
      <c r="AA400" t="s">
        <v>4522</v>
      </c>
      <c r="AB400" t="s">
        <v>51</v>
      </c>
      <c r="AC400" t="s">
        <v>4353</v>
      </c>
      <c r="AD400" t="s">
        <v>4506</v>
      </c>
      <c r="AE400" t="s">
        <v>4515</v>
      </c>
      <c r="AF400" t="s">
        <v>4719</v>
      </c>
      <c r="AG400" t="s">
        <v>223</v>
      </c>
      <c r="AH400" t="s">
        <v>4781</v>
      </c>
      <c r="AI400" t="s">
        <v>4353</v>
      </c>
      <c r="AJ400" t="s">
        <v>4506</v>
      </c>
      <c r="AK400" t="s">
        <v>4519</v>
      </c>
      <c r="AL400" t="s">
        <v>4519</v>
      </c>
      <c r="AM400" t="s">
        <v>4510</v>
      </c>
      <c r="AN400" t="s">
        <v>4550</v>
      </c>
      <c r="AO400" s="134">
        <v>111.442786069652</v>
      </c>
      <c r="AP400" s="135">
        <v>115.546816479401</v>
      </c>
      <c r="AQ400">
        <v>0.37702871410736599</v>
      </c>
      <c r="AR400" s="136">
        <v>1.2359550561797801</v>
      </c>
      <c r="AS400">
        <v>7.3707865168539302</v>
      </c>
    </row>
    <row r="401" spans="1:45" customFormat="1" ht="409.6">
      <c r="A401" s="65">
        <v>480</v>
      </c>
      <c r="B401" s="69" t="s">
        <v>1222</v>
      </c>
      <c r="C401" s="69" t="s">
        <v>45</v>
      </c>
      <c r="D401" s="31">
        <f t="shared" si="39"/>
        <v>4</v>
      </c>
      <c r="E401" s="69" t="s">
        <v>46</v>
      </c>
      <c r="F401" s="31">
        <f t="shared" si="40"/>
        <v>6</v>
      </c>
      <c r="G401" s="137" t="s">
        <v>1364</v>
      </c>
      <c r="H401" s="138">
        <v>950</v>
      </c>
      <c r="I401" s="92">
        <f t="shared" si="38"/>
        <v>0.23284555035966939</v>
      </c>
      <c r="J401" s="95">
        <v>1.08424972777854E-7</v>
      </c>
      <c r="K401" s="137">
        <v>0.56512888109090498</v>
      </c>
      <c r="L401" s="137">
        <v>0.465690992294366</v>
      </c>
      <c r="M401" s="137">
        <v>0.71428571428571397</v>
      </c>
      <c r="N401" s="136">
        <v>0</v>
      </c>
      <c r="O401" s="154">
        <v>43442</v>
      </c>
      <c r="P401" s="98">
        <f t="shared" si="41"/>
        <v>0</v>
      </c>
      <c r="Q401" s="111">
        <v>0</v>
      </c>
      <c r="R401" s="111">
        <v>3.3</v>
      </c>
      <c r="S401" s="111">
        <v>0</v>
      </c>
      <c r="T401" s="112" t="s">
        <v>48</v>
      </c>
      <c r="U401" s="136" t="s">
        <v>4392</v>
      </c>
      <c r="V401" s="137" t="s">
        <v>1366</v>
      </c>
      <c r="W401" s="69">
        <v>116</v>
      </c>
      <c r="X401" s="69">
        <v>1</v>
      </c>
      <c r="Y401" s="69">
        <v>4</v>
      </c>
      <c r="AA401" t="s">
        <v>4882</v>
      </c>
      <c r="AB401" t="s">
        <v>51</v>
      </c>
      <c r="AC401" t="s">
        <v>223</v>
      </c>
      <c r="AD401" t="s">
        <v>4668</v>
      </c>
      <c r="AE401" t="s">
        <v>4515</v>
      </c>
      <c r="AF401" t="s">
        <v>4849</v>
      </c>
      <c r="AG401" t="s">
        <v>223</v>
      </c>
      <c r="AH401" t="s">
        <v>4668</v>
      </c>
      <c r="AI401" t="s">
        <v>223</v>
      </c>
      <c r="AJ401" t="s">
        <v>4668</v>
      </c>
      <c r="AK401" t="s">
        <v>4591</v>
      </c>
      <c r="AL401" t="s">
        <v>4541</v>
      </c>
      <c r="AM401" t="s">
        <v>4715</v>
      </c>
      <c r="AN401" t="s">
        <v>4883</v>
      </c>
      <c r="AO401" s="134">
        <v>110.398505603985</v>
      </c>
      <c r="AP401" s="135">
        <v>115.34793491864799</v>
      </c>
      <c r="AQ401">
        <v>0.377972465581977</v>
      </c>
      <c r="AR401" s="136">
        <v>1.2365456821026299</v>
      </c>
      <c r="AS401">
        <v>7.37922403003755</v>
      </c>
    </row>
    <row r="402" spans="1:45" customFormat="1" ht="196">
      <c r="A402" s="65">
        <v>1088</v>
      </c>
      <c r="B402" s="69" t="s">
        <v>2948</v>
      </c>
      <c r="C402" s="69" t="s">
        <v>45</v>
      </c>
      <c r="D402" s="31">
        <f t="shared" si="39"/>
        <v>4</v>
      </c>
      <c r="E402" s="69" t="s">
        <v>80</v>
      </c>
      <c r="F402" s="31">
        <f t="shared" si="40"/>
        <v>4</v>
      </c>
      <c r="G402" s="191" t="s">
        <v>159</v>
      </c>
      <c r="H402" s="138">
        <v>106</v>
      </c>
      <c r="I402" s="92">
        <f t="shared" si="38"/>
        <v>0.48261658749605296</v>
      </c>
      <c r="J402" s="95">
        <v>0.140233174992106</v>
      </c>
      <c r="K402" s="137">
        <v>0.78071428571428603</v>
      </c>
      <c r="L402" s="137">
        <v>0.82499999999999996</v>
      </c>
      <c r="M402" s="137">
        <v>0.71428571428571397</v>
      </c>
      <c r="N402" s="136">
        <v>1</v>
      </c>
      <c r="O402" s="157">
        <v>43441</v>
      </c>
      <c r="P402" s="98">
        <f t="shared" si="41"/>
        <v>0</v>
      </c>
      <c r="Q402" s="113">
        <v>0</v>
      </c>
      <c r="R402" s="113">
        <v>0</v>
      </c>
      <c r="S402" s="113">
        <v>0</v>
      </c>
      <c r="T402" s="119" t="s">
        <v>48</v>
      </c>
      <c r="U402" s="89" t="s">
        <v>2960</v>
      </c>
      <c r="V402" s="172" t="s">
        <v>2961</v>
      </c>
      <c r="W402" s="69">
        <v>274</v>
      </c>
      <c r="X402" s="171">
        <v>1</v>
      </c>
      <c r="Y402" s="171">
        <v>4</v>
      </c>
      <c r="Z402" s="69"/>
      <c r="AA402" t="s">
        <v>4522</v>
      </c>
      <c r="AB402" t="s">
        <v>51</v>
      </c>
      <c r="AC402" t="s">
        <v>223</v>
      </c>
      <c r="AD402" t="s">
        <v>4806</v>
      </c>
      <c r="AE402" t="s">
        <v>4530</v>
      </c>
      <c r="AF402" t="s">
        <v>4507</v>
      </c>
      <c r="AG402" t="s">
        <v>4515</v>
      </c>
      <c r="AH402" t="s">
        <v>4815</v>
      </c>
      <c r="AI402" t="s">
        <v>4515</v>
      </c>
      <c r="AJ402" t="s">
        <v>4815</v>
      </c>
      <c r="AK402" t="s">
        <v>4519</v>
      </c>
      <c r="AL402" t="s">
        <v>4519</v>
      </c>
      <c r="AM402" t="s">
        <v>4520</v>
      </c>
      <c r="AN402" t="s">
        <v>4558</v>
      </c>
      <c r="AO402" s="134">
        <v>110.403990024938</v>
      </c>
      <c r="AP402" s="135">
        <v>115.387218045113</v>
      </c>
      <c r="AQ402">
        <v>0.37844611528822097</v>
      </c>
      <c r="AR402" s="136">
        <v>1.23684210526316</v>
      </c>
      <c r="AS402">
        <v>7.3784461152882201</v>
      </c>
    </row>
    <row r="403" spans="1:45" customFormat="1" ht="106">
      <c r="A403" s="65">
        <v>4</v>
      </c>
      <c r="B403" s="136" t="s">
        <v>44</v>
      </c>
      <c r="C403" s="136" t="s">
        <v>59</v>
      </c>
      <c r="D403" s="31">
        <f t="shared" si="39"/>
        <v>5</v>
      </c>
      <c r="E403" s="136" t="s">
        <v>46</v>
      </c>
      <c r="F403" s="31">
        <f t="shared" si="40"/>
        <v>6</v>
      </c>
      <c r="G403" s="137" t="s">
        <v>60</v>
      </c>
      <c r="H403" s="138">
        <v>132</v>
      </c>
      <c r="I403" s="92">
        <f t="shared" si="38"/>
        <v>0.30991848107380415</v>
      </c>
      <c r="J403" s="95">
        <v>2.2514038062748599E-6</v>
      </c>
      <c r="K403" s="137">
        <v>0.71475796930342395</v>
      </c>
      <c r="L403" s="137">
        <v>0.61983471074380203</v>
      </c>
      <c r="M403" s="137">
        <v>0.85714285714285698</v>
      </c>
      <c r="N403" s="136">
        <v>0</v>
      </c>
      <c r="O403" s="41">
        <v>43438</v>
      </c>
      <c r="P403" s="98">
        <f t="shared" si="41"/>
        <v>0</v>
      </c>
      <c r="Q403" s="113">
        <v>2.5499999999999998</v>
      </c>
      <c r="R403" s="113">
        <v>3.3</v>
      </c>
      <c r="S403" s="113">
        <v>0</v>
      </c>
      <c r="T403" s="114" t="s">
        <v>48</v>
      </c>
      <c r="U403" s="136" t="s">
        <v>4347</v>
      </c>
      <c r="V403" s="136" t="s">
        <v>62</v>
      </c>
      <c r="W403" s="69">
        <v>136</v>
      </c>
      <c r="X403" s="136">
        <v>1</v>
      </c>
      <c r="Y403" s="136">
        <v>1</v>
      </c>
      <c r="AA403" t="s">
        <v>4564</v>
      </c>
      <c r="AB403" t="s">
        <v>51</v>
      </c>
      <c r="AC403" t="s">
        <v>223</v>
      </c>
      <c r="AD403" t="s">
        <v>4710</v>
      </c>
      <c r="AE403" t="s">
        <v>4538</v>
      </c>
      <c r="AF403" t="s">
        <v>4884</v>
      </c>
      <c r="AG403" t="s">
        <v>4530</v>
      </c>
      <c r="AH403" t="s">
        <v>4620</v>
      </c>
      <c r="AI403" t="s">
        <v>4353</v>
      </c>
      <c r="AJ403" t="s">
        <v>4506</v>
      </c>
      <c r="AK403" t="s">
        <v>4519</v>
      </c>
      <c r="AL403" t="s">
        <v>4552</v>
      </c>
      <c r="AM403" t="s">
        <v>4519</v>
      </c>
      <c r="AN403" t="s">
        <v>4659</v>
      </c>
      <c r="AO403" s="134">
        <v>110.377028714107</v>
      </c>
      <c r="AP403" s="135">
        <v>115.361355081556</v>
      </c>
      <c r="AQ403">
        <v>0.37892095357590999</v>
      </c>
      <c r="AR403" s="136">
        <v>1.2371392722710199</v>
      </c>
      <c r="AS403">
        <v>7.38644918444166</v>
      </c>
    </row>
    <row r="404" spans="1:45" customFormat="1" ht="76">
      <c r="A404" s="65">
        <v>481</v>
      </c>
      <c r="B404" s="69" t="s">
        <v>1222</v>
      </c>
      <c r="C404" s="69" t="s">
        <v>59</v>
      </c>
      <c r="D404" s="31">
        <f t="shared" si="39"/>
        <v>5</v>
      </c>
      <c r="E404" s="69" t="s">
        <v>80</v>
      </c>
      <c r="F404" s="31">
        <f t="shared" si="40"/>
        <v>4</v>
      </c>
      <c r="G404" s="188" t="s">
        <v>1367</v>
      </c>
      <c r="H404" s="138">
        <v>143</v>
      </c>
      <c r="I404" s="92">
        <f t="shared" si="38"/>
        <v>0.34093190110173272</v>
      </c>
      <c r="J404" s="95">
        <v>4.5620385283440297E-5</v>
      </c>
      <c r="K404" s="137">
        <v>0.69480519480519498</v>
      </c>
      <c r="L404" s="137">
        <v>0.68181818181818199</v>
      </c>
      <c r="M404" s="137">
        <v>0.71428571428571397</v>
      </c>
      <c r="N404" s="136">
        <v>1</v>
      </c>
      <c r="O404" s="154">
        <v>43433</v>
      </c>
      <c r="P404" s="98">
        <f t="shared" si="41"/>
        <v>0</v>
      </c>
      <c r="Q404" s="111">
        <v>2.5499999999999998</v>
      </c>
      <c r="R404" s="111">
        <v>1.65</v>
      </c>
      <c r="S404" s="111">
        <v>0</v>
      </c>
      <c r="T404" s="112" t="s">
        <v>48</v>
      </c>
      <c r="U404" s="137" t="s">
        <v>1368</v>
      </c>
      <c r="V404" s="137" t="s">
        <v>1369</v>
      </c>
      <c r="W404" s="69">
        <v>81</v>
      </c>
      <c r="X404" s="195">
        <v>1</v>
      </c>
      <c r="Y404" s="195">
        <v>4</v>
      </c>
      <c r="AA404" t="s">
        <v>4522</v>
      </c>
      <c r="AB404" t="s">
        <v>51</v>
      </c>
      <c r="AC404" t="s">
        <v>4353</v>
      </c>
      <c r="AD404" t="s">
        <v>4506</v>
      </c>
      <c r="AE404" t="s">
        <v>4513</v>
      </c>
      <c r="AF404" t="s">
        <v>4837</v>
      </c>
      <c r="AG404" t="s">
        <v>4515</v>
      </c>
      <c r="AH404" t="s">
        <v>4729</v>
      </c>
      <c r="AI404" t="s">
        <v>4353</v>
      </c>
      <c r="AJ404" t="s">
        <v>4506</v>
      </c>
      <c r="AK404" t="s">
        <v>4518</v>
      </c>
      <c r="AL404" t="s">
        <v>4552</v>
      </c>
      <c r="AM404" t="s">
        <v>4519</v>
      </c>
      <c r="AN404" t="s">
        <v>4885</v>
      </c>
      <c r="AO404" s="134">
        <v>110.33625000000001</v>
      </c>
      <c r="AP404" s="135">
        <v>115.451572327044</v>
      </c>
      <c r="AQ404">
        <v>0.37987421383647801</v>
      </c>
      <c r="AR404" s="136">
        <v>1.2377358490565999</v>
      </c>
      <c r="AS404">
        <v>7.3823899371069199</v>
      </c>
    </row>
    <row r="405" spans="1:45" customFormat="1" ht="106">
      <c r="A405">
        <v>482</v>
      </c>
      <c r="B405" s="69" t="s">
        <v>1222</v>
      </c>
      <c r="C405" s="69" t="s">
        <v>45</v>
      </c>
      <c r="D405" s="31">
        <f t="shared" si="39"/>
        <v>4</v>
      </c>
      <c r="E405" s="69" t="s">
        <v>1223</v>
      </c>
      <c r="F405" s="31">
        <f t="shared" si="40"/>
        <v>8</v>
      </c>
      <c r="G405" s="147" t="s">
        <v>1370</v>
      </c>
      <c r="H405" s="138">
        <v>43</v>
      </c>
      <c r="I405" s="92">
        <f t="shared" si="38"/>
        <v>0.375</v>
      </c>
      <c r="J405" s="95">
        <v>0</v>
      </c>
      <c r="K405" s="137">
        <v>0.68837559287164596</v>
      </c>
      <c r="L405" s="137">
        <v>0.75</v>
      </c>
      <c r="M405" s="137">
        <v>0.59593898217911601</v>
      </c>
      <c r="N405" s="136">
        <v>1</v>
      </c>
      <c r="O405" s="154">
        <v>43433</v>
      </c>
      <c r="P405" s="98">
        <f t="shared" si="41"/>
        <v>1</v>
      </c>
      <c r="Q405" s="111">
        <v>0</v>
      </c>
      <c r="R405" s="111">
        <v>0</v>
      </c>
      <c r="S405" s="111">
        <v>0</v>
      </c>
      <c r="T405" s="112" t="s">
        <v>73</v>
      </c>
      <c r="U405" s="147" t="s">
        <v>1371</v>
      </c>
      <c r="V405" s="147" t="s">
        <v>1372</v>
      </c>
      <c r="W405" s="69">
        <v>84</v>
      </c>
      <c r="X405" s="147">
        <v>1</v>
      </c>
      <c r="Y405" s="147">
        <v>8</v>
      </c>
      <c r="AA405" t="s">
        <v>4522</v>
      </c>
      <c r="AB405" t="s">
        <v>87</v>
      </c>
      <c r="AC405" t="s">
        <v>4513</v>
      </c>
      <c r="AD405" t="s">
        <v>4686</v>
      </c>
      <c r="AE405" t="s">
        <v>4353</v>
      </c>
      <c r="AF405" t="s">
        <v>4506</v>
      </c>
      <c r="AG405" t="s">
        <v>4515</v>
      </c>
      <c r="AH405" t="s">
        <v>4769</v>
      </c>
      <c r="AI405" t="s">
        <v>4353</v>
      </c>
      <c r="AJ405" t="s">
        <v>4506</v>
      </c>
      <c r="AK405" t="s">
        <v>4519</v>
      </c>
      <c r="AL405" t="s">
        <v>4519</v>
      </c>
      <c r="AM405" t="s">
        <v>4510</v>
      </c>
      <c r="AN405" t="s">
        <v>4550</v>
      </c>
      <c r="AO405" s="134">
        <v>110.420525657071</v>
      </c>
      <c r="AP405" s="135">
        <v>115.451572327044</v>
      </c>
      <c r="AQ405">
        <v>0.37987421383647801</v>
      </c>
      <c r="AR405" s="136">
        <v>1.2377358490565999</v>
      </c>
      <c r="AS405">
        <v>7.3823899371069199</v>
      </c>
    </row>
    <row r="406" spans="1:45" customFormat="1" ht="61">
      <c r="A406" s="65">
        <v>792</v>
      </c>
      <c r="B406" s="69" t="s">
        <v>2147</v>
      </c>
      <c r="C406" s="69" t="s">
        <v>45</v>
      </c>
      <c r="D406" s="31">
        <f t="shared" si="39"/>
        <v>4</v>
      </c>
      <c r="E406" s="69" t="s">
        <v>46</v>
      </c>
      <c r="F406" s="31">
        <f t="shared" si="40"/>
        <v>6</v>
      </c>
      <c r="G406" s="137" t="s">
        <v>2161</v>
      </c>
      <c r="H406" s="138">
        <v>113</v>
      </c>
      <c r="I406" s="92">
        <f t="shared" si="38"/>
        <v>0.31044047156079685</v>
      </c>
      <c r="J406" s="95">
        <v>1.0462323777916699E-3</v>
      </c>
      <c r="K406" s="137">
        <v>0.50387706874208504</v>
      </c>
      <c r="L406" s="137">
        <v>0.61983471074380203</v>
      </c>
      <c r="M406" s="137">
        <v>0.32994060573951001</v>
      </c>
      <c r="N406" s="136">
        <v>1</v>
      </c>
      <c r="O406" s="154">
        <v>43431</v>
      </c>
      <c r="P406" s="98">
        <f t="shared" si="41"/>
        <v>1</v>
      </c>
      <c r="Q406" s="111">
        <v>0</v>
      </c>
      <c r="R406" s="111">
        <v>0</v>
      </c>
      <c r="S406" s="111">
        <v>0</v>
      </c>
      <c r="T406" s="112" t="s">
        <v>73</v>
      </c>
      <c r="U406" s="137" t="s">
        <v>2162</v>
      </c>
      <c r="V406" s="169" t="s">
        <v>2163</v>
      </c>
      <c r="W406" s="69">
        <v>19</v>
      </c>
      <c r="X406" s="69">
        <v>3</v>
      </c>
      <c r="Y406" s="69">
        <v>22</v>
      </c>
      <c r="Z406" s="69"/>
      <c r="AA406" t="s">
        <v>4564</v>
      </c>
      <c r="AB406" t="s">
        <v>4732</v>
      </c>
      <c r="AC406" t="s">
        <v>223</v>
      </c>
      <c r="AD406" t="s">
        <v>4516</v>
      </c>
      <c r="AE406" t="s">
        <v>223</v>
      </c>
      <c r="AF406" t="s">
        <v>4516</v>
      </c>
      <c r="AG406" t="s">
        <v>223</v>
      </c>
      <c r="AH406" t="s">
        <v>4516</v>
      </c>
      <c r="AI406" t="s">
        <v>4353</v>
      </c>
      <c r="AJ406" t="s">
        <v>4506</v>
      </c>
      <c r="AK406" t="s">
        <v>4519</v>
      </c>
      <c r="AL406" t="s">
        <v>4552</v>
      </c>
      <c r="AM406" t="s">
        <v>4528</v>
      </c>
      <c r="AN406" t="s">
        <v>4618</v>
      </c>
      <c r="AO406" s="134">
        <v>110.417293233083</v>
      </c>
      <c r="AP406" s="135">
        <v>115.539042821159</v>
      </c>
      <c r="AQ406">
        <v>0.38035264483627201</v>
      </c>
      <c r="AR406" s="136">
        <v>1.2367758186397999</v>
      </c>
      <c r="AS406">
        <v>7.3891687657430696</v>
      </c>
    </row>
    <row r="407" spans="1:45" customFormat="1" ht="136">
      <c r="A407">
        <v>747</v>
      </c>
      <c r="B407" s="69" t="s">
        <v>2015</v>
      </c>
      <c r="C407" s="69" t="s">
        <v>59</v>
      </c>
      <c r="D407" s="31">
        <f t="shared" si="39"/>
        <v>5</v>
      </c>
      <c r="E407" s="69" t="s">
        <v>46</v>
      </c>
      <c r="F407" s="31">
        <f t="shared" si="40"/>
        <v>6</v>
      </c>
      <c r="G407" s="147" t="s">
        <v>2042</v>
      </c>
      <c r="H407" s="138">
        <v>225</v>
      </c>
      <c r="I407" s="92">
        <f t="shared" si="38"/>
        <v>0.69223083790589945</v>
      </c>
      <c r="J407" s="95">
        <v>0.99959308713876904</v>
      </c>
      <c r="K407" s="137">
        <v>0.55010894963964097</v>
      </c>
      <c r="L407" s="137">
        <v>0.38486858867302998</v>
      </c>
      <c r="M407" s="137">
        <v>0.79796949108955795</v>
      </c>
      <c r="N407" s="136">
        <v>1</v>
      </c>
      <c r="O407" s="154">
        <v>43430</v>
      </c>
      <c r="P407" s="98">
        <f t="shared" si="41"/>
        <v>0</v>
      </c>
      <c r="Q407" s="111">
        <v>0</v>
      </c>
      <c r="R407" s="111">
        <v>0</v>
      </c>
      <c r="S407" s="111">
        <v>0</v>
      </c>
      <c r="T407" s="112" t="s">
        <v>48</v>
      </c>
      <c r="U407" s="136" t="s">
        <v>2043</v>
      </c>
      <c r="V407" s="137" t="s">
        <v>2044</v>
      </c>
      <c r="W407" s="69">
        <v>46</v>
      </c>
      <c r="X407" s="147">
        <v>2</v>
      </c>
      <c r="Y407" s="147">
        <v>2</v>
      </c>
      <c r="Z407" s="69"/>
      <c r="AA407" t="s">
        <v>4570</v>
      </c>
      <c r="AB407" t="s">
        <v>4597</v>
      </c>
      <c r="AC407" t="s">
        <v>223</v>
      </c>
      <c r="AD407" t="s">
        <v>4648</v>
      </c>
      <c r="AE407" t="s">
        <v>4353</v>
      </c>
      <c r="AF407" t="s">
        <v>4506</v>
      </c>
      <c r="AG407" t="s">
        <v>223</v>
      </c>
      <c r="AH407" t="s">
        <v>4648</v>
      </c>
      <c r="AI407" t="s">
        <v>4353</v>
      </c>
      <c r="AJ407" t="s">
        <v>4506</v>
      </c>
      <c r="AK407" t="s">
        <v>4519</v>
      </c>
      <c r="AL407" t="s">
        <v>4519</v>
      </c>
      <c r="AM407" t="s">
        <v>4528</v>
      </c>
      <c r="AN407" t="s">
        <v>4529</v>
      </c>
      <c r="AO407" s="134">
        <v>110.273525721455</v>
      </c>
      <c r="AP407" s="135">
        <v>115.59394703657</v>
      </c>
      <c r="AQ407">
        <v>0.38083228247162698</v>
      </c>
      <c r="AR407" s="136">
        <v>1.2370744010088299</v>
      </c>
      <c r="AS407">
        <v>7.3972257250945797</v>
      </c>
    </row>
    <row r="408" spans="1:45" customFormat="1" ht="91">
      <c r="A408" s="65">
        <v>305</v>
      </c>
      <c r="B408" s="69" t="s">
        <v>589</v>
      </c>
      <c r="C408" s="69" t="s">
        <v>45</v>
      </c>
      <c r="D408" s="31">
        <f t="shared" si="39"/>
        <v>4</v>
      </c>
      <c r="E408" s="69" t="s">
        <v>46</v>
      </c>
      <c r="F408" s="31">
        <f t="shared" si="40"/>
        <v>6</v>
      </c>
      <c r="G408" s="137" t="s">
        <v>907</v>
      </c>
      <c r="H408" s="138">
        <v>180</v>
      </c>
      <c r="I408" s="92">
        <f t="shared" si="38"/>
        <v>0.37500000000157452</v>
      </c>
      <c r="J408" s="95">
        <v>3.14903658704679E-12</v>
      </c>
      <c r="K408" s="137">
        <v>0.79285714285714304</v>
      </c>
      <c r="L408" s="137">
        <v>0.75</v>
      </c>
      <c r="M408" s="137">
        <v>0.85714285714285698</v>
      </c>
      <c r="N408" s="136">
        <v>1</v>
      </c>
      <c r="O408" s="154">
        <v>43429</v>
      </c>
      <c r="P408" s="98">
        <f t="shared" si="41"/>
        <v>0</v>
      </c>
      <c r="Q408" s="111">
        <v>0</v>
      </c>
      <c r="R408" s="111">
        <v>1.65</v>
      </c>
      <c r="S408" s="111">
        <v>0</v>
      </c>
      <c r="T408" s="112" t="s">
        <v>48</v>
      </c>
      <c r="U408" s="137" t="s">
        <v>4376</v>
      </c>
      <c r="V408" s="137" t="s">
        <v>909</v>
      </c>
      <c r="W408" s="69">
        <v>72</v>
      </c>
      <c r="X408" s="69">
        <v>1</v>
      </c>
      <c r="Y408" s="69">
        <v>1</v>
      </c>
      <c r="AA408" t="s">
        <v>4564</v>
      </c>
      <c r="AB408" t="s">
        <v>51</v>
      </c>
      <c r="AC408" t="s">
        <v>223</v>
      </c>
      <c r="AD408" t="s">
        <v>4685</v>
      </c>
      <c r="AE408" t="s">
        <v>4530</v>
      </c>
      <c r="AF408" t="s">
        <v>4886</v>
      </c>
      <c r="AG408" t="s">
        <v>4353</v>
      </c>
      <c r="AH408" t="s">
        <v>4506</v>
      </c>
      <c r="AI408" t="s">
        <v>4353</v>
      </c>
      <c r="AJ408" t="s">
        <v>4506</v>
      </c>
      <c r="AK408" t="s">
        <v>4508</v>
      </c>
      <c r="AL408" t="s">
        <v>4519</v>
      </c>
      <c r="AM408" t="s">
        <v>4528</v>
      </c>
      <c r="AN408" t="s">
        <v>4638</v>
      </c>
      <c r="AO408" s="134">
        <v>110.185929648241</v>
      </c>
      <c r="AP408" s="135">
        <v>115.59394703657</v>
      </c>
      <c r="AQ408">
        <v>0.38083228247162698</v>
      </c>
      <c r="AR408" s="136">
        <v>1.2370744010088299</v>
      </c>
      <c r="AS408">
        <v>7.3972257250945797</v>
      </c>
    </row>
    <row r="409" spans="1:45" customFormat="1" ht="121">
      <c r="A409">
        <v>483</v>
      </c>
      <c r="B409" s="69" t="s">
        <v>1222</v>
      </c>
      <c r="C409" s="69" t="s">
        <v>45</v>
      </c>
      <c r="D409" s="31">
        <f t="shared" si="39"/>
        <v>4</v>
      </c>
      <c r="E409" s="69" t="s">
        <v>46</v>
      </c>
      <c r="F409" s="31">
        <f t="shared" si="40"/>
        <v>6</v>
      </c>
      <c r="G409" s="147" t="s">
        <v>1373</v>
      </c>
      <c r="H409" s="138">
        <v>222</v>
      </c>
      <c r="I409" s="92">
        <f t="shared" si="38"/>
        <v>0.4940404840181315</v>
      </c>
      <c r="J409" s="95">
        <v>0.36824625729246202</v>
      </c>
      <c r="K409" s="137">
        <v>0.491959141556775</v>
      </c>
      <c r="L409" s="137">
        <v>0.61983471074380103</v>
      </c>
      <c r="M409" s="137">
        <v>0.30014578777623502</v>
      </c>
      <c r="N409" s="136">
        <v>1</v>
      </c>
      <c r="O409" s="154">
        <v>43423</v>
      </c>
      <c r="P409" s="98">
        <f t="shared" si="41"/>
        <v>1</v>
      </c>
      <c r="Q409" s="113">
        <v>2.5499999999999998</v>
      </c>
      <c r="R409" s="113">
        <v>0</v>
      </c>
      <c r="S409" s="113">
        <v>0</v>
      </c>
      <c r="T409" s="114" t="s">
        <v>73</v>
      </c>
      <c r="U409" s="188" t="s">
        <v>1374</v>
      </c>
      <c r="V409" s="137" t="s">
        <v>1375</v>
      </c>
      <c r="W409" s="69">
        <v>60</v>
      </c>
      <c r="X409" s="195">
        <v>2</v>
      </c>
      <c r="Y409" s="195">
        <v>24</v>
      </c>
      <c r="AA409" t="s">
        <v>4887</v>
      </c>
      <c r="AB409" t="s">
        <v>87</v>
      </c>
      <c r="AC409" t="s">
        <v>4515</v>
      </c>
      <c r="AD409" t="s">
        <v>4751</v>
      </c>
      <c r="AE409" t="s">
        <v>223</v>
      </c>
      <c r="AF409" t="s">
        <v>4750</v>
      </c>
      <c r="AG409" t="s">
        <v>223</v>
      </c>
      <c r="AH409" t="s">
        <v>4750</v>
      </c>
      <c r="AI409" t="s">
        <v>223</v>
      </c>
      <c r="AJ409" t="s">
        <v>4750</v>
      </c>
      <c r="AK409" t="s">
        <v>4518</v>
      </c>
      <c r="AL409" t="s">
        <v>4541</v>
      </c>
      <c r="AM409" t="s">
        <v>4592</v>
      </c>
      <c r="AN409" t="s">
        <v>4888</v>
      </c>
      <c r="AO409" s="134">
        <v>110.14213836478</v>
      </c>
      <c r="AP409" s="135">
        <v>115.82509505703401</v>
      </c>
      <c r="AQ409">
        <v>0.38022813688212898</v>
      </c>
      <c r="AR409" s="136">
        <v>1.2382762991128</v>
      </c>
      <c r="AS409">
        <v>7.40937896070976</v>
      </c>
    </row>
    <row r="410" spans="1:45" customFormat="1" ht="76">
      <c r="A410">
        <v>306</v>
      </c>
      <c r="B410" s="69" t="s">
        <v>589</v>
      </c>
      <c r="C410" s="69" t="s">
        <v>45</v>
      </c>
      <c r="D410" s="31">
        <f t="shared" si="39"/>
        <v>4</v>
      </c>
      <c r="E410" s="69" t="s">
        <v>80</v>
      </c>
      <c r="F410" s="31">
        <f t="shared" si="40"/>
        <v>4</v>
      </c>
      <c r="G410" s="147" t="s">
        <v>439</v>
      </c>
      <c r="H410" s="138">
        <v>145</v>
      </c>
      <c r="I410" s="92">
        <f t="shared" si="38"/>
        <v>0.37502147622196147</v>
      </c>
      <c r="J410" s="95">
        <v>4.29524439229389E-5</v>
      </c>
      <c r="K410" s="137">
        <v>0.76918779643582302</v>
      </c>
      <c r="L410" s="137">
        <v>0.75</v>
      </c>
      <c r="M410" s="137">
        <v>0.79796949108955795</v>
      </c>
      <c r="N410" s="136">
        <v>0</v>
      </c>
      <c r="O410" s="154">
        <v>43423</v>
      </c>
      <c r="P410" s="98">
        <f t="shared" si="41"/>
        <v>0</v>
      </c>
      <c r="Q410" s="111">
        <v>7.65</v>
      </c>
      <c r="R410" s="111">
        <v>1.65</v>
      </c>
      <c r="S410" s="111">
        <v>1.87</v>
      </c>
      <c r="T410" s="112" t="s">
        <v>48</v>
      </c>
      <c r="U410" s="137" t="s">
        <v>910</v>
      </c>
      <c r="V410" s="137" t="s">
        <v>911</v>
      </c>
      <c r="W410" s="69">
        <v>44</v>
      </c>
      <c r="X410" s="147">
        <v>1</v>
      </c>
      <c r="Y410" s="147">
        <v>2</v>
      </c>
      <c r="AA410" t="s">
        <v>4889</v>
      </c>
      <c r="AB410" t="s">
        <v>87</v>
      </c>
      <c r="AC410" t="s">
        <v>223</v>
      </c>
      <c r="AD410" t="s">
        <v>4781</v>
      </c>
      <c r="AE410" t="s">
        <v>4353</v>
      </c>
      <c r="AF410" t="s">
        <v>4506</v>
      </c>
      <c r="AG410" t="s">
        <v>4353</v>
      </c>
      <c r="AH410" t="s">
        <v>4506</v>
      </c>
      <c r="AI410" t="s">
        <v>4353</v>
      </c>
      <c r="AJ410" t="s">
        <v>4506</v>
      </c>
      <c r="AK410" t="s">
        <v>4518</v>
      </c>
      <c r="AL410" t="s">
        <v>4552</v>
      </c>
      <c r="AM410" t="s">
        <v>4671</v>
      </c>
      <c r="AN410" t="s">
        <v>4890</v>
      </c>
      <c r="AO410" s="134">
        <v>110.001259445844</v>
      </c>
      <c r="AP410" s="135">
        <v>115.82509505703401</v>
      </c>
      <c r="AQ410">
        <v>0.38022813688212898</v>
      </c>
      <c r="AR410" s="136">
        <v>1.2382762991128</v>
      </c>
      <c r="AS410">
        <v>7.40937896070976</v>
      </c>
    </row>
    <row r="411" spans="1:45" customFormat="1" ht="121">
      <c r="A411">
        <v>307</v>
      </c>
      <c r="B411" s="69" t="s">
        <v>589</v>
      </c>
      <c r="C411" s="69" t="s">
        <v>45</v>
      </c>
      <c r="D411" s="31">
        <f t="shared" si="39"/>
        <v>4</v>
      </c>
      <c r="E411" s="69" t="s">
        <v>46</v>
      </c>
      <c r="F411" s="31">
        <f t="shared" si="40"/>
        <v>6</v>
      </c>
      <c r="G411" s="137" t="s">
        <v>912</v>
      </c>
      <c r="H411" s="138">
        <v>222</v>
      </c>
      <c r="I411" s="92">
        <f t="shared" si="38"/>
        <v>0.23284556965009559</v>
      </c>
      <c r="J411" s="95">
        <v>1.4700582517956901E-7</v>
      </c>
      <c r="K411" s="137">
        <v>0.46560560184667998</v>
      </c>
      <c r="L411" s="137">
        <v>0.465690992294366</v>
      </c>
      <c r="M411" s="137">
        <v>0.46547751617515098</v>
      </c>
      <c r="N411" s="136">
        <v>1</v>
      </c>
      <c r="O411" s="154">
        <v>43423</v>
      </c>
      <c r="P411" s="98">
        <f t="shared" si="41"/>
        <v>0</v>
      </c>
      <c r="Q411" s="111">
        <v>2.5499999999999998</v>
      </c>
      <c r="R411" s="111">
        <v>1.65</v>
      </c>
      <c r="S411" s="111">
        <v>0</v>
      </c>
      <c r="T411" s="112" t="s">
        <v>48</v>
      </c>
      <c r="U411" s="137" t="s">
        <v>913</v>
      </c>
      <c r="V411" s="137" t="s">
        <v>914</v>
      </c>
      <c r="W411" s="69">
        <v>78</v>
      </c>
      <c r="X411" s="69">
        <v>1</v>
      </c>
      <c r="Y411" s="69">
        <v>14</v>
      </c>
      <c r="AA411" t="s">
        <v>4797</v>
      </c>
      <c r="AB411" t="s">
        <v>51</v>
      </c>
      <c r="AC411" t="s">
        <v>223</v>
      </c>
      <c r="AD411" t="s">
        <v>4635</v>
      </c>
      <c r="AE411" t="s">
        <v>4530</v>
      </c>
      <c r="AF411" t="s">
        <v>4834</v>
      </c>
      <c r="AG411" t="s">
        <v>4353</v>
      </c>
      <c r="AH411" t="s">
        <v>4506</v>
      </c>
      <c r="AI411" t="s">
        <v>4353</v>
      </c>
      <c r="AJ411" t="s">
        <v>4506</v>
      </c>
      <c r="AK411" t="s">
        <v>4518</v>
      </c>
      <c r="AL411" t="s">
        <v>4519</v>
      </c>
      <c r="AM411" t="s">
        <v>4528</v>
      </c>
      <c r="AN411" t="s">
        <v>4624</v>
      </c>
      <c r="AO411" s="134">
        <v>109.860025220681</v>
      </c>
      <c r="AP411" s="135">
        <v>115.82509505703401</v>
      </c>
      <c r="AQ411">
        <v>0.38022813688212898</v>
      </c>
      <c r="AR411" s="136">
        <v>1.2382762991128</v>
      </c>
      <c r="AS411">
        <v>7.40937896070976</v>
      </c>
    </row>
    <row r="412" spans="1:45" customFormat="1" ht="76">
      <c r="A412" s="65">
        <v>748</v>
      </c>
      <c r="B412" s="69" t="s">
        <v>2015</v>
      </c>
      <c r="C412" s="69" t="s">
        <v>45</v>
      </c>
      <c r="D412" s="31">
        <f t="shared" si="39"/>
        <v>4</v>
      </c>
      <c r="E412" s="69" t="s">
        <v>46</v>
      </c>
      <c r="F412" s="31">
        <f t="shared" si="40"/>
        <v>6</v>
      </c>
      <c r="G412" s="169" t="s">
        <v>2045</v>
      </c>
      <c r="H412" s="138">
        <v>79</v>
      </c>
      <c r="I412" s="92">
        <f t="shared" si="38"/>
        <v>0.87497758955431948</v>
      </c>
      <c r="J412" s="95">
        <v>0.99995517910863896</v>
      </c>
      <c r="K412" s="137">
        <v>0.73571428571428599</v>
      </c>
      <c r="L412" s="137">
        <v>0.75</v>
      </c>
      <c r="M412" s="137">
        <v>0.71428571428571397</v>
      </c>
      <c r="N412" s="136">
        <v>1</v>
      </c>
      <c r="O412" s="154">
        <v>43419</v>
      </c>
      <c r="P412" s="98">
        <f t="shared" si="41"/>
        <v>0</v>
      </c>
      <c r="Q412" s="111">
        <v>2.5499999999999998</v>
      </c>
      <c r="R412" s="111">
        <v>0</v>
      </c>
      <c r="S412" s="111">
        <v>0</v>
      </c>
      <c r="T412" s="112" t="s">
        <v>48</v>
      </c>
      <c r="U412" s="137" t="s">
        <v>2046</v>
      </c>
      <c r="V412" s="137" t="s">
        <v>2047</v>
      </c>
      <c r="W412" s="69">
        <v>92</v>
      </c>
      <c r="X412" s="69">
        <v>1</v>
      </c>
      <c r="Y412" s="69">
        <v>4</v>
      </c>
      <c r="Z412" s="69"/>
      <c r="AA412" t="s">
        <v>4556</v>
      </c>
      <c r="AB412" t="s">
        <v>87</v>
      </c>
      <c r="AC412" t="s">
        <v>223</v>
      </c>
      <c r="AD412" t="s">
        <v>4689</v>
      </c>
      <c r="AE412" t="s">
        <v>4353</v>
      </c>
      <c r="AF412" t="s">
        <v>4506</v>
      </c>
      <c r="AG412" t="s">
        <v>4353</v>
      </c>
      <c r="AH412" t="s">
        <v>4506</v>
      </c>
      <c r="AI412" t="s">
        <v>4353</v>
      </c>
      <c r="AJ412" t="s">
        <v>4506</v>
      </c>
      <c r="AK412" t="s">
        <v>4519</v>
      </c>
      <c r="AL412" t="s">
        <v>4552</v>
      </c>
      <c r="AM412" t="s">
        <v>4528</v>
      </c>
      <c r="AN412" t="s">
        <v>4618</v>
      </c>
      <c r="AO412" s="134">
        <v>109.886363636364</v>
      </c>
      <c r="AP412" s="135">
        <v>115.82509505703401</v>
      </c>
      <c r="AQ412">
        <v>0.38022813688212898</v>
      </c>
      <c r="AR412" s="136">
        <v>1.2382762991128</v>
      </c>
      <c r="AS412">
        <v>7.40937896070976</v>
      </c>
    </row>
    <row r="413" spans="1:45" customFormat="1" ht="106">
      <c r="A413" s="65">
        <v>484</v>
      </c>
      <c r="B413" s="69" t="s">
        <v>1222</v>
      </c>
      <c r="C413" s="69" t="s">
        <v>45</v>
      </c>
      <c r="D413" s="31">
        <f t="shared" si="39"/>
        <v>4</v>
      </c>
      <c r="E413" s="69" t="s">
        <v>1223</v>
      </c>
      <c r="F413" s="31">
        <f t="shared" si="40"/>
        <v>8</v>
      </c>
      <c r="G413" s="137" t="s">
        <v>1376</v>
      </c>
      <c r="H413" s="138">
        <v>89</v>
      </c>
      <c r="I413" s="92">
        <f t="shared" si="38"/>
        <v>0.59185365750446306</v>
      </c>
      <c r="J413" s="95">
        <v>0.56387260426512398</v>
      </c>
      <c r="K413" s="137">
        <v>0.44865201218957401</v>
      </c>
      <c r="L413" s="137">
        <v>0.61983471074380203</v>
      </c>
      <c r="M413" s="137">
        <v>0.19187796435823101</v>
      </c>
      <c r="N413" s="136">
        <v>1</v>
      </c>
      <c r="O413" s="154">
        <v>43419</v>
      </c>
      <c r="P413" s="98">
        <f t="shared" si="41"/>
        <v>1</v>
      </c>
      <c r="Q413" s="111">
        <v>0</v>
      </c>
      <c r="R413" s="111">
        <v>1.65</v>
      </c>
      <c r="S413" s="111">
        <v>3.74</v>
      </c>
      <c r="T413" s="112" t="s">
        <v>73</v>
      </c>
      <c r="U413" s="137" t="s">
        <v>1377</v>
      </c>
      <c r="V413" s="137" t="s">
        <v>1378</v>
      </c>
      <c r="W413" s="69">
        <v>50</v>
      </c>
      <c r="X413" s="69">
        <v>2</v>
      </c>
      <c r="Y413" s="69">
        <v>32</v>
      </c>
      <c r="AA413" t="s">
        <v>4564</v>
      </c>
      <c r="AB413" t="s">
        <v>87</v>
      </c>
      <c r="AC413" t="s">
        <v>223</v>
      </c>
      <c r="AD413" t="s">
        <v>4648</v>
      </c>
      <c r="AE413" t="s">
        <v>4353</v>
      </c>
      <c r="AF413" t="s">
        <v>4506</v>
      </c>
      <c r="AG413" t="s">
        <v>4353</v>
      </c>
      <c r="AH413" t="s">
        <v>4506</v>
      </c>
      <c r="AI413" t="s">
        <v>4353</v>
      </c>
      <c r="AJ413" t="s">
        <v>4506</v>
      </c>
      <c r="AK413" t="s">
        <v>4519</v>
      </c>
      <c r="AL413" t="s">
        <v>4519</v>
      </c>
      <c r="AM413" t="s">
        <v>4510</v>
      </c>
      <c r="AN413" t="s">
        <v>4550</v>
      </c>
      <c r="AO413" s="134">
        <v>109.925410872314</v>
      </c>
      <c r="AP413" s="135">
        <v>115.82509505703401</v>
      </c>
      <c r="AQ413">
        <v>0.38022813688212898</v>
      </c>
      <c r="AR413" s="136">
        <v>1.2382762991128</v>
      </c>
      <c r="AS413">
        <v>7.40937896070976</v>
      </c>
    </row>
    <row r="414" spans="1:45" customFormat="1" ht="61">
      <c r="A414">
        <v>486</v>
      </c>
      <c r="B414" s="69" t="s">
        <v>1222</v>
      </c>
      <c r="C414" s="69" t="s">
        <v>45</v>
      </c>
      <c r="D414" s="31">
        <f t="shared" si="39"/>
        <v>4</v>
      </c>
      <c r="E414" s="69" t="s">
        <v>80</v>
      </c>
      <c r="F414" s="31">
        <f t="shared" si="40"/>
        <v>4</v>
      </c>
      <c r="G414" s="196" t="s">
        <v>439</v>
      </c>
      <c r="H414" s="138">
        <v>57</v>
      </c>
      <c r="I414" s="92">
        <f t="shared" si="38"/>
        <v>0.55133858753812404</v>
      </c>
      <c r="J414" s="95">
        <v>0.35267717507624802</v>
      </c>
      <c r="K414" s="137">
        <v>0.67857142857142805</v>
      </c>
      <c r="L414" s="137">
        <v>0.75</v>
      </c>
      <c r="M414" s="137">
        <v>0.57142857142857095</v>
      </c>
      <c r="N414" s="136">
        <v>1</v>
      </c>
      <c r="O414" s="193">
        <v>43418</v>
      </c>
      <c r="P414" s="98">
        <f t="shared" si="41"/>
        <v>0</v>
      </c>
      <c r="Q414" s="111">
        <v>0</v>
      </c>
      <c r="R414" s="111">
        <v>0</v>
      </c>
      <c r="S414" s="111">
        <v>0</v>
      </c>
      <c r="T414" s="112" t="s">
        <v>48</v>
      </c>
      <c r="U414" s="137" t="s">
        <v>1381</v>
      </c>
      <c r="V414" s="137" t="s">
        <v>1382</v>
      </c>
      <c r="W414" s="69">
        <v>80</v>
      </c>
      <c r="X414" s="195">
        <v>3</v>
      </c>
      <c r="Y414" s="195">
        <v>9</v>
      </c>
      <c r="AA414" t="s">
        <v>4564</v>
      </c>
      <c r="AB414" t="s">
        <v>51</v>
      </c>
      <c r="AC414" t="s">
        <v>223</v>
      </c>
      <c r="AD414" t="s">
        <v>4631</v>
      </c>
      <c r="AE414" t="s">
        <v>4513</v>
      </c>
      <c r="AF414" t="s">
        <v>4645</v>
      </c>
      <c r="AG414" t="s">
        <v>223</v>
      </c>
      <c r="AH414" t="s">
        <v>4631</v>
      </c>
      <c r="AI414" t="s">
        <v>4515</v>
      </c>
      <c r="AJ414" t="s">
        <v>4537</v>
      </c>
      <c r="AK414" t="s">
        <v>4519</v>
      </c>
      <c r="AL414" t="s">
        <v>4519</v>
      </c>
      <c r="AM414" t="s">
        <v>4510</v>
      </c>
      <c r="AN414" t="s">
        <v>4550</v>
      </c>
      <c r="AO414" s="134">
        <v>109.98734177215201</v>
      </c>
      <c r="AP414" s="135">
        <v>115.82509505703401</v>
      </c>
      <c r="AQ414">
        <v>0.38022813688212898</v>
      </c>
      <c r="AR414" s="136">
        <v>1.2382762991128</v>
      </c>
      <c r="AS414">
        <v>7.40937896070976</v>
      </c>
    </row>
    <row r="415" spans="1:45" customFormat="1" ht="46">
      <c r="A415" s="65">
        <v>485</v>
      </c>
      <c r="B415" s="69" t="s">
        <v>1222</v>
      </c>
      <c r="C415" s="69" t="s">
        <v>45</v>
      </c>
      <c r="D415" s="31">
        <f t="shared" si="39"/>
        <v>4</v>
      </c>
      <c r="E415" s="69" t="s">
        <v>80</v>
      </c>
      <c r="F415" s="31">
        <f t="shared" si="40"/>
        <v>4</v>
      </c>
      <c r="G415" s="152" t="s">
        <v>159</v>
      </c>
      <c r="H415" s="138">
        <v>61</v>
      </c>
      <c r="I415" s="92">
        <f t="shared" si="38"/>
        <v>0.41250007020799528</v>
      </c>
      <c r="J415" s="95">
        <v>1.4041599061265199E-7</v>
      </c>
      <c r="K415" s="137">
        <v>0.76722468700001201</v>
      </c>
      <c r="L415" s="137">
        <v>0.82499999999999996</v>
      </c>
      <c r="M415" s="137">
        <v>0.68056171750003003</v>
      </c>
      <c r="N415" s="136">
        <v>1</v>
      </c>
      <c r="O415" s="154">
        <v>43418</v>
      </c>
      <c r="P415" s="98">
        <f t="shared" si="41"/>
        <v>0</v>
      </c>
      <c r="Q415" s="111">
        <v>2.5499999999999998</v>
      </c>
      <c r="R415" s="111">
        <v>1.65</v>
      </c>
      <c r="S415" s="111">
        <v>1.87</v>
      </c>
      <c r="T415" s="112" t="s">
        <v>48</v>
      </c>
      <c r="U415" s="137" t="s">
        <v>1379</v>
      </c>
      <c r="V415" s="137" t="s">
        <v>1380</v>
      </c>
      <c r="W415" s="69">
        <v>64</v>
      </c>
      <c r="X415" s="171">
        <v>1</v>
      </c>
      <c r="Y415" s="171">
        <v>5</v>
      </c>
      <c r="AA415" t="s">
        <v>4522</v>
      </c>
      <c r="AB415" t="s">
        <v>4783</v>
      </c>
      <c r="AC415" t="s">
        <v>223</v>
      </c>
      <c r="AD415" t="s">
        <v>4750</v>
      </c>
      <c r="AE415" t="s">
        <v>223</v>
      </c>
      <c r="AF415" t="s">
        <v>4750</v>
      </c>
      <c r="AG415" t="s">
        <v>223</v>
      </c>
      <c r="AH415" t="s">
        <v>4750</v>
      </c>
      <c r="AI415" t="s">
        <v>223</v>
      </c>
      <c r="AJ415" t="s">
        <v>4750</v>
      </c>
      <c r="AK415" t="s">
        <v>4518</v>
      </c>
      <c r="AL415" t="s">
        <v>4519</v>
      </c>
      <c r="AM415" t="s">
        <v>4510</v>
      </c>
      <c r="AN415" t="s">
        <v>4523</v>
      </c>
      <c r="AO415" s="134">
        <v>110.054499366286</v>
      </c>
      <c r="AP415" s="135">
        <v>115.82509505703401</v>
      </c>
      <c r="AQ415">
        <v>0.38022813688212898</v>
      </c>
      <c r="AR415" s="136">
        <v>1.2382762991128</v>
      </c>
      <c r="AS415">
        <v>7.40937896070976</v>
      </c>
    </row>
    <row r="416" spans="1:45" customFormat="1" ht="76">
      <c r="A416">
        <v>591</v>
      </c>
      <c r="B416" s="69" t="s">
        <v>1628</v>
      </c>
      <c r="C416" s="69" t="s">
        <v>45</v>
      </c>
      <c r="D416" s="31">
        <f t="shared" si="39"/>
        <v>4</v>
      </c>
      <c r="E416" s="69" t="s">
        <v>46</v>
      </c>
      <c r="F416" s="31">
        <f t="shared" si="40"/>
        <v>6</v>
      </c>
      <c r="G416" s="188" t="s">
        <v>1652</v>
      </c>
      <c r="H416" s="138">
        <v>123</v>
      </c>
      <c r="I416" s="92">
        <f t="shared" si="38"/>
        <v>0.34095845786686202</v>
      </c>
      <c r="J416" s="95">
        <v>9.8733915542048605E-5</v>
      </c>
      <c r="K416" s="137">
        <v>0.69480519480519498</v>
      </c>
      <c r="L416" s="137">
        <v>0.68181818181818199</v>
      </c>
      <c r="M416" s="137">
        <v>0.71428571428571397</v>
      </c>
      <c r="N416" s="136">
        <v>0</v>
      </c>
      <c r="O416" s="154">
        <v>43413</v>
      </c>
      <c r="P416" s="98">
        <f t="shared" si="41"/>
        <v>0</v>
      </c>
      <c r="Q416" s="111">
        <v>2.5499999999999998</v>
      </c>
      <c r="R416" s="111">
        <v>0</v>
      </c>
      <c r="S416" s="111">
        <v>0</v>
      </c>
      <c r="T416" s="112" t="s">
        <v>48</v>
      </c>
      <c r="U416" s="137" t="s">
        <v>1653</v>
      </c>
      <c r="V416" s="137" t="s">
        <v>1654</v>
      </c>
      <c r="W416" s="69">
        <v>29</v>
      </c>
      <c r="X416" s="195">
        <v>1</v>
      </c>
      <c r="Y416" s="195">
        <v>4</v>
      </c>
      <c r="AA416" t="s">
        <v>4556</v>
      </c>
      <c r="AB416" t="s">
        <v>87</v>
      </c>
      <c r="AC416" t="s">
        <v>223</v>
      </c>
      <c r="AD416" t="s">
        <v>4724</v>
      </c>
      <c r="AE416" t="s">
        <v>4353</v>
      </c>
      <c r="AF416" t="s">
        <v>4506</v>
      </c>
      <c r="AG416" t="s">
        <v>4353</v>
      </c>
      <c r="AH416" t="s">
        <v>4506</v>
      </c>
      <c r="AI416" t="s">
        <v>4353</v>
      </c>
      <c r="AJ416" t="s">
        <v>4506</v>
      </c>
      <c r="AK416" t="s">
        <v>4519</v>
      </c>
      <c r="AL416" t="s">
        <v>4519</v>
      </c>
      <c r="AM416" t="s">
        <v>4510</v>
      </c>
      <c r="AN416" t="s">
        <v>4550</v>
      </c>
      <c r="AO416" s="134">
        <v>110.03807106599</v>
      </c>
      <c r="AP416" s="135">
        <v>116.010165184244</v>
      </c>
      <c r="AQ416">
        <v>0.37992376111817</v>
      </c>
      <c r="AR416" s="136">
        <v>1.23761118170267</v>
      </c>
      <c r="AS416">
        <v>7.3951715374841198</v>
      </c>
    </row>
    <row r="417" spans="1:45" customFormat="1" ht="151">
      <c r="A417" s="65">
        <v>308</v>
      </c>
      <c r="B417" s="69" t="s">
        <v>589</v>
      </c>
      <c r="C417" s="69" t="s">
        <v>45</v>
      </c>
      <c r="D417" s="31">
        <f t="shared" si="39"/>
        <v>4</v>
      </c>
      <c r="E417" s="69" t="s">
        <v>46</v>
      </c>
      <c r="F417" s="31">
        <f t="shared" si="40"/>
        <v>6</v>
      </c>
      <c r="G417" s="188" t="s">
        <v>4377</v>
      </c>
      <c r="H417" s="138">
        <v>117</v>
      </c>
      <c r="I417" s="92">
        <f t="shared" si="38"/>
        <v>0.34091171992936964</v>
      </c>
      <c r="J417" s="95">
        <v>5.2580405572877404E-6</v>
      </c>
      <c r="K417" s="137">
        <v>0.72827870552673202</v>
      </c>
      <c r="L417" s="137">
        <v>0.68181818181818199</v>
      </c>
      <c r="M417" s="137">
        <v>0.79796949108955795</v>
      </c>
      <c r="N417" s="136">
        <v>1</v>
      </c>
      <c r="O417" s="154">
        <v>43410</v>
      </c>
      <c r="P417" s="98">
        <f t="shared" si="41"/>
        <v>1</v>
      </c>
      <c r="Q417" s="111">
        <v>2.5499999999999998</v>
      </c>
      <c r="R417" s="111">
        <v>0</v>
      </c>
      <c r="S417" s="111">
        <v>0</v>
      </c>
      <c r="T417" s="112" t="s">
        <v>73</v>
      </c>
      <c r="U417" s="137" t="s">
        <v>916</v>
      </c>
      <c r="V417" s="137" t="s">
        <v>917</v>
      </c>
      <c r="W417" s="69">
        <v>225</v>
      </c>
      <c r="X417" s="188">
        <v>1</v>
      </c>
      <c r="Y417" s="188">
        <v>2</v>
      </c>
      <c r="AA417" t="s">
        <v>4543</v>
      </c>
      <c r="AB417" t="s">
        <v>87</v>
      </c>
      <c r="AC417" t="s">
        <v>4513</v>
      </c>
      <c r="AD417" t="s">
        <v>4852</v>
      </c>
      <c r="AE417" t="s">
        <v>4515</v>
      </c>
      <c r="AF417" t="s">
        <v>4604</v>
      </c>
      <c r="AG417" t="s">
        <v>4515</v>
      </c>
      <c r="AH417" t="s">
        <v>4604</v>
      </c>
      <c r="AI417" t="s">
        <v>4353</v>
      </c>
      <c r="AJ417" t="s">
        <v>4506</v>
      </c>
      <c r="AK417" t="s">
        <v>4519</v>
      </c>
      <c r="AL417" t="s">
        <v>4509</v>
      </c>
      <c r="AM417" t="s">
        <v>4528</v>
      </c>
      <c r="AN417" t="s">
        <v>4688</v>
      </c>
      <c r="AO417" s="134">
        <v>110.029224904701</v>
      </c>
      <c r="AP417" s="135">
        <v>115.791293213828</v>
      </c>
      <c r="AQ417">
        <v>0.37772087067861698</v>
      </c>
      <c r="AR417" s="136">
        <v>1.2381562099872001</v>
      </c>
      <c r="AS417">
        <v>7.4135723431498102</v>
      </c>
    </row>
    <row r="418" spans="1:45" customFormat="1" ht="76">
      <c r="A418">
        <v>487</v>
      </c>
      <c r="B418" s="69" t="s">
        <v>1222</v>
      </c>
      <c r="C418" s="69" t="s">
        <v>45</v>
      </c>
      <c r="D418" s="31">
        <f t="shared" si="39"/>
        <v>4</v>
      </c>
      <c r="E418" s="69" t="s">
        <v>80</v>
      </c>
      <c r="F418" s="31">
        <f t="shared" si="40"/>
        <v>4</v>
      </c>
      <c r="G418" s="169" t="s">
        <v>159</v>
      </c>
      <c r="H418" s="138">
        <v>49</v>
      </c>
      <c r="I418" s="92">
        <f t="shared" si="38"/>
        <v>0.37550668519799879</v>
      </c>
      <c r="J418" s="95">
        <v>1.01337039599758E-3</v>
      </c>
      <c r="K418" s="137">
        <v>0.75102566813892102</v>
      </c>
      <c r="L418" s="137">
        <v>0.75</v>
      </c>
      <c r="M418" s="137">
        <v>0.75256417034730305</v>
      </c>
      <c r="N418" s="136">
        <v>1</v>
      </c>
      <c r="O418" s="154">
        <v>43409</v>
      </c>
      <c r="P418" s="98">
        <f t="shared" si="41"/>
        <v>0</v>
      </c>
      <c r="Q418" s="111">
        <v>0</v>
      </c>
      <c r="R418" s="111">
        <v>0</v>
      </c>
      <c r="S418" s="111">
        <v>0</v>
      </c>
      <c r="T418" s="112" t="s">
        <v>48</v>
      </c>
      <c r="U418" s="147" t="s">
        <v>1383</v>
      </c>
      <c r="V418" s="137" t="s">
        <v>1384</v>
      </c>
      <c r="W418" s="69">
        <v>95</v>
      </c>
      <c r="X418" s="147">
        <v>1</v>
      </c>
      <c r="Y418" s="147">
        <v>3</v>
      </c>
      <c r="AA418" t="s">
        <v>4512</v>
      </c>
      <c r="AB418" t="s">
        <v>4827</v>
      </c>
      <c r="AC418" t="s">
        <v>223</v>
      </c>
      <c r="AD418" t="s">
        <v>4655</v>
      </c>
      <c r="AE418" t="s">
        <v>223</v>
      </c>
      <c r="AF418" t="s">
        <v>4655</v>
      </c>
      <c r="AG418" t="s">
        <v>4353</v>
      </c>
      <c r="AH418" t="s">
        <v>4506</v>
      </c>
      <c r="AI418" t="s">
        <v>223</v>
      </c>
      <c r="AJ418" t="s">
        <v>4655</v>
      </c>
      <c r="AK418" t="s">
        <v>4518</v>
      </c>
      <c r="AL418" t="s">
        <v>4552</v>
      </c>
      <c r="AM418" t="s">
        <v>4510</v>
      </c>
      <c r="AN418" t="s">
        <v>4553</v>
      </c>
      <c r="AO418" s="134">
        <v>110.106870229008</v>
      </c>
      <c r="AP418" s="135">
        <v>115.585365853659</v>
      </c>
      <c r="AQ418">
        <v>0.377406931964057</v>
      </c>
      <c r="AR418" s="136">
        <v>1.2387676508344001</v>
      </c>
      <c r="AS418">
        <v>7.4172015404364604</v>
      </c>
    </row>
    <row r="419" spans="1:45" customFormat="1" ht="256">
      <c r="A419">
        <v>686</v>
      </c>
      <c r="B419" s="69" t="s">
        <v>1871</v>
      </c>
      <c r="C419" s="69" t="s">
        <v>45</v>
      </c>
      <c r="D419" s="31">
        <f t="shared" si="39"/>
        <v>4</v>
      </c>
      <c r="E419" s="69" t="s">
        <v>664</v>
      </c>
      <c r="F419" s="31">
        <f t="shared" si="40"/>
        <v>1</v>
      </c>
      <c r="G419" s="169" t="s">
        <v>539</v>
      </c>
      <c r="H419" s="138">
        <v>488</v>
      </c>
      <c r="I419" s="92">
        <f t="shared" si="38"/>
        <v>0.13143524531816422</v>
      </c>
      <c r="J419" s="95">
        <v>6.6025284461979097E-8</v>
      </c>
      <c r="K419" s="137">
        <v>0.50057939762376902</v>
      </c>
      <c r="L419" s="137">
        <v>0.26287042461104398</v>
      </c>
      <c r="M419" s="137">
        <v>0.85714285714285698</v>
      </c>
      <c r="N419" s="136">
        <v>1</v>
      </c>
      <c r="O419" s="154">
        <v>43409</v>
      </c>
      <c r="P419" s="98">
        <f t="shared" si="41"/>
        <v>1</v>
      </c>
      <c r="Q419" s="113">
        <v>0</v>
      </c>
      <c r="R419" s="113">
        <v>0</v>
      </c>
      <c r="S419" s="113">
        <v>0</v>
      </c>
      <c r="T419" s="114" t="s">
        <v>73</v>
      </c>
      <c r="U419" s="188" t="s">
        <v>4412</v>
      </c>
      <c r="V419" s="137" t="s">
        <v>1888</v>
      </c>
      <c r="W419" s="69">
        <v>195</v>
      </c>
      <c r="X419" s="195">
        <v>1</v>
      </c>
      <c r="Y419" s="195">
        <v>1</v>
      </c>
      <c r="Z419" s="69"/>
      <c r="AA419" t="s">
        <v>4891</v>
      </c>
      <c r="AB419" t="s">
        <v>71</v>
      </c>
      <c r="AC419" t="s">
        <v>223</v>
      </c>
      <c r="AD419" t="s">
        <v>4608</v>
      </c>
      <c r="AE419" t="s">
        <v>223</v>
      </c>
      <c r="AF419" t="s">
        <v>4608</v>
      </c>
      <c r="AG419" t="s">
        <v>4515</v>
      </c>
      <c r="AH419" t="s">
        <v>4647</v>
      </c>
      <c r="AI419" t="s">
        <v>4353</v>
      </c>
      <c r="AJ419" t="s">
        <v>4506</v>
      </c>
      <c r="AK419" t="s">
        <v>4518</v>
      </c>
      <c r="AL419" t="s">
        <v>4519</v>
      </c>
      <c r="AM419" t="s">
        <v>4510</v>
      </c>
      <c r="AN419" t="s">
        <v>4523</v>
      </c>
      <c r="AO419" s="134">
        <v>109.625477707006</v>
      </c>
      <c r="AP419" s="135">
        <v>115.585365853659</v>
      </c>
      <c r="AQ419">
        <v>0.377406931964057</v>
      </c>
      <c r="AR419" s="136">
        <v>1.2387676508344001</v>
      </c>
      <c r="AS419">
        <v>7.4172015404364604</v>
      </c>
    </row>
    <row r="420" spans="1:45" customFormat="1" ht="91">
      <c r="A420">
        <v>1110</v>
      </c>
      <c r="B420" s="69" t="s">
        <v>3001</v>
      </c>
      <c r="C420" s="69" t="s">
        <v>45</v>
      </c>
      <c r="D420" s="31">
        <f t="shared" si="39"/>
        <v>4</v>
      </c>
      <c r="E420" s="69" t="s">
        <v>80</v>
      </c>
      <c r="F420" s="31">
        <f t="shared" si="40"/>
        <v>4</v>
      </c>
      <c r="G420" s="139" t="s">
        <v>778</v>
      </c>
      <c r="H420" s="138">
        <v>46</v>
      </c>
      <c r="I420" s="92">
        <f t="shared" si="38"/>
        <v>0.42661000156864126</v>
      </c>
      <c r="J420" s="95">
        <v>2.8220003137282599E-2</v>
      </c>
      <c r="K420" s="137">
        <v>0.79602566813892095</v>
      </c>
      <c r="L420" s="137">
        <v>0.82499999999999996</v>
      </c>
      <c r="M420" s="137">
        <v>0.75256417034730305</v>
      </c>
      <c r="N420" s="136">
        <v>1</v>
      </c>
      <c r="O420" s="157">
        <v>43408</v>
      </c>
      <c r="P420" s="98">
        <f t="shared" si="41"/>
        <v>0</v>
      </c>
      <c r="Q420" s="113">
        <v>0</v>
      </c>
      <c r="R420" s="113">
        <v>0</v>
      </c>
      <c r="S420" s="113">
        <v>0</v>
      </c>
      <c r="T420" s="119" t="s">
        <v>48</v>
      </c>
      <c r="U420" s="89" t="s">
        <v>3016</v>
      </c>
      <c r="V420" s="172" t="s">
        <v>3017</v>
      </c>
      <c r="W420" s="69">
        <v>126</v>
      </c>
      <c r="X420" s="69">
        <v>1</v>
      </c>
      <c r="Y420" s="69">
        <v>3</v>
      </c>
      <c r="Z420" s="69"/>
      <c r="AA420" t="s">
        <v>4522</v>
      </c>
      <c r="AB420" t="s">
        <v>4791</v>
      </c>
      <c r="AC420" t="s">
        <v>4513</v>
      </c>
      <c r="AD420" t="s">
        <v>4876</v>
      </c>
      <c r="AE420" t="s">
        <v>223</v>
      </c>
      <c r="AF420" t="s">
        <v>4841</v>
      </c>
      <c r="AG420" t="s">
        <v>223</v>
      </c>
      <c r="AH420" t="s">
        <v>4841</v>
      </c>
      <c r="AI420" t="s">
        <v>4513</v>
      </c>
      <c r="AJ420" t="s">
        <v>4876</v>
      </c>
      <c r="AK420" t="s">
        <v>4518</v>
      </c>
      <c r="AL420" t="s">
        <v>4519</v>
      </c>
      <c r="AM420" t="s">
        <v>4520</v>
      </c>
      <c r="AN420" t="s">
        <v>4521</v>
      </c>
      <c r="AO420" s="134">
        <v>109.70663265306101</v>
      </c>
      <c r="AP420" s="135">
        <v>115.585365853659</v>
      </c>
      <c r="AQ420">
        <v>0.377406931964057</v>
      </c>
      <c r="AR420" s="136">
        <v>1.2387676508344001</v>
      </c>
      <c r="AS420">
        <v>7.4172015404364604</v>
      </c>
    </row>
    <row r="421" spans="1:45" customFormat="1" ht="181">
      <c r="A421" s="65">
        <v>168</v>
      </c>
      <c r="B421" s="69" t="s">
        <v>499</v>
      </c>
      <c r="C421" s="69" t="s">
        <v>119</v>
      </c>
      <c r="D421" s="31">
        <f t="shared" si="39"/>
        <v>1</v>
      </c>
      <c r="E421" s="69" t="s">
        <v>46</v>
      </c>
      <c r="F421" s="31">
        <f t="shared" si="40"/>
        <v>6</v>
      </c>
      <c r="G421" s="137" t="s">
        <v>525</v>
      </c>
      <c r="H421" s="138">
        <v>329</v>
      </c>
      <c r="I421" s="92">
        <f t="shared" si="38"/>
        <v>0.84090909090909105</v>
      </c>
      <c r="J421" s="95">
        <v>1</v>
      </c>
      <c r="K421" s="137">
        <v>0.657905119887218</v>
      </c>
      <c r="L421" s="137">
        <v>0.68181818181818199</v>
      </c>
      <c r="M421" s="137">
        <v>0.62203552699077302</v>
      </c>
      <c r="N421" s="136">
        <v>1</v>
      </c>
      <c r="O421" s="154">
        <v>43405</v>
      </c>
      <c r="P421" s="98">
        <f t="shared" si="41"/>
        <v>2</v>
      </c>
      <c r="Q421" s="111">
        <v>0</v>
      </c>
      <c r="R421" s="111">
        <v>0</v>
      </c>
      <c r="S421" s="111">
        <v>0</v>
      </c>
      <c r="T421" s="112" t="s">
        <v>64</v>
      </c>
      <c r="U421" s="136" t="s">
        <v>4361</v>
      </c>
      <c r="V421" s="137" t="s">
        <v>527</v>
      </c>
      <c r="W421" s="69">
        <v>77</v>
      </c>
      <c r="X421" s="69">
        <v>3</v>
      </c>
      <c r="Y421" s="69">
        <v>7</v>
      </c>
      <c r="AA421" t="s">
        <v>4564</v>
      </c>
      <c r="AB421" t="s">
        <v>51</v>
      </c>
      <c r="AC421" t="s">
        <v>4353</v>
      </c>
      <c r="AD421" t="s">
        <v>4506</v>
      </c>
      <c r="AE421" t="s">
        <v>4515</v>
      </c>
      <c r="AF421" t="s">
        <v>4676</v>
      </c>
      <c r="AG421" t="s">
        <v>4353</v>
      </c>
      <c r="AH421" t="s">
        <v>4506</v>
      </c>
      <c r="AI421" t="s">
        <v>4353</v>
      </c>
      <c r="AJ421" t="s">
        <v>4506</v>
      </c>
      <c r="AK421" t="s">
        <v>4519</v>
      </c>
      <c r="AL421" t="s">
        <v>4552</v>
      </c>
      <c r="AM421" t="s">
        <v>4562</v>
      </c>
      <c r="AN421" t="s">
        <v>4742</v>
      </c>
      <c r="AO421" s="134">
        <v>109.42656449553</v>
      </c>
      <c r="AP421" s="135">
        <v>115.44170984455999</v>
      </c>
      <c r="AQ421">
        <v>0.37694300518134699</v>
      </c>
      <c r="AR421" s="136">
        <v>1.2409326424870499</v>
      </c>
      <c r="AS421">
        <v>7.4248704663212397</v>
      </c>
    </row>
    <row r="422" spans="1:45" customFormat="1" ht="136">
      <c r="A422">
        <v>687</v>
      </c>
      <c r="B422" s="69" t="s">
        <v>1871</v>
      </c>
      <c r="C422" s="69" t="s">
        <v>45</v>
      </c>
      <c r="D422" s="31">
        <f t="shared" si="39"/>
        <v>4</v>
      </c>
      <c r="E422" s="69" t="s">
        <v>46</v>
      </c>
      <c r="F422" s="31">
        <f t="shared" si="40"/>
        <v>6</v>
      </c>
      <c r="G422" s="188" t="s">
        <v>1889</v>
      </c>
      <c r="H422" s="138">
        <v>210</v>
      </c>
      <c r="I422" s="92">
        <f t="shared" si="38"/>
        <v>0.63941147664617293</v>
      </c>
      <c r="J422" s="95">
        <v>0.52882295329234597</v>
      </c>
      <c r="K422" s="137">
        <v>0.79285714285714304</v>
      </c>
      <c r="L422" s="137">
        <v>0.75</v>
      </c>
      <c r="M422" s="137">
        <v>0.85714285714285698</v>
      </c>
      <c r="N422" s="136">
        <v>0</v>
      </c>
      <c r="O422" s="194">
        <v>43405</v>
      </c>
      <c r="P422" s="98">
        <f t="shared" si="41"/>
        <v>1</v>
      </c>
      <c r="Q422" s="111">
        <v>0</v>
      </c>
      <c r="R422" s="111">
        <v>0</v>
      </c>
      <c r="S422" s="111">
        <v>0</v>
      </c>
      <c r="T422" s="112" t="s">
        <v>73</v>
      </c>
      <c r="U422" s="136" t="s">
        <v>1890</v>
      </c>
      <c r="V422" s="137" t="s">
        <v>1888</v>
      </c>
      <c r="W422" s="69">
        <v>195</v>
      </c>
      <c r="X422" s="195">
        <v>1</v>
      </c>
      <c r="Y422" s="195">
        <v>1</v>
      </c>
      <c r="Z422" s="69"/>
      <c r="AA422" t="s">
        <v>4653</v>
      </c>
      <c r="AB422" t="s">
        <v>71</v>
      </c>
      <c r="AC422" t="s">
        <v>223</v>
      </c>
      <c r="AD422" t="s">
        <v>4608</v>
      </c>
      <c r="AE422" t="s">
        <v>223</v>
      </c>
      <c r="AF422" t="s">
        <v>4608</v>
      </c>
      <c r="AG422" t="s">
        <v>4515</v>
      </c>
      <c r="AH422" t="s">
        <v>4647</v>
      </c>
      <c r="AI422" t="s">
        <v>4353</v>
      </c>
      <c r="AJ422" t="s">
        <v>4506</v>
      </c>
      <c r="AK422" t="s">
        <v>4518</v>
      </c>
      <c r="AL422" t="s">
        <v>4519</v>
      </c>
      <c r="AM422" t="s">
        <v>4528</v>
      </c>
      <c r="AN422" t="s">
        <v>4624</v>
      </c>
      <c r="AO422" s="134">
        <v>109.29795396419399</v>
      </c>
      <c r="AP422" s="135">
        <v>115.44170984455999</v>
      </c>
      <c r="AQ422">
        <v>0.37694300518134699</v>
      </c>
      <c r="AR422" s="136">
        <v>1.2409326424870499</v>
      </c>
      <c r="AS422">
        <v>7.4248704663212397</v>
      </c>
    </row>
    <row r="423" spans="1:45" customFormat="1" ht="226">
      <c r="A423" s="65">
        <v>688</v>
      </c>
      <c r="B423" s="69" t="s">
        <v>1871</v>
      </c>
      <c r="C423" s="69" t="s">
        <v>45</v>
      </c>
      <c r="D423" s="31">
        <f t="shared" si="39"/>
        <v>4</v>
      </c>
      <c r="E423" s="69" t="s">
        <v>46</v>
      </c>
      <c r="F423" s="31">
        <f t="shared" si="40"/>
        <v>6</v>
      </c>
      <c r="G423" s="137" t="s">
        <v>1891</v>
      </c>
      <c r="H423" s="138">
        <v>421</v>
      </c>
      <c r="I423" s="92">
        <f t="shared" si="38"/>
        <v>0.3755414555304824</v>
      </c>
      <c r="J423" s="95">
        <v>1.08291106096481E-3</v>
      </c>
      <c r="K423" s="137">
        <v>0.79285714285714304</v>
      </c>
      <c r="L423" s="137">
        <v>0.75</v>
      </c>
      <c r="M423" s="137">
        <v>0.85714285714285698</v>
      </c>
      <c r="N423" s="136">
        <v>0</v>
      </c>
      <c r="O423" s="154">
        <v>43405</v>
      </c>
      <c r="P423" s="98">
        <f t="shared" si="41"/>
        <v>1</v>
      </c>
      <c r="Q423" s="111">
        <v>2.5499999999999998</v>
      </c>
      <c r="R423" s="111">
        <v>0</v>
      </c>
      <c r="S423" s="111">
        <v>0</v>
      </c>
      <c r="T423" s="112" t="s">
        <v>73</v>
      </c>
      <c r="U423" s="136" t="s">
        <v>4413</v>
      </c>
      <c r="V423" s="137" t="s">
        <v>1888</v>
      </c>
      <c r="W423" s="69">
        <v>195</v>
      </c>
      <c r="X423" s="69">
        <v>1</v>
      </c>
      <c r="Y423" s="69">
        <v>1</v>
      </c>
      <c r="Z423" s="69"/>
      <c r="AA423" t="s">
        <v>4522</v>
      </c>
      <c r="AB423" t="s">
        <v>71</v>
      </c>
      <c r="AC423" t="s">
        <v>223</v>
      </c>
      <c r="AD423" t="s">
        <v>4608</v>
      </c>
      <c r="AE423" t="s">
        <v>223</v>
      </c>
      <c r="AF423" t="s">
        <v>4608</v>
      </c>
      <c r="AG423" t="s">
        <v>4515</v>
      </c>
      <c r="AH423" t="s">
        <v>4647</v>
      </c>
      <c r="AI423" t="s">
        <v>4353</v>
      </c>
      <c r="AJ423" t="s">
        <v>4506</v>
      </c>
      <c r="AK423" t="s">
        <v>4578</v>
      </c>
      <c r="AL423" t="s">
        <v>4519</v>
      </c>
      <c r="AM423" t="s">
        <v>4510</v>
      </c>
      <c r="AN423" t="s">
        <v>4579</v>
      </c>
      <c r="AO423" s="134">
        <v>108.89884763124201</v>
      </c>
      <c r="AP423" s="135">
        <v>115.44170984455999</v>
      </c>
      <c r="AQ423">
        <v>0.37694300518134699</v>
      </c>
      <c r="AR423" s="136">
        <v>1.2409326424870499</v>
      </c>
      <c r="AS423">
        <v>7.4248704663212397</v>
      </c>
    </row>
    <row r="424" spans="1:45" customFormat="1" ht="91">
      <c r="A424" s="65">
        <v>1021</v>
      </c>
      <c r="B424" s="69" t="s">
        <v>2752</v>
      </c>
      <c r="C424" s="69" t="s">
        <v>45</v>
      </c>
      <c r="D424" s="31">
        <f t="shared" si="39"/>
        <v>4</v>
      </c>
      <c r="E424" s="69" t="s">
        <v>80</v>
      </c>
      <c r="F424" s="31">
        <f t="shared" si="40"/>
        <v>4</v>
      </c>
      <c r="G424" s="139" t="s">
        <v>180</v>
      </c>
      <c r="H424" s="138">
        <v>40</v>
      </c>
      <c r="I424" s="92">
        <f t="shared" si="38"/>
        <v>0.59761230827976441</v>
      </c>
      <c r="J424" s="95">
        <v>0.37022461655952899</v>
      </c>
      <c r="K424" s="137">
        <v>0.81418779643582295</v>
      </c>
      <c r="L424" s="137">
        <v>0.82499999999999996</v>
      </c>
      <c r="M424" s="137">
        <v>0.79796949108955795</v>
      </c>
      <c r="N424" s="136">
        <v>1</v>
      </c>
      <c r="O424" s="157">
        <v>43404</v>
      </c>
      <c r="P424" s="98">
        <f t="shared" si="41"/>
        <v>0</v>
      </c>
      <c r="Q424" s="113">
        <v>0</v>
      </c>
      <c r="R424" s="113">
        <v>0</v>
      </c>
      <c r="S424" s="113">
        <v>0</v>
      </c>
      <c r="T424" s="119" t="s">
        <v>48</v>
      </c>
      <c r="U424" s="89" t="s">
        <v>2774</v>
      </c>
      <c r="V424" s="172" t="s">
        <v>2775</v>
      </c>
      <c r="W424" s="69">
        <v>116</v>
      </c>
      <c r="X424" s="69">
        <v>1</v>
      </c>
      <c r="Y424" s="69">
        <v>2</v>
      </c>
      <c r="Z424" s="69"/>
      <c r="AA424" t="s">
        <v>4543</v>
      </c>
      <c r="AB424" t="s">
        <v>87</v>
      </c>
      <c r="AC424" t="s">
        <v>4513</v>
      </c>
      <c r="AD424" t="s">
        <v>4801</v>
      </c>
      <c r="AE424" t="s">
        <v>223</v>
      </c>
      <c r="AF424" t="s">
        <v>4768</v>
      </c>
      <c r="AG424" t="s">
        <v>223</v>
      </c>
      <c r="AH424" t="s">
        <v>4768</v>
      </c>
      <c r="AI424" t="s">
        <v>4515</v>
      </c>
      <c r="AJ424" t="s">
        <v>4762</v>
      </c>
      <c r="AK424" t="s">
        <v>4518</v>
      </c>
      <c r="AL424" t="s">
        <v>4552</v>
      </c>
      <c r="AM424" t="s">
        <v>4528</v>
      </c>
      <c r="AN424" t="s">
        <v>4557</v>
      </c>
      <c r="AO424" s="134">
        <v>108.98717948717901</v>
      </c>
      <c r="AP424" s="135">
        <v>115.651041666667</v>
      </c>
      <c r="AQ424">
        <v>0.37760416666666702</v>
      </c>
      <c r="AR424" s="136">
        <v>1.2421875</v>
      </c>
      <c r="AS424">
        <v>7.4427083333333304</v>
      </c>
    </row>
    <row r="425" spans="1:45" customFormat="1" ht="226">
      <c r="A425" s="65">
        <v>309</v>
      </c>
      <c r="B425" s="69" t="s">
        <v>589</v>
      </c>
      <c r="C425" s="69" t="s">
        <v>45</v>
      </c>
      <c r="D425" s="31">
        <f t="shared" si="39"/>
        <v>4</v>
      </c>
      <c r="E425" s="69" t="s">
        <v>46</v>
      </c>
      <c r="F425" s="31">
        <f t="shared" si="40"/>
        <v>6</v>
      </c>
      <c r="G425" s="147" t="s">
        <v>918</v>
      </c>
      <c r="H425" s="138">
        <v>122</v>
      </c>
      <c r="I425" s="92">
        <f t="shared" si="38"/>
        <v>0.46820563819115102</v>
      </c>
      <c r="J425" s="95">
        <v>0.25459309456411999</v>
      </c>
      <c r="K425" s="137">
        <v>0.66912006664615598</v>
      </c>
      <c r="L425" s="137">
        <v>0.68181818181818199</v>
      </c>
      <c r="M425" s="137">
        <v>0.65007289388811795</v>
      </c>
      <c r="N425" s="136">
        <v>1</v>
      </c>
      <c r="O425" s="154">
        <v>43403</v>
      </c>
      <c r="P425" s="98">
        <f t="shared" si="41"/>
        <v>0</v>
      </c>
      <c r="Q425" s="111">
        <v>0</v>
      </c>
      <c r="R425" s="111">
        <v>0</v>
      </c>
      <c r="S425" s="111">
        <v>0</v>
      </c>
      <c r="T425" s="112" t="s">
        <v>48</v>
      </c>
      <c r="U425" s="209" t="s">
        <v>919</v>
      </c>
      <c r="V425" s="137" t="s">
        <v>920</v>
      </c>
      <c r="W425" s="69">
        <v>323</v>
      </c>
      <c r="X425" s="171">
        <v>2</v>
      </c>
      <c r="Y425" s="171">
        <v>6</v>
      </c>
      <c r="AA425" t="s">
        <v>4564</v>
      </c>
      <c r="AB425" t="s">
        <v>87</v>
      </c>
      <c r="AC425" t="s">
        <v>4530</v>
      </c>
      <c r="AD425" t="s">
        <v>4639</v>
      </c>
      <c r="AE425" t="s">
        <v>4513</v>
      </c>
      <c r="AF425" t="s">
        <v>4892</v>
      </c>
      <c r="AG425" t="s">
        <v>4515</v>
      </c>
      <c r="AH425" t="s">
        <v>4640</v>
      </c>
      <c r="AI425" t="s">
        <v>4353</v>
      </c>
      <c r="AJ425" t="s">
        <v>4506</v>
      </c>
      <c r="AK425" t="s">
        <v>4519</v>
      </c>
      <c r="AL425" t="s">
        <v>4519</v>
      </c>
      <c r="AM425" t="s">
        <v>4528</v>
      </c>
      <c r="AN425" t="s">
        <v>4529</v>
      </c>
      <c r="AO425" s="134">
        <v>108.970474967908</v>
      </c>
      <c r="AP425" s="135">
        <v>115.77574967405501</v>
      </c>
      <c r="AQ425">
        <v>0.37679269882659699</v>
      </c>
      <c r="AR425" s="136">
        <v>1.2398956975228199</v>
      </c>
      <c r="AS425">
        <v>7.4419817470664897</v>
      </c>
    </row>
    <row r="426" spans="1:45" customFormat="1" ht="61">
      <c r="A426" s="65">
        <v>1112</v>
      </c>
      <c r="B426" s="69" t="s">
        <v>3001</v>
      </c>
      <c r="C426" s="69" t="s">
        <v>45</v>
      </c>
      <c r="D426" s="31">
        <f t="shared" si="39"/>
        <v>4</v>
      </c>
      <c r="E426" s="69" t="s">
        <v>46</v>
      </c>
      <c r="F426" s="31">
        <f t="shared" si="40"/>
        <v>6</v>
      </c>
      <c r="G426" s="89" t="s">
        <v>3021</v>
      </c>
      <c r="H426" s="138">
        <v>59</v>
      </c>
      <c r="I426" s="92">
        <f t="shared" si="38"/>
        <v>0.45119538291997391</v>
      </c>
      <c r="J426" s="95">
        <v>7.7390765839947903E-2</v>
      </c>
      <c r="K426" s="137">
        <v>0.75502915755524702</v>
      </c>
      <c r="L426" s="137">
        <v>0.82499999999999996</v>
      </c>
      <c r="M426" s="137">
        <v>0.65007289388811795</v>
      </c>
      <c r="N426" s="136">
        <v>1</v>
      </c>
      <c r="O426" s="157">
        <v>43403</v>
      </c>
      <c r="P426" s="98">
        <f t="shared" si="41"/>
        <v>0</v>
      </c>
      <c r="Q426" s="113">
        <v>0</v>
      </c>
      <c r="R426" s="113">
        <v>0</v>
      </c>
      <c r="S426" s="113">
        <v>0</v>
      </c>
      <c r="T426" s="119" t="s">
        <v>48</v>
      </c>
      <c r="U426" s="89" t="s">
        <v>3022</v>
      </c>
      <c r="V426" s="172" t="s">
        <v>3023</v>
      </c>
      <c r="W426" s="69">
        <v>69</v>
      </c>
      <c r="X426" s="69">
        <v>1</v>
      </c>
      <c r="Y426" s="69">
        <v>6</v>
      </c>
      <c r="Z426" s="69"/>
      <c r="AA426" t="s">
        <v>4564</v>
      </c>
      <c r="AB426" t="s">
        <v>51</v>
      </c>
      <c r="AC426" t="s">
        <v>223</v>
      </c>
      <c r="AD426" t="s">
        <v>4685</v>
      </c>
      <c r="AE426" t="s">
        <v>4513</v>
      </c>
      <c r="AF426" t="s">
        <v>4686</v>
      </c>
      <c r="AG426" t="s">
        <v>4353</v>
      </c>
      <c r="AH426" t="s">
        <v>4506</v>
      </c>
      <c r="AI426" t="s">
        <v>4353</v>
      </c>
      <c r="AJ426" t="s">
        <v>4506</v>
      </c>
      <c r="AK426" t="s">
        <v>4519</v>
      </c>
      <c r="AL426" t="s">
        <v>4552</v>
      </c>
      <c r="AM426" t="s">
        <v>4519</v>
      </c>
      <c r="AN426" t="s">
        <v>4659</v>
      </c>
      <c r="AO426" s="134">
        <v>108.66323907455001</v>
      </c>
      <c r="AP426" s="135">
        <v>115.77574967405501</v>
      </c>
      <c r="AQ426">
        <v>0.37679269882659699</v>
      </c>
      <c r="AR426" s="136">
        <v>1.2398956975228199</v>
      </c>
      <c r="AS426">
        <v>7.4419817470664897</v>
      </c>
    </row>
    <row r="427" spans="1:45" customFormat="1" ht="181">
      <c r="A427">
        <v>310</v>
      </c>
      <c r="B427" s="69" t="s">
        <v>589</v>
      </c>
      <c r="C427" s="69" t="s">
        <v>45</v>
      </c>
      <c r="D427" s="31">
        <f t="shared" si="39"/>
        <v>4</v>
      </c>
      <c r="E427" s="69" t="s">
        <v>46</v>
      </c>
      <c r="F427" s="31">
        <f t="shared" si="40"/>
        <v>6</v>
      </c>
      <c r="G427" s="137" t="s">
        <v>921</v>
      </c>
      <c r="H427" s="138">
        <v>348</v>
      </c>
      <c r="I427" s="92">
        <f t="shared" si="38"/>
        <v>0.32100479690738676</v>
      </c>
      <c r="J427" s="95">
        <v>2.2174883070972502E-2</v>
      </c>
      <c r="K427" s="137">
        <v>0.69108862288210404</v>
      </c>
      <c r="L427" s="137">
        <v>0.61983471074380103</v>
      </c>
      <c r="M427" s="137">
        <v>0.79796949108955795</v>
      </c>
      <c r="N427" s="136">
        <v>1</v>
      </c>
      <c r="O427" s="154">
        <v>43403</v>
      </c>
      <c r="P427" s="98">
        <f t="shared" si="41"/>
        <v>0</v>
      </c>
      <c r="Q427" s="113">
        <v>2.5499999999999998</v>
      </c>
      <c r="R427" s="113">
        <v>0</v>
      </c>
      <c r="S427" s="113">
        <v>0</v>
      </c>
      <c r="T427" s="114" t="s">
        <v>48</v>
      </c>
      <c r="U427" s="137" t="s">
        <v>922</v>
      </c>
      <c r="V427" s="137" t="s">
        <v>4378</v>
      </c>
      <c r="W427" s="69">
        <v>132</v>
      </c>
      <c r="X427" s="69">
        <v>1</v>
      </c>
      <c r="Y427" s="69">
        <v>2</v>
      </c>
      <c r="AA427" t="s">
        <v>4697</v>
      </c>
      <c r="AB427" t="s">
        <v>51</v>
      </c>
      <c r="AC427" t="s">
        <v>4353</v>
      </c>
      <c r="AD427" t="s">
        <v>4506</v>
      </c>
      <c r="AE427" t="s">
        <v>4530</v>
      </c>
      <c r="AF427" t="s">
        <v>4565</v>
      </c>
      <c r="AG427" t="s">
        <v>223</v>
      </c>
      <c r="AH427" t="s">
        <v>4815</v>
      </c>
      <c r="AI427" t="s">
        <v>4353</v>
      </c>
      <c r="AJ427" t="s">
        <v>4506</v>
      </c>
      <c r="AK427" t="s">
        <v>4518</v>
      </c>
      <c r="AL427" t="s">
        <v>4552</v>
      </c>
      <c r="AM427" t="s">
        <v>4592</v>
      </c>
      <c r="AN427" t="s">
        <v>4893</v>
      </c>
      <c r="AO427" s="134">
        <v>108.727155727156</v>
      </c>
      <c r="AP427" s="135">
        <v>115.77574967405501</v>
      </c>
      <c r="AQ427">
        <v>0.37679269882659699</v>
      </c>
      <c r="AR427" s="136">
        <v>1.2398956975228199</v>
      </c>
      <c r="AS427">
        <v>7.4419817470664897</v>
      </c>
    </row>
    <row r="428" spans="1:45" customFormat="1" ht="60">
      <c r="A428" s="65">
        <v>1060</v>
      </c>
      <c r="B428" s="69" t="s">
        <v>2833</v>
      </c>
      <c r="C428" s="69" t="s">
        <v>59</v>
      </c>
      <c r="D428" s="31">
        <f t="shared" si="39"/>
        <v>5</v>
      </c>
      <c r="E428" s="69" t="s">
        <v>664</v>
      </c>
      <c r="F428" s="31">
        <f t="shared" si="40"/>
        <v>1</v>
      </c>
      <c r="G428" s="89" t="s">
        <v>2881</v>
      </c>
      <c r="H428" s="138">
        <v>20</v>
      </c>
      <c r="I428" s="92">
        <f t="shared" si="38"/>
        <v>0.57728367261078595</v>
      </c>
      <c r="J428" s="95">
        <v>0.47274916340339002</v>
      </c>
      <c r="K428" s="137">
        <v>0.72827870552673202</v>
      </c>
      <c r="L428" s="137">
        <v>0.68181818181818199</v>
      </c>
      <c r="M428" s="137">
        <v>0.79796949108955795</v>
      </c>
      <c r="N428" s="136">
        <v>1</v>
      </c>
      <c r="O428" s="157">
        <v>43402</v>
      </c>
      <c r="P428" s="98">
        <f t="shared" si="41"/>
        <v>0</v>
      </c>
      <c r="Q428" s="113">
        <v>0</v>
      </c>
      <c r="R428" s="113">
        <v>4.95</v>
      </c>
      <c r="S428" s="113">
        <v>3.74</v>
      </c>
      <c r="T428" s="119" t="s">
        <v>48</v>
      </c>
      <c r="U428" s="139" t="s">
        <v>2881</v>
      </c>
      <c r="V428" s="172" t="s">
        <v>2882</v>
      </c>
      <c r="W428" s="69">
        <v>28</v>
      </c>
      <c r="X428" s="69">
        <v>1</v>
      </c>
      <c r="Y428" s="69">
        <v>2</v>
      </c>
      <c r="Z428" s="69"/>
      <c r="AA428" t="s">
        <v>4564</v>
      </c>
      <c r="AB428" t="s">
        <v>51</v>
      </c>
      <c r="AC428" t="s">
        <v>223</v>
      </c>
      <c r="AD428" t="s">
        <v>4763</v>
      </c>
      <c r="AE428" t="s">
        <v>4513</v>
      </c>
      <c r="AF428" t="s">
        <v>4894</v>
      </c>
      <c r="AG428" t="s">
        <v>4353</v>
      </c>
      <c r="AH428" t="s">
        <v>4506</v>
      </c>
      <c r="AI428" t="s">
        <v>4353</v>
      </c>
      <c r="AJ428" t="s">
        <v>4506</v>
      </c>
      <c r="AK428" t="s">
        <v>4519</v>
      </c>
      <c r="AL428" t="s">
        <v>4519</v>
      </c>
      <c r="AM428" t="s">
        <v>4562</v>
      </c>
      <c r="AN428" t="s">
        <v>4563</v>
      </c>
      <c r="AO428" s="134">
        <v>108.373711340206</v>
      </c>
      <c r="AP428" s="135">
        <v>115.812010443864</v>
      </c>
      <c r="AQ428">
        <v>0.37467362924281999</v>
      </c>
      <c r="AR428" s="136">
        <v>1.2402088772846001</v>
      </c>
      <c r="AS428">
        <v>7.4412532637075701</v>
      </c>
    </row>
    <row r="429" spans="1:45" customFormat="1" ht="226">
      <c r="A429" s="65">
        <v>689</v>
      </c>
      <c r="B429" s="69" t="s">
        <v>1871</v>
      </c>
      <c r="C429" s="69" t="s">
        <v>45</v>
      </c>
      <c r="D429" s="31">
        <f t="shared" si="39"/>
        <v>4</v>
      </c>
      <c r="E429" s="69" t="s">
        <v>46</v>
      </c>
      <c r="F429" s="31">
        <f t="shared" si="40"/>
        <v>6</v>
      </c>
      <c r="G429" s="188" t="s">
        <v>1893</v>
      </c>
      <c r="H429" s="138">
        <v>383</v>
      </c>
      <c r="I429" s="92">
        <f t="shared" si="38"/>
        <v>0.41250000133888043</v>
      </c>
      <c r="J429" s="95">
        <v>2.67776090190352E-9</v>
      </c>
      <c r="K429" s="137">
        <v>0.81418779643582295</v>
      </c>
      <c r="L429" s="137">
        <v>0.82499999999999996</v>
      </c>
      <c r="M429" s="137">
        <v>0.79796949108955795</v>
      </c>
      <c r="N429" s="136">
        <v>1</v>
      </c>
      <c r="O429" s="154">
        <v>43402</v>
      </c>
      <c r="P429" s="98">
        <f t="shared" si="41"/>
        <v>1</v>
      </c>
      <c r="Q429" s="113">
        <v>5.0999999999999996</v>
      </c>
      <c r="R429" s="113">
        <v>0</v>
      </c>
      <c r="S429" s="113">
        <v>0</v>
      </c>
      <c r="T429" s="114" t="s">
        <v>73</v>
      </c>
      <c r="U429" s="136" t="s">
        <v>1894</v>
      </c>
      <c r="V429" s="137" t="s">
        <v>1895</v>
      </c>
      <c r="W429" s="69">
        <v>145</v>
      </c>
      <c r="X429" s="195">
        <v>1</v>
      </c>
      <c r="Y429" s="195">
        <v>2</v>
      </c>
      <c r="Z429" s="69"/>
      <c r="AA429" t="s">
        <v>4660</v>
      </c>
      <c r="AB429" t="s">
        <v>4732</v>
      </c>
      <c r="AC429" t="s">
        <v>223</v>
      </c>
      <c r="AD429" t="s">
        <v>4710</v>
      </c>
      <c r="AE429" t="s">
        <v>223</v>
      </c>
      <c r="AF429" t="s">
        <v>4710</v>
      </c>
      <c r="AG429" t="s">
        <v>223</v>
      </c>
      <c r="AH429" t="s">
        <v>4710</v>
      </c>
      <c r="AI429" t="s">
        <v>4353</v>
      </c>
      <c r="AJ429" t="s">
        <v>4506</v>
      </c>
      <c r="AK429" t="s">
        <v>4519</v>
      </c>
      <c r="AL429" t="s">
        <v>4519</v>
      </c>
      <c r="AM429" t="s">
        <v>4528</v>
      </c>
      <c r="AN429" t="s">
        <v>4529</v>
      </c>
      <c r="AO429" s="134">
        <v>108.487741935484</v>
      </c>
      <c r="AP429" s="135">
        <v>115.812010443864</v>
      </c>
      <c r="AQ429">
        <v>0.37467362924281999</v>
      </c>
      <c r="AR429" s="136">
        <v>1.2402088772846001</v>
      </c>
      <c r="AS429">
        <v>7.4412532637075701</v>
      </c>
    </row>
    <row r="430" spans="1:45" customFormat="1" ht="91">
      <c r="A430">
        <v>850</v>
      </c>
      <c r="B430" s="69" t="s">
        <v>2287</v>
      </c>
      <c r="C430" s="69" t="s">
        <v>45</v>
      </c>
      <c r="D430" s="31">
        <f t="shared" si="39"/>
        <v>4</v>
      </c>
      <c r="E430" s="69" t="s">
        <v>46</v>
      </c>
      <c r="F430" s="31">
        <f t="shared" si="40"/>
        <v>6</v>
      </c>
      <c r="G430" s="188" t="s">
        <v>2311</v>
      </c>
      <c r="H430" s="138">
        <v>71</v>
      </c>
      <c r="I430" s="92">
        <f t="shared" si="38"/>
        <v>0.74289273740816952</v>
      </c>
      <c r="J430" s="95">
        <v>0.66078547481633898</v>
      </c>
      <c r="K430" s="137">
        <v>0.75502915755524702</v>
      </c>
      <c r="L430" s="137">
        <v>0.82499999999999996</v>
      </c>
      <c r="M430" s="137">
        <v>0.65007289388811795</v>
      </c>
      <c r="N430" s="136">
        <v>1</v>
      </c>
      <c r="O430" s="154">
        <v>43400</v>
      </c>
      <c r="P430" s="98">
        <f t="shared" si="41"/>
        <v>1</v>
      </c>
      <c r="Q430" s="107">
        <v>0</v>
      </c>
      <c r="R430" s="107">
        <v>0</v>
      </c>
      <c r="S430" s="107">
        <v>0</v>
      </c>
      <c r="T430" s="108" t="s">
        <v>73</v>
      </c>
      <c r="U430" s="137" t="s">
        <v>2312</v>
      </c>
      <c r="V430" s="137" t="s">
        <v>2313</v>
      </c>
      <c r="W430" s="69">
        <v>99</v>
      </c>
      <c r="X430" s="195">
        <v>2</v>
      </c>
      <c r="Y430" s="195">
        <v>6</v>
      </c>
      <c r="Z430" s="69"/>
      <c r="AA430" t="s">
        <v>4556</v>
      </c>
      <c r="AB430" t="s">
        <v>87</v>
      </c>
      <c r="AC430" t="s">
        <v>4530</v>
      </c>
      <c r="AD430" t="s">
        <v>4719</v>
      </c>
      <c r="AE430" t="s">
        <v>223</v>
      </c>
      <c r="AF430" t="s">
        <v>4615</v>
      </c>
      <c r="AG430" t="s">
        <v>4513</v>
      </c>
      <c r="AH430" t="s">
        <v>4724</v>
      </c>
      <c r="AI430" t="s">
        <v>4353</v>
      </c>
      <c r="AJ430" t="s">
        <v>4506</v>
      </c>
      <c r="AK430" t="s">
        <v>4519</v>
      </c>
      <c r="AL430" t="s">
        <v>4519</v>
      </c>
      <c r="AM430" t="s">
        <v>4528</v>
      </c>
      <c r="AN430" t="s">
        <v>4529</v>
      </c>
      <c r="AO430" s="134">
        <v>108.53617571059399</v>
      </c>
      <c r="AP430" s="135">
        <v>115.741176470588</v>
      </c>
      <c r="AQ430">
        <v>0.37254901960784298</v>
      </c>
      <c r="AR430" s="136">
        <v>1.2405228758169899</v>
      </c>
      <c r="AS430">
        <v>7.43921568627451</v>
      </c>
    </row>
    <row r="431" spans="1:45" customFormat="1" ht="46">
      <c r="A431" s="65">
        <v>592</v>
      </c>
      <c r="B431" s="69" t="s">
        <v>1628</v>
      </c>
      <c r="C431" s="69" t="s">
        <v>45</v>
      </c>
      <c r="D431" s="31">
        <f t="shared" si="39"/>
        <v>4</v>
      </c>
      <c r="E431" s="69" t="s">
        <v>80</v>
      </c>
      <c r="F431" s="31">
        <f t="shared" si="40"/>
        <v>4</v>
      </c>
      <c r="G431" s="147" t="s">
        <v>1655</v>
      </c>
      <c r="H431" s="138">
        <v>75</v>
      </c>
      <c r="I431" s="92">
        <f t="shared" si="38"/>
        <v>0.34152581030673812</v>
      </c>
      <c r="J431" s="95">
        <v>1.2334387952942501E-3</v>
      </c>
      <c r="K431" s="137">
        <v>0.68131559609092096</v>
      </c>
      <c r="L431" s="137">
        <v>0.68181818181818199</v>
      </c>
      <c r="M431" s="137">
        <v>0.68056171750003003</v>
      </c>
      <c r="N431" s="136">
        <v>0</v>
      </c>
      <c r="O431" s="154">
        <v>43399</v>
      </c>
      <c r="P431" s="98">
        <f t="shared" si="41"/>
        <v>1</v>
      </c>
      <c r="Q431" s="111">
        <v>2.5499999999999998</v>
      </c>
      <c r="R431" s="111">
        <v>1.65</v>
      </c>
      <c r="S431" s="111">
        <v>0</v>
      </c>
      <c r="T431" s="112" t="s">
        <v>73</v>
      </c>
      <c r="U431" s="137" t="s">
        <v>1656</v>
      </c>
      <c r="V431" s="137" t="s">
        <v>1657</v>
      </c>
      <c r="W431" s="69">
        <v>33</v>
      </c>
      <c r="X431" s="147">
        <v>2</v>
      </c>
      <c r="Y431" s="147">
        <v>5</v>
      </c>
      <c r="AA431" t="s">
        <v>4564</v>
      </c>
      <c r="AB431" t="s">
        <v>4594</v>
      </c>
      <c r="AC431" t="s">
        <v>223</v>
      </c>
      <c r="AD431" t="s">
        <v>4517</v>
      </c>
      <c r="AE431" t="s">
        <v>223</v>
      </c>
      <c r="AF431" t="s">
        <v>4517</v>
      </c>
      <c r="AG431" t="s">
        <v>4353</v>
      </c>
      <c r="AH431" t="s">
        <v>4506</v>
      </c>
      <c r="AI431" t="s">
        <v>4353</v>
      </c>
      <c r="AJ431" t="s">
        <v>4506</v>
      </c>
      <c r="AK431" t="s">
        <v>4519</v>
      </c>
      <c r="AL431" t="s">
        <v>4519</v>
      </c>
      <c r="AM431" t="s">
        <v>4562</v>
      </c>
      <c r="AN431" t="s">
        <v>4563</v>
      </c>
      <c r="AO431" s="134">
        <v>108.57956015523899</v>
      </c>
      <c r="AP431" s="135">
        <v>115.95275590551201</v>
      </c>
      <c r="AQ431">
        <v>0.36876640419947498</v>
      </c>
      <c r="AR431" s="136">
        <v>1.24015748031496</v>
      </c>
      <c r="AS431">
        <v>7.4120734908136496</v>
      </c>
    </row>
    <row r="432" spans="1:45" customFormat="1" ht="76">
      <c r="A432" s="65">
        <v>800</v>
      </c>
      <c r="B432" s="69" t="s">
        <v>2179</v>
      </c>
      <c r="C432" s="69" t="s">
        <v>45</v>
      </c>
      <c r="D432" s="31">
        <f t="shared" si="39"/>
        <v>4</v>
      </c>
      <c r="E432" s="69" t="s">
        <v>46</v>
      </c>
      <c r="F432" s="31">
        <f t="shared" si="40"/>
        <v>6</v>
      </c>
      <c r="G432" s="137" t="s">
        <v>2186</v>
      </c>
      <c r="H432" s="138">
        <v>64</v>
      </c>
      <c r="I432" s="92">
        <f t="shared" si="38"/>
        <v>0.40352353631996024</v>
      </c>
      <c r="J432" s="95">
        <v>5.7047072639920503E-2</v>
      </c>
      <c r="K432" s="137">
        <v>0.69881421079630901</v>
      </c>
      <c r="L432" s="137">
        <v>0.75</v>
      </c>
      <c r="M432" s="137">
        <v>0.62203552699077302</v>
      </c>
      <c r="N432" s="136">
        <v>0</v>
      </c>
      <c r="O432" s="154">
        <v>43397</v>
      </c>
      <c r="P432" s="98">
        <f t="shared" si="41"/>
        <v>1</v>
      </c>
      <c r="Q432" s="111">
        <v>2.5499999999999998</v>
      </c>
      <c r="R432" s="111">
        <v>0</v>
      </c>
      <c r="S432" s="111">
        <v>0</v>
      </c>
      <c r="T432" s="112" t="s">
        <v>73</v>
      </c>
      <c r="U432" s="136" t="s">
        <v>2187</v>
      </c>
      <c r="V432" s="136" t="s">
        <v>2188</v>
      </c>
      <c r="W432" s="69">
        <v>95</v>
      </c>
      <c r="X432" s="69">
        <v>1</v>
      </c>
      <c r="Y432" s="69">
        <v>7</v>
      </c>
      <c r="Z432" s="69"/>
      <c r="AA432" t="s">
        <v>4564</v>
      </c>
      <c r="AB432" t="s">
        <v>4594</v>
      </c>
      <c r="AC432" t="s">
        <v>4513</v>
      </c>
      <c r="AD432" t="s">
        <v>4695</v>
      </c>
      <c r="AE432" t="s">
        <v>4513</v>
      </c>
      <c r="AF432" t="s">
        <v>4695</v>
      </c>
      <c r="AG432" t="s">
        <v>223</v>
      </c>
      <c r="AH432" t="s">
        <v>4655</v>
      </c>
      <c r="AI432" t="s">
        <v>4353</v>
      </c>
      <c r="AJ432" t="s">
        <v>4506</v>
      </c>
      <c r="AK432" t="s">
        <v>4519</v>
      </c>
      <c r="AL432" t="s">
        <v>4552</v>
      </c>
      <c r="AM432" t="s">
        <v>4562</v>
      </c>
      <c r="AN432" t="s">
        <v>4742</v>
      </c>
      <c r="AO432" s="134">
        <v>108.637305699482</v>
      </c>
      <c r="AP432" s="135">
        <v>116.134387351779</v>
      </c>
      <c r="AQ432">
        <v>0.36758893280632399</v>
      </c>
      <c r="AR432" s="136">
        <v>1.23847167325428</v>
      </c>
      <c r="AS432">
        <v>7.4202898550724603</v>
      </c>
    </row>
    <row r="433" spans="1:45" s="65" customFormat="1" ht="151">
      <c r="A433">
        <v>870</v>
      </c>
      <c r="B433" s="69" t="s">
        <v>2355</v>
      </c>
      <c r="C433" s="69" t="s">
        <v>45</v>
      </c>
      <c r="D433" s="31">
        <f t="shared" si="39"/>
        <v>4</v>
      </c>
      <c r="E433" s="69" t="s">
        <v>46</v>
      </c>
      <c r="F433" s="31">
        <f t="shared" si="40"/>
        <v>6</v>
      </c>
      <c r="G433" s="137" t="s">
        <v>2368</v>
      </c>
      <c r="H433" s="138">
        <v>266</v>
      </c>
      <c r="I433" s="92">
        <f t="shared" si="38"/>
        <v>0.41250166499832497</v>
      </c>
      <c r="J433" s="95">
        <v>3.32999664998113E-6</v>
      </c>
      <c r="K433" s="137">
        <v>0.68119100647006003</v>
      </c>
      <c r="L433" s="137">
        <v>0.82499999999999996</v>
      </c>
      <c r="M433" s="137">
        <v>0.46547751617515098</v>
      </c>
      <c r="N433" s="136">
        <v>1</v>
      </c>
      <c r="O433" s="154">
        <v>43396</v>
      </c>
      <c r="P433" s="98">
        <f t="shared" si="41"/>
        <v>1</v>
      </c>
      <c r="Q433" s="111">
        <v>5.0999999999999996</v>
      </c>
      <c r="R433" s="111">
        <v>0</v>
      </c>
      <c r="S433" s="111">
        <v>0</v>
      </c>
      <c r="T433" s="112" t="s">
        <v>73</v>
      </c>
      <c r="U433" s="137" t="s">
        <v>2369</v>
      </c>
      <c r="V433" s="137" t="s">
        <v>2370</v>
      </c>
      <c r="W433" s="69">
        <v>149</v>
      </c>
      <c r="X433" s="69">
        <v>3</v>
      </c>
      <c r="Y433" s="69">
        <v>14</v>
      </c>
      <c r="Z433" s="69"/>
      <c r="AA433" t="s">
        <v>4564</v>
      </c>
      <c r="AB433" t="s">
        <v>87</v>
      </c>
      <c r="AC433" t="s">
        <v>223</v>
      </c>
      <c r="AD433" t="s">
        <v>4895</v>
      </c>
      <c r="AE433" t="s">
        <v>4353</v>
      </c>
      <c r="AF433" t="s">
        <v>4506</v>
      </c>
      <c r="AG433" t="s">
        <v>4353</v>
      </c>
      <c r="AH433" t="s">
        <v>4506</v>
      </c>
      <c r="AI433" t="s">
        <v>4353</v>
      </c>
      <c r="AJ433" t="s">
        <v>4506</v>
      </c>
      <c r="AK433" t="s">
        <v>4519</v>
      </c>
      <c r="AL433" t="s">
        <v>4519</v>
      </c>
      <c r="AM433" t="s">
        <v>4592</v>
      </c>
      <c r="AN433" t="s">
        <v>4626</v>
      </c>
      <c r="AO433" s="132">
        <v>108.433203631647</v>
      </c>
      <c r="AP433" s="133">
        <v>116.1928665786</v>
      </c>
      <c r="AQ433" s="65">
        <v>0.36723910171730501</v>
      </c>
      <c r="AR433" s="65">
        <v>1.2377807133421399</v>
      </c>
      <c r="AS433" s="65">
        <v>7.4227212681637997</v>
      </c>
    </row>
    <row r="434" spans="1:45" s="65" customFormat="1" ht="196">
      <c r="A434" s="65">
        <v>593</v>
      </c>
      <c r="B434" s="69" t="s">
        <v>1628</v>
      </c>
      <c r="C434" s="69" t="s">
        <v>59</v>
      </c>
      <c r="D434" s="31">
        <f t="shared" si="39"/>
        <v>5</v>
      </c>
      <c r="E434" s="69" t="s">
        <v>46</v>
      </c>
      <c r="F434" s="31">
        <f t="shared" si="40"/>
        <v>6</v>
      </c>
      <c r="G434" s="147" t="s">
        <v>1658</v>
      </c>
      <c r="H434" s="138">
        <v>389</v>
      </c>
      <c r="I434" s="92">
        <f t="shared" si="38"/>
        <v>0.1194881249602496</v>
      </c>
      <c r="J434" s="95">
        <v>3.1366377322150598E-6</v>
      </c>
      <c r="K434" s="137">
        <v>0.38175946084130702</v>
      </c>
      <c r="L434" s="137">
        <v>0.23897311328276699</v>
      </c>
      <c r="M434" s="137">
        <v>0.59593898217911601</v>
      </c>
      <c r="N434" s="136">
        <v>1</v>
      </c>
      <c r="O434" s="154">
        <v>43395</v>
      </c>
      <c r="P434" s="98">
        <f t="shared" si="41"/>
        <v>1</v>
      </c>
      <c r="Q434" s="111">
        <v>0</v>
      </c>
      <c r="R434" s="111">
        <v>0</v>
      </c>
      <c r="S434" s="111">
        <v>0</v>
      </c>
      <c r="T434" s="112" t="s">
        <v>73</v>
      </c>
      <c r="U434" s="137" t="s">
        <v>4405</v>
      </c>
      <c r="V434" s="169" t="s">
        <v>1659</v>
      </c>
      <c r="W434" s="69">
        <v>20</v>
      </c>
      <c r="X434" s="69">
        <v>4</v>
      </c>
      <c r="Y434" s="69">
        <v>8</v>
      </c>
      <c r="Z434"/>
      <c r="AA434" t="s">
        <v>4896</v>
      </c>
      <c r="AB434" t="s">
        <v>51</v>
      </c>
      <c r="AC434" t="s">
        <v>4353</v>
      </c>
      <c r="AD434" t="s">
        <v>4506</v>
      </c>
      <c r="AE434" t="s">
        <v>223</v>
      </c>
      <c r="AF434" t="s">
        <v>4723</v>
      </c>
      <c r="AG434" t="s">
        <v>4353</v>
      </c>
      <c r="AH434" t="s">
        <v>4506</v>
      </c>
      <c r="AI434" t="s">
        <v>4353</v>
      </c>
      <c r="AJ434" t="s">
        <v>4506</v>
      </c>
      <c r="AK434" t="s">
        <v>4519</v>
      </c>
      <c r="AL434" t="s">
        <v>4552</v>
      </c>
      <c r="AM434" t="s">
        <v>4715</v>
      </c>
      <c r="AN434" t="s">
        <v>4897</v>
      </c>
      <c r="AO434" s="132">
        <v>108.068831168831</v>
      </c>
      <c r="AP434" s="133">
        <v>116.125333333333</v>
      </c>
      <c r="AQ434" s="65">
        <v>0.36533333333333301</v>
      </c>
      <c r="AR434" s="65">
        <v>1.2346666666666699</v>
      </c>
      <c r="AS434" s="65">
        <v>7.4306666666666699</v>
      </c>
    </row>
    <row r="435" spans="1:45" s="65" customFormat="1" ht="61">
      <c r="A435">
        <v>1022</v>
      </c>
      <c r="B435" s="69" t="s">
        <v>2752</v>
      </c>
      <c r="C435" s="69" t="s">
        <v>45</v>
      </c>
      <c r="D435" s="31">
        <f t="shared" si="39"/>
        <v>4</v>
      </c>
      <c r="E435" s="69" t="s">
        <v>80</v>
      </c>
      <c r="F435" s="31">
        <f t="shared" si="40"/>
        <v>4</v>
      </c>
      <c r="G435" s="139" t="s">
        <v>2776</v>
      </c>
      <c r="H435" s="138">
        <v>108</v>
      </c>
      <c r="I435" s="92">
        <f t="shared" si="38"/>
        <v>0.41297372499736251</v>
      </c>
      <c r="J435" s="95">
        <v>9.4744999472506897E-4</v>
      </c>
      <c r="K435" s="137">
        <v>0.79602566813892095</v>
      </c>
      <c r="L435" s="137">
        <v>0.82499999999999996</v>
      </c>
      <c r="M435" s="137">
        <v>0.75256417034730305</v>
      </c>
      <c r="N435" s="136">
        <v>1</v>
      </c>
      <c r="O435" s="157">
        <v>43394</v>
      </c>
      <c r="P435" s="98">
        <f t="shared" si="41"/>
        <v>1</v>
      </c>
      <c r="Q435" s="113">
        <v>5.0999999999999996</v>
      </c>
      <c r="R435" s="113">
        <v>0</v>
      </c>
      <c r="S435" s="113">
        <v>0</v>
      </c>
      <c r="T435" s="119" t="s">
        <v>73</v>
      </c>
      <c r="U435" s="91" t="s">
        <v>2777</v>
      </c>
      <c r="V435" s="172" t="s">
        <v>2778</v>
      </c>
      <c r="W435" s="69">
        <v>70</v>
      </c>
      <c r="X435" s="171">
        <v>1</v>
      </c>
      <c r="Y435" s="171">
        <v>3</v>
      </c>
      <c r="Z435" s="69"/>
      <c r="AA435" t="s">
        <v>4512</v>
      </c>
      <c r="AB435" t="s">
        <v>51</v>
      </c>
      <c r="AC435" t="s">
        <v>4353</v>
      </c>
      <c r="AD435" t="s">
        <v>4506</v>
      </c>
      <c r="AE435" t="s">
        <v>4515</v>
      </c>
      <c r="AF435" t="s">
        <v>4561</v>
      </c>
      <c r="AG435" t="s">
        <v>223</v>
      </c>
      <c r="AH435" t="s">
        <v>4734</v>
      </c>
      <c r="AI435" t="s">
        <v>223</v>
      </c>
      <c r="AJ435" t="s">
        <v>4734</v>
      </c>
      <c r="AK435" t="s">
        <v>4518</v>
      </c>
      <c r="AL435" t="s">
        <v>4519</v>
      </c>
      <c r="AM435" t="s">
        <v>4510</v>
      </c>
      <c r="AN435" t="s">
        <v>4523</v>
      </c>
      <c r="AO435" s="132">
        <v>107.660598179454</v>
      </c>
      <c r="AP435" s="133">
        <v>116.125333333333</v>
      </c>
      <c r="AQ435" s="65">
        <v>0.36533333333333301</v>
      </c>
      <c r="AR435" s="65">
        <v>1.2346666666666699</v>
      </c>
      <c r="AS435" s="65">
        <v>7.4306666666666699</v>
      </c>
    </row>
    <row r="436" spans="1:45" s="65" customFormat="1" ht="271">
      <c r="A436" s="65">
        <v>488</v>
      </c>
      <c r="B436" s="69" t="s">
        <v>1222</v>
      </c>
      <c r="C436" s="69" t="s">
        <v>45</v>
      </c>
      <c r="D436" s="31">
        <f t="shared" si="39"/>
        <v>4</v>
      </c>
      <c r="E436" s="69" t="s">
        <v>46</v>
      </c>
      <c r="F436" s="31">
        <f t="shared" si="40"/>
        <v>6</v>
      </c>
      <c r="G436" s="137" t="s">
        <v>1385</v>
      </c>
      <c r="H436" s="138">
        <v>422</v>
      </c>
      <c r="I436" s="92">
        <f t="shared" si="38"/>
        <v>0.28193608770252676</v>
      </c>
      <c r="J436" s="95">
        <v>3.86074728870534E-4</v>
      </c>
      <c r="K436" s="137">
        <v>0.57646725327735604</v>
      </c>
      <c r="L436" s="137">
        <v>0.56348610067618299</v>
      </c>
      <c r="M436" s="137">
        <v>0.59593898217911601</v>
      </c>
      <c r="N436" s="136">
        <v>0</v>
      </c>
      <c r="O436" s="154">
        <v>43394</v>
      </c>
      <c r="P436" s="98">
        <f t="shared" si="41"/>
        <v>0</v>
      </c>
      <c r="Q436" s="111">
        <v>0</v>
      </c>
      <c r="R436" s="111">
        <v>0</v>
      </c>
      <c r="S436" s="111">
        <v>0</v>
      </c>
      <c r="T436" s="112" t="s">
        <v>48</v>
      </c>
      <c r="U436" s="136" t="s">
        <v>1386</v>
      </c>
      <c r="V436" s="137" t="s">
        <v>1387</v>
      </c>
      <c r="W436" s="69">
        <v>88</v>
      </c>
      <c r="X436" s="69">
        <v>3</v>
      </c>
      <c r="Y436" s="69">
        <v>8</v>
      </c>
      <c r="Z436"/>
      <c r="AA436" t="s">
        <v>4697</v>
      </c>
      <c r="AB436" t="s">
        <v>51</v>
      </c>
      <c r="AC436" t="s">
        <v>223</v>
      </c>
      <c r="AD436" t="s">
        <v>4691</v>
      </c>
      <c r="AE436" t="s">
        <v>4515</v>
      </c>
      <c r="AF436" t="s">
        <v>4676</v>
      </c>
      <c r="AG436" t="s">
        <v>223</v>
      </c>
      <c r="AH436" t="s">
        <v>4691</v>
      </c>
      <c r="AI436" t="s">
        <v>4353</v>
      </c>
      <c r="AJ436" t="s">
        <v>4506</v>
      </c>
      <c r="AK436" t="s">
        <v>4519</v>
      </c>
      <c r="AL436" t="s">
        <v>4519</v>
      </c>
      <c r="AM436" t="s">
        <v>4898</v>
      </c>
      <c r="AN436" t="s">
        <v>4899</v>
      </c>
      <c r="AO436" s="132">
        <v>107.66015625</v>
      </c>
      <c r="AP436" s="133">
        <v>116.125333333333</v>
      </c>
      <c r="AQ436" s="65">
        <v>0.36533333333333301</v>
      </c>
      <c r="AR436" s="65">
        <v>1.2346666666666699</v>
      </c>
      <c r="AS436" s="65">
        <v>7.4306666666666699</v>
      </c>
    </row>
    <row r="437" spans="1:45" s="65" customFormat="1" ht="121">
      <c r="A437" s="65">
        <v>489</v>
      </c>
      <c r="B437" s="69" t="s">
        <v>1222</v>
      </c>
      <c r="C437" s="69" t="s">
        <v>45</v>
      </c>
      <c r="D437" s="31">
        <f t="shared" si="39"/>
        <v>4</v>
      </c>
      <c r="E437" s="69" t="s">
        <v>80</v>
      </c>
      <c r="F437" s="31">
        <f t="shared" si="40"/>
        <v>4</v>
      </c>
      <c r="G437" s="147" t="s">
        <v>1388</v>
      </c>
      <c r="H437" s="138">
        <v>124</v>
      </c>
      <c r="I437" s="92">
        <f t="shared" si="38"/>
        <v>0.41308760743167111</v>
      </c>
      <c r="J437" s="95">
        <v>1.17521486334227E-3</v>
      </c>
      <c r="K437" s="137">
        <v>0.72357142857142898</v>
      </c>
      <c r="L437" s="137">
        <v>0.82499999999999996</v>
      </c>
      <c r="M437" s="137">
        <v>0.57142857142857095</v>
      </c>
      <c r="N437" s="136">
        <v>1</v>
      </c>
      <c r="O437" s="154">
        <v>43392</v>
      </c>
      <c r="P437" s="98">
        <f t="shared" si="41"/>
        <v>0</v>
      </c>
      <c r="Q437" s="111">
        <v>0</v>
      </c>
      <c r="R437" s="111">
        <v>0</v>
      </c>
      <c r="S437" s="111">
        <v>0</v>
      </c>
      <c r="T437" s="112" t="s">
        <v>48</v>
      </c>
      <c r="U437" s="137" t="s">
        <v>1389</v>
      </c>
      <c r="V437" s="147" t="s">
        <v>1390</v>
      </c>
      <c r="W437" s="69">
        <v>170</v>
      </c>
      <c r="X437" s="171">
        <v>3</v>
      </c>
      <c r="Y437" s="171">
        <v>9</v>
      </c>
      <c r="Z437"/>
      <c r="AA437" t="s">
        <v>4564</v>
      </c>
      <c r="AB437" t="s">
        <v>358</v>
      </c>
      <c r="AC437" t="s">
        <v>223</v>
      </c>
      <c r="AD437" t="s">
        <v>4818</v>
      </c>
      <c r="AE437" t="s">
        <v>223</v>
      </c>
      <c r="AF437" t="s">
        <v>4818</v>
      </c>
      <c r="AG437" t="s">
        <v>223</v>
      </c>
      <c r="AH437" t="s">
        <v>4818</v>
      </c>
      <c r="AI437" t="s">
        <v>4515</v>
      </c>
      <c r="AJ437" t="s">
        <v>4900</v>
      </c>
      <c r="AK437" t="s">
        <v>4518</v>
      </c>
      <c r="AL437" t="s">
        <v>4519</v>
      </c>
      <c r="AM437" t="s">
        <v>4520</v>
      </c>
      <c r="AN437" t="s">
        <v>4521</v>
      </c>
      <c r="AO437" s="132">
        <v>107.638852672751</v>
      </c>
      <c r="AP437" s="133">
        <v>116.18449197861</v>
      </c>
      <c r="AQ437" s="65">
        <v>0.36631016042780801</v>
      </c>
      <c r="AR437" s="65">
        <v>1.23529411764706</v>
      </c>
      <c r="AS437" s="65">
        <v>7.4465240641711201</v>
      </c>
    </row>
    <row r="438" spans="1:45" s="65" customFormat="1" ht="61">
      <c r="A438" s="65">
        <v>312</v>
      </c>
      <c r="B438" s="69" t="s">
        <v>589</v>
      </c>
      <c r="C438" s="69" t="s">
        <v>45</v>
      </c>
      <c r="D438" s="31">
        <f t="shared" si="39"/>
        <v>4</v>
      </c>
      <c r="E438" s="69" t="s">
        <v>46</v>
      </c>
      <c r="F438" s="31">
        <f t="shared" si="40"/>
        <v>6</v>
      </c>
      <c r="G438" s="137" t="s">
        <v>926</v>
      </c>
      <c r="H438" s="138">
        <v>114</v>
      </c>
      <c r="I438" s="92">
        <f t="shared" si="38"/>
        <v>0.37505811102526238</v>
      </c>
      <c r="J438" s="95">
        <v>1.1622205052475001E-4</v>
      </c>
      <c r="K438" s="137">
        <v>0.79285714285714304</v>
      </c>
      <c r="L438" s="137">
        <v>0.75</v>
      </c>
      <c r="M438" s="137">
        <v>0.85714285714285698</v>
      </c>
      <c r="N438" s="136">
        <v>0</v>
      </c>
      <c r="O438" s="154">
        <v>43391</v>
      </c>
      <c r="P438" s="98">
        <f t="shared" si="41"/>
        <v>0</v>
      </c>
      <c r="Q438" s="111">
        <v>5.0999999999999996</v>
      </c>
      <c r="R438" s="111">
        <v>1.65</v>
      </c>
      <c r="S438" s="111">
        <v>0</v>
      </c>
      <c r="T438" s="112" t="s">
        <v>48</v>
      </c>
      <c r="U438" s="147" t="s">
        <v>927</v>
      </c>
      <c r="V438" s="137" t="s">
        <v>928</v>
      </c>
      <c r="W438" s="69">
        <v>65</v>
      </c>
      <c r="X438" s="147">
        <v>1</v>
      </c>
      <c r="Y438" s="147">
        <v>1</v>
      </c>
      <c r="Z438"/>
      <c r="AA438" t="s">
        <v>4564</v>
      </c>
      <c r="AB438" t="s">
        <v>4566</v>
      </c>
      <c r="AC438" t="s">
        <v>4353</v>
      </c>
      <c r="AD438" t="s">
        <v>4506</v>
      </c>
      <c r="AE438" t="s">
        <v>223</v>
      </c>
      <c r="AF438" t="s">
        <v>4684</v>
      </c>
      <c r="AG438" t="s">
        <v>4353</v>
      </c>
      <c r="AH438" t="s">
        <v>4506</v>
      </c>
      <c r="AI438" t="s">
        <v>223</v>
      </c>
      <c r="AJ438" t="s">
        <v>4684</v>
      </c>
      <c r="AK438" t="s">
        <v>4578</v>
      </c>
      <c r="AL438" t="s">
        <v>4519</v>
      </c>
      <c r="AM438" t="s">
        <v>4562</v>
      </c>
      <c r="AN438" t="s">
        <v>4817</v>
      </c>
      <c r="AO438" s="132">
        <v>107.56919060052201</v>
      </c>
      <c r="AP438" s="133">
        <v>116.284563758389</v>
      </c>
      <c r="AQ438" s="65">
        <v>0.36375838926174497</v>
      </c>
      <c r="AR438" s="65">
        <v>1.23355704697987</v>
      </c>
      <c r="AS438" s="65">
        <v>7.4483221476510098</v>
      </c>
    </row>
    <row r="439" spans="1:45" s="65" customFormat="1" ht="46">
      <c r="A439">
        <v>491</v>
      </c>
      <c r="B439" s="69" t="s">
        <v>1222</v>
      </c>
      <c r="C439" s="69" t="s">
        <v>45</v>
      </c>
      <c r="D439" s="31">
        <f t="shared" si="39"/>
        <v>4</v>
      </c>
      <c r="E439" s="69" t="s">
        <v>80</v>
      </c>
      <c r="F439" s="31">
        <f t="shared" si="40"/>
        <v>4</v>
      </c>
      <c r="G439" s="169" t="s">
        <v>159</v>
      </c>
      <c r="H439" s="138">
        <v>65</v>
      </c>
      <c r="I439" s="92">
        <f t="shared" si="38"/>
        <v>0.41254887960242842</v>
      </c>
      <c r="J439" s="95">
        <v>9.7759204856884301E-5</v>
      </c>
      <c r="K439" s="137">
        <v>0.62697624229580395</v>
      </c>
      <c r="L439" s="137">
        <v>0.82499999999999996</v>
      </c>
      <c r="M439" s="137">
        <v>0.32994060573951001</v>
      </c>
      <c r="N439" s="136">
        <v>1</v>
      </c>
      <c r="O439" s="155">
        <v>43391</v>
      </c>
      <c r="P439" s="98">
        <f t="shared" si="41"/>
        <v>0</v>
      </c>
      <c r="Q439" s="113">
        <v>0</v>
      </c>
      <c r="R439" s="113">
        <v>1.65</v>
      </c>
      <c r="S439" s="113">
        <v>1.87</v>
      </c>
      <c r="T439" s="114" t="s">
        <v>48</v>
      </c>
      <c r="U439" s="137" t="s">
        <v>1394</v>
      </c>
      <c r="V439" s="137" t="s">
        <v>1395</v>
      </c>
      <c r="W439" s="69">
        <v>57</v>
      </c>
      <c r="X439" s="69">
        <v>3</v>
      </c>
      <c r="Y439" s="69">
        <v>22</v>
      </c>
      <c r="Z439"/>
      <c r="AA439" t="s">
        <v>4522</v>
      </c>
      <c r="AB439" t="s">
        <v>51</v>
      </c>
      <c r="AC439" t="s">
        <v>4515</v>
      </c>
      <c r="AD439" t="s">
        <v>4763</v>
      </c>
      <c r="AE439" t="s">
        <v>4513</v>
      </c>
      <c r="AF439" t="s">
        <v>4901</v>
      </c>
      <c r="AG439" t="s">
        <v>223</v>
      </c>
      <c r="AH439" t="s">
        <v>4762</v>
      </c>
      <c r="AI439" t="s">
        <v>4353</v>
      </c>
      <c r="AJ439" t="s">
        <v>4506</v>
      </c>
      <c r="AK439" t="s">
        <v>4518</v>
      </c>
      <c r="AL439" t="s">
        <v>4519</v>
      </c>
      <c r="AM439" t="s">
        <v>4510</v>
      </c>
      <c r="AN439" t="s">
        <v>4523</v>
      </c>
      <c r="AO439" s="132">
        <v>107.56078431372499</v>
      </c>
      <c r="AP439" s="133">
        <v>116.284563758389</v>
      </c>
      <c r="AQ439" s="65">
        <v>0.36375838926174497</v>
      </c>
      <c r="AR439" s="65">
        <v>1.23355704697987</v>
      </c>
      <c r="AS439" s="65">
        <v>7.4483221476510098</v>
      </c>
    </row>
    <row r="440" spans="1:45" customFormat="1" ht="211">
      <c r="A440" s="65">
        <v>780</v>
      </c>
      <c r="B440" s="69" t="s">
        <v>2098</v>
      </c>
      <c r="C440" s="69" t="s">
        <v>45</v>
      </c>
      <c r="D440" s="31">
        <f t="shared" si="39"/>
        <v>4</v>
      </c>
      <c r="E440" s="69" t="s">
        <v>46</v>
      </c>
      <c r="F440" s="31">
        <f t="shared" si="40"/>
        <v>6</v>
      </c>
      <c r="G440" s="153" t="s">
        <v>2129</v>
      </c>
      <c r="H440" s="138">
        <v>410</v>
      </c>
      <c r="I440" s="92">
        <f t="shared" si="38"/>
        <v>0.25617323578026258</v>
      </c>
      <c r="J440" s="95">
        <v>8.6380036722122396E-5</v>
      </c>
      <c r="K440" s="137">
        <v>0.59307034062856701</v>
      </c>
      <c r="L440" s="137">
        <v>0.51226009152380303</v>
      </c>
      <c r="M440" s="137">
        <v>0.71428571428571397</v>
      </c>
      <c r="N440" s="136">
        <v>1</v>
      </c>
      <c r="O440" s="154">
        <v>43391</v>
      </c>
      <c r="P440" s="98">
        <f t="shared" si="41"/>
        <v>0</v>
      </c>
      <c r="Q440" s="111">
        <v>5.0999999999999996</v>
      </c>
      <c r="R440" s="111">
        <v>0</v>
      </c>
      <c r="S440" s="111">
        <v>0</v>
      </c>
      <c r="T440" s="112" t="s">
        <v>48</v>
      </c>
      <c r="U440" s="137" t="s">
        <v>2130</v>
      </c>
      <c r="V440" s="137" t="s">
        <v>2131</v>
      </c>
      <c r="W440" s="69">
        <v>113</v>
      </c>
      <c r="X440" s="69">
        <v>2</v>
      </c>
      <c r="Y440" s="69">
        <v>4</v>
      </c>
      <c r="Z440" s="69"/>
      <c r="AA440" t="s">
        <v>4902</v>
      </c>
      <c r="AB440" t="s">
        <v>358</v>
      </c>
      <c r="AC440" t="s">
        <v>4515</v>
      </c>
      <c r="AD440" t="s">
        <v>4590</v>
      </c>
      <c r="AE440" t="s">
        <v>223</v>
      </c>
      <c r="AF440" t="s">
        <v>4588</v>
      </c>
      <c r="AG440" t="s">
        <v>223</v>
      </c>
      <c r="AH440" t="s">
        <v>4588</v>
      </c>
      <c r="AI440" t="s">
        <v>4530</v>
      </c>
      <c r="AJ440" t="s">
        <v>4595</v>
      </c>
      <c r="AK440" t="s">
        <v>4578</v>
      </c>
      <c r="AL440" t="s">
        <v>4519</v>
      </c>
      <c r="AM440" t="s">
        <v>4520</v>
      </c>
      <c r="AN440" t="s">
        <v>4903</v>
      </c>
      <c r="AO440" s="134">
        <v>107.602094240838</v>
      </c>
      <c r="AP440" s="135">
        <v>116.284563758389</v>
      </c>
      <c r="AQ440">
        <v>0.36375838926174497</v>
      </c>
      <c r="AR440" s="136">
        <v>1.23355704697987</v>
      </c>
      <c r="AS440">
        <v>7.4483221476510098</v>
      </c>
    </row>
    <row r="441" spans="1:45" customFormat="1" ht="46">
      <c r="A441" s="65">
        <v>492</v>
      </c>
      <c r="B441" s="69" t="s">
        <v>1222</v>
      </c>
      <c r="C441" s="69" t="s">
        <v>45</v>
      </c>
      <c r="D441" s="31">
        <f t="shared" si="39"/>
        <v>4</v>
      </c>
      <c r="E441" s="69" t="s">
        <v>80</v>
      </c>
      <c r="F441" s="31">
        <f t="shared" si="40"/>
        <v>4</v>
      </c>
      <c r="G441" s="152" t="s">
        <v>938</v>
      </c>
      <c r="H441" s="138">
        <v>52</v>
      </c>
      <c r="I441" s="92">
        <f t="shared" si="38"/>
        <v>0.37500194082694116</v>
      </c>
      <c r="J441" s="95">
        <v>3.8816538823205298E-6</v>
      </c>
      <c r="K441" s="137">
        <v>0.71002915755524698</v>
      </c>
      <c r="L441" s="137">
        <v>0.75</v>
      </c>
      <c r="M441" s="137">
        <v>0.65007289388811795</v>
      </c>
      <c r="N441" s="136">
        <v>1</v>
      </c>
      <c r="O441" s="154">
        <v>43391</v>
      </c>
      <c r="P441" s="98">
        <f t="shared" si="41"/>
        <v>0</v>
      </c>
      <c r="Q441" s="111">
        <v>5.0999999999999996</v>
      </c>
      <c r="R441" s="111">
        <v>3.3</v>
      </c>
      <c r="S441" s="111">
        <v>0</v>
      </c>
      <c r="T441" s="112" t="s">
        <v>48</v>
      </c>
      <c r="U441" s="137" t="s">
        <v>1396</v>
      </c>
      <c r="V441" s="137" t="s">
        <v>1397</v>
      </c>
      <c r="W441" s="69">
        <v>57</v>
      </c>
      <c r="X441" s="195">
        <v>3</v>
      </c>
      <c r="Y441" s="195">
        <v>6</v>
      </c>
      <c r="AA441" t="s">
        <v>4564</v>
      </c>
      <c r="AB441" t="s">
        <v>4576</v>
      </c>
      <c r="AC441" t="s">
        <v>4353</v>
      </c>
      <c r="AD441" t="s">
        <v>4506</v>
      </c>
      <c r="AE441" t="s">
        <v>4515</v>
      </c>
      <c r="AF441" t="s">
        <v>4609</v>
      </c>
      <c r="AG441" t="s">
        <v>4515</v>
      </c>
      <c r="AH441" t="s">
        <v>4609</v>
      </c>
      <c r="AI441" t="s">
        <v>4353</v>
      </c>
      <c r="AJ441" t="s">
        <v>4506</v>
      </c>
      <c r="AK441" t="s">
        <v>4518</v>
      </c>
      <c r="AL441" t="s">
        <v>4519</v>
      </c>
      <c r="AM441" t="s">
        <v>4520</v>
      </c>
      <c r="AN441" t="s">
        <v>4521</v>
      </c>
      <c r="AO441" s="134">
        <v>107.657929226737</v>
      </c>
      <c r="AP441" s="135">
        <v>116.284563758389</v>
      </c>
      <c r="AQ441">
        <v>0.36375838926174497</v>
      </c>
      <c r="AR441" s="136">
        <v>1.23355704697987</v>
      </c>
      <c r="AS441">
        <v>7.4483221476510098</v>
      </c>
    </row>
    <row r="442" spans="1:45" customFormat="1" ht="91">
      <c r="A442">
        <v>311</v>
      </c>
      <c r="B442" s="69" t="s">
        <v>589</v>
      </c>
      <c r="C442" s="69" t="s">
        <v>45</v>
      </c>
      <c r="D442" s="31">
        <f t="shared" si="39"/>
        <v>4</v>
      </c>
      <c r="E442" s="69" t="s">
        <v>46</v>
      </c>
      <c r="F442" s="31">
        <f t="shared" si="40"/>
        <v>6</v>
      </c>
      <c r="G442" s="137" t="s">
        <v>305</v>
      </c>
      <c r="H442" s="138">
        <v>161</v>
      </c>
      <c r="I442" s="92">
        <f t="shared" si="38"/>
        <v>0.37500018599174312</v>
      </c>
      <c r="J442" s="95">
        <v>3.7198348623590499E-7</v>
      </c>
      <c r="K442" s="137">
        <v>0.85</v>
      </c>
      <c r="L442" s="137">
        <v>0.75</v>
      </c>
      <c r="M442" s="137">
        <v>1</v>
      </c>
      <c r="N442" s="136">
        <v>1</v>
      </c>
      <c r="O442" s="154">
        <v>43391</v>
      </c>
      <c r="P442" s="98">
        <f t="shared" si="41"/>
        <v>0</v>
      </c>
      <c r="Q442" s="111">
        <v>10.199999999999999</v>
      </c>
      <c r="R442" s="111">
        <v>3.3</v>
      </c>
      <c r="S442" s="111">
        <v>0</v>
      </c>
      <c r="T442" s="112" t="s">
        <v>48</v>
      </c>
      <c r="U442" s="147" t="s">
        <v>924</v>
      </c>
      <c r="V442" s="137" t="s">
        <v>925</v>
      </c>
      <c r="W442" s="69">
        <v>118</v>
      </c>
      <c r="X442" s="171">
        <v>1</v>
      </c>
      <c r="Y442" s="171">
        <v>0</v>
      </c>
      <c r="AA442" t="s">
        <v>4564</v>
      </c>
      <c r="AB442" t="s">
        <v>71</v>
      </c>
      <c r="AC442" t="s">
        <v>4515</v>
      </c>
      <c r="AD442" t="s">
        <v>4762</v>
      </c>
      <c r="AE442" t="s">
        <v>223</v>
      </c>
      <c r="AF442" t="s">
        <v>4768</v>
      </c>
      <c r="AG442" t="s">
        <v>4513</v>
      </c>
      <c r="AH442" t="s">
        <v>4801</v>
      </c>
      <c r="AI442" t="s">
        <v>4353</v>
      </c>
      <c r="AJ442" t="s">
        <v>4506</v>
      </c>
      <c r="AK442" t="s">
        <v>4578</v>
      </c>
      <c r="AL442" t="s">
        <v>4519</v>
      </c>
      <c r="AM442" t="s">
        <v>4562</v>
      </c>
      <c r="AN442" t="s">
        <v>4817</v>
      </c>
      <c r="AO442" s="134">
        <v>107.730971128609</v>
      </c>
      <c r="AP442" s="135">
        <v>116.284563758389</v>
      </c>
      <c r="AQ442">
        <v>0.36375838926174497</v>
      </c>
      <c r="AR442" s="136">
        <v>1.23355704697987</v>
      </c>
      <c r="AS442">
        <v>7.4483221476510098</v>
      </c>
    </row>
    <row r="443" spans="1:45" customFormat="1" ht="46">
      <c r="A443">
        <v>490</v>
      </c>
      <c r="B443" s="69" t="s">
        <v>1222</v>
      </c>
      <c r="C443" s="69" t="s">
        <v>45</v>
      </c>
      <c r="D443" s="31">
        <f t="shared" si="39"/>
        <v>4</v>
      </c>
      <c r="E443" s="69" t="s">
        <v>80</v>
      </c>
      <c r="F443" s="31">
        <f t="shared" si="40"/>
        <v>4</v>
      </c>
      <c r="G443" s="137" t="s">
        <v>1391</v>
      </c>
      <c r="H443" s="138">
        <v>76</v>
      </c>
      <c r="I443" s="92">
        <f t="shared" si="38"/>
        <v>0.41249999999999998</v>
      </c>
      <c r="J443" s="95">
        <v>0</v>
      </c>
      <c r="K443" s="137">
        <v>0.76722468700001201</v>
      </c>
      <c r="L443" s="137">
        <v>0.82499999999999996</v>
      </c>
      <c r="M443" s="137">
        <v>0.68056171750003003</v>
      </c>
      <c r="N443" s="136">
        <v>1</v>
      </c>
      <c r="O443" s="154">
        <v>43391</v>
      </c>
      <c r="P443" s="98">
        <f t="shared" si="41"/>
        <v>0</v>
      </c>
      <c r="Q443" s="111">
        <v>0</v>
      </c>
      <c r="R443" s="111">
        <v>0</v>
      </c>
      <c r="S443" s="111">
        <v>0</v>
      </c>
      <c r="T443" s="112" t="s">
        <v>48</v>
      </c>
      <c r="U443" s="137" t="s">
        <v>1392</v>
      </c>
      <c r="V443" s="137" t="s">
        <v>1393</v>
      </c>
      <c r="W443" s="69">
        <v>64</v>
      </c>
      <c r="X443" s="195">
        <v>1</v>
      </c>
      <c r="Y443" s="195">
        <v>5</v>
      </c>
      <c r="AA443" t="s">
        <v>4889</v>
      </c>
      <c r="AB443" t="s">
        <v>358</v>
      </c>
      <c r="AC443" t="s">
        <v>223</v>
      </c>
      <c r="AD443" t="s">
        <v>4643</v>
      </c>
      <c r="AE443" t="s">
        <v>223</v>
      </c>
      <c r="AF443" t="s">
        <v>4643</v>
      </c>
      <c r="AG443" t="s">
        <v>4353</v>
      </c>
      <c r="AH443" t="s">
        <v>4506</v>
      </c>
      <c r="AI443" t="s">
        <v>4515</v>
      </c>
      <c r="AJ443" t="s">
        <v>4782</v>
      </c>
      <c r="AK443" t="s">
        <v>4518</v>
      </c>
      <c r="AL443" t="s">
        <v>4552</v>
      </c>
      <c r="AM443" t="s">
        <v>4520</v>
      </c>
      <c r="AN443" t="s">
        <v>4621</v>
      </c>
      <c r="AO443" s="134">
        <v>107.33377135348201</v>
      </c>
      <c r="AP443" s="135">
        <v>116.284563758389</v>
      </c>
      <c r="AQ443">
        <v>0.36375838926174497</v>
      </c>
      <c r="AR443" s="136">
        <v>1.23355704697987</v>
      </c>
      <c r="AS443">
        <v>7.4483221476510098</v>
      </c>
    </row>
    <row r="444" spans="1:45" customFormat="1" ht="46">
      <c r="A444">
        <v>707</v>
      </c>
      <c r="B444" s="69" t="s">
        <v>1913</v>
      </c>
      <c r="C444" s="69" t="s">
        <v>59</v>
      </c>
      <c r="D444" s="31">
        <f t="shared" si="39"/>
        <v>5</v>
      </c>
      <c r="E444" s="69" t="s">
        <v>46</v>
      </c>
      <c r="F444" s="31">
        <f t="shared" si="40"/>
        <v>6</v>
      </c>
      <c r="G444" s="137" t="s">
        <v>1943</v>
      </c>
      <c r="H444" s="138">
        <v>59</v>
      </c>
      <c r="I444" s="92">
        <f t="shared" si="38"/>
        <v>0.83828910221323794</v>
      </c>
      <c r="J444" s="95">
        <v>0.99476002260829399</v>
      </c>
      <c r="K444" s="137">
        <v>0.80909090909090897</v>
      </c>
      <c r="L444" s="137">
        <v>0.68181818181818199</v>
      </c>
      <c r="M444" s="137">
        <v>1</v>
      </c>
      <c r="N444" s="136">
        <v>1</v>
      </c>
      <c r="O444" s="154">
        <v>43390</v>
      </c>
      <c r="P444" s="98">
        <f t="shared" si="41"/>
        <v>1</v>
      </c>
      <c r="Q444" s="113">
        <v>0</v>
      </c>
      <c r="R444" s="113">
        <v>0</v>
      </c>
      <c r="S444" s="113">
        <v>0</v>
      </c>
      <c r="T444" s="114" t="s">
        <v>73</v>
      </c>
      <c r="U444" s="137" t="s">
        <v>4416</v>
      </c>
      <c r="V444" s="137" t="s">
        <v>1945</v>
      </c>
      <c r="W444" s="69">
        <v>55</v>
      </c>
      <c r="X444" s="69">
        <v>1</v>
      </c>
      <c r="Y444" s="69">
        <v>0</v>
      </c>
      <c r="Z444" s="69"/>
      <c r="AA444" t="s">
        <v>4564</v>
      </c>
      <c r="AB444" t="s">
        <v>51</v>
      </c>
      <c r="AC444" t="s">
        <v>4515</v>
      </c>
      <c r="AD444" t="s">
        <v>4719</v>
      </c>
      <c r="AE444" t="s">
        <v>4513</v>
      </c>
      <c r="AF444" t="s">
        <v>4677</v>
      </c>
      <c r="AG444" t="s">
        <v>4353</v>
      </c>
      <c r="AH444" t="s">
        <v>4506</v>
      </c>
      <c r="AI444" t="s">
        <v>4353</v>
      </c>
      <c r="AJ444" t="s">
        <v>4506</v>
      </c>
      <c r="AK444" t="s">
        <v>4519</v>
      </c>
      <c r="AL444" t="s">
        <v>4519</v>
      </c>
      <c r="AM444" t="s">
        <v>4519</v>
      </c>
      <c r="AN444" t="s">
        <v>4564</v>
      </c>
      <c r="AO444" s="134">
        <v>107.396052631579</v>
      </c>
      <c r="AP444" s="135">
        <v>116.427408412483</v>
      </c>
      <c r="AQ444">
        <v>0.36092265943012197</v>
      </c>
      <c r="AR444" s="136">
        <v>1.2279511533242899</v>
      </c>
      <c r="AS444">
        <v>7.4246947082767996</v>
      </c>
    </row>
    <row r="445" spans="1:45" customFormat="1" ht="61">
      <c r="A445" s="65">
        <v>313</v>
      </c>
      <c r="B445" s="69" t="s">
        <v>589</v>
      </c>
      <c r="C445" s="69" t="s">
        <v>45</v>
      </c>
      <c r="D445" s="31">
        <f t="shared" si="39"/>
        <v>4</v>
      </c>
      <c r="E445" s="69" t="s">
        <v>46</v>
      </c>
      <c r="F445" s="31">
        <f t="shared" si="40"/>
        <v>6</v>
      </c>
      <c r="G445" s="137" t="s">
        <v>929</v>
      </c>
      <c r="H445" s="138">
        <v>60</v>
      </c>
      <c r="I445" s="92">
        <f t="shared" si="38"/>
        <v>0.38236872217794504</v>
      </c>
      <c r="J445" s="95">
        <v>1.4737444355890099E-2</v>
      </c>
      <c r="K445" s="137">
        <v>0.72222468700001197</v>
      </c>
      <c r="L445" s="137">
        <v>0.75</v>
      </c>
      <c r="M445" s="137">
        <v>0.68056171750003003</v>
      </c>
      <c r="N445" s="136">
        <v>0</v>
      </c>
      <c r="O445" s="154">
        <v>43390</v>
      </c>
      <c r="P445" s="98">
        <f t="shared" si="41"/>
        <v>0</v>
      </c>
      <c r="Q445" s="111">
        <v>5.0999999999999996</v>
      </c>
      <c r="R445" s="111">
        <v>1.65</v>
      </c>
      <c r="S445" s="111">
        <v>0</v>
      </c>
      <c r="T445" s="112" t="s">
        <v>48</v>
      </c>
      <c r="U445" s="137" t="s">
        <v>930</v>
      </c>
      <c r="V445" s="137" t="s">
        <v>931</v>
      </c>
      <c r="W445" s="69">
        <v>87</v>
      </c>
      <c r="X445" s="69">
        <v>1</v>
      </c>
      <c r="Y445" s="69">
        <v>5</v>
      </c>
      <c r="AA445" t="s">
        <v>4564</v>
      </c>
      <c r="AB445" t="s">
        <v>87</v>
      </c>
      <c r="AC445" t="s">
        <v>4530</v>
      </c>
      <c r="AD445" t="s">
        <v>4904</v>
      </c>
      <c r="AE445" t="s">
        <v>4513</v>
      </c>
      <c r="AF445" t="s">
        <v>4627</v>
      </c>
      <c r="AG445" t="s">
        <v>223</v>
      </c>
      <c r="AH445" t="s">
        <v>4540</v>
      </c>
      <c r="AI445" t="s">
        <v>4515</v>
      </c>
      <c r="AJ445" t="s">
        <v>4629</v>
      </c>
      <c r="AK445" t="s">
        <v>4518</v>
      </c>
      <c r="AL445" t="s">
        <v>4519</v>
      </c>
      <c r="AM445" t="s">
        <v>4528</v>
      </c>
      <c r="AN445" t="s">
        <v>4624</v>
      </c>
      <c r="AO445" s="134">
        <v>107.416337285903</v>
      </c>
      <c r="AP445" s="135">
        <v>116.427408412483</v>
      </c>
      <c r="AQ445">
        <v>0.36092265943012197</v>
      </c>
      <c r="AR445" s="136">
        <v>1.2279511533242899</v>
      </c>
      <c r="AS445">
        <v>7.4246947082767996</v>
      </c>
    </row>
    <row r="446" spans="1:45" customFormat="1" ht="91">
      <c r="A446">
        <v>314</v>
      </c>
      <c r="B446" s="69" t="s">
        <v>589</v>
      </c>
      <c r="C446" s="69" t="s">
        <v>45</v>
      </c>
      <c r="D446" s="31">
        <f t="shared" si="39"/>
        <v>4</v>
      </c>
      <c r="E446" s="69" t="s">
        <v>80</v>
      </c>
      <c r="F446" s="31">
        <f t="shared" si="40"/>
        <v>4</v>
      </c>
      <c r="G446" s="137" t="s">
        <v>932</v>
      </c>
      <c r="H446" s="138">
        <v>92</v>
      </c>
      <c r="I446" s="92">
        <f t="shared" si="38"/>
        <v>0.41455730373947258</v>
      </c>
      <c r="J446" s="95">
        <v>4.11460747894521E-3</v>
      </c>
      <c r="K446" s="137">
        <v>0.81418779643582295</v>
      </c>
      <c r="L446" s="137">
        <v>0.82499999999999996</v>
      </c>
      <c r="M446" s="137">
        <v>0.79796949108955795</v>
      </c>
      <c r="N446" s="136">
        <v>1</v>
      </c>
      <c r="O446" s="154">
        <v>43390</v>
      </c>
      <c r="P446" s="98">
        <f t="shared" si="41"/>
        <v>0</v>
      </c>
      <c r="Q446" s="111">
        <v>5.0999999999999996</v>
      </c>
      <c r="R446" s="111">
        <v>4.95</v>
      </c>
      <c r="S446" s="111">
        <v>0</v>
      </c>
      <c r="T446" s="112" t="s">
        <v>48</v>
      </c>
      <c r="U446" s="147" t="s">
        <v>933</v>
      </c>
      <c r="V446" s="137" t="s">
        <v>934</v>
      </c>
      <c r="W446" s="69">
        <v>123</v>
      </c>
      <c r="X446" s="147">
        <v>1</v>
      </c>
      <c r="Y446" s="147">
        <v>2</v>
      </c>
      <c r="AA446" t="s">
        <v>4628</v>
      </c>
      <c r="AB446" t="s">
        <v>71</v>
      </c>
      <c r="AC446" t="s">
        <v>4515</v>
      </c>
      <c r="AD446" t="s">
        <v>4547</v>
      </c>
      <c r="AE446" t="s">
        <v>223</v>
      </c>
      <c r="AF446" t="s">
        <v>4549</v>
      </c>
      <c r="AG446" t="s">
        <v>4513</v>
      </c>
      <c r="AH446" t="s">
        <v>4548</v>
      </c>
      <c r="AI446" t="s">
        <v>4353</v>
      </c>
      <c r="AJ446" t="s">
        <v>4506</v>
      </c>
      <c r="AK446" t="s">
        <v>4518</v>
      </c>
      <c r="AL446" t="s">
        <v>4552</v>
      </c>
      <c r="AM446" t="s">
        <v>4520</v>
      </c>
      <c r="AN446" t="s">
        <v>4621</v>
      </c>
      <c r="AO446" s="134">
        <v>107.469656992084</v>
      </c>
      <c r="AP446" s="135">
        <v>116.427408412483</v>
      </c>
      <c r="AQ446">
        <v>0.36092265943012197</v>
      </c>
      <c r="AR446" s="136">
        <v>1.2279511533242899</v>
      </c>
      <c r="AS446">
        <v>7.4246947082767996</v>
      </c>
    </row>
    <row r="447" spans="1:45" customFormat="1" ht="61">
      <c r="A447" s="65">
        <v>493</v>
      </c>
      <c r="B447" s="69" t="s">
        <v>1222</v>
      </c>
      <c r="C447" s="69" t="s">
        <v>45</v>
      </c>
      <c r="D447" s="31">
        <f t="shared" si="39"/>
        <v>4</v>
      </c>
      <c r="E447" s="69" t="s">
        <v>80</v>
      </c>
      <c r="F447" s="31">
        <f t="shared" si="40"/>
        <v>4</v>
      </c>
      <c r="G447" s="152" t="s">
        <v>938</v>
      </c>
      <c r="H447" s="138">
        <v>67</v>
      </c>
      <c r="I447" s="92">
        <f t="shared" si="38"/>
        <v>0.37621839664569001</v>
      </c>
      <c r="J447" s="95">
        <v>2.43679329138002E-3</v>
      </c>
      <c r="K447" s="137">
        <v>0.69881421079630901</v>
      </c>
      <c r="L447" s="137">
        <v>0.75</v>
      </c>
      <c r="M447" s="137">
        <v>0.62203552699077302</v>
      </c>
      <c r="N447" s="136">
        <v>1</v>
      </c>
      <c r="O447" s="154">
        <v>43390</v>
      </c>
      <c r="P447" s="98">
        <f t="shared" si="41"/>
        <v>0</v>
      </c>
      <c r="Q447" s="111">
        <v>0</v>
      </c>
      <c r="R447" s="111">
        <v>0</v>
      </c>
      <c r="S447" s="111">
        <v>0</v>
      </c>
      <c r="T447" s="112" t="s">
        <v>48</v>
      </c>
      <c r="U447" s="137" t="s">
        <v>1398</v>
      </c>
      <c r="V447" s="137" t="s">
        <v>1399</v>
      </c>
      <c r="W447" s="69">
        <v>83</v>
      </c>
      <c r="X447" s="171">
        <v>3</v>
      </c>
      <c r="Y447" s="171">
        <v>7</v>
      </c>
      <c r="AA447" t="s">
        <v>4564</v>
      </c>
      <c r="AB447" t="s">
        <v>51</v>
      </c>
      <c r="AC447" t="s">
        <v>4515</v>
      </c>
      <c r="AD447" t="s">
        <v>4813</v>
      </c>
      <c r="AE447" t="s">
        <v>4513</v>
      </c>
      <c r="AF447" t="s">
        <v>4609</v>
      </c>
      <c r="AG447" t="s">
        <v>4515</v>
      </c>
      <c r="AH447" t="s">
        <v>4813</v>
      </c>
      <c r="AI447" t="s">
        <v>4353</v>
      </c>
      <c r="AJ447" t="s">
        <v>4506</v>
      </c>
      <c r="AK447" t="s">
        <v>4518</v>
      </c>
      <c r="AL447" t="s">
        <v>4519</v>
      </c>
      <c r="AM447" t="s">
        <v>4520</v>
      </c>
      <c r="AN447" t="s">
        <v>4521</v>
      </c>
      <c r="AO447" s="134">
        <v>107.533685601057</v>
      </c>
      <c r="AP447" s="135">
        <v>116.427408412483</v>
      </c>
      <c r="AQ447">
        <v>0.36092265943012197</v>
      </c>
      <c r="AR447" s="136">
        <v>1.2279511533242899</v>
      </c>
      <c r="AS447">
        <v>7.4246947082767996</v>
      </c>
    </row>
    <row r="448" spans="1:45" customFormat="1" ht="166">
      <c r="A448">
        <v>315</v>
      </c>
      <c r="B448" s="69" t="s">
        <v>589</v>
      </c>
      <c r="C448" s="69" t="s">
        <v>45</v>
      </c>
      <c r="D448" s="31">
        <f t="shared" si="39"/>
        <v>4</v>
      </c>
      <c r="E448" s="69" t="s">
        <v>80</v>
      </c>
      <c r="F448" s="31">
        <f t="shared" si="40"/>
        <v>4</v>
      </c>
      <c r="G448" s="147" t="s">
        <v>935</v>
      </c>
      <c r="H448" s="138">
        <v>74</v>
      </c>
      <c r="I448" s="92">
        <f t="shared" si="38"/>
        <v>0.41250125277749783</v>
      </c>
      <c r="J448" s="95">
        <v>2.5055549957020401E-6</v>
      </c>
      <c r="K448" s="137">
        <v>0.75502915755524702</v>
      </c>
      <c r="L448" s="137">
        <v>0.82499999999999996</v>
      </c>
      <c r="M448" s="137">
        <v>0.65007289388811795</v>
      </c>
      <c r="N448" s="136">
        <v>1</v>
      </c>
      <c r="O448" s="154">
        <v>43389</v>
      </c>
      <c r="P448" s="98">
        <f t="shared" si="41"/>
        <v>0</v>
      </c>
      <c r="Q448" s="111">
        <v>0</v>
      </c>
      <c r="R448" s="111">
        <v>1.65</v>
      </c>
      <c r="S448" s="111">
        <v>0</v>
      </c>
      <c r="T448" s="112" t="s">
        <v>48</v>
      </c>
      <c r="U448" s="137" t="s">
        <v>936</v>
      </c>
      <c r="V448" s="137" t="s">
        <v>937</v>
      </c>
      <c r="W448" s="69">
        <v>244</v>
      </c>
      <c r="X448" s="147">
        <v>1</v>
      </c>
      <c r="Y448" s="147">
        <v>6</v>
      </c>
      <c r="AA448" t="s">
        <v>4628</v>
      </c>
      <c r="AB448" t="s">
        <v>358</v>
      </c>
      <c r="AC448" t="s">
        <v>4515</v>
      </c>
      <c r="AD448" t="s">
        <v>4905</v>
      </c>
      <c r="AE448" t="s">
        <v>4515</v>
      </c>
      <c r="AF448" t="s">
        <v>4905</v>
      </c>
      <c r="AG448" t="s">
        <v>223</v>
      </c>
      <c r="AH448" t="s">
        <v>4906</v>
      </c>
      <c r="AI448" t="s">
        <v>4513</v>
      </c>
      <c r="AJ448" t="s">
        <v>4907</v>
      </c>
      <c r="AK448" t="s">
        <v>4518</v>
      </c>
      <c r="AL448" t="s">
        <v>4552</v>
      </c>
      <c r="AM448" t="s">
        <v>4520</v>
      </c>
      <c r="AN448" t="s">
        <v>4621</v>
      </c>
      <c r="AO448" s="134">
        <v>107.578042328042</v>
      </c>
      <c r="AP448" s="135">
        <v>116.400815217391</v>
      </c>
      <c r="AQ448">
        <v>0.36141304347826098</v>
      </c>
      <c r="AR448" s="136">
        <v>1.22826086956522</v>
      </c>
      <c r="AS448">
        <v>7.4239130434782599</v>
      </c>
    </row>
    <row r="449" spans="1:45" customFormat="1" ht="91">
      <c r="A449">
        <v>498</v>
      </c>
      <c r="B449" s="69" t="s">
        <v>1222</v>
      </c>
      <c r="C449" s="69" t="s">
        <v>45</v>
      </c>
      <c r="D449" s="31">
        <f t="shared" si="39"/>
        <v>4</v>
      </c>
      <c r="E449" s="69" t="s">
        <v>80</v>
      </c>
      <c r="F449" s="31">
        <f t="shared" si="40"/>
        <v>4</v>
      </c>
      <c r="G449" s="137" t="s">
        <v>1411</v>
      </c>
      <c r="H449" s="138">
        <v>64</v>
      </c>
      <c r="I449" s="92">
        <f t="shared" si="38"/>
        <v>0.47523828819080549</v>
      </c>
      <c r="J449" s="95">
        <v>0.125476576381611</v>
      </c>
      <c r="K449" s="137">
        <v>0.733375592871646</v>
      </c>
      <c r="L449" s="137">
        <v>0.82499999999999996</v>
      </c>
      <c r="M449" s="137">
        <v>0.59593898217911601</v>
      </c>
      <c r="N449" s="136">
        <v>1</v>
      </c>
      <c r="O449" s="154">
        <v>43388</v>
      </c>
      <c r="P449" s="98">
        <f t="shared" si="41"/>
        <v>0</v>
      </c>
      <c r="Q449" s="111">
        <v>0</v>
      </c>
      <c r="R449" s="111">
        <v>3.3</v>
      </c>
      <c r="S449" s="111">
        <v>0</v>
      </c>
      <c r="T449" s="112" t="s">
        <v>48</v>
      </c>
      <c r="U449" s="137" t="s">
        <v>1412</v>
      </c>
      <c r="V449" s="137" t="s">
        <v>1407</v>
      </c>
      <c r="W449" s="69">
        <v>124</v>
      </c>
      <c r="X449" s="195">
        <v>3</v>
      </c>
      <c r="Y449" s="195">
        <v>8</v>
      </c>
      <c r="AA449" t="s">
        <v>4522</v>
      </c>
      <c r="AB449" t="s">
        <v>4908</v>
      </c>
      <c r="AC449" t="s">
        <v>4515</v>
      </c>
      <c r="AD449" t="s">
        <v>4762</v>
      </c>
      <c r="AE449" t="s">
        <v>223</v>
      </c>
      <c r="AF449" t="s">
        <v>4768</v>
      </c>
      <c r="AG449" t="s">
        <v>4515</v>
      </c>
      <c r="AH449" t="s">
        <v>4762</v>
      </c>
      <c r="AI449" t="s">
        <v>4515</v>
      </c>
      <c r="AJ449" t="s">
        <v>4762</v>
      </c>
      <c r="AK449" t="s">
        <v>4578</v>
      </c>
      <c r="AL449" t="s">
        <v>4519</v>
      </c>
      <c r="AM449" t="s">
        <v>4520</v>
      </c>
      <c r="AN449" t="s">
        <v>4903</v>
      </c>
      <c r="AO449" s="134">
        <v>107.66357615894</v>
      </c>
      <c r="AP449" s="135">
        <v>116.461224489796</v>
      </c>
      <c r="AQ449">
        <v>0.35918367346938801</v>
      </c>
      <c r="AR449" s="136">
        <v>1.22857142857143</v>
      </c>
      <c r="AS449">
        <v>7.4068027210884404</v>
      </c>
    </row>
    <row r="450" spans="1:45" customFormat="1" ht="91">
      <c r="A450" s="65">
        <v>496</v>
      </c>
      <c r="B450" s="69" t="s">
        <v>1222</v>
      </c>
      <c r="C450" s="69" t="s">
        <v>45</v>
      </c>
      <c r="D450" s="31">
        <f t="shared" si="39"/>
        <v>4</v>
      </c>
      <c r="E450" s="69" t="s">
        <v>80</v>
      </c>
      <c r="F450" s="31">
        <f t="shared" si="40"/>
        <v>4</v>
      </c>
      <c r="G450" s="147" t="s">
        <v>1405</v>
      </c>
      <c r="H450" s="138">
        <v>54</v>
      </c>
      <c r="I450" s="92">
        <f t="shared" si="38"/>
        <v>0.44106706222511666</v>
      </c>
      <c r="J450" s="95">
        <v>5.7134124450233401E-2</v>
      </c>
      <c r="K450" s="137">
        <v>0.70547858340826297</v>
      </c>
      <c r="L450" s="137">
        <v>0.82499999999999996</v>
      </c>
      <c r="M450" s="137">
        <v>0.526196458520657</v>
      </c>
      <c r="N450" s="136">
        <v>1</v>
      </c>
      <c r="O450" s="154">
        <v>43388</v>
      </c>
      <c r="P450" s="98">
        <f t="shared" si="41"/>
        <v>0</v>
      </c>
      <c r="Q450" s="111">
        <v>2.5499999999999998</v>
      </c>
      <c r="R450" s="111">
        <v>1.65</v>
      </c>
      <c r="S450" s="111">
        <v>0</v>
      </c>
      <c r="T450" s="112" t="s">
        <v>48</v>
      </c>
      <c r="U450" s="137" t="s">
        <v>1406</v>
      </c>
      <c r="V450" s="137" t="s">
        <v>1407</v>
      </c>
      <c r="W450" s="69">
        <v>124</v>
      </c>
      <c r="X450" s="171">
        <v>4</v>
      </c>
      <c r="Y450" s="171">
        <v>11</v>
      </c>
      <c r="AA450" t="s">
        <v>4522</v>
      </c>
      <c r="AB450" t="s">
        <v>4908</v>
      </c>
      <c r="AC450" t="s">
        <v>4515</v>
      </c>
      <c r="AD450" t="s">
        <v>4762</v>
      </c>
      <c r="AE450" t="s">
        <v>223</v>
      </c>
      <c r="AF450" t="s">
        <v>4768</v>
      </c>
      <c r="AG450" t="s">
        <v>4515</v>
      </c>
      <c r="AH450" t="s">
        <v>4762</v>
      </c>
      <c r="AI450" t="s">
        <v>4515</v>
      </c>
      <c r="AJ450" t="s">
        <v>4762</v>
      </c>
      <c r="AK450" t="s">
        <v>4518</v>
      </c>
      <c r="AL450" t="s">
        <v>4519</v>
      </c>
      <c r="AM450" t="s">
        <v>4520</v>
      </c>
      <c r="AN450" t="s">
        <v>4521</v>
      </c>
      <c r="AO450" s="134">
        <v>107.70557029177699</v>
      </c>
      <c r="AP450" s="135">
        <v>116.461224489796</v>
      </c>
      <c r="AQ450">
        <v>0.35918367346938801</v>
      </c>
      <c r="AR450" s="136">
        <v>1.22857142857143</v>
      </c>
      <c r="AS450">
        <v>7.4068027210884404</v>
      </c>
    </row>
    <row r="451" spans="1:45" customFormat="1" ht="91">
      <c r="A451" s="65">
        <v>1061</v>
      </c>
      <c r="B451" s="69" t="s">
        <v>2833</v>
      </c>
      <c r="C451" s="69" t="s">
        <v>45</v>
      </c>
      <c r="D451" s="31">
        <f t="shared" si="39"/>
        <v>4</v>
      </c>
      <c r="E451" s="69" t="s">
        <v>80</v>
      </c>
      <c r="F451" s="31">
        <f t="shared" si="40"/>
        <v>4</v>
      </c>
      <c r="G451" s="139" t="s">
        <v>159</v>
      </c>
      <c r="H451" s="138">
        <v>53</v>
      </c>
      <c r="I451" s="92">
        <f t="shared" si="38"/>
        <v>0.42956287871201204</v>
      </c>
      <c r="J451" s="95">
        <v>3.41257574240241E-2</v>
      </c>
      <c r="K451" s="137">
        <v>0.81418779643582295</v>
      </c>
      <c r="L451" s="137">
        <v>0.82499999999999996</v>
      </c>
      <c r="M451" s="137">
        <v>0.79796949108955795</v>
      </c>
      <c r="N451" s="136">
        <v>1</v>
      </c>
      <c r="O451" s="157">
        <v>43388</v>
      </c>
      <c r="P451" s="98">
        <f t="shared" si="41"/>
        <v>0</v>
      </c>
      <c r="Q451" s="113">
        <v>10.199999999999999</v>
      </c>
      <c r="R451" s="113">
        <v>0</v>
      </c>
      <c r="S451" s="113">
        <v>0</v>
      </c>
      <c r="T451" s="119" t="s">
        <v>48</v>
      </c>
      <c r="U451" s="89" t="s">
        <v>2883</v>
      </c>
      <c r="V451" s="172" t="s">
        <v>2884</v>
      </c>
      <c r="W451" s="69">
        <v>115</v>
      </c>
      <c r="X451" s="69">
        <v>1</v>
      </c>
      <c r="Y451" s="69">
        <v>2</v>
      </c>
      <c r="Z451" s="69"/>
      <c r="AA451" t="s">
        <v>4522</v>
      </c>
      <c r="AB451" t="s">
        <v>87</v>
      </c>
      <c r="AC451" t="s">
        <v>4513</v>
      </c>
      <c r="AD451" t="s">
        <v>4801</v>
      </c>
      <c r="AE451" t="s">
        <v>223</v>
      </c>
      <c r="AF451" t="s">
        <v>4768</v>
      </c>
      <c r="AG451" t="s">
        <v>223</v>
      </c>
      <c r="AH451" t="s">
        <v>4768</v>
      </c>
      <c r="AI451" t="s">
        <v>4515</v>
      </c>
      <c r="AJ451" t="s">
        <v>4762</v>
      </c>
      <c r="AK451" t="s">
        <v>4518</v>
      </c>
      <c r="AL451" t="s">
        <v>4519</v>
      </c>
      <c r="AM451" t="s">
        <v>4510</v>
      </c>
      <c r="AN451" t="s">
        <v>4523</v>
      </c>
      <c r="AO451" s="134">
        <v>107.77689243027901</v>
      </c>
      <c r="AP451" s="135">
        <v>116.461224489796</v>
      </c>
      <c r="AQ451">
        <v>0.35918367346938801</v>
      </c>
      <c r="AR451" s="136">
        <v>1.22857142857143</v>
      </c>
      <c r="AS451">
        <v>7.4068027210884404</v>
      </c>
    </row>
    <row r="452" spans="1:45" customFormat="1" ht="271">
      <c r="A452" s="65">
        <v>500</v>
      </c>
      <c r="B452" s="69" t="s">
        <v>1222</v>
      </c>
      <c r="C452" s="69" t="s">
        <v>45</v>
      </c>
      <c r="D452" s="31">
        <f t="shared" si="39"/>
        <v>4</v>
      </c>
      <c r="E452" s="69" t="s">
        <v>46</v>
      </c>
      <c r="F452" s="31">
        <f t="shared" si="40"/>
        <v>6</v>
      </c>
      <c r="G452" s="137" t="s">
        <v>1416</v>
      </c>
      <c r="H452" s="138">
        <v>449</v>
      </c>
      <c r="I452" s="92">
        <f t="shared" ref="I452:I515" si="42">(J452+L452)/2</f>
        <v>0.21172817307860456</v>
      </c>
      <c r="J452" s="95">
        <v>1.00898616876122E-4</v>
      </c>
      <c r="K452" s="137">
        <v>0.418407232774619</v>
      </c>
      <c r="L452" s="137">
        <v>0.423355447540333</v>
      </c>
      <c r="M452" s="137">
        <v>0.41098491062604903</v>
      </c>
      <c r="N452" s="136">
        <v>1</v>
      </c>
      <c r="O452" s="154">
        <v>43388</v>
      </c>
      <c r="P452" s="98">
        <f t="shared" si="41"/>
        <v>0</v>
      </c>
      <c r="Q452" s="111">
        <v>0</v>
      </c>
      <c r="R452" s="111">
        <v>4.95</v>
      </c>
      <c r="S452" s="111">
        <v>0</v>
      </c>
      <c r="T452" s="112" t="s">
        <v>48</v>
      </c>
      <c r="U452" s="136" t="s">
        <v>4393</v>
      </c>
      <c r="V452" s="137" t="s">
        <v>1418</v>
      </c>
      <c r="W452" s="69">
        <v>94</v>
      </c>
      <c r="X452" s="195">
        <v>2</v>
      </c>
      <c r="Y452" s="195">
        <v>17</v>
      </c>
      <c r="AA452" t="s">
        <v>4909</v>
      </c>
      <c r="AB452" t="s">
        <v>51</v>
      </c>
      <c r="AC452" t="s">
        <v>4515</v>
      </c>
      <c r="AD452" t="s">
        <v>4654</v>
      </c>
      <c r="AE452" t="s">
        <v>4530</v>
      </c>
      <c r="AF452" t="s">
        <v>4910</v>
      </c>
      <c r="AG452" t="s">
        <v>4353</v>
      </c>
      <c r="AH452" t="s">
        <v>4506</v>
      </c>
      <c r="AI452" t="s">
        <v>4353</v>
      </c>
      <c r="AJ452" t="s">
        <v>4506</v>
      </c>
      <c r="AK452" t="s">
        <v>4591</v>
      </c>
      <c r="AL452" t="s">
        <v>4519</v>
      </c>
      <c r="AM452" t="s">
        <v>4715</v>
      </c>
      <c r="AN452" t="s">
        <v>4911</v>
      </c>
      <c r="AO452" s="134">
        <v>107.827127659574</v>
      </c>
      <c r="AP452" s="135">
        <v>116.461224489796</v>
      </c>
      <c r="AQ452">
        <v>0.35918367346938801</v>
      </c>
      <c r="AR452" s="136">
        <v>1.22857142857143</v>
      </c>
      <c r="AS452">
        <v>7.4068027210884404</v>
      </c>
    </row>
    <row r="453" spans="1:45" customFormat="1" ht="61">
      <c r="A453">
        <v>495</v>
      </c>
      <c r="B453" s="69" t="s">
        <v>1222</v>
      </c>
      <c r="C453" s="69" t="s">
        <v>45</v>
      </c>
      <c r="D453" s="31">
        <f t="shared" si="39"/>
        <v>4</v>
      </c>
      <c r="E453" s="69" t="s">
        <v>80</v>
      </c>
      <c r="F453" s="31">
        <f t="shared" si="40"/>
        <v>4</v>
      </c>
      <c r="G453" s="147" t="s">
        <v>1402</v>
      </c>
      <c r="H453" s="138">
        <v>76</v>
      </c>
      <c r="I453" s="92">
        <f t="shared" si="42"/>
        <v>0.41254246604212258</v>
      </c>
      <c r="J453" s="95">
        <v>8.4932084245203904E-5</v>
      </c>
      <c r="K453" s="137">
        <v>0.74381421079630905</v>
      </c>
      <c r="L453" s="137">
        <v>0.82499999999999996</v>
      </c>
      <c r="M453" s="137">
        <v>0.62203552699077302</v>
      </c>
      <c r="N453" s="136">
        <v>1</v>
      </c>
      <c r="O453" s="154">
        <v>43388</v>
      </c>
      <c r="P453" s="98">
        <f t="shared" si="41"/>
        <v>0</v>
      </c>
      <c r="Q453" s="111">
        <v>2.5499999999999998</v>
      </c>
      <c r="R453" s="111">
        <v>0</v>
      </c>
      <c r="S453" s="111">
        <v>0</v>
      </c>
      <c r="T453" s="112" t="s">
        <v>48</v>
      </c>
      <c r="U453" s="137" t="s">
        <v>1403</v>
      </c>
      <c r="V453" s="137" t="s">
        <v>1404</v>
      </c>
      <c r="W453" s="69">
        <v>82</v>
      </c>
      <c r="X453" s="171">
        <v>3</v>
      </c>
      <c r="Y453" s="171">
        <v>7</v>
      </c>
      <c r="AA453" t="s">
        <v>4522</v>
      </c>
      <c r="AB453" t="s">
        <v>87</v>
      </c>
      <c r="AC453" t="s">
        <v>4513</v>
      </c>
      <c r="AD453" t="s">
        <v>4645</v>
      </c>
      <c r="AE453" t="s">
        <v>223</v>
      </c>
      <c r="AF453" t="s">
        <v>4631</v>
      </c>
      <c r="AG453" t="s">
        <v>4353</v>
      </c>
      <c r="AH453" t="s">
        <v>4506</v>
      </c>
      <c r="AI453" t="s">
        <v>4515</v>
      </c>
      <c r="AJ453" t="s">
        <v>4537</v>
      </c>
      <c r="AK453" t="s">
        <v>4518</v>
      </c>
      <c r="AL453" t="s">
        <v>4519</v>
      </c>
      <c r="AM453" t="s">
        <v>4520</v>
      </c>
      <c r="AN453" t="s">
        <v>4521</v>
      </c>
      <c r="AO453" s="134">
        <v>107.885486018642</v>
      </c>
      <c r="AP453" s="135">
        <v>116.461224489796</v>
      </c>
      <c r="AQ453">
        <v>0.35918367346938801</v>
      </c>
      <c r="AR453" s="136">
        <v>1.22857142857143</v>
      </c>
      <c r="AS453">
        <v>7.4068027210884404</v>
      </c>
    </row>
    <row r="454" spans="1:45" customFormat="1" ht="61">
      <c r="A454" s="65">
        <v>497</v>
      </c>
      <c r="B454" s="69" t="s">
        <v>1222</v>
      </c>
      <c r="C454" s="69" t="s">
        <v>45</v>
      </c>
      <c r="D454" s="31">
        <f t="shared" si="39"/>
        <v>4</v>
      </c>
      <c r="E454" s="69" t="s">
        <v>80</v>
      </c>
      <c r="F454" s="31">
        <f t="shared" si="40"/>
        <v>4</v>
      </c>
      <c r="G454" s="137" t="s">
        <v>1408</v>
      </c>
      <c r="H454" s="138">
        <v>70</v>
      </c>
      <c r="I454" s="92">
        <f t="shared" si="42"/>
        <v>0.30995406139112219</v>
      </c>
      <c r="J454" s="95">
        <v>7.3412038443354505E-5</v>
      </c>
      <c r="K454" s="137">
        <v>0.53629479069670005</v>
      </c>
      <c r="L454" s="137">
        <v>0.61983471074380103</v>
      </c>
      <c r="M454" s="137">
        <v>0.41098491062604903</v>
      </c>
      <c r="N454" s="136">
        <v>1</v>
      </c>
      <c r="O454" s="154">
        <v>43388</v>
      </c>
      <c r="P454" s="98">
        <f t="shared" si="41"/>
        <v>1</v>
      </c>
      <c r="Q454" s="111">
        <v>0</v>
      </c>
      <c r="R454" s="111">
        <v>1.65</v>
      </c>
      <c r="S454" s="111">
        <v>1.87</v>
      </c>
      <c r="T454" s="112" t="s">
        <v>73</v>
      </c>
      <c r="U454" s="137" t="s">
        <v>1409</v>
      </c>
      <c r="V454" s="136" t="s">
        <v>1410</v>
      </c>
      <c r="W454" s="69">
        <v>89</v>
      </c>
      <c r="X454" s="69">
        <v>2</v>
      </c>
      <c r="Y454" s="69">
        <v>17</v>
      </c>
      <c r="AA454" t="s">
        <v>4663</v>
      </c>
      <c r="AB454" t="s">
        <v>71</v>
      </c>
      <c r="AC454" t="s">
        <v>4353</v>
      </c>
      <c r="AD454" t="s">
        <v>4506</v>
      </c>
      <c r="AE454" t="s">
        <v>4353</v>
      </c>
      <c r="AF454" t="s">
        <v>4506</v>
      </c>
      <c r="AG454" t="s">
        <v>223</v>
      </c>
      <c r="AH454" t="s">
        <v>4555</v>
      </c>
      <c r="AI454" t="s">
        <v>4353</v>
      </c>
      <c r="AJ454" t="s">
        <v>4506</v>
      </c>
      <c r="AK454" t="s">
        <v>4519</v>
      </c>
      <c r="AL454" t="s">
        <v>4519</v>
      </c>
      <c r="AM454" t="s">
        <v>4510</v>
      </c>
      <c r="AN454" t="s">
        <v>4550</v>
      </c>
      <c r="AO454" s="134">
        <v>107.964</v>
      </c>
      <c r="AP454" s="135">
        <v>116.461224489796</v>
      </c>
      <c r="AQ454">
        <v>0.35918367346938801</v>
      </c>
      <c r="AR454" s="136">
        <v>1.22857142857143</v>
      </c>
      <c r="AS454">
        <v>7.4068027210884404</v>
      </c>
    </row>
    <row r="455" spans="1:45" customFormat="1" ht="46">
      <c r="A455">
        <v>494</v>
      </c>
      <c r="B455" s="69" t="s">
        <v>1222</v>
      </c>
      <c r="C455" s="69" t="s">
        <v>45</v>
      </c>
      <c r="D455" s="31">
        <f t="shared" si="39"/>
        <v>4</v>
      </c>
      <c r="E455" s="69" t="s">
        <v>80</v>
      </c>
      <c r="F455" s="31">
        <f t="shared" si="40"/>
        <v>4</v>
      </c>
      <c r="G455" s="152" t="s">
        <v>159</v>
      </c>
      <c r="H455" s="138">
        <v>43</v>
      </c>
      <c r="I455" s="92">
        <f t="shared" si="42"/>
        <v>0.4125001374881056</v>
      </c>
      <c r="J455" s="95">
        <v>2.7497621124528101E-7</v>
      </c>
      <c r="K455" s="137">
        <v>0.74381421079630905</v>
      </c>
      <c r="L455" s="137">
        <v>0.82499999999999996</v>
      </c>
      <c r="M455" s="137">
        <v>0.62203552699077302</v>
      </c>
      <c r="N455" s="136">
        <v>1</v>
      </c>
      <c r="O455" s="154">
        <v>43388</v>
      </c>
      <c r="P455" s="98">
        <f t="shared" si="41"/>
        <v>0</v>
      </c>
      <c r="Q455" s="111">
        <v>2.5499999999999998</v>
      </c>
      <c r="R455" s="111">
        <v>1.65</v>
      </c>
      <c r="S455" s="111">
        <v>1.87</v>
      </c>
      <c r="T455" s="112" t="s">
        <v>48</v>
      </c>
      <c r="U455" s="188" t="s">
        <v>1400</v>
      </c>
      <c r="V455" s="137" t="s">
        <v>1401</v>
      </c>
      <c r="W455" s="69">
        <v>56</v>
      </c>
      <c r="X455" s="195">
        <v>3</v>
      </c>
      <c r="Y455" s="195">
        <v>7</v>
      </c>
      <c r="AA455" t="s">
        <v>4522</v>
      </c>
      <c r="AB455" t="s">
        <v>4827</v>
      </c>
      <c r="AC455" t="s">
        <v>4515</v>
      </c>
      <c r="AD455" t="s">
        <v>4609</v>
      </c>
      <c r="AE455" t="s">
        <v>4515</v>
      </c>
      <c r="AF455" t="s">
        <v>4609</v>
      </c>
      <c r="AG455" t="s">
        <v>4353</v>
      </c>
      <c r="AH455" t="s">
        <v>4506</v>
      </c>
      <c r="AI455" t="s">
        <v>4515</v>
      </c>
      <c r="AJ455" t="s">
        <v>4609</v>
      </c>
      <c r="AK455" t="s">
        <v>4518</v>
      </c>
      <c r="AL455" t="s">
        <v>4519</v>
      </c>
      <c r="AM455" t="s">
        <v>4510</v>
      </c>
      <c r="AN455" t="s">
        <v>4523</v>
      </c>
      <c r="AO455" s="134">
        <v>107.50867823765</v>
      </c>
      <c r="AP455" s="135">
        <v>116.461224489796</v>
      </c>
      <c r="AQ455">
        <v>0.35918367346938801</v>
      </c>
      <c r="AR455" s="136">
        <v>1.22857142857143</v>
      </c>
      <c r="AS455">
        <v>7.4068027210884404</v>
      </c>
    </row>
    <row r="456" spans="1:45" customFormat="1" ht="136">
      <c r="A456" s="65">
        <v>925</v>
      </c>
      <c r="B456" s="69" t="s">
        <v>2510</v>
      </c>
      <c r="C456" s="69" t="s">
        <v>45</v>
      </c>
      <c r="D456" s="31">
        <f t="shared" si="39"/>
        <v>4</v>
      </c>
      <c r="E456" s="69" t="s">
        <v>46</v>
      </c>
      <c r="F456" s="31">
        <f t="shared" si="40"/>
        <v>6</v>
      </c>
      <c r="G456" s="137" t="s">
        <v>2524</v>
      </c>
      <c r="H456" s="138">
        <v>76</v>
      </c>
      <c r="I456" s="92">
        <f t="shared" si="42"/>
        <v>0.41250011385639623</v>
      </c>
      <c r="J456" s="95">
        <v>2.2771279251099201E-7</v>
      </c>
      <c r="K456" s="137">
        <v>0.81418779643582295</v>
      </c>
      <c r="L456" s="137">
        <v>0.82499999999999996</v>
      </c>
      <c r="M456" s="137">
        <v>0.79796949108955795</v>
      </c>
      <c r="N456" s="136">
        <v>1</v>
      </c>
      <c r="O456" s="154">
        <v>43388</v>
      </c>
      <c r="P456" s="98">
        <f t="shared" si="41"/>
        <v>1</v>
      </c>
      <c r="Q456" s="111">
        <v>0</v>
      </c>
      <c r="R456" s="111">
        <v>0</v>
      </c>
      <c r="S456" s="111">
        <v>0</v>
      </c>
      <c r="T456" s="112" t="s">
        <v>73</v>
      </c>
      <c r="U456" s="137" t="s">
        <v>2525</v>
      </c>
      <c r="V456" s="137" t="s">
        <v>2526</v>
      </c>
      <c r="W456" s="69">
        <v>198</v>
      </c>
      <c r="X456" s="69">
        <v>1</v>
      </c>
      <c r="Y456" s="69">
        <v>2</v>
      </c>
      <c r="Z456" s="69"/>
      <c r="AA456" t="s">
        <v>4660</v>
      </c>
      <c r="AB456" t="s">
        <v>51</v>
      </c>
      <c r="AC456" t="s">
        <v>4513</v>
      </c>
      <c r="AD456" t="s">
        <v>4684</v>
      </c>
      <c r="AE456" t="s">
        <v>4538</v>
      </c>
      <c r="AF456" t="s">
        <v>4912</v>
      </c>
      <c r="AG456" t="s">
        <v>4515</v>
      </c>
      <c r="AH456" t="s">
        <v>4615</v>
      </c>
      <c r="AI456" t="s">
        <v>223</v>
      </c>
      <c r="AJ456" t="s">
        <v>4746</v>
      </c>
      <c r="AK456" t="s">
        <v>4519</v>
      </c>
      <c r="AL456" t="s">
        <v>4519</v>
      </c>
      <c r="AM456" t="s">
        <v>4592</v>
      </c>
      <c r="AN456" t="s">
        <v>4626</v>
      </c>
      <c r="AO456" s="134">
        <v>107.550802139037</v>
      </c>
      <c r="AP456" s="135">
        <v>116.461224489796</v>
      </c>
      <c r="AQ456">
        <v>0.35918367346938801</v>
      </c>
      <c r="AR456" s="136">
        <v>1.22857142857143</v>
      </c>
      <c r="AS456">
        <v>7.4068027210884404</v>
      </c>
    </row>
    <row r="457" spans="1:45" customFormat="1" ht="151">
      <c r="A457">
        <v>499</v>
      </c>
      <c r="B457" s="69" t="s">
        <v>1222</v>
      </c>
      <c r="C457" s="69" t="s">
        <v>45</v>
      </c>
      <c r="D457" s="31">
        <f t="shared" si="39"/>
        <v>4</v>
      </c>
      <c r="E457" s="69" t="s">
        <v>80</v>
      </c>
      <c r="F457" s="31">
        <f t="shared" si="40"/>
        <v>4</v>
      </c>
      <c r="G457" s="147" t="s">
        <v>1413</v>
      </c>
      <c r="H457" s="138">
        <v>49</v>
      </c>
      <c r="I457" s="92">
        <f t="shared" si="42"/>
        <v>0.41250001341180531</v>
      </c>
      <c r="J457" s="95">
        <v>2.68236106659714E-8</v>
      </c>
      <c r="K457" s="137">
        <v>0.74381421079630905</v>
      </c>
      <c r="L457" s="137">
        <v>0.82499999999999996</v>
      </c>
      <c r="M457" s="137">
        <v>0.62203552699077302</v>
      </c>
      <c r="N457" s="136">
        <v>1</v>
      </c>
      <c r="O457" s="154">
        <v>43388</v>
      </c>
      <c r="P457" s="98">
        <f t="shared" si="41"/>
        <v>2</v>
      </c>
      <c r="Q457" s="111">
        <v>0</v>
      </c>
      <c r="R457" s="111">
        <v>4.95</v>
      </c>
      <c r="S457" s="111">
        <v>1.87</v>
      </c>
      <c r="T457" s="112" t="s">
        <v>64</v>
      </c>
      <c r="U457" s="137" t="s">
        <v>1414</v>
      </c>
      <c r="V457" s="137" t="s">
        <v>1415</v>
      </c>
      <c r="W457" s="69">
        <v>205</v>
      </c>
      <c r="X457" s="147">
        <v>3</v>
      </c>
      <c r="Y457" s="147">
        <v>7</v>
      </c>
      <c r="AA457" t="s">
        <v>4653</v>
      </c>
      <c r="AB457" t="s">
        <v>71</v>
      </c>
      <c r="AC457" t="s">
        <v>4515</v>
      </c>
      <c r="AD457" t="s">
        <v>4913</v>
      </c>
      <c r="AE457" t="s">
        <v>223</v>
      </c>
      <c r="AF457" t="s">
        <v>4914</v>
      </c>
      <c r="AG457" t="s">
        <v>4513</v>
      </c>
      <c r="AH457" t="s">
        <v>4734</v>
      </c>
      <c r="AI457" t="s">
        <v>4353</v>
      </c>
      <c r="AJ457" t="s">
        <v>4506</v>
      </c>
      <c r="AK457" t="s">
        <v>4519</v>
      </c>
      <c r="AL457" t="s">
        <v>4519</v>
      </c>
      <c r="AM457" t="s">
        <v>4510</v>
      </c>
      <c r="AN457" t="s">
        <v>4550</v>
      </c>
      <c r="AO457" s="134">
        <v>107.623828647925</v>
      </c>
      <c r="AP457" s="135">
        <v>116.461224489796</v>
      </c>
      <c r="AQ457">
        <v>0.35918367346938801</v>
      </c>
      <c r="AR457" s="136">
        <v>1.22857142857143</v>
      </c>
      <c r="AS457">
        <v>7.4068027210884404</v>
      </c>
    </row>
    <row r="458" spans="1:45" customFormat="1" ht="46">
      <c r="A458" s="65">
        <v>316</v>
      </c>
      <c r="B458" s="69" t="s">
        <v>589</v>
      </c>
      <c r="C458" s="69" t="s">
        <v>45</v>
      </c>
      <c r="D458" s="31">
        <f t="shared" si="39"/>
        <v>4</v>
      </c>
      <c r="E458" s="69" t="s">
        <v>80</v>
      </c>
      <c r="F458" s="31">
        <f t="shared" si="40"/>
        <v>4</v>
      </c>
      <c r="G458" s="137" t="s">
        <v>938</v>
      </c>
      <c r="H458" s="138">
        <v>68</v>
      </c>
      <c r="I458" s="92">
        <f t="shared" si="42"/>
        <v>0.28176637703345281</v>
      </c>
      <c r="J458" s="95">
        <v>4.6653390722628502E-5</v>
      </c>
      <c r="K458" s="137">
        <v>0.63911732854463099</v>
      </c>
      <c r="L458" s="137">
        <v>0.56348610067618299</v>
      </c>
      <c r="M458" s="137">
        <v>0.75256417034730305</v>
      </c>
      <c r="N458" s="136">
        <v>1</v>
      </c>
      <c r="O458" s="154">
        <v>43387</v>
      </c>
      <c r="P458" s="98">
        <f t="shared" si="41"/>
        <v>0</v>
      </c>
      <c r="Q458" s="111">
        <v>0</v>
      </c>
      <c r="R458" s="111">
        <v>3.3</v>
      </c>
      <c r="S458" s="111">
        <v>0</v>
      </c>
      <c r="T458" s="112" t="s">
        <v>48</v>
      </c>
      <c r="U458" s="137" t="s">
        <v>939</v>
      </c>
      <c r="V458" s="137" t="s">
        <v>940</v>
      </c>
      <c r="W458" s="69">
        <v>54</v>
      </c>
      <c r="X458" s="69">
        <v>1</v>
      </c>
      <c r="Y458" s="69">
        <v>3</v>
      </c>
      <c r="AA458" t="s">
        <v>4653</v>
      </c>
      <c r="AB458" t="s">
        <v>87</v>
      </c>
      <c r="AC458" t="s">
        <v>4513</v>
      </c>
      <c r="AD458" t="s">
        <v>4901</v>
      </c>
      <c r="AE458" t="s">
        <v>223</v>
      </c>
      <c r="AF458" t="s">
        <v>4762</v>
      </c>
      <c r="AG458" t="s">
        <v>223</v>
      </c>
      <c r="AH458" t="s">
        <v>4762</v>
      </c>
      <c r="AI458" t="s">
        <v>223</v>
      </c>
      <c r="AJ458" t="s">
        <v>4762</v>
      </c>
      <c r="AK458" t="s">
        <v>4519</v>
      </c>
      <c r="AL458" t="s">
        <v>4519</v>
      </c>
      <c r="AM458" t="s">
        <v>4510</v>
      </c>
      <c r="AN458" t="s">
        <v>4550</v>
      </c>
      <c r="AO458" s="134">
        <v>107.67694369973201</v>
      </c>
      <c r="AP458" s="135">
        <v>116.461224489796</v>
      </c>
      <c r="AQ458">
        <v>0.35918367346938801</v>
      </c>
      <c r="AR458" s="136">
        <v>1.22857142857143</v>
      </c>
      <c r="AS458">
        <v>7.4068027210884404</v>
      </c>
    </row>
    <row r="459" spans="1:45" customFormat="1" ht="91">
      <c r="A459" s="65">
        <v>501</v>
      </c>
      <c r="B459" s="69" t="s">
        <v>1222</v>
      </c>
      <c r="C459" s="69" t="s">
        <v>45</v>
      </c>
      <c r="D459" s="31">
        <f t="shared" ref="D459:D522" si="43">IF(C459="投诉",4,IF(C459="建议",1,IF(C459="举报",2,IF(C459="求助",3,5))))</f>
        <v>4</v>
      </c>
      <c r="E459" s="69" t="s">
        <v>80</v>
      </c>
      <c r="F459" s="31">
        <f t="shared" ref="F459:F522" si="44">IF(E459="12345app",1,IF(E459="e福州app",2,IF(E459="qq",3,IF(E459="电话",4,IF(E459="短信",5,IF(E459="网站",6,IF(E459="微博",7,IF(E459="微信",8,9))))))))</f>
        <v>4</v>
      </c>
      <c r="G459" s="169" t="s">
        <v>180</v>
      </c>
      <c r="H459" s="138">
        <v>62</v>
      </c>
      <c r="I459" s="92">
        <f t="shared" si="42"/>
        <v>0.81427588719495603</v>
      </c>
      <c r="J459" s="95">
        <v>0.80355177438991199</v>
      </c>
      <c r="K459" s="137">
        <v>0.76722468700001201</v>
      </c>
      <c r="L459" s="137">
        <v>0.82499999999999996</v>
      </c>
      <c r="M459" s="137">
        <v>0.68056171750003003</v>
      </c>
      <c r="N459" s="136">
        <v>1</v>
      </c>
      <c r="O459" s="154">
        <v>43386</v>
      </c>
      <c r="P459" s="98">
        <f t="shared" ref="P459:P522" si="45">IF(T459="利己",0,IF(T459="生态",2,1))</f>
        <v>0</v>
      </c>
      <c r="Q459" s="111">
        <v>2.5499999999999998</v>
      </c>
      <c r="R459" s="111">
        <v>3.3</v>
      </c>
      <c r="S459" s="111">
        <v>0</v>
      </c>
      <c r="T459" s="112" t="s">
        <v>48</v>
      </c>
      <c r="U459" s="137" t="s">
        <v>1419</v>
      </c>
      <c r="V459" s="137" t="s">
        <v>1420</v>
      </c>
      <c r="W459" s="69">
        <v>122</v>
      </c>
      <c r="X459" s="69">
        <v>3</v>
      </c>
      <c r="Y459" s="69">
        <v>5</v>
      </c>
      <c r="AA459" t="s">
        <v>4522</v>
      </c>
      <c r="AB459" t="s">
        <v>71</v>
      </c>
      <c r="AC459" t="s">
        <v>4515</v>
      </c>
      <c r="AD459" t="s">
        <v>4721</v>
      </c>
      <c r="AE459" t="s">
        <v>223</v>
      </c>
      <c r="AF459" t="s">
        <v>4545</v>
      </c>
      <c r="AG459" t="s">
        <v>4513</v>
      </c>
      <c r="AH459" t="s">
        <v>4537</v>
      </c>
      <c r="AI459" t="s">
        <v>4353</v>
      </c>
      <c r="AJ459" t="s">
        <v>4506</v>
      </c>
      <c r="AK459" t="s">
        <v>4518</v>
      </c>
      <c r="AL459" t="s">
        <v>4519</v>
      </c>
      <c r="AM459" t="s">
        <v>4520</v>
      </c>
      <c r="AN459" t="s">
        <v>4521</v>
      </c>
      <c r="AO459" s="134">
        <v>107.738255033557</v>
      </c>
      <c r="AP459" s="135">
        <v>116.461224489796</v>
      </c>
      <c r="AQ459">
        <v>0.35918367346938801</v>
      </c>
      <c r="AR459" s="136">
        <v>1.22857142857143</v>
      </c>
      <c r="AS459">
        <v>7.4068027210884404</v>
      </c>
    </row>
    <row r="460" spans="1:45" customFormat="1" ht="136">
      <c r="A460">
        <v>503</v>
      </c>
      <c r="B460" s="69" t="s">
        <v>1222</v>
      </c>
      <c r="C460" s="69" t="s">
        <v>45</v>
      </c>
      <c r="D460" s="31">
        <f t="shared" si="43"/>
        <v>4</v>
      </c>
      <c r="E460" s="69" t="s">
        <v>46</v>
      </c>
      <c r="F460" s="31">
        <f t="shared" si="44"/>
        <v>6</v>
      </c>
      <c r="G460" s="188" t="s">
        <v>1422</v>
      </c>
      <c r="H460" s="138">
        <v>204</v>
      </c>
      <c r="I460" s="92">
        <f t="shared" si="42"/>
        <v>0.41310845405634494</v>
      </c>
      <c r="J460" s="95">
        <v>1.2169081126899299E-3</v>
      </c>
      <c r="K460" s="137">
        <v>0.71429841941895</v>
      </c>
      <c r="L460" s="137">
        <v>0.82499999999999996</v>
      </c>
      <c r="M460" s="137">
        <v>0.54824604854737402</v>
      </c>
      <c r="N460" s="136">
        <v>1</v>
      </c>
      <c r="O460" s="154">
        <v>43385</v>
      </c>
      <c r="P460" s="98">
        <f t="shared" si="45"/>
        <v>0</v>
      </c>
      <c r="Q460" s="113">
        <v>0</v>
      </c>
      <c r="R460" s="113">
        <v>3.3</v>
      </c>
      <c r="S460" s="113">
        <v>0</v>
      </c>
      <c r="T460" s="114" t="s">
        <v>48</v>
      </c>
      <c r="U460" s="136" t="s">
        <v>1423</v>
      </c>
      <c r="V460" s="188" t="s">
        <v>1424</v>
      </c>
      <c r="W460" s="69">
        <v>77</v>
      </c>
      <c r="X460" s="195">
        <v>2</v>
      </c>
      <c r="Y460" s="195">
        <v>10</v>
      </c>
      <c r="AA460" t="s">
        <v>4619</v>
      </c>
      <c r="AB460" t="s">
        <v>358</v>
      </c>
      <c r="AC460" t="s">
        <v>223</v>
      </c>
      <c r="AD460" t="s">
        <v>4685</v>
      </c>
      <c r="AE460" t="s">
        <v>223</v>
      </c>
      <c r="AF460" t="s">
        <v>4685</v>
      </c>
      <c r="AG460" t="s">
        <v>223</v>
      </c>
      <c r="AH460" t="s">
        <v>4685</v>
      </c>
      <c r="AI460" t="s">
        <v>4515</v>
      </c>
      <c r="AJ460" t="s">
        <v>4769</v>
      </c>
      <c r="AK460" t="s">
        <v>4519</v>
      </c>
      <c r="AL460" t="s">
        <v>4552</v>
      </c>
      <c r="AM460" t="s">
        <v>4740</v>
      </c>
      <c r="AN460" t="s">
        <v>4915</v>
      </c>
      <c r="AO460" s="134">
        <v>107.782258064516</v>
      </c>
      <c r="AP460" s="135">
        <v>116.461224489796</v>
      </c>
      <c r="AQ460">
        <v>0.35918367346938801</v>
      </c>
      <c r="AR460" s="136">
        <v>1.22857142857143</v>
      </c>
      <c r="AS460">
        <v>7.4068027210884404</v>
      </c>
    </row>
    <row r="461" spans="1:45" customFormat="1" ht="91">
      <c r="A461">
        <v>502</v>
      </c>
      <c r="B461" s="69" t="s">
        <v>1222</v>
      </c>
      <c r="C461" s="69" t="s">
        <v>45</v>
      </c>
      <c r="D461" s="31">
        <f t="shared" si="43"/>
        <v>4</v>
      </c>
      <c r="E461" s="69" t="s">
        <v>80</v>
      </c>
      <c r="F461" s="31">
        <f t="shared" si="44"/>
        <v>4</v>
      </c>
      <c r="G461" s="169" t="s">
        <v>159</v>
      </c>
      <c r="H461" s="138">
        <v>75</v>
      </c>
      <c r="I461" s="92">
        <f t="shared" si="42"/>
        <v>0.41249999999999998</v>
      </c>
      <c r="J461" s="95">
        <v>0</v>
      </c>
      <c r="K461" s="137">
        <v>0.76722468700001201</v>
      </c>
      <c r="L461" s="137">
        <v>0.82499999999999996</v>
      </c>
      <c r="M461" s="137">
        <v>0.68056171750003003</v>
      </c>
      <c r="N461" s="136">
        <v>1</v>
      </c>
      <c r="O461" s="154">
        <v>43385</v>
      </c>
      <c r="P461" s="98">
        <f t="shared" si="45"/>
        <v>0</v>
      </c>
      <c r="Q461" s="111">
        <v>0</v>
      </c>
      <c r="R461" s="111">
        <v>4.95</v>
      </c>
      <c r="S461" s="111">
        <v>1.87</v>
      </c>
      <c r="T461" s="112" t="s">
        <v>48</v>
      </c>
      <c r="U461" s="137" t="s">
        <v>1421</v>
      </c>
      <c r="V461" s="137" t="s">
        <v>1420</v>
      </c>
      <c r="W461" s="69">
        <v>122</v>
      </c>
      <c r="X461" s="69">
        <v>3</v>
      </c>
      <c r="Y461" s="69">
        <v>5</v>
      </c>
      <c r="AA461" t="s">
        <v>4564</v>
      </c>
      <c r="AB461" t="s">
        <v>71</v>
      </c>
      <c r="AC461" t="s">
        <v>4515</v>
      </c>
      <c r="AD461" t="s">
        <v>4721</v>
      </c>
      <c r="AE461" t="s">
        <v>223</v>
      </c>
      <c r="AF461" t="s">
        <v>4545</v>
      </c>
      <c r="AG461" t="s">
        <v>4513</v>
      </c>
      <c r="AH461" t="s">
        <v>4537</v>
      </c>
      <c r="AI461" t="s">
        <v>4353</v>
      </c>
      <c r="AJ461" t="s">
        <v>4506</v>
      </c>
      <c r="AK461" t="s">
        <v>4518</v>
      </c>
      <c r="AL461" t="s">
        <v>4519</v>
      </c>
      <c r="AM461" t="s">
        <v>4520</v>
      </c>
      <c r="AN461" t="s">
        <v>4521</v>
      </c>
      <c r="AO461" s="134">
        <v>107.652759084791</v>
      </c>
      <c r="AP461" s="135">
        <v>116.461224489796</v>
      </c>
      <c r="AQ461">
        <v>0.35928961748633897</v>
      </c>
      <c r="AR461" s="136">
        <v>1.22857142857143</v>
      </c>
      <c r="AS461">
        <v>7.4068027210884404</v>
      </c>
    </row>
    <row r="462" spans="1:45" customFormat="1" ht="46">
      <c r="A462" s="65">
        <v>317</v>
      </c>
      <c r="B462" s="69" t="s">
        <v>589</v>
      </c>
      <c r="C462" s="69" t="s">
        <v>45</v>
      </c>
      <c r="D462" s="31">
        <f t="shared" si="43"/>
        <v>4</v>
      </c>
      <c r="E462" s="69" t="s">
        <v>80</v>
      </c>
      <c r="F462" s="31">
        <f t="shared" si="44"/>
        <v>4</v>
      </c>
      <c r="G462" s="152" t="s">
        <v>159</v>
      </c>
      <c r="H462" s="138">
        <v>47</v>
      </c>
      <c r="I462" s="92">
        <f t="shared" si="42"/>
        <v>0.4016343278983327</v>
      </c>
      <c r="J462" s="95">
        <v>5.3268655796665398E-2</v>
      </c>
      <c r="K462" s="137">
        <v>0.71002915755524698</v>
      </c>
      <c r="L462" s="137">
        <v>0.75</v>
      </c>
      <c r="M462" s="137">
        <v>0.65007289388811795</v>
      </c>
      <c r="N462" s="136">
        <v>1</v>
      </c>
      <c r="O462" s="154">
        <v>43384</v>
      </c>
      <c r="P462" s="98">
        <f t="shared" si="45"/>
        <v>0</v>
      </c>
      <c r="Q462" s="111">
        <v>5.0999999999999996</v>
      </c>
      <c r="R462" s="111">
        <v>1.65</v>
      </c>
      <c r="S462" s="111">
        <v>0</v>
      </c>
      <c r="T462" s="112" t="s">
        <v>48</v>
      </c>
      <c r="U462" s="137" t="s">
        <v>941</v>
      </c>
      <c r="V462" s="137" t="s">
        <v>942</v>
      </c>
      <c r="W462" s="69">
        <v>48</v>
      </c>
      <c r="X462" s="171">
        <v>2</v>
      </c>
      <c r="Y462" s="171">
        <v>6</v>
      </c>
      <c r="AA462" t="s">
        <v>4551</v>
      </c>
      <c r="AB462" t="s">
        <v>87</v>
      </c>
      <c r="AC462" t="s">
        <v>4513</v>
      </c>
      <c r="AD462" t="s">
        <v>4735</v>
      </c>
      <c r="AE462" t="s">
        <v>223</v>
      </c>
      <c r="AF462" t="s">
        <v>4648</v>
      </c>
      <c r="AG462" t="s">
        <v>223</v>
      </c>
      <c r="AH462" t="s">
        <v>4648</v>
      </c>
      <c r="AI462" t="s">
        <v>223</v>
      </c>
      <c r="AJ462" t="s">
        <v>4648</v>
      </c>
      <c r="AK462" t="s">
        <v>4518</v>
      </c>
      <c r="AL462" t="s">
        <v>4541</v>
      </c>
      <c r="AM462" t="s">
        <v>4510</v>
      </c>
      <c r="AN462" t="s">
        <v>4610</v>
      </c>
      <c r="AO462" s="134">
        <v>107.734501347709</v>
      </c>
      <c r="AP462" s="135">
        <v>116.58879781420799</v>
      </c>
      <c r="AQ462">
        <v>0.35928961748633897</v>
      </c>
      <c r="AR462" s="136">
        <v>1.22950819672131</v>
      </c>
      <c r="AS462">
        <v>7.40300546448087</v>
      </c>
    </row>
    <row r="463" spans="1:45" customFormat="1" ht="45">
      <c r="A463">
        <v>1023</v>
      </c>
      <c r="B463" s="69" t="s">
        <v>2752</v>
      </c>
      <c r="C463" s="69" t="s">
        <v>45</v>
      </c>
      <c r="D463" s="31">
        <f t="shared" si="43"/>
        <v>4</v>
      </c>
      <c r="E463" s="69" t="s">
        <v>80</v>
      </c>
      <c r="F463" s="31">
        <f t="shared" si="44"/>
        <v>4</v>
      </c>
      <c r="G463" s="191" t="s">
        <v>2779</v>
      </c>
      <c r="H463" s="138">
        <v>77</v>
      </c>
      <c r="I463" s="92">
        <f t="shared" si="42"/>
        <v>0.85804495014586946</v>
      </c>
      <c r="J463" s="95">
        <v>0.89108990029173896</v>
      </c>
      <c r="K463" s="137">
        <v>0.66642857142857104</v>
      </c>
      <c r="L463" s="137">
        <v>0.82499999999999996</v>
      </c>
      <c r="M463" s="137">
        <v>0.42857142857142899</v>
      </c>
      <c r="N463" s="136">
        <v>1</v>
      </c>
      <c r="O463" s="157">
        <v>43383</v>
      </c>
      <c r="P463" s="98">
        <f t="shared" si="45"/>
        <v>1</v>
      </c>
      <c r="Q463" s="113">
        <v>5.0999999999999996</v>
      </c>
      <c r="R463" s="113">
        <v>0</v>
      </c>
      <c r="S463" s="113">
        <v>0</v>
      </c>
      <c r="T463" s="119" t="s">
        <v>73</v>
      </c>
      <c r="U463" s="89" t="s">
        <v>2780</v>
      </c>
      <c r="V463" s="172" t="s">
        <v>2781</v>
      </c>
      <c r="W463" s="69">
        <v>28</v>
      </c>
      <c r="X463" s="171">
        <v>2</v>
      </c>
      <c r="Y463" s="171">
        <v>16</v>
      </c>
      <c r="Z463" s="69"/>
      <c r="AA463" t="s">
        <v>4564</v>
      </c>
      <c r="AB463" t="s">
        <v>4594</v>
      </c>
      <c r="AC463" t="s">
        <v>4515</v>
      </c>
      <c r="AD463" t="s">
        <v>4916</v>
      </c>
      <c r="AE463" t="s">
        <v>4515</v>
      </c>
      <c r="AF463" t="s">
        <v>4916</v>
      </c>
      <c r="AG463" t="s">
        <v>4353</v>
      </c>
      <c r="AH463" t="s">
        <v>4506</v>
      </c>
      <c r="AI463" t="s">
        <v>4353</v>
      </c>
      <c r="AJ463" t="s">
        <v>4506</v>
      </c>
      <c r="AK463" t="s">
        <v>4518</v>
      </c>
      <c r="AL463" t="s">
        <v>4519</v>
      </c>
      <c r="AM463" t="s">
        <v>4520</v>
      </c>
      <c r="AN463" t="s">
        <v>4521</v>
      </c>
      <c r="AO463" s="134">
        <v>107.385964912281</v>
      </c>
      <c r="AP463" s="135">
        <v>116.725651577503</v>
      </c>
      <c r="AQ463">
        <v>0.358024691358025</v>
      </c>
      <c r="AR463" s="136">
        <v>1.2304526748971201</v>
      </c>
      <c r="AS463">
        <v>7.4224965706447197</v>
      </c>
    </row>
    <row r="464" spans="1:45" customFormat="1" ht="196">
      <c r="A464" s="65">
        <v>5</v>
      </c>
      <c r="B464" s="136" t="s">
        <v>44</v>
      </c>
      <c r="C464" s="136" t="s">
        <v>45</v>
      </c>
      <c r="D464" s="31">
        <f t="shared" si="43"/>
        <v>4</v>
      </c>
      <c r="E464" s="136" t="s">
        <v>46</v>
      </c>
      <c r="F464" s="31">
        <f t="shared" si="44"/>
        <v>6</v>
      </c>
      <c r="G464" s="209" t="s">
        <v>63</v>
      </c>
      <c r="H464" s="138">
        <v>366</v>
      </c>
      <c r="I464" s="92">
        <f t="shared" si="42"/>
        <v>0.3432909584058334</v>
      </c>
      <c r="J464" s="95">
        <v>4.7637349934848104E-3</v>
      </c>
      <c r="K464" s="137">
        <v>0.58051948051948099</v>
      </c>
      <c r="L464" s="137">
        <v>0.68181818181818199</v>
      </c>
      <c r="M464" s="137">
        <v>0.42857142857142899</v>
      </c>
      <c r="N464" s="136">
        <v>0</v>
      </c>
      <c r="O464" s="41">
        <v>43383</v>
      </c>
      <c r="P464" s="98">
        <f t="shared" si="45"/>
        <v>2</v>
      </c>
      <c r="Q464" s="113">
        <v>2.5499999999999998</v>
      </c>
      <c r="R464" s="113">
        <v>3.3</v>
      </c>
      <c r="S464" s="113">
        <v>13.09</v>
      </c>
      <c r="T464" s="114" t="s">
        <v>64</v>
      </c>
      <c r="U464" s="136" t="s">
        <v>65</v>
      </c>
      <c r="V464" s="136" t="s">
        <v>66</v>
      </c>
      <c r="W464" s="69">
        <v>34</v>
      </c>
      <c r="X464" s="209">
        <v>2</v>
      </c>
      <c r="Y464" s="209">
        <v>16</v>
      </c>
      <c r="AA464" t="s">
        <v>4564</v>
      </c>
      <c r="AB464" t="s">
        <v>67</v>
      </c>
      <c r="AC464" t="s">
        <v>4353</v>
      </c>
      <c r="AD464" t="s">
        <v>4506</v>
      </c>
      <c r="AE464" t="s">
        <v>4353</v>
      </c>
      <c r="AF464" t="s">
        <v>4506</v>
      </c>
      <c r="AG464" t="s">
        <v>4353</v>
      </c>
      <c r="AH464" t="s">
        <v>4506</v>
      </c>
      <c r="AI464" t="s">
        <v>4353</v>
      </c>
      <c r="AJ464" t="s">
        <v>4506</v>
      </c>
      <c r="AK464" t="s">
        <v>4519</v>
      </c>
      <c r="AL464" t="s">
        <v>4519</v>
      </c>
      <c r="AM464" t="s">
        <v>4510</v>
      </c>
      <c r="AN464" t="s">
        <v>4550</v>
      </c>
      <c r="AO464" s="134">
        <v>107.42702702702699</v>
      </c>
      <c r="AP464" s="135">
        <v>116.725651577503</v>
      </c>
      <c r="AQ464">
        <v>0.358024691358025</v>
      </c>
      <c r="AR464" s="136">
        <v>1.2304526748971201</v>
      </c>
      <c r="AS464">
        <v>7.4224965706447197</v>
      </c>
    </row>
    <row r="465" spans="1:45" customFormat="1" ht="46">
      <c r="A465">
        <v>170</v>
      </c>
      <c r="B465" s="69" t="s">
        <v>499</v>
      </c>
      <c r="C465" s="69" t="s">
        <v>45</v>
      </c>
      <c r="D465" s="31">
        <f t="shared" si="43"/>
        <v>4</v>
      </c>
      <c r="E465" s="69" t="s">
        <v>46</v>
      </c>
      <c r="F465" s="31">
        <f t="shared" si="44"/>
        <v>6</v>
      </c>
      <c r="G465" s="137" t="s">
        <v>531</v>
      </c>
      <c r="H465" s="138">
        <v>42</v>
      </c>
      <c r="I465" s="92">
        <f t="shared" si="42"/>
        <v>0.56774486975858152</v>
      </c>
      <c r="J465" s="95">
        <v>0.45367155769898099</v>
      </c>
      <c r="K465" s="137">
        <v>0.75194805194805203</v>
      </c>
      <c r="L465" s="137">
        <v>0.68181818181818199</v>
      </c>
      <c r="M465" s="137">
        <v>0.85714285714285698</v>
      </c>
      <c r="N465" s="136">
        <v>1</v>
      </c>
      <c r="O465" s="154">
        <v>43382</v>
      </c>
      <c r="P465" s="98">
        <f t="shared" si="45"/>
        <v>1</v>
      </c>
      <c r="Q465" s="111">
        <v>0</v>
      </c>
      <c r="R465" s="111">
        <v>0</v>
      </c>
      <c r="S465" s="111">
        <v>0</v>
      </c>
      <c r="T465" s="112" t="s">
        <v>73</v>
      </c>
      <c r="U465" s="137" t="s">
        <v>532</v>
      </c>
      <c r="V465" s="137" t="s">
        <v>530</v>
      </c>
      <c r="W465" s="69">
        <v>61</v>
      </c>
      <c r="X465" s="69">
        <v>2</v>
      </c>
      <c r="Y465" s="69">
        <v>1</v>
      </c>
      <c r="AA465" t="s">
        <v>4564</v>
      </c>
      <c r="AB465" t="s">
        <v>51</v>
      </c>
      <c r="AC465" t="s">
        <v>223</v>
      </c>
      <c r="AD465" t="s">
        <v>4684</v>
      </c>
      <c r="AE465" t="s">
        <v>4515</v>
      </c>
      <c r="AF465" t="s">
        <v>4724</v>
      </c>
      <c r="AG465" t="s">
        <v>223</v>
      </c>
      <c r="AH465" t="s">
        <v>4684</v>
      </c>
      <c r="AI465" t="s">
        <v>4353</v>
      </c>
      <c r="AJ465" t="s">
        <v>4506</v>
      </c>
      <c r="AK465" t="s">
        <v>4518</v>
      </c>
      <c r="AL465" t="s">
        <v>4519</v>
      </c>
      <c r="AM465" t="s">
        <v>4510</v>
      </c>
      <c r="AN465" t="s">
        <v>4523</v>
      </c>
      <c r="AO465" s="134">
        <v>107.500676589986</v>
      </c>
      <c r="AP465" s="135">
        <v>117.059392265193</v>
      </c>
      <c r="AQ465">
        <v>0.35911602209944798</v>
      </c>
      <c r="AR465" s="136">
        <v>1.2292817679557999</v>
      </c>
      <c r="AS465">
        <v>7.4102209944751403</v>
      </c>
    </row>
    <row r="466" spans="1:45" customFormat="1" ht="76">
      <c r="A466" s="65">
        <v>504</v>
      </c>
      <c r="B466" s="69" t="s">
        <v>1222</v>
      </c>
      <c r="C466" s="69" t="s">
        <v>45</v>
      </c>
      <c r="D466" s="31">
        <f t="shared" si="43"/>
        <v>4</v>
      </c>
      <c r="E466" s="69" t="s">
        <v>80</v>
      </c>
      <c r="F466" s="31">
        <f t="shared" si="44"/>
        <v>4</v>
      </c>
      <c r="G466" s="196" t="s">
        <v>159</v>
      </c>
      <c r="H466" s="138">
        <v>54</v>
      </c>
      <c r="I466" s="92">
        <f t="shared" si="42"/>
        <v>0.51203353434144194</v>
      </c>
      <c r="J466" s="95">
        <v>0.19906706868288401</v>
      </c>
      <c r="K466" s="137">
        <v>0.81418779643582295</v>
      </c>
      <c r="L466" s="137">
        <v>0.82499999999999996</v>
      </c>
      <c r="M466" s="137">
        <v>0.79796949108955795</v>
      </c>
      <c r="N466" s="136">
        <v>1</v>
      </c>
      <c r="O466" s="154">
        <v>43382</v>
      </c>
      <c r="P466" s="98">
        <f t="shared" si="45"/>
        <v>0</v>
      </c>
      <c r="Q466" s="111">
        <v>0</v>
      </c>
      <c r="R466" s="111">
        <v>3.3</v>
      </c>
      <c r="S466" s="111">
        <v>1.87</v>
      </c>
      <c r="T466" s="112" t="s">
        <v>48</v>
      </c>
      <c r="U466" s="188" t="s">
        <v>1425</v>
      </c>
      <c r="V466" s="137" t="s">
        <v>1426</v>
      </c>
      <c r="W466" s="69">
        <v>95</v>
      </c>
      <c r="X466" s="195">
        <v>1</v>
      </c>
      <c r="Y466" s="195">
        <v>2</v>
      </c>
      <c r="AA466" t="s">
        <v>4522</v>
      </c>
      <c r="AB466" t="s">
        <v>358</v>
      </c>
      <c r="AC466" t="s">
        <v>223</v>
      </c>
      <c r="AD466" t="s">
        <v>4655</v>
      </c>
      <c r="AE466" t="s">
        <v>223</v>
      </c>
      <c r="AF466" t="s">
        <v>4655</v>
      </c>
      <c r="AG466" t="s">
        <v>223</v>
      </c>
      <c r="AH466" t="s">
        <v>4655</v>
      </c>
      <c r="AI466" t="s">
        <v>4515</v>
      </c>
      <c r="AJ466" t="s">
        <v>4654</v>
      </c>
      <c r="AK466" t="s">
        <v>4518</v>
      </c>
      <c r="AL466" t="s">
        <v>4519</v>
      </c>
      <c r="AM466" t="s">
        <v>4510</v>
      </c>
      <c r="AN466" t="s">
        <v>4523</v>
      </c>
      <c r="AO466" s="134">
        <v>107.589430894309</v>
      </c>
      <c r="AP466" s="135">
        <v>117.059392265193</v>
      </c>
      <c r="AQ466">
        <v>0.35911602209944798</v>
      </c>
      <c r="AR466" s="136">
        <v>1.2292817679557999</v>
      </c>
      <c r="AS466">
        <v>7.4102209944751403</v>
      </c>
    </row>
    <row r="467" spans="1:45" customFormat="1" ht="46">
      <c r="A467" s="65">
        <v>169</v>
      </c>
      <c r="B467" s="69" t="s">
        <v>499</v>
      </c>
      <c r="C467" s="69" t="s">
        <v>119</v>
      </c>
      <c r="D467" s="31">
        <f t="shared" si="43"/>
        <v>1</v>
      </c>
      <c r="E467" s="69" t="s">
        <v>46</v>
      </c>
      <c r="F467" s="31">
        <f t="shared" si="44"/>
        <v>6</v>
      </c>
      <c r="G467" s="137" t="s">
        <v>528</v>
      </c>
      <c r="H467" s="138">
        <v>53</v>
      </c>
      <c r="I467" s="92">
        <f t="shared" si="42"/>
        <v>0.42290509720089253</v>
      </c>
      <c r="J467" s="95">
        <v>9.5810194401785106E-2</v>
      </c>
      <c r="K467" s="137">
        <v>0.76918779643582302</v>
      </c>
      <c r="L467" s="137">
        <v>0.75</v>
      </c>
      <c r="M467" s="137">
        <v>0.79796949108955795</v>
      </c>
      <c r="N467" s="136">
        <v>1</v>
      </c>
      <c r="O467" s="193">
        <v>43382</v>
      </c>
      <c r="P467" s="98">
        <f t="shared" si="45"/>
        <v>2</v>
      </c>
      <c r="Q467" s="113">
        <v>0</v>
      </c>
      <c r="R467" s="113">
        <v>0</v>
      </c>
      <c r="S467" s="113">
        <v>0</v>
      </c>
      <c r="T467" s="114" t="s">
        <v>64</v>
      </c>
      <c r="U467" s="137" t="s">
        <v>529</v>
      </c>
      <c r="V467" s="137" t="s">
        <v>530</v>
      </c>
      <c r="W467" s="69">
        <v>61</v>
      </c>
      <c r="X467" s="69">
        <v>2</v>
      </c>
      <c r="Y467" s="69">
        <v>2</v>
      </c>
      <c r="AA467" t="s">
        <v>4660</v>
      </c>
      <c r="AB467" t="s">
        <v>51</v>
      </c>
      <c r="AC467" t="s">
        <v>223</v>
      </c>
      <c r="AD467" t="s">
        <v>4684</v>
      </c>
      <c r="AE467" t="s">
        <v>4515</v>
      </c>
      <c r="AF467" t="s">
        <v>4724</v>
      </c>
      <c r="AG467" t="s">
        <v>223</v>
      </c>
      <c r="AH467" t="s">
        <v>4684</v>
      </c>
      <c r="AI467" t="s">
        <v>4353</v>
      </c>
      <c r="AJ467" t="s">
        <v>4506</v>
      </c>
      <c r="AK467" t="s">
        <v>4519</v>
      </c>
      <c r="AL467" t="s">
        <v>4541</v>
      </c>
      <c r="AM467" t="s">
        <v>4562</v>
      </c>
      <c r="AN467" t="s">
        <v>4785</v>
      </c>
      <c r="AO467" s="134">
        <v>107.662143826323</v>
      </c>
      <c r="AP467" s="135">
        <v>117.059392265193</v>
      </c>
      <c r="AQ467">
        <v>0.35911602209944798</v>
      </c>
      <c r="AR467" s="136">
        <v>1.2292817679557999</v>
      </c>
      <c r="AS467">
        <v>7.4102209944751403</v>
      </c>
    </row>
    <row r="468" spans="1:45" customFormat="1" ht="46">
      <c r="A468" s="65">
        <v>1137</v>
      </c>
      <c r="B468" s="69" t="s">
        <v>3082</v>
      </c>
      <c r="C468" s="69" t="s">
        <v>45</v>
      </c>
      <c r="D468" s="31">
        <f t="shared" si="43"/>
        <v>4</v>
      </c>
      <c r="E468" s="69" t="s">
        <v>46</v>
      </c>
      <c r="F468" s="31">
        <f t="shared" si="44"/>
        <v>6</v>
      </c>
      <c r="G468" s="89" t="s">
        <v>3092</v>
      </c>
      <c r="H468" s="138">
        <v>69</v>
      </c>
      <c r="I468" s="92">
        <f t="shared" si="42"/>
        <v>0.37512070389946689</v>
      </c>
      <c r="J468" s="95">
        <v>2.4140779893377901E-4</v>
      </c>
      <c r="K468" s="137">
        <v>0.79285714285714304</v>
      </c>
      <c r="L468" s="137">
        <v>0.75</v>
      </c>
      <c r="M468" s="137">
        <v>0.85714285714285698</v>
      </c>
      <c r="N468" s="136">
        <v>1</v>
      </c>
      <c r="O468" s="157">
        <v>43382</v>
      </c>
      <c r="P468" s="98">
        <f t="shared" si="45"/>
        <v>0</v>
      </c>
      <c r="Q468" s="113">
        <v>2.5499999999999998</v>
      </c>
      <c r="R468" s="113">
        <v>0</v>
      </c>
      <c r="S468" s="113">
        <v>0</v>
      </c>
      <c r="T468" s="119" t="s">
        <v>48</v>
      </c>
      <c r="U468" s="89" t="s">
        <v>3093</v>
      </c>
      <c r="V468" s="172" t="s">
        <v>3094</v>
      </c>
      <c r="W468" s="69">
        <v>45</v>
      </c>
      <c r="X468" s="69">
        <v>1</v>
      </c>
      <c r="Y468" s="69">
        <v>1</v>
      </c>
      <c r="Z468" s="69"/>
      <c r="AA468" t="s">
        <v>4522</v>
      </c>
      <c r="AB468" t="s">
        <v>51</v>
      </c>
      <c r="AC468" t="s">
        <v>4353</v>
      </c>
      <c r="AD468" t="s">
        <v>4506</v>
      </c>
      <c r="AE468" t="s">
        <v>4513</v>
      </c>
      <c r="AF468" t="s">
        <v>4677</v>
      </c>
      <c r="AG468" t="s">
        <v>223</v>
      </c>
      <c r="AH468" t="s">
        <v>4781</v>
      </c>
      <c r="AI468" t="s">
        <v>4353</v>
      </c>
      <c r="AJ468" t="s">
        <v>4506</v>
      </c>
      <c r="AK468" t="s">
        <v>4519</v>
      </c>
      <c r="AL468" t="s">
        <v>4519</v>
      </c>
      <c r="AM468" t="s">
        <v>4520</v>
      </c>
      <c r="AN468" t="s">
        <v>4558</v>
      </c>
      <c r="AO468" s="134">
        <v>107.714673913043</v>
      </c>
      <c r="AP468" s="135">
        <v>117.059392265193</v>
      </c>
      <c r="AQ468">
        <v>0.35911602209944798</v>
      </c>
      <c r="AR468" s="136">
        <v>1.2292817679557999</v>
      </c>
      <c r="AS468">
        <v>7.4102209944751403</v>
      </c>
    </row>
    <row r="469" spans="1:45" customFormat="1" ht="91">
      <c r="A469" s="65">
        <v>1148</v>
      </c>
      <c r="B469" s="69" t="s">
        <v>3117</v>
      </c>
      <c r="C469" s="69" t="s">
        <v>45</v>
      </c>
      <c r="D469" s="31">
        <f t="shared" si="43"/>
        <v>4</v>
      </c>
      <c r="E469" s="69" t="s">
        <v>46</v>
      </c>
      <c r="F469" s="31">
        <f t="shared" si="44"/>
        <v>6</v>
      </c>
      <c r="G469" s="139" t="s">
        <v>3121</v>
      </c>
      <c r="H469" s="138">
        <v>40</v>
      </c>
      <c r="I469" s="92">
        <f t="shared" si="42"/>
        <v>0.43100705552664897</v>
      </c>
      <c r="J469" s="95">
        <v>0.112014111053298</v>
      </c>
      <c r="K469" s="137">
        <v>0.68837559287164596</v>
      </c>
      <c r="L469" s="137">
        <v>0.75</v>
      </c>
      <c r="M469" s="137">
        <v>0.59593898217911601</v>
      </c>
      <c r="N469" s="136">
        <v>0</v>
      </c>
      <c r="O469" s="204">
        <v>43381</v>
      </c>
      <c r="P469" s="98">
        <f t="shared" si="45"/>
        <v>2</v>
      </c>
      <c r="Q469" s="113">
        <v>0</v>
      </c>
      <c r="R469" s="113">
        <v>0</v>
      </c>
      <c r="S469" s="113">
        <v>1.87</v>
      </c>
      <c r="T469" s="114" t="s">
        <v>64</v>
      </c>
      <c r="U469" s="89" t="s">
        <v>4467</v>
      </c>
      <c r="V469" s="172" t="s">
        <v>3123</v>
      </c>
      <c r="W469" s="69">
        <v>136</v>
      </c>
      <c r="X469" s="171">
        <v>1</v>
      </c>
      <c r="Y469" s="171">
        <v>8</v>
      </c>
      <c r="Z469" s="69"/>
      <c r="AA469" t="s">
        <v>4556</v>
      </c>
      <c r="AB469" t="s">
        <v>358</v>
      </c>
      <c r="AC469" t="s">
        <v>4353</v>
      </c>
      <c r="AD469" t="s">
        <v>4506</v>
      </c>
      <c r="AE469" t="s">
        <v>4353</v>
      </c>
      <c r="AF469" t="s">
        <v>4506</v>
      </c>
      <c r="AG469" t="s">
        <v>223</v>
      </c>
      <c r="AH469" t="s">
        <v>4574</v>
      </c>
      <c r="AI469" t="s">
        <v>4515</v>
      </c>
      <c r="AJ469" t="s">
        <v>4575</v>
      </c>
      <c r="AK469" t="s">
        <v>4519</v>
      </c>
      <c r="AL469" t="s">
        <v>4552</v>
      </c>
      <c r="AM469" t="s">
        <v>4528</v>
      </c>
      <c r="AN469" t="s">
        <v>4618</v>
      </c>
      <c r="AO469" s="134">
        <v>107.55918367346899</v>
      </c>
      <c r="AP469" s="135">
        <v>117.14958448753499</v>
      </c>
      <c r="AQ469">
        <v>0.35872576177285298</v>
      </c>
      <c r="AR469" s="136">
        <v>1.2285318559556799</v>
      </c>
      <c r="AS469">
        <v>7.3545706371191102</v>
      </c>
    </row>
    <row r="470" spans="1:45" customFormat="1" ht="151">
      <c r="A470">
        <v>6</v>
      </c>
      <c r="B470" s="136" t="s">
        <v>44</v>
      </c>
      <c r="C470" s="136" t="s">
        <v>45</v>
      </c>
      <c r="D470" s="31">
        <f t="shared" si="43"/>
        <v>4</v>
      </c>
      <c r="E470" s="136" t="s">
        <v>46</v>
      </c>
      <c r="F470" s="31">
        <f t="shared" si="44"/>
        <v>6</v>
      </c>
      <c r="G470" s="209" t="s">
        <v>68</v>
      </c>
      <c r="H470" s="138">
        <v>222</v>
      </c>
      <c r="I470" s="92">
        <f t="shared" si="42"/>
        <v>0.16113405875890494</v>
      </c>
      <c r="J470" s="95">
        <v>4.1949037384468903E-3</v>
      </c>
      <c r="K470" s="137">
        <v>0.53370107112476095</v>
      </c>
      <c r="L470" s="137">
        <v>0.31807321377936298</v>
      </c>
      <c r="M470" s="137">
        <v>0.85714285714285698</v>
      </c>
      <c r="N470" s="136">
        <v>1</v>
      </c>
      <c r="O470" s="41">
        <v>43381</v>
      </c>
      <c r="P470" s="98">
        <f t="shared" si="45"/>
        <v>0</v>
      </c>
      <c r="Q470" s="113">
        <v>5.0999999999999996</v>
      </c>
      <c r="R470" s="113">
        <v>4.95</v>
      </c>
      <c r="S470" s="113">
        <v>0</v>
      </c>
      <c r="T470" s="114" t="s">
        <v>48</v>
      </c>
      <c r="U470" s="136" t="s">
        <v>4348</v>
      </c>
      <c r="V470" s="136" t="s">
        <v>70</v>
      </c>
      <c r="W470" s="69">
        <v>121</v>
      </c>
      <c r="X470" s="209">
        <v>1</v>
      </c>
      <c r="Y470" s="209">
        <v>1</v>
      </c>
      <c r="AA470" t="s">
        <v>4917</v>
      </c>
      <c r="AB470" t="s">
        <v>71</v>
      </c>
      <c r="AC470" t="s">
        <v>223</v>
      </c>
      <c r="AD470" t="s">
        <v>4768</v>
      </c>
      <c r="AE470" t="s">
        <v>223</v>
      </c>
      <c r="AF470" t="s">
        <v>4768</v>
      </c>
      <c r="AG470" t="s">
        <v>4513</v>
      </c>
      <c r="AH470" t="s">
        <v>4801</v>
      </c>
      <c r="AI470" t="s">
        <v>4353</v>
      </c>
      <c r="AJ470" t="s">
        <v>4506</v>
      </c>
      <c r="AK470" t="s">
        <v>4519</v>
      </c>
      <c r="AL470" t="s">
        <v>4519</v>
      </c>
      <c r="AM470" t="s">
        <v>4510</v>
      </c>
      <c r="AN470" t="s">
        <v>4550</v>
      </c>
      <c r="AO470" s="134">
        <v>107.651226158038</v>
      </c>
      <c r="AP470" s="135">
        <v>117.14958448753499</v>
      </c>
      <c r="AQ470">
        <v>0.35872576177285298</v>
      </c>
      <c r="AR470" s="136">
        <v>1.2285318559556799</v>
      </c>
      <c r="AS470">
        <v>7.3545706371191102</v>
      </c>
    </row>
    <row r="471" spans="1:45" customFormat="1" ht="106">
      <c r="A471">
        <v>690</v>
      </c>
      <c r="B471" s="69" t="s">
        <v>1871</v>
      </c>
      <c r="C471" s="69" t="s">
        <v>45</v>
      </c>
      <c r="D471" s="31">
        <f t="shared" si="43"/>
        <v>4</v>
      </c>
      <c r="E471" s="69" t="s">
        <v>80</v>
      </c>
      <c r="F471" s="31">
        <f t="shared" si="44"/>
        <v>4</v>
      </c>
      <c r="G471" s="169" t="s">
        <v>159</v>
      </c>
      <c r="H471" s="138">
        <v>54</v>
      </c>
      <c r="I471" s="92">
        <f t="shared" si="42"/>
        <v>0.56595457500817847</v>
      </c>
      <c r="J471" s="95">
        <v>0.30690915001635699</v>
      </c>
      <c r="K471" s="137">
        <v>0.75502915755524702</v>
      </c>
      <c r="L471" s="137">
        <v>0.82499999999999996</v>
      </c>
      <c r="M471" s="137">
        <v>0.65007289388811795</v>
      </c>
      <c r="N471" s="136">
        <v>1</v>
      </c>
      <c r="O471" s="154">
        <v>43377</v>
      </c>
      <c r="P471" s="98">
        <f t="shared" si="45"/>
        <v>0</v>
      </c>
      <c r="Q471" s="113">
        <v>0</v>
      </c>
      <c r="R471" s="113">
        <v>0</v>
      </c>
      <c r="S471" s="113">
        <v>0</v>
      </c>
      <c r="T471" s="114" t="s">
        <v>48</v>
      </c>
      <c r="U471" s="137" t="s">
        <v>1896</v>
      </c>
      <c r="V471" s="137" t="s">
        <v>1897</v>
      </c>
      <c r="W471" s="69">
        <v>144</v>
      </c>
      <c r="X471" s="69">
        <v>2</v>
      </c>
      <c r="Y471" s="69">
        <v>6</v>
      </c>
      <c r="Z471" s="69"/>
      <c r="AA471" t="s">
        <v>4522</v>
      </c>
      <c r="AB471" t="s">
        <v>51</v>
      </c>
      <c r="AC471" t="s">
        <v>4353</v>
      </c>
      <c r="AD471" t="s">
        <v>4506</v>
      </c>
      <c r="AE471" t="s">
        <v>4530</v>
      </c>
      <c r="AF471" t="s">
        <v>4534</v>
      </c>
      <c r="AG471" t="s">
        <v>4513</v>
      </c>
      <c r="AH471" t="s">
        <v>4731</v>
      </c>
      <c r="AI471" t="s">
        <v>223</v>
      </c>
      <c r="AJ471" t="s">
        <v>4536</v>
      </c>
      <c r="AK471" t="s">
        <v>4518</v>
      </c>
      <c r="AL471" t="s">
        <v>4519</v>
      </c>
      <c r="AM471" t="s">
        <v>4510</v>
      </c>
      <c r="AN471" t="s">
        <v>4523</v>
      </c>
      <c r="AO471" s="134">
        <v>107.724420190996</v>
      </c>
      <c r="AP471" s="135">
        <v>117.14958448753499</v>
      </c>
      <c r="AQ471">
        <v>0.35872576177285298</v>
      </c>
      <c r="AR471" s="136">
        <v>1.2285318559556799</v>
      </c>
      <c r="AS471">
        <v>7.3545706371191102</v>
      </c>
    </row>
    <row r="472" spans="1:45" customFormat="1" ht="76">
      <c r="A472">
        <v>691</v>
      </c>
      <c r="B472" s="69" t="s">
        <v>1871</v>
      </c>
      <c r="C472" s="69" t="s">
        <v>45</v>
      </c>
      <c r="D472" s="31">
        <f t="shared" si="43"/>
        <v>4</v>
      </c>
      <c r="E472" s="69" t="s">
        <v>46</v>
      </c>
      <c r="F472" s="31">
        <f t="shared" si="44"/>
        <v>6</v>
      </c>
      <c r="G472" s="188" t="s">
        <v>1898</v>
      </c>
      <c r="H472" s="138">
        <v>121</v>
      </c>
      <c r="I472" s="92">
        <f t="shared" si="42"/>
        <v>0.70621314135750457</v>
      </c>
      <c r="J472" s="95">
        <v>0.73060810089682704</v>
      </c>
      <c r="K472" s="137">
        <v>0.657905119887218</v>
      </c>
      <c r="L472" s="137">
        <v>0.68181818181818199</v>
      </c>
      <c r="M472" s="137">
        <v>0.62203552699077302</v>
      </c>
      <c r="N472" s="136">
        <v>1</v>
      </c>
      <c r="O472" s="154">
        <v>43375</v>
      </c>
      <c r="P472" s="98">
        <f t="shared" si="45"/>
        <v>0</v>
      </c>
      <c r="Q472" s="113">
        <v>2.5499999999999998</v>
      </c>
      <c r="R472" s="113">
        <v>0</v>
      </c>
      <c r="S472" s="113">
        <v>0</v>
      </c>
      <c r="T472" s="114" t="s">
        <v>48</v>
      </c>
      <c r="U472" s="137" t="s">
        <v>1899</v>
      </c>
      <c r="V472" s="137" t="s">
        <v>1900</v>
      </c>
      <c r="W472" s="69">
        <v>39</v>
      </c>
      <c r="X472" s="195">
        <v>1</v>
      </c>
      <c r="Y472" s="195">
        <v>7</v>
      </c>
      <c r="Z472" s="69"/>
      <c r="AA472" t="s">
        <v>4543</v>
      </c>
      <c r="AB472" t="s">
        <v>87</v>
      </c>
      <c r="AC472" t="s">
        <v>4515</v>
      </c>
      <c r="AD472" t="s">
        <v>4651</v>
      </c>
      <c r="AE472" t="s">
        <v>223</v>
      </c>
      <c r="AF472" t="s">
        <v>4537</v>
      </c>
      <c r="AG472" t="s">
        <v>223</v>
      </c>
      <c r="AH472" t="s">
        <v>4537</v>
      </c>
      <c r="AI472" t="s">
        <v>4353</v>
      </c>
      <c r="AJ472" t="s">
        <v>4506</v>
      </c>
      <c r="AK472" t="s">
        <v>4519</v>
      </c>
      <c r="AL472" t="s">
        <v>4519</v>
      </c>
      <c r="AM472" t="s">
        <v>4592</v>
      </c>
      <c r="AN472" t="s">
        <v>4626</v>
      </c>
      <c r="AO472" s="134">
        <v>107.79781420765001</v>
      </c>
      <c r="AP472" s="135">
        <v>117.14958448753499</v>
      </c>
      <c r="AQ472">
        <v>0.35872576177285298</v>
      </c>
      <c r="AR472" s="136">
        <v>1.2285318559556799</v>
      </c>
      <c r="AS472">
        <v>7.3545706371191102</v>
      </c>
    </row>
    <row r="473" spans="1:45" customFormat="1" ht="46">
      <c r="A473">
        <v>171</v>
      </c>
      <c r="B473" s="69" t="s">
        <v>499</v>
      </c>
      <c r="C473" s="69" t="s">
        <v>45</v>
      </c>
      <c r="D473" s="31">
        <f t="shared" si="43"/>
        <v>4</v>
      </c>
      <c r="E473" s="69" t="s">
        <v>46</v>
      </c>
      <c r="F473" s="31">
        <f t="shared" si="44"/>
        <v>6</v>
      </c>
      <c r="G473" s="137" t="s">
        <v>533</v>
      </c>
      <c r="H473" s="138">
        <v>54</v>
      </c>
      <c r="I473" s="92">
        <f t="shared" si="42"/>
        <v>0.55950605406168807</v>
      </c>
      <c r="J473" s="95">
        <v>0.49917739737957401</v>
      </c>
      <c r="K473" s="137">
        <v>0.54332939787485202</v>
      </c>
      <c r="L473" s="137">
        <v>0.61983471074380203</v>
      </c>
      <c r="M473" s="137">
        <v>0.42857142857142899</v>
      </c>
      <c r="N473" s="136">
        <v>1</v>
      </c>
      <c r="O473" s="194">
        <v>43375</v>
      </c>
      <c r="P473" s="98">
        <f t="shared" si="45"/>
        <v>1</v>
      </c>
      <c r="Q473" s="111">
        <v>0</v>
      </c>
      <c r="R473" s="111">
        <v>1.65</v>
      </c>
      <c r="S473" s="111">
        <v>0</v>
      </c>
      <c r="T473" s="112" t="s">
        <v>73</v>
      </c>
      <c r="U473" s="147" t="s">
        <v>534</v>
      </c>
      <c r="V473" s="137" t="s">
        <v>535</v>
      </c>
      <c r="W473" s="69">
        <v>34</v>
      </c>
      <c r="X473" s="147">
        <v>4</v>
      </c>
      <c r="Y473" s="147">
        <v>16</v>
      </c>
      <c r="AA473" t="s">
        <v>4543</v>
      </c>
      <c r="AB473" t="s">
        <v>51</v>
      </c>
      <c r="AC473" t="s">
        <v>4353</v>
      </c>
      <c r="AD473" t="s">
        <v>4506</v>
      </c>
      <c r="AE473" t="s">
        <v>4513</v>
      </c>
      <c r="AF473" t="s">
        <v>4622</v>
      </c>
      <c r="AG473" t="s">
        <v>4353</v>
      </c>
      <c r="AH473" t="s">
        <v>4506</v>
      </c>
      <c r="AI473" t="s">
        <v>4353</v>
      </c>
      <c r="AJ473" t="s">
        <v>4506</v>
      </c>
      <c r="AK473" t="s">
        <v>4519</v>
      </c>
      <c r="AL473" t="s">
        <v>4552</v>
      </c>
      <c r="AM473" t="s">
        <v>4528</v>
      </c>
      <c r="AN473" t="s">
        <v>4618</v>
      </c>
      <c r="AO473" s="134">
        <v>107.77975376197</v>
      </c>
      <c r="AP473" s="135">
        <v>117.14958448753499</v>
      </c>
      <c r="AQ473">
        <v>0.35872576177285298</v>
      </c>
      <c r="AR473" s="136">
        <v>1.2285318559556799</v>
      </c>
      <c r="AS473">
        <v>7.3545706371191102</v>
      </c>
    </row>
    <row r="474" spans="1:45" customFormat="1" ht="46">
      <c r="A474">
        <v>318</v>
      </c>
      <c r="B474" s="69" t="s">
        <v>589</v>
      </c>
      <c r="C474" s="69" t="s">
        <v>45</v>
      </c>
      <c r="D474" s="31">
        <f t="shared" si="43"/>
        <v>4</v>
      </c>
      <c r="E474" s="69" t="s">
        <v>80</v>
      </c>
      <c r="F474" s="31">
        <f t="shared" si="44"/>
        <v>4</v>
      </c>
      <c r="G474" s="137" t="s">
        <v>938</v>
      </c>
      <c r="H474" s="138">
        <v>59</v>
      </c>
      <c r="I474" s="92">
        <f t="shared" si="42"/>
        <v>0.3411698232299612</v>
      </c>
      <c r="J474" s="95">
        <v>5.2146464174040996E-4</v>
      </c>
      <c r="K474" s="137">
        <v>0.63766233766233804</v>
      </c>
      <c r="L474" s="137">
        <v>0.68181818181818199</v>
      </c>
      <c r="M474" s="137">
        <v>0.57142857142857095</v>
      </c>
      <c r="N474" s="136">
        <v>1</v>
      </c>
      <c r="O474" s="154">
        <v>43373</v>
      </c>
      <c r="P474" s="98">
        <f t="shared" si="45"/>
        <v>0</v>
      </c>
      <c r="Q474" s="111">
        <v>5.0999999999999996</v>
      </c>
      <c r="R474" s="111">
        <v>1.65</v>
      </c>
      <c r="S474" s="111">
        <v>0</v>
      </c>
      <c r="T474" s="112" t="s">
        <v>48</v>
      </c>
      <c r="U474" s="188" t="s">
        <v>943</v>
      </c>
      <c r="V474" s="188" t="s">
        <v>940</v>
      </c>
      <c r="W474" s="69">
        <v>54</v>
      </c>
      <c r="X474" s="195">
        <v>1</v>
      </c>
      <c r="Y474" s="195">
        <v>9</v>
      </c>
      <c r="AA474" t="s">
        <v>4564</v>
      </c>
      <c r="AB474" t="s">
        <v>87</v>
      </c>
      <c r="AC474" t="s">
        <v>4513</v>
      </c>
      <c r="AD474" t="s">
        <v>4901</v>
      </c>
      <c r="AE474" t="s">
        <v>223</v>
      </c>
      <c r="AF474" t="s">
        <v>4762</v>
      </c>
      <c r="AG474" t="s">
        <v>223</v>
      </c>
      <c r="AH474" t="s">
        <v>4762</v>
      </c>
      <c r="AI474" t="s">
        <v>223</v>
      </c>
      <c r="AJ474" t="s">
        <v>4762</v>
      </c>
      <c r="AK474" t="s">
        <v>4519</v>
      </c>
      <c r="AL474" t="s">
        <v>4519</v>
      </c>
      <c r="AM474" t="s">
        <v>4510</v>
      </c>
      <c r="AN474" t="s">
        <v>4550</v>
      </c>
      <c r="AO474" s="134">
        <v>107.846575342466</v>
      </c>
      <c r="AP474" s="135">
        <v>117.34770514603601</v>
      </c>
      <c r="AQ474">
        <v>0.35744089012517399</v>
      </c>
      <c r="AR474" s="136">
        <v>1.2294853963838701</v>
      </c>
      <c r="AS474">
        <v>7.3616133518776099</v>
      </c>
    </row>
    <row r="475" spans="1:45" customFormat="1" ht="106">
      <c r="A475">
        <v>319</v>
      </c>
      <c r="B475" s="69" t="s">
        <v>589</v>
      </c>
      <c r="C475" s="69" t="s">
        <v>45</v>
      </c>
      <c r="D475" s="31">
        <f t="shared" si="43"/>
        <v>4</v>
      </c>
      <c r="E475" s="69" t="s">
        <v>80</v>
      </c>
      <c r="F475" s="31">
        <f t="shared" si="44"/>
        <v>4</v>
      </c>
      <c r="G475" s="137" t="s">
        <v>944</v>
      </c>
      <c r="H475" s="138">
        <v>182</v>
      </c>
      <c r="I475" s="92">
        <f t="shared" si="42"/>
        <v>0.36403004448281895</v>
      </c>
      <c r="J475" s="95">
        <v>4.62419071474559E-2</v>
      </c>
      <c r="K475" s="137">
        <v>0.62838932850985896</v>
      </c>
      <c r="L475" s="137">
        <v>0.68181818181818199</v>
      </c>
      <c r="M475" s="137">
        <v>0.54824604854737402</v>
      </c>
      <c r="N475" s="136">
        <v>1</v>
      </c>
      <c r="O475" s="154">
        <v>43371</v>
      </c>
      <c r="P475" s="98">
        <f t="shared" si="45"/>
        <v>0</v>
      </c>
      <c r="Q475" s="111">
        <v>5.0999999999999996</v>
      </c>
      <c r="R475" s="111">
        <v>1.65</v>
      </c>
      <c r="S475" s="111">
        <v>0</v>
      </c>
      <c r="T475" s="112" t="s">
        <v>48</v>
      </c>
      <c r="U475" s="147" t="s">
        <v>945</v>
      </c>
      <c r="V475" s="137" t="s">
        <v>946</v>
      </c>
      <c r="W475" s="69">
        <v>124</v>
      </c>
      <c r="X475" s="171">
        <v>1</v>
      </c>
      <c r="Y475" s="171">
        <v>10</v>
      </c>
      <c r="AA475" t="s">
        <v>4564</v>
      </c>
      <c r="AB475" t="s">
        <v>51</v>
      </c>
      <c r="AC475" t="s">
        <v>4515</v>
      </c>
      <c r="AD475" t="s">
        <v>4575</v>
      </c>
      <c r="AE475" t="s">
        <v>4538</v>
      </c>
      <c r="AF475" t="s">
        <v>4918</v>
      </c>
      <c r="AG475" t="s">
        <v>4353</v>
      </c>
      <c r="AH475" t="s">
        <v>4506</v>
      </c>
      <c r="AI475" t="s">
        <v>4353</v>
      </c>
      <c r="AJ475" t="s">
        <v>4506</v>
      </c>
      <c r="AK475" t="s">
        <v>4519</v>
      </c>
      <c r="AL475" t="s">
        <v>4519</v>
      </c>
      <c r="AM475" t="s">
        <v>4510</v>
      </c>
      <c r="AN475" t="s">
        <v>4550</v>
      </c>
      <c r="AO475" s="134">
        <v>107.744855967078</v>
      </c>
      <c r="AP475" s="135">
        <v>117.302228412256</v>
      </c>
      <c r="AQ475">
        <v>0.35515320334261802</v>
      </c>
      <c r="AR475" s="136">
        <v>1.22980501392758</v>
      </c>
      <c r="AS475">
        <v>7.3551532033426197</v>
      </c>
    </row>
    <row r="476" spans="1:45" customFormat="1" ht="46">
      <c r="A476">
        <v>666</v>
      </c>
      <c r="B476" s="69" t="s">
        <v>1790</v>
      </c>
      <c r="C476" s="69" t="s">
        <v>45</v>
      </c>
      <c r="D476" s="31">
        <f t="shared" si="43"/>
        <v>4</v>
      </c>
      <c r="E476" s="69" t="s">
        <v>80</v>
      </c>
      <c r="F476" s="31">
        <f t="shared" si="44"/>
        <v>4</v>
      </c>
      <c r="G476" s="169" t="s">
        <v>1829</v>
      </c>
      <c r="H476" s="138">
        <v>83</v>
      </c>
      <c r="I476" s="92">
        <f t="shared" si="42"/>
        <v>0.84089825426863651</v>
      </c>
      <c r="J476" s="95">
        <v>0.99997832671909104</v>
      </c>
      <c r="K476" s="137">
        <v>0.71011657722983001</v>
      </c>
      <c r="L476" s="137">
        <v>0.68181818181818199</v>
      </c>
      <c r="M476" s="137">
        <v>0.75256417034730305</v>
      </c>
      <c r="N476" s="136">
        <v>1</v>
      </c>
      <c r="O476" s="168">
        <v>43370</v>
      </c>
      <c r="P476" s="98">
        <f t="shared" si="45"/>
        <v>1</v>
      </c>
      <c r="Q476" s="111">
        <v>0</v>
      </c>
      <c r="R476" s="111">
        <v>0</v>
      </c>
      <c r="S476" s="111">
        <v>0</v>
      </c>
      <c r="T476" s="112" t="s">
        <v>73</v>
      </c>
      <c r="U476" s="188" t="s">
        <v>1830</v>
      </c>
      <c r="V476" s="188" t="s">
        <v>1831</v>
      </c>
      <c r="W476" s="69">
        <v>43</v>
      </c>
      <c r="X476" s="188">
        <v>1</v>
      </c>
      <c r="Y476" s="188">
        <v>3</v>
      </c>
      <c r="Z476" s="69"/>
      <c r="AA476" t="s">
        <v>4564</v>
      </c>
      <c r="AB476" t="s">
        <v>4597</v>
      </c>
      <c r="AC476" t="s">
        <v>4515</v>
      </c>
      <c r="AD476" t="s">
        <v>4623</v>
      </c>
      <c r="AE476" t="s">
        <v>223</v>
      </c>
      <c r="AF476" t="s">
        <v>4531</v>
      </c>
      <c r="AG476" t="s">
        <v>4515</v>
      </c>
      <c r="AH476" t="s">
        <v>4623</v>
      </c>
      <c r="AI476" t="s">
        <v>4353</v>
      </c>
      <c r="AJ476" t="s">
        <v>4506</v>
      </c>
      <c r="AK476" t="s">
        <v>4519</v>
      </c>
      <c r="AL476" t="s">
        <v>4519</v>
      </c>
      <c r="AM476" t="s">
        <v>4520</v>
      </c>
      <c r="AN476" t="s">
        <v>4558</v>
      </c>
      <c r="AO476" s="134">
        <v>107.75</v>
      </c>
      <c r="AP476" s="135">
        <v>117.20641562064201</v>
      </c>
      <c r="AQ476">
        <v>0.35425383542538402</v>
      </c>
      <c r="AR476" s="136">
        <v>1.2301255230125501</v>
      </c>
      <c r="AS476">
        <v>7.3626220362622004</v>
      </c>
    </row>
    <row r="477" spans="1:45" customFormat="1" ht="76">
      <c r="A477" s="65">
        <v>320</v>
      </c>
      <c r="B477" s="69" t="s">
        <v>589</v>
      </c>
      <c r="C477" s="69" t="s">
        <v>59</v>
      </c>
      <c r="D477" s="31">
        <f t="shared" si="43"/>
        <v>5</v>
      </c>
      <c r="E477" s="69" t="s">
        <v>46</v>
      </c>
      <c r="F477" s="31">
        <f t="shared" si="44"/>
        <v>6</v>
      </c>
      <c r="G477" s="188" t="s">
        <v>947</v>
      </c>
      <c r="H477" s="138">
        <v>104</v>
      </c>
      <c r="I477" s="92">
        <f t="shared" si="42"/>
        <v>0.59248390623268099</v>
      </c>
      <c r="J477" s="95">
        <v>0.43496781246536198</v>
      </c>
      <c r="K477" s="137">
        <v>0.65205133627784295</v>
      </c>
      <c r="L477" s="137">
        <v>0.75</v>
      </c>
      <c r="M477" s="137">
        <v>0.50512834069460699</v>
      </c>
      <c r="N477" s="136">
        <v>1</v>
      </c>
      <c r="O477" s="154">
        <v>43370</v>
      </c>
      <c r="P477" s="98">
        <f t="shared" si="45"/>
        <v>0</v>
      </c>
      <c r="Q477" s="111">
        <v>0</v>
      </c>
      <c r="R477" s="111">
        <v>3.3</v>
      </c>
      <c r="S477" s="111">
        <v>0</v>
      </c>
      <c r="T477" s="112" t="s">
        <v>48</v>
      </c>
      <c r="U477" s="136" t="s">
        <v>4379</v>
      </c>
      <c r="V477" s="137" t="s">
        <v>949</v>
      </c>
      <c r="W477" s="69">
        <v>85</v>
      </c>
      <c r="X477" s="195">
        <v>2</v>
      </c>
      <c r="Y477" s="195">
        <v>12</v>
      </c>
      <c r="AA477" t="s">
        <v>4543</v>
      </c>
      <c r="AB477" t="s">
        <v>51</v>
      </c>
      <c r="AC477" t="s">
        <v>4353</v>
      </c>
      <c r="AD477" t="s">
        <v>4506</v>
      </c>
      <c r="AE477" t="s">
        <v>4513</v>
      </c>
      <c r="AF477" t="s">
        <v>4645</v>
      </c>
      <c r="AG477" t="s">
        <v>4515</v>
      </c>
      <c r="AH477" t="s">
        <v>4537</v>
      </c>
      <c r="AI477" t="s">
        <v>4353</v>
      </c>
      <c r="AJ477" t="s">
        <v>4506</v>
      </c>
      <c r="AK477" t="s">
        <v>4519</v>
      </c>
      <c r="AL477" t="s">
        <v>4519</v>
      </c>
      <c r="AM477" t="s">
        <v>4562</v>
      </c>
      <c r="AN477" t="s">
        <v>4563</v>
      </c>
      <c r="AO477" s="134">
        <v>107.784044016506</v>
      </c>
      <c r="AP477" s="135">
        <v>117.20641562064201</v>
      </c>
      <c r="AQ477">
        <v>0.35425383542538402</v>
      </c>
      <c r="AR477" s="136">
        <v>1.2301255230125501</v>
      </c>
      <c r="AS477">
        <v>7.3626220362622004</v>
      </c>
    </row>
    <row r="478" spans="1:45" customFormat="1" ht="226">
      <c r="A478">
        <v>7</v>
      </c>
      <c r="B478" s="136" t="s">
        <v>44</v>
      </c>
      <c r="C478" s="136" t="s">
        <v>59</v>
      </c>
      <c r="D478" s="31">
        <f t="shared" si="43"/>
        <v>5</v>
      </c>
      <c r="E478" s="136" t="s">
        <v>46</v>
      </c>
      <c r="F478" s="31">
        <f t="shared" si="44"/>
        <v>6</v>
      </c>
      <c r="G478" s="136" t="s">
        <v>72</v>
      </c>
      <c r="H478" s="138">
        <v>314</v>
      </c>
      <c r="I478" s="92">
        <f t="shared" si="42"/>
        <v>0.375</v>
      </c>
      <c r="J478" s="95">
        <v>0</v>
      </c>
      <c r="K478" s="137">
        <v>0.85</v>
      </c>
      <c r="L478" s="137">
        <v>0.75</v>
      </c>
      <c r="M478" s="137">
        <v>1</v>
      </c>
      <c r="N478" s="136">
        <v>1</v>
      </c>
      <c r="O478" s="41">
        <v>43369</v>
      </c>
      <c r="P478" s="98">
        <f t="shared" si="45"/>
        <v>1</v>
      </c>
      <c r="Q478" s="113">
        <v>2.5499999999999998</v>
      </c>
      <c r="R478" s="113">
        <v>3.3</v>
      </c>
      <c r="S478" s="113">
        <v>0</v>
      </c>
      <c r="T478" s="114" t="s">
        <v>73</v>
      </c>
      <c r="U478" s="136" t="s">
        <v>4349</v>
      </c>
      <c r="V478" s="136" t="s">
        <v>75</v>
      </c>
      <c r="W478" s="69">
        <v>87</v>
      </c>
      <c r="X478" s="136">
        <v>1</v>
      </c>
      <c r="Y478" s="136">
        <v>0</v>
      </c>
      <c r="AA478" t="s">
        <v>4831</v>
      </c>
      <c r="AB478" t="s">
        <v>71</v>
      </c>
      <c r="AC478" t="s">
        <v>223</v>
      </c>
      <c r="AD478" t="s">
        <v>4691</v>
      </c>
      <c r="AE478" t="s">
        <v>4353</v>
      </c>
      <c r="AF478" t="s">
        <v>4506</v>
      </c>
      <c r="AG478" t="s">
        <v>4515</v>
      </c>
      <c r="AH478" t="s">
        <v>4676</v>
      </c>
      <c r="AI478" t="s">
        <v>4353</v>
      </c>
      <c r="AJ478" t="s">
        <v>4506</v>
      </c>
      <c r="AK478" t="s">
        <v>4519</v>
      </c>
      <c r="AL478" t="s">
        <v>4519</v>
      </c>
      <c r="AM478" t="s">
        <v>4740</v>
      </c>
      <c r="AN478" t="s">
        <v>4863</v>
      </c>
      <c r="AO478" s="134">
        <v>107.5</v>
      </c>
      <c r="AP478" s="135">
        <v>117.248603351955</v>
      </c>
      <c r="AQ478">
        <v>0.35474860335195502</v>
      </c>
      <c r="AR478" s="136">
        <v>1.2304469273742999</v>
      </c>
      <c r="AS478">
        <v>7.3729050279329602</v>
      </c>
    </row>
    <row r="479" spans="1:45" customFormat="1" ht="61">
      <c r="A479" s="65">
        <v>1089</v>
      </c>
      <c r="B479" s="69" t="s">
        <v>2948</v>
      </c>
      <c r="C479" s="69" t="s">
        <v>45</v>
      </c>
      <c r="D479" s="31">
        <f t="shared" si="43"/>
        <v>4</v>
      </c>
      <c r="E479" s="69" t="s">
        <v>80</v>
      </c>
      <c r="F479" s="31">
        <f t="shared" si="44"/>
        <v>4</v>
      </c>
      <c r="G479" s="139" t="s">
        <v>2036</v>
      </c>
      <c r="H479" s="138">
        <v>66</v>
      </c>
      <c r="I479" s="92">
        <f t="shared" si="42"/>
        <v>0.4130727984507917</v>
      </c>
      <c r="J479" s="95">
        <v>1.1455969015834501E-3</v>
      </c>
      <c r="K479" s="137">
        <v>0.639449374000024</v>
      </c>
      <c r="L479" s="137">
        <v>0.82499999999999996</v>
      </c>
      <c r="M479" s="137">
        <v>0.36112343500006</v>
      </c>
      <c r="N479" s="136">
        <v>1</v>
      </c>
      <c r="O479" s="157">
        <v>43368</v>
      </c>
      <c r="P479" s="98">
        <f t="shared" si="45"/>
        <v>0</v>
      </c>
      <c r="Q479" s="113">
        <v>2.5499999999999998</v>
      </c>
      <c r="R479" s="113">
        <v>1.65</v>
      </c>
      <c r="S479" s="113">
        <v>1.87</v>
      </c>
      <c r="T479" s="119" t="s">
        <v>48</v>
      </c>
      <c r="U479" s="89" t="s">
        <v>2962</v>
      </c>
      <c r="V479" s="172" t="s">
        <v>2963</v>
      </c>
      <c r="W479" s="69">
        <v>72</v>
      </c>
      <c r="X479" s="69">
        <v>3</v>
      </c>
      <c r="Y479" s="69">
        <v>20</v>
      </c>
      <c r="Z479" s="69"/>
      <c r="AA479" t="s">
        <v>4522</v>
      </c>
      <c r="AB479" t="s">
        <v>4594</v>
      </c>
      <c r="AC479" t="s">
        <v>4515</v>
      </c>
      <c r="AD479" t="s">
        <v>4534</v>
      </c>
      <c r="AE479" t="s">
        <v>4515</v>
      </c>
      <c r="AF479" t="s">
        <v>4534</v>
      </c>
      <c r="AG479" t="s">
        <v>223</v>
      </c>
      <c r="AH479" t="s">
        <v>4535</v>
      </c>
      <c r="AI479" t="s">
        <v>4353</v>
      </c>
      <c r="AJ479" t="s">
        <v>4506</v>
      </c>
      <c r="AK479" t="s">
        <v>4519</v>
      </c>
      <c r="AL479" t="s">
        <v>4519</v>
      </c>
      <c r="AM479" t="s">
        <v>4510</v>
      </c>
      <c r="AN479" t="s">
        <v>4550</v>
      </c>
      <c r="AO479" s="134">
        <v>107.451034482759</v>
      </c>
      <c r="AP479" s="135">
        <v>117.337062937063</v>
      </c>
      <c r="AQ479">
        <v>0.35384615384615398</v>
      </c>
      <c r="AR479" s="136">
        <v>1.2307692307692299</v>
      </c>
      <c r="AS479">
        <v>7.3748251748251796</v>
      </c>
    </row>
    <row r="480" spans="1:45" customFormat="1" ht="136">
      <c r="A480" s="65">
        <v>321</v>
      </c>
      <c r="B480" s="69" t="s">
        <v>589</v>
      </c>
      <c r="C480" s="69" t="s">
        <v>45</v>
      </c>
      <c r="D480" s="31">
        <f t="shared" si="43"/>
        <v>4</v>
      </c>
      <c r="E480" s="69" t="s">
        <v>46</v>
      </c>
      <c r="F480" s="31">
        <f t="shared" si="44"/>
        <v>6</v>
      </c>
      <c r="G480" s="137" t="s">
        <v>950</v>
      </c>
      <c r="H480" s="138">
        <v>143</v>
      </c>
      <c r="I480" s="92">
        <f t="shared" si="42"/>
        <v>0.28190164855261773</v>
      </c>
      <c r="J480" s="95">
        <v>3.1719642905248002E-4</v>
      </c>
      <c r="K480" s="137">
        <v>0.65727945684153299</v>
      </c>
      <c r="L480" s="137">
        <v>0.56348610067618299</v>
      </c>
      <c r="M480" s="137">
        <v>0.79796949108955795</v>
      </c>
      <c r="N480" s="136">
        <v>1</v>
      </c>
      <c r="O480" s="154">
        <v>43368</v>
      </c>
      <c r="P480" s="98">
        <f t="shared" si="45"/>
        <v>0</v>
      </c>
      <c r="Q480" s="113">
        <v>5.0999999999999996</v>
      </c>
      <c r="R480" s="113">
        <v>3.3</v>
      </c>
      <c r="S480" s="113">
        <v>0</v>
      </c>
      <c r="T480" s="114" t="s">
        <v>48</v>
      </c>
      <c r="U480" s="137" t="s">
        <v>951</v>
      </c>
      <c r="V480" s="137" t="s">
        <v>952</v>
      </c>
      <c r="W480" s="69">
        <v>186</v>
      </c>
      <c r="X480" s="69">
        <v>2</v>
      </c>
      <c r="Y480" s="69">
        <v>2</v>
      </c>
      <c r="AA480" t="s">
        <v>4573</v>
      </c>
      <c r="AB480" t="s">
        <v>4597</v>
      </c>
      <c r="AC480" t="s">
        <v>4513</v>
      </c>
      <c r="AD480" t="s">
        <v>4919</v>
      </c>
      <c r="AE480" t="s">
        <v>223</v>
      </c>
      <c r="AF480" t="s">
        <v>4598</v>
      </c>
      <c r="AG480" t="s">
        <v>4513</v>
      </c>
      <c r="AH480" t="s">
        <v>4919</v>
      </c>
      <c r="AI480" t="s">
        <v>4353</v>
      </c>
      <c r="AJ480" t="s">
        <v>4506</v>
      </c>
      <c r="AK480" t="s">
        <v>4519</v>
      </c>
      <c r="AL480" t="s">
        <v>4519</v>
      </c>
      <c r="AM480" t="s">
        <v>4520</v>
      </c>
      <c r="AN480" t="s">
        <v>4558</v>
      </c>
      <c r="AO480" s="134">
        <v>107.508287292818</v>
      </c>
      <c r="AP480" s="135">
        <v>117.337062937063</v>
      </c>
      <c r="AQ480">
        <v>0.35384615384615398</v>
      </c>
      <c r="AR480" s="136">
        <v>1.2307692307692299</v>
      </c>
      <c r="AS480">
        <v>7.3748251748251796</v>
      </c>
    </row>
    <row r="481" spans="1:45" customFormat="1" ht="61">
      <c r="A481" s="65">
        <v>172</v>
      </c>
      <c r="B481" s="69" t="s">
        <v>499</v>
      </c>
      <c r="C481" s="69" t="s">
        <v>45</v>
      </c>
      <c r="D481" s="31">
        <f t="shared" si="43"/>
        <v>4</v>
      </c>
      <c r="E481" s="69" t="s">
        <v>46</v>
      </c>
      <c r="F481" s="31">
        <f t="shared" si="44"/>
        <v>6</v>
      </c>
      <c r="G481" s="147" t="s">
        <v>536</v>
      </c>
      <c r="H481" s="138">
        <v>38</v>
      </c>
      <c r="I481" s="92">
        <f t="shared" si="42"/>
        <v>0.73555734452141652</v>
      </c>
      <c r="J481" s="95">
        <v>0.85127997829903201</v>
      </c>
      <c r="K481" s="137">
        <v>0.631929984001528</v>
      </c>
      <c r="L481" s="137">
        <v>0.61983471074380103</v>
      </c>
      <c r="M481" s="137">
        <v>0.65007289388811795</v>
      </c>
      <c r="N481" s="136">
        <v>1</v>
      </c>
      <c r="O481" s="154">
        <v>43367</v>
      </c>
      <c r="P481" s="98">
        <f t="shared" si="45"/>
        <v>1</v>
      </c>
      <c r="Q481" s="111">
        <v>2.5499999999999998</v>
      </c>
      <c r="R481" s="111">
        <v>1.65</v>
      </c>
      <c r="S481" s="111">
        <v>0</v>
      </c>
      <c r="T481" s="112" t="s">
        <v>73</v>
      </c>
      <c r="U481" s="188" t="s">
        <v>537</v>
      </c>
      <c r="V481" s="137" t="s">
        <v>538</v>
      </c>
      <c r="W481" s="69">
        <v>76</v>
      </c>
      <c r="X481" s="188">
        <v>2</v>
      </c>
      <c r="Y481" s="188">
        <v>6</v>
      </c>
      <c r="AA481" t="s">
        <v>4678</v>
      </c>
      <c r="AB481" t="s">
        <v>51</v>
      </c>
      <c r="AC481" t="s">
        <v>4353</v>
      </c>
      <c r="AD481" t="s">
        <v>4506</v>
      </c>
      <c r="AE481" t="s">
        <v>4513</v>
      </c>
      <c r="AF481" t="s">
        <v>4920</v>
      </c>
      <c r="AG481" t="s">
        <v>4353</v>
      </c>
      <c r="AH481" t="s">
        <v>4506</v>
      </c>
      <c r="AI481" t="s">
        <v>4353</v>
      </c>
      <c r="AJ481" t="s">
        <v>4506</v>
      </c>
      <c r="AK481" t="s">
        <v>4519</v>
      </c>
      <c r="AL481" t="s">
        <v>4519</v>
      </c>
      <c r="AM481" t="s">
        <v>4528</v>
      </c>
      <c r="AN481" t="s">
        <v>4529</v>
      </c>
      <c r="AO481" s="134">
        <v>107.604426002766</v>
      </c>
      <c r="AP481" s="135">
        <v>117.337062937063</v>
      </c>
      <c r="AQ481">
        <v>0.35384615384615398</v>
      </c>
      <c r="AR481" s="136">
        <v>1.2307692307692299</v>
      </c>
      <c r="AS481">
        <v>7.3748251748251796</v>
      </c>
    </row>
    <row r="482" spans="1:45" customFormat="1" ht="76">
      <c r="A482">
        <v>323</v>
      </c>
      <c r="B482" s="69" t="s">
        <v>589</v>
      </c>
      <c r="C482" s="69" t="s">
        <v>45</v>
      </c>
      <c r="D482" s="31">
        <f t="shared" si="43"/>
        <v>4</v>
      </c>
      <c r="E482" s="69" t="s">
        <v>80</v>
      </c>
      <c r="F482" s="31">
        <f t="shared" si="44"/>
        <v>4</v>
      </c>
      <c r="G482" s="137" t="s">
        <v>938</v>
      </c>
      <c r="H482" s="138">
        <v>41</v>
      </c>
      <c r="I482" s="92">
        <f t="shared" si="42"/>
        <v>0.41946589695545022</v>
      </c>
      <c r="J482" s="95">
        <v>1.39317939109005E-2</v>
      </c>
      <c r="K482" s="137">
        <v>0.733375592871646</v>
      </c>
      <c r="L482" s="137">
        <v>0.82499999999999996</v>
      </c>
      <c r="M482" s="137">
        <v>0.59593898217911601</v>
      </c>
      <c r="N482" s="136">
        <v>1</v>
      </c>
      <c r="O482" s="154">
        <v>43365</v>
      </c>
      <c r="P482" s="98">
        <f t="shared" si="45"/>
        <v>0</v>
      </c>
      <c r="Q482" s="111">
        <v>5.0999999999999996</v>
      </c>
      <c r="R482" s="111">
        <v>1.65</v>
      </c>
      <c r="S482" s="111">
        <v>0</v>
      </c>
      <c r="T482" s="112" t="s">
        <v>48</v>
      </c>
      <c r="U482" s="188" t="s">
        <v>955</v>
      </c>
      <c r="V482" s="137" t="s">
        <v>956</v>
      </c>
      <c r="W482" s="69">
        <v>90</v>
      </c>
      <c r="X482" s="195">
        <v>2</v>
      </c>
      <c r="Y482" s="195">
        <v>8</v>
      </c>
      <c r="AA482" t="s">
        <v>4543</v>
      </c>
      <c r="AB482" t="s">
        <v>51</v>
      </c>
      <c r="AC482" t="s">
        <v>4515</v>
      </c>
      <c r="AD482" t="s">
        <v>4798</v>
      </c>
      <c r="AE482" t="s">
        <v>4538</v>
      </c>
      <c r="AF482" t="s">
        <v>4754</v>
      </c>
      <c r="AG482" t="s">
        <v>4353</v>
      </c>
      <c r="AH482" t="s">
        <v>4506</v>
      </c>
      <c r="AI482" t="s">
        <v>4353</v>
      </c>
      <c r="AJ482" t="s">
        <v>4506</v>
      </c>
      <c r="AK482" t="s">
        <v>4519</v>
      </c>
      <c r="AL482" t="s">
        <v>4519</v>
      </c>
      <c r="AM482" t="s">
        <v>4528</v>
      </c>
      <c r="AN482" t="s">
        <v>4529</v>
      </c>
      <c r="AO482" s="134">
        <v>107.650969529086</v>
      </c>
      <c r="AP482" s="135">
        <v>117.337062937063</v>
      </c>
      <c r="AQ482">
        <v>0.35384615384615398</v>
      </c>
      <c r="AR482" s="136">
        <v>1.2307692307692299</v>
      </c>
      <c r="AS482">
        <v>7.3748251748251796</v>
      </c>
    </row>
    <row r="483" spans="1:45" customFormat="1" ht="46">
      <c r="A483">
        <v>322</v>
      </c>
      <c r="B483" s="69" t="s">
        <v>589</v>
      </c>
      <c r="C483" s="69" t="s">
        <v>45</v>
      </c>
      <c r="D483" s="31">
        <f t="shared" si="43"/>
        <v>4</v>
      </c>
      <c r="E483" s="69" t="s">
        <v>80</v>
      </c>
      <c r="F483" s="31">
        <f t="shared" si="44"/>
        <v>4</v>
      </c>
      <c r="G483" s="169" t="s">
        <v>180</v>
      </c>
      <c r="H483" s="138">
        <v>74</v>
      </c>
      <c r="I483" s="92">
        <f t="shared" si="42"/>
        <v>0.41257285983832398</v>
      </c>
      <c r="J483" s="95">
        <v>1.45719676648004E-4</v>
      </c>
      <c r="K483" s="137">
        <v>0.65939396425041896</v>
      </c>
      <c r="L483" s="137">
        <v>0.82499999999999996</v>
      </c>
      <c r="M483" s="137">
        <v>0.41098491062604903</v>
      </c>
      <c r="N483" s="136">
        <v>1</v>
      </c>
      <c r="O483" s="154">
        <v>43365</v>
      </c>
      <c r="P483" s="98">
        <f t="shared" si="45"/>
        <v>0</v>
      </c>
      <c r="Q483" s="111">
        <v>5.0999999999999996</v>
      </c>
      <c r="R483" s="111">
        <v>0</v>
      </c>
      <c r="S483" s="111">
        <v>0</v>
      </c>
      <c r="T483" s="112" t="s">
        <v>48</v>
      </c>
      <c r="U483" s="137" t="s">
        <v>953</v>
      </c>
      <c r="V483" s="137" t="s">
        <v>954</v>
      </c>
      <c r="W483" s="69">
        <v>43</v>
      </c>
      <c r="X483" s="69">
        <v>3</v>
      </c>
      <c r="Y483" s="69">
        <v>17</v>
      </c>
      <c r="AA483" t="s">
        <v>4522</v>
      </c>
      <c r="AB483" t="s">
        <v>4783</v>
      </c>
      <c r="AC483" t="s">
        <v>223</v>
      </c>
      <c r="AD483" t="s">
        <v>4779</v>
      </c>
      <c r="AE483" t="s">
        <v>223</v>
      </c>
      <c r="AF483" t="s">
        <v>4779</v>
      </c>
      <c r="AG483" t="s">
        <v>223</v>
      </c>
      <c r="AH483" t="s">
        <v>4779</v>
      </c>
      <c r="AI483" t="s">
        <v>223</v>
      </c>
      <c r="AJ483" t="s">
        <v>4779</v>
      </c>
      <c r="AK483" t="s">
        <v>4518</v>
      </c>
      <c r="AL483" t="s">
        <v>4519</v>
      </c>
      <c r="AM483" t="s">
        <v>4520</v>
      </c>
      <c r="AN483" t="s">
        <v>4521</v>
      </c>
      <c r="AO483" s="134">
        <v>107.743411927878</v>
      </c>
      <c r="AP483" s="135">
        <v>117.337062937063</v>
      </c>
      <c r="AQ483">
        <v>0.35384615384615398</v>
      </c>
      <c r="AR483" s="136">
        <v>1.2307692307692299</v>
      </c>
      <c r="AS483">
        <v>7.3748251748251796</v>
      </c>
    </row>
    <row r="484" spans="1:45" customFormat="1" ht="211">
      <c r="A484">
        <v>871</v>
      </c>
      <c r="B484" s="69" t="s">
        <v>2355</v>
      </c>
      <c r="C484" s="69" t="s">
        <v>45</v>
      </c>
      <c r="D484" s="31">
        <f t="shared" si="43"/>
        <v>4</v>
      </c>
      <c r="E484" s="69" t="s">
        <v>46</v>
      </c>
      <c r="F484" s="31">
        <f t="shared" si="44"/>
        <v>6</v>
      </c>
      <c r="G484" s="137" t="s">
        <v>2371</v>
      </c>
      <c r="H484" s="138">
        <v>392</v>
      </c>
      <c r="I484" s="92">
        <f t="shared" si="42"/>
        <v>0.25879483593543484</v>
      </c>
      <c r="J484" s="95">
        <v>5.3295803470666502E-3</v>
      </c>
      <c r="K484" s="137">
        <v>0.415983511280408</v>
      </c>
      <c r="L484" s="137">
        <v>0.51226009152380303</v>
      </c>
      <c r="M484" s="137">
        <v>0.27156864091531702</v>
      </c>
      <c r="N484" s="136">
        <v>1</v>
      </c>
      <c r="O484" s="154">
        <v>43364</v>
      </c>
      <c r="P484" s="98">
        <f t="shared" si="45"/>
        <v>0</v>
      </c>
      <c r="Q484" s="111">
        <v>2.5499999999999998</v>
      </c>
      <c r="R484" s="111">
        <v>0</v>
      </c>
      <c r="S484" s="111">
        <v>0</v>
      </c>
      <c r="T484" s="112" t="s">
        <v>48</v>
      </c>
      <c r="U484" s="137" t="s">
        <v>4434</v>
      </c>
      <c r="V484" s="137" t="s">
        <v>2373</v>
      </c>
      <c r="W484" s="69">
        <v>126</v>
      </c>
      <c r="X484" s="69">
        <v>5</v>
      </c>
      <c r="Y484" s="69">
        <v>26</v>
      </c>
      <c r="Z484" s="69"/>
      <c r="AA484" t="s">
        <v>4564</v>
      </c>
      <c r="AB484" t="s">
        <v>71</v>
      </c>
      <c r="AC484" t="s">
        <v>223</v>
      </c>
      <c r="AD484" t="s">
        <v>4588</v>
      </c>
      <c r="AE484" t="s">
        <v>223</v>
      </c>
      <c r="AF484" t="s">
        <v>4588</v>
      </c>
      <c r="AG484" t="s">
        <v>4515</v>
      </c>
      <c r="AH484" t="s">
        <v>4590</v>
      </c>
      <c r="AI484" t="s">
        <v>4353</v>
      </c>
      <c r="AJ484" t="s">
        <v>4506</v>
      </c>
      <c r="AK484" t="s">
        <v>4519</v>
      </c>
      <c r="AL484" t="s">
        <v>4519</v>
      </c>
      <c r="AM484" t="s">
        <v>4528</v>
      </c>
      <c r="AN484" t="s">
        <v>4529</v>
      </c>
      <c r="AO484" s="134">
        <v>107.348611111111</v>
      </c>
      <c r="AP484" s="135">
        <v>117.38235294117599</v>
      </c>
      <c r="AQ484">
        <v>0.354341736694678</v>
      </c>
      <c r="AR484" s="136">
        <v>1.23109243697479</v>
      </c>
      <c r="AS484">
        <v>7.3697478991596599</v>
      </c>
    </row>
    <row r="485" spans="1:45" customFormat="1" ht="76">
      <c r="A485" s="65">
        <v>801</v>
      </c>
      <c r="B485" s="69" t="s">
        <v>2179</v>
      </c>
      <c r="C485" s="69" t="s">
        <v>45</v>
      </c>
      <c r="D485" s="31">
        <f t="shared" si="43"/>
        <v>4</v>
      </c>
      <c r="E485" s="69" t="s">
        <v>46</v>
      </c>
      <c r="F485" s="31">
        <f t="shared" si="44"/>
        <v>6</v>
      </c>
      <c r="G485" s="188" t="s">
        <v>2189</v>
      </c>
      <c r="H485" s="138">
        <v>37</v>
      </c>
      <c r="I485" s="92">
        <f t="shared" si="42"/>
        <v>0.87426135076450251</v>
      </c>
      <c r="J485" s="95">
        <v>0.99852270152900502</v>
      </c>
      <c r="K485" s="137">
        <v>0.58813853171680897</v>
      </c>
      <c r="L485" s="137">
        <v>0.75</v>
      </c>
      <c r="M485" s="137">
        <v>0.34534632929202302</v>
      </c>
      <c r="N485" s="136">
        <v>0</v>
      </c>
      <c r="O485" s="154">
        <v>43363</v>
      </c>
      <c r="P485" s="98">
        <f t="shared" si="45"/>
        <v>0</v>
      </c>
      <c r="Q485" s="113">
        <v>5.0999999999999996</v>
      </c>
      <c r="R485" s="113">
        <v>0</v>
      </c>
      <c r="S485" s="113">
        <v>0</v>
      </c>
      <c r="T485" s="114" t="s">
        <v>48</v>
      </c>
      <c r="U485" s="136" t="s">
        <v>2190</v>
      </c>
      <c r="V485" s="137" t="s">
        <v>2191</v>
      </c>
      <c r="W485" s="69">
        <v>100</v>
      </c>
      <c r="X485" s="195">
        <v>0</v>
      </c>
      <c r="Y485" s="195">
        <v>21</v>
      </c>
      <c r="Z485" s="69"/>
      <c r="AA485" t="s">
        <v>4543</v>
      </c>
      <c r="AB485" t="s">
        <v>51</v>
      </c>
      <c r="AC485" t="s">
        <v>223</v>
      </c>
      <c r="AD485" t="s">
        <v>4747</v>
      </c>
      <c r="AE485" t="s">
        <v>4515</v>
      </c>
      <c r="AF485" t="s">
        <v>4748</v>
      </c>
      <c r="AG485" t="s">
        <v>223</v>
      </c>
      <c r="AH485" t="s">
        <v>4747</v>
      </c>
      <c r="AI485" t="s">
        <v>4353</v>
      </c>
      <c r="AJ485" t="s">
        <v>4506</v>
      </c>
      <c r="AK485" t="s">
        <v>4519</v>
      </c>
      <c r="AL485" t="s">
        <v>4519</v>
      </c>
      <c r="AM485" t="s">
        <v>4510</v>
      </c>
      <c r="AN485" t="s">
        <v>4550</v>
      </c>
      <c r="AO485" s="134">
        <v>107.44645340751001</v>
      </c>
      <c r="AP485" s="135">
        <v>117.45301542777</v>
      </c>
      <c r="AQ485">
        <v>0.35483870967741898</v>
      </c>
      <c r="AR485" s="136">
        <v>1.2314165497896199</v>
      </c>
      <c r="AS485">
        <v>7.3772791023842901</v>
      </c>
    </row>
    <row r="486" spans="1:45" customFormat="1" ht="46">
      <c r="A486" s="65">
        <v>324</v>
      </c>
      <c r="B486" s="69" t="s">
        <v>589</v>
      </c>
      <c r="C486" s="69" t="s">
        <v>45</v>
      </c>
      <c r="D486" s="31">
        <f t="shared" si="43"/>
        <v>4</v>
      </c>
      <c r="E486" s="69" t="s">
        <v>80</v>
      </c>
      <c r="F486" s="31">
        <f t="shared" si="44"/>
        <v>4</v>
      </c>
      <c r="G486" s="147" t="s">
        <v>180</v>
      </c>
      <c r="H486" s="138">
        <v>44</v>
      </c>
      <c r="I486" s="92">
        <f t="shared" si="42"/>
        <v>0.43402324701318862</v>
      </c>
      <c r="J486" s="95">
        <v>4.3046494026377301E-2</v>
      </c>
      <c r="K486" s="137">
        <v>0.75502915755524702</v>
      </c>
      <c r="L486" s="137">
        <v>0.82499999999999996</v>
      </c>
      <c r="M486" s="137">
        <v>0.65007289388811795</v>
      </c>
      <c r="N486" s="136">
        <v>1</v>
      </c>
      <c r="O486" s="154">
        <v>43362</v>
      </c>
      <c r="P486" s="98">
        <f t="shared" si="45"/>
        <v>0</v>
      </c>
      <c r="Q486" s="111">
        <v>5.0999999999999996</v>
      </c>
      <c r="R486" s="111">
        <v>0</v>
      </c>
      <c r="S486" s="111">
        <v>0</v>
      </c>
      <c r="T486" s="112" t="s">
        <v>48</v>
      </c>
      <c r="U486" s="137" t="s">
        <v>957</v>
      </c>
      <c r="V486" s="137" t="s">
        <v>940</v>
      </c>
      <c r="W486" s="69">
        <v>54</v>
      </c>
      <c r="X486" s="147">
        <v>2</v>
      </c>
      <c r="Y486" s="147">
        <v>6</v>
      </c>
      <c r="AA486" t="s">
        <v>4564</v>
      </c>
      <c r="AB486" t="s">
        <v>87</v>
      </c>
      <c r="AC486" t="s">
        <v>4513</v>
      </c>
      <c r="AD486" t="s">
        <v>4901</v>
      </c>
      <c r="AE486" t="s">
        <v>223</v>
      </c>
      <c r="AF486" t="s">
        <v>4762</v>
      </c>
      <c r="AG486" t="s">
        <v>223</v>
      </c>
      <c r="AH486" t="s">
        <v>4762</v>
      </c>
      <c r="AI486" t="s">
        <v>223</v>
      </c>
      <c r="AJ486" t="s">
        <v>4762</v>
      </c>
      <c r="AK486" t="s">
        <v>4518</v>
      </c>
      <c r="AL486" t="s">
        <v>4519</v>
      </c>
      <c r="AM486" t="s">
        <v>4528</v>
      </c>
      <c r="AN486" t="s">
        <v>4624</v>
      </c>
      <c r="AO486" s="134">
        <v>107.534818941504</v>
      </c>
      <c r="AP486" s="135">
        <v>117.46769662921299</v>
      </c>
      <c r="AQ486">
        <v>0.35393258426966301</v>
      </c>
      <c r="AR486" s="136">
        <v>1.2303370786516901</v>
      </c>
      <c r="AS486">
        <v>7.3778089887640403</v>
      </c>
    </row>
    <row r="487" spans="1:45" customFormat="1" ht="46">
      <c r="A487" s="65">
        <v>325</v>
      </c>
      <c r="B487" s="69" t="s">
        <v>589</v>
      </c>
      <c r="C487" s="69" t="s">
        <v>45</v>
      </c>
      <c r="D487" s="31">
        <f t="shared" si="43"/>
        <v>4</v>
      </c>
      <c r="E487" s="69" t="s">
        <v>46</v>
      </c>
      <c r="F487" s="31">
        <f t="shared" si="44"/>
        <v>6</v>
      </c>
      <c r="G487" s="137" t="s">
        <v>958</v>
      </c>
      <c r="H487" s="138">
        <v>50</v>
      </c>
      <c r="I487" s="92">
        <f t="shared" si="42"/>
        <v>0.34105092767466416</v>
      </c>
      <c r="J487" s="95">
        <v>2.8367353114633299E-4</v>
      </c>
      <c r="K487" s="137">
        <v>0.72827870552673202</v>
      </c>
      <c r="L487" s="137">
        <v>0.68181818181818199</v>
      </c>
      <c r="M487" s="137">
        <v>0.79796949108955795</v>
      </c>
      <c r="N487" s="136">
        <v>1</v>
      </c>
      <c r="O487" s="154">
        <v>43361</v>
      </c>
      <c r="P487" s="98">
        <f t="shared" si="45"/>
        <v>0</v>
      </c>
      <c r="Q487" s="111">
        <v>5.0999999999999996</v>
      </c>
      <c r="R487" s="111">
        <v>0</v>
      </c>
      <c r="S487" s="111">
        <v>0</v>
      </c>
      <c r="T487" s="112" t="s">
        <v>48</v>
      </c>
      <c r="U487" s="147" t="s">
        <v>959</v>
      </c>
      <c r="V487" s="137" t="s">
        <v>960</v>
      </c>
      <c r="W487" s="69">
        <v>67</v>
      </c>
      <c r="X487" s="147">
        <v>1</v>
      </c>
      <c r="Y487" s="147">
        <v>2</v>
      </c>
      <c r="AA487" t="s">
        <v>4556</v>
      </c>
      <c r="AB487" t="s">
        <v>4594</v>
      </c>
      <c r="AC487" t="s">
        <v>4515</v>
      </c>
      <c r="AD487" t="s">
        <v>4565</v>
      </c>
      <c r="AE487" t="s">
        <v>4515</v>
      </c>
      <c r="AF487" t="s">
        <v>4565</v>
      </c>
      <c r="AG487" t="s">
        <v>223</v>
      </c>
      <c r="AH487" t="s">
        <v>4507</v>
      </c>
      <c r="AI487" t="s">
        <v>4353</v>
      </c>
      <c r="AJ487" t="s">
        <v>4506</v>
      </c>
      <c r="AK487" t="s">
        <v>4519</v>
      </c>
      <c r="AL487" t="s">
        <v>4541</v>
      </c>
      <c r="AM487" t="s">
        <v>4510</v>
      </c>
      <c r="AN487" t="s">
        <v>4630</v>
      </c>
      <c r="AO487" s="134">
        <v>107.615062761506</v>
      </c>
      <c r="AP487" s="135">
        <v>117.46769662921299</v>
      </c>
      <c r="AQ487">
        <v>0.35393258426966301</v>
      </c>
      <c r="AR487" s="136">
        <v>1.2303370786516901</v>
      </c>
      <c r="AS487">
        <v>7.3778089887640403</v>
      </c>
    </row>
    <row r="488" spans="1:45" customFormat="1" ht="106">
      <c r="A488">
        <v>1090</v>
      </c>
      <c r="B488" s="69" t="s">
        <v>2948</v>
      </c>
      <c r="C488" s="69" t="s">
        <v>45</v>
      </c>
      <c r="D488" s="31">
        <f t="shared" si="43"/>
        <v>4</v>
      </c>
      <c r="E488" s="69" t="s">
        <v>80</v>
      </c>
      <c r="F488" s="31">
        <f t="shared" si="44"/>
        <v>4</v>
      </c>
      <c r="G488" s="191" t="s">
        <v>159</v>
      </c>
      <c r="H488" s="138">
        <v>71</v>
      </c>
      <c r="I488" s="92">
        <f t="shared" si="42"/>
        <v>0.38670638596658835</v>
      </c>
      <c r="J488" s="95">
        <v>2.3412771933176701E-2</v>
      </c>
      <c r="K488" s="137">
        <v>0.65205133627784295</v>
      </c>
      <c r="L488" s="137">
        <v>0.75</v>
      </c>
      <c r="M488" s="137">
        <v>0.50512834069460699</v>
      </c>
      <c r="N488" s="136">
        <v>1</v>
      </c>
      <c r="O488" s="157">
        <v>43359</v>
      </c>
      <c r="P488" s="98">
        <f t="shared" si="45"/>
        <v>0</v>
      </c>
      <c r="Q488" s="113">
        <v>2.5499999999999998</v>
      </c>
      <c r="R488" s="113">
        <v>0</v>
      </c>
      <c r="S488" s="113">
        <v>0</v>
      </c>
      <c r="T488" s="119" t="s">
        <v>48</v>
      </c>
      <c r="U488" s="89" t="s">
        <v>4459</v>
      </c>
      <c r="V488" s="172" t="s">
        <v>2965</v>
      </c>
      <c r="W488" s="69">
        <v>150</v>
      </c>
      <c r="X488" s="171">
        <v>3</v>
      </c>
      <c r="Y488" s="171">
        <v>12</v>
      </c>
      <c r="Z488" s="69"/>
      <c r="AA488" t="s">
        <v>4512</v>
      </c>
      <c r="AB488" t="s">
        <v>51</v>
      </c>
      <c r="AC488" t="s">
        <v>223</v>
      </c>
      <c r="AD488" t="s">
        <v>4921</v>
      </c>
      <c r="AE488" t="s">
        <v>4513</v>
      </c>
      <c r="AF488" t="s">
        <v>4922</v>
      </c>
      <c r="AG488" t="s">
        <v>4515</v>
      </c>
      <c r="AH488" t="s">
        <v>4685</v>
      </c>
      <c r="AI488" t="s">
        <v>4353</v>
      </c>
      <c r="AJ488" t="s">
        <v>4506</v>
      </c>
      <c r="AK488" t="s">
        <v>4518</v>
      </c>
      <c r="AL488" t="s">
        <v>4552</v>
      </c>
      <c r="AM488" t="s">
        <v>4520</v>
      </c>
      <c r="AN488" t="s">
        <v>4621</v>
      </c>
      <c r="AO488" s="134">
        <v>107.666201117318</v>
      </c>
      <c r="AP488" s="135">
        <v>117.611814345992</v>
      </c>
      <c r="AQ488">
        <v>0.354430379746835</v>
      </c>
      <c r="AR488" s="136">
        <v>1.23066104078762</v>
      </c>
      <c r="AS488">
        <v>7.3839662447257401</v>
      </c>
    </row>
    <row r="489" spans="1:45" customFormat="1" ht="91">
      <c r="A489" s="65">
        <v>872</v>
      </c>
      <c r="B489" s="69" t="s">
        <v>2355</v>
      </c>
      <c r="C489" s="69" t="s">
        <v>45</v>
      </c>
      <c r="D489" s="31">
        <f t="shared" si="43"/>
        <v>4</v>
      </c>
      <c r="E489" s="69" t="s">
        <v>46</v>
      </c>
      <c r="F489" s="31">
        <f t="shared" si="44"/>
        <v>6</v>
      </c>
      <c r="G489" s="137" t="s">
        <v>2374</v>
      </c>
      <c r="H489" s="138">
        <v>149</v>
      </c>
      <c r="I489" s="92">
        <f t="shared" si="42"/>
        <v>0.41020720840831548</v>
      </c>
      <c r="J489" s="95">
        <v>7.0414416816631006E-2</v>
      </c>
      <c r="K489" s="137">
        <v>0.52173927734068404</v>
      </c>
      <c r="L489" s="137">
        <v>0.75</v>
      </c>
      <c r="M489" s="137">
        <v>0.17934819335171001</v>
      </c>
      <c r="N489" s="136">
        <v>1</v>
      </c>
      <c r="O489" s="154">
        <v>43357</v>
      </c>
      <c r="P489" s="98">
        <f t="shared" si="45"/>
        <v>1</v>
      </c>
      <c r="Q489" s="111">
        <v>10.199999999999999</v>
      </c>
      <c r="R489" s="111">
        <v>0</v>
      </c>
      <c r="S489" s="111">
        <v>0</v>
      </c>
      <c r="T489" s="112" t="s">
        <v>73</v>
      </c>
      <c r="U489" s="137" t="s">
        <v>2375</v>
      </c>
      <c r="V489" s="137" t="s">
        <v>2376</v>
      </c>
      <c r="W489" s="69">
        <v>107</v>
      </c>
      <c r="X489" s="69">
        <v>5</v>
      </c>
      <c r="Y489" s="69">
        <v>33</v>
      </c>
      <c r="Z489" s="69"/>
      <c r="AA489" t="s">
        <v>4512</v>
      </c>
      <c r="AB489" t="s">
        <v>87</v>
      </c>
      <c r="AC489" t="s">
        <v>223</v>
      </c>
      <c r="AD489" t="s">
        <v>4549</v>
      </c>
      <c r="AE489" t="s">
        <v>4353</v>
      </c>
      <c r="AF489" t="s">
        <v>4506</v>
      </c>
      <c r="AG489" t="s">
        <v>4353</v>
      </c>
      <c r="AH489" t="s">
        <v>4506</v>
      </c>
      <c r="AI489" t="s">
        <v>4353</v>
      </c>
      <c r="AJ489" t="s">
        <v>4506</v>
      </c>
      <c r="AK489" t="s">
        <v>4519</v>
      </c>
      <c r="AL489" t="s">
        <v>4509</v>
      </c>
      <c r="AM489" t="s">
        <v>4528</v>
      </c>
      <c r="AN489" t="s">
        <v>4688</v>
      </c>
      <c r="AO489" s="134">
        <v>107.686713286713</v>
      </c>
      <c r="AP489" s="135">
        <v>117.915254237288</v>
      </c>
      <c r="AQ489">
        <v>0.35451977401129903</v>
      </c>
      <c r="AR489" s="136">
        <v>1.23022598870056</v>
      </c>
      <c r="AS489">
        <v>7.3672316384180796</v>
      </c>
    </row>
    <row r="490" spans="1:45" customFormat="1" ht="61">
      <c r="A490" s="65">
        <v>505</v>
      </c>
      <c r="B490" s="69" t="s">
        <v>1222</v>
      </c>
      <c r="C490" s="69" t="s">
        <v>45</v>
      </c>
      <c r="D490" s="31">
        <f t="shared" si="43"/>
        <v>4</v>
      </c>
      <c r="E490" s="69" t="s">
        <v>80</v>
      </c>
      <c r="F490" s="31">
        <f t="shared" si="44"/>
        <v>4</v>
      </c>
      <c r="G490" s="169" t="s">
        <v>1427</v>
      </c>
      <c r="H490" s="138">
        <v>93</v>
      </c>
      <c r="I490" s="92">
        <f t="shared" si="42"/>
        <v>0.41250002535498614</v>
      </c>
      <c r="J490" s="95">
        <v>5.07099723323634E-8</v>
      </c>
      <c r="K490" s="137">
        <v>0.79602566813892095</v>
      </c>
      <c r="L490" s="137">
        <v>0.82499999999999996</v>
      </c>
      <c r="M490" s="137">
        <v>0.75256417034730305</v>
      </c>
      <c r="N490" s="136">
        <v>1</v>
      </c>
      <c r="O490" s="154">
        <v>43357</v>
      </c>
      <c r="P490" s="98">
        <f t="shared" si="45"/>
        <v>0</v>
      </c>
      <c r="Q490" s="111">
        <v>0</v>
      </c>
      <c r="R490" s="111">
        <v>3.3</v>
      </c>
      <c r="S490" s="111">
        <v>1.87</v>
      </c>
      <c r="T490" s="112" t="s">
        <v>48</v>
      </c>
      <c r="U490" s="188" t="s">
        <v>1428</v>
      </c>
      <c r="V490" s="169" t="s">
        <v>1429</v>
      </c>
      <c r="W490" s="69">
        <v>15</v>
      </c>
      <c r="X490" s="195">
        <v>1</v>
      </c>
      <c r="Y490" s="195">
        <v>3</v>
      </c>
      <c r="AA490" t="s">
        <v>4564</v>
      </c>
      <c r="AB490" t="s">
        <v>4597</v>
      </c>
      <c r="AC490" t="s">
        <v>223</v>
      </c>
      <c r="AD490" t="s">
        <v>4916</v>
      </c>
      <c r="AE490" t="s">
        <v>4353</v>
      </c>
      <c r="AF490" t="s">
        <v>4506</v>
      </c>
      <c r="AG490" t="s">
        <v>223</v>
      </c>
      <c r="AH490" t="s">
        <v>4916</v>
      </c>
      <c r="AI490" t="s">
        <v>4353</v>
      </c>
      <c r="AJ490" t="s">
        <v>4506</v>
      </c>
      <c r="AK490" t="s">
        <v>4519</v>
      </c>
      <c r="AL490" t="s">
        <v>4519</v>
      </c>
      <c r="AM490" t="s">
        <v>4510</v>
      </c>
      <c r="AN490" t="s">
        <v>4550</v>
      </c>
      <c r="AO490" s="134">
        <v>107.628851540616</v>
      </c>
      <c r="AP490" s="135">
        <v>117.915254237288</v>
      </c>
      <c r="AQ490">
        <v>0.35451977401129903</v>
      </c>
      <c r="AR490" s="136">
        <v>1.23022598870056</v>
      </c>
      <c r="AS490">
        <v>7.3672316384180796</v>
      </c>
    </row>
    <row r="491" spans="1:45" customFormat="1" ht="76">
      <c r="A491">
        <v>326</v>
      </c>
      <c r="B491" s="69" t="s">
        <v>589</v>
      </c>
      <c r="C491" s="69" t="s">
        <v>45</v>
      </c>
      <c r="D491" s="31">
        <f t="shared" si="43"/>
        <v>4</v>
      </c>
      <c r="E491" s="69" t="s">
        <v>80</v>
      </c>
      <c r="F491" s="31">
        <f t="shared" si="44"/>
        <v>4</v>
      </c>
      <c r="G491" s="169" t="s">
        <v>961</v>
      </c>
      <c r="H491" s="138">
        <v>79</v>
      </c>
      <c r="I491" s="92">
        <f t="shared" si="42"/>
        <v>0.41272439354061513</v>
      </c>
      <c r="J491" s="95">
        <v>4.4878708123030598E-4</v>
      </c>
      <c r="K491" s="137">
        <v>0.74381421079630905</v>
      </c>
      <c r="L491" s="137">
        <v>0.82499999999999996</v>
      </c>
      <c r="M491" s="137">
        <v>0.62203552699077302</v>
      </c>
      <c r="N491" s="136">
        <v>1</v>
      </c>
      <c r="O491" s="154">
        <v>43355</v>
      </c>
      <c r="P491" s="98">
        <f t="shared" si="45"/>
        <v>0</v>
      </c>
      <c r="Q491" s="111">
        <v>5.0999999999999996</v>
      </c>
      <c r="R491" s="111">
        <v>0</v>
      </c>
      <c r="S491" s="111">
        <v>0</v>
      </c>
      <c r="T491" s="112" t="s">
        <v>48</v>
      </c>
      <c r="U491" s="137" t="s">
        <v>962</v>
      </c>
      <c r="V491" s="136" t="s">
        <v>963</v>
      </c>
      <c r="W491" s="69">
        <v>107</v>
      </c>
      <c r="X491" s="69">
        <v>3</v>
      </c>
      <c r="Y491" s="69">
        <v>7</v>
      </c>
      <c r="AA491" t="s">
        <v>4653</v>
      </c>
      <c r="AB491" t="s">
        <v>4732</v>
      </c>
      <c r="AC491" t="s">
        <v>4515</v>
      </c>
      <c r="AD491" t="s">
        <v>4590</v>
      </c>
      <c r="AE491" t="s">
        <v>4515</v>
      </c>
      <c r="AF491" t="s">
        <v>4590</v>
      </c>
      <c r="AG491" t="s">
        <v>4515</v>
      </c>
      <c r="AH491" t="s">
        <v>4590</v>
      </c>
      <c r="AI491" t="s">
        <v>4353</v>
      </c>
      <c r="AJ491" t="s">
        <v>4506</v>
      </c>
      <c r="AK491" t="s">
        <v>4519</v>
      </c>
      <c r="AL491" t="s">
        <v>4519</v>
      </c>
      <c r="AM491" t="s">
        <v>4510</v>
      </c>
      <c r="AN491" t="s">
        <v>4550</v>
      </c>
      <c r="AO491" s="134">
        <v>107.66900420757401</v>
      </c>
      <c r="AP491" s="135">
        <v>118.04964539007101</v>
      </c>
      <c r="AQ491">
        <v>0.35602836879432598</v>
      </c>
      <c r="AR491" s="136">
        <v>1.2312056737588699</v>
      </c>
      <c r="AS491">
        <v>7.3801418439716304</v>
      </c>
    </row>
    <row r="492" spans="1:45" customFormat="1" ht="46">
      <c r="A492">
        <v>327</v>
      </c>
      <c r="B492" s="69" t="s">
        <v>589</v>
      </c>
      <c r="C492" s="69" t="s">
        <v>45</v>
      </c>
      <c r="D492" s="31">
        <f t="shared" si="43"/>
        <v>4</v>
      </c>
      <c r="E492" s="69" t="s">
        <v>80</v>
      </c>
      <c r="F492" s="31">
        <f t="shared" si="44"/>
        <v>4</v>
      </c>
      <c r="G492" s="137" t="s">
        <v>964</v>
      </c>
      <c r="H492" s="138">
        <v>46</v>
      </c>
      <c r="I492" s="92">
        <f t="shared" si="42"/>
        <v>0.41355170646873535</v>
      </c>
      <c r="J492" s="95">
        <v>2.1034129374707402E-3</v>
      </c>
      <c r="K492" s="137">
        <v>0.79602566813892095</v>
      </c>
      <c r="L492" s="137">
        <v>0.82499999999999996</v>
      </c>
      <c r="M492" s="137">
        <v>0.75256417034730305</v>
      </c>
      <c r="N492" s="136">
        <v>1</v>
      </c>
      <c r="O492" s="194">
        <v>43354</v>
      </c>
      <c r="P492" s="98">
        <f t="shared" si="45"/>
        <v>0</v>
      </c>
      <c r="Q492" s="111">
        <v>0</v>
      </c>
      <c r="R492" s="111">
        <v>8.25</v>
      </c>
      <c r="S492" s="111">
        <v>1.87</v>
      </c>
      <c r="T492" s="112" t="s">
        <v>48</v>
      </c>
      <c r="U492" s="147" t="s">
        <v>965</v>
      </c>
      <c r="V492" s="137" t="s">
        <v>940</v>
      </c>
      <c r="W492" s="69">
        <v>54</v>
      </c>
      <c r="X492" s="147">
        <v>1</v>
      </c>
      <c r="Y492" s="147">
        <v>3</v>
      </c>
      <c r="AA492" t="s">
        <v>4522</v>
      </c>
      <c r="AB492" t="s">
        <v>87</v>
      </c>
      <c r="AC492" t="s">
        <v>4513</v>
      </c>
      <c r="AD492" t="s">
        <v>4901</v>
      </c>
      <c r="AE492" t="s">
        <v>223</v>
      </c>
      <c r="AF492" t="s">
        <v>4762</v>
      </c>
      <c r="AG492" t="s">
        <v>223</v>
      </c>
      <c r="AH492" t="s">
        <v>4762</v>
      </c>
      <c r="AI492" t="s">
        <v>223</v>
      </c>
      <c r="AJ492" t="s">
        <v>4762</v>
      </c>
      <c r="AK492" t="s">
        <v>4518</v>
      </c>
      <c r="AL492" t="s">
        <v>4519</v>
      </c>
      <c r="AM492" t="s">
        <v>4520</v>
      </c>
      <c r="AN492" t="s">
        <v>4521</v>
      </c>
      <c r="AO492" s="134">
        <v>107.755617977528</v>
      </c>
      <c r="AP492" s="135">
        <v>117.985795454545</v>
      </c>
      <c r="AQ492">
        <v>0.35653409090909099</v>
      </c>
      <c r="AR492" s="136">
        <v>1.2315340909090899</v>
      </c>
      <c r="AS492">
        <v>7.3892045454545503</v>
      </c>
    </row>
    <row r="493" spans="1:45" customFormat="1" ht="61">
      <c r="A493" s="65">
        <v>873</v>
      </c>
      <c r="B493" s="69" t="s">
        <v>2355</v>
      </c>
      <c r="C493" s="69" t="s">
        <v>59</v>
      </c>
      <c r="D493" s="31">
        <f t="shared" si="43"/>
        <v>5</v>
      </c>
      <c r="E493" s="69" t="s">
        <v>46</v>
      </c>
      <c r="F493" s="31">
        <f t="shared" si="44"/>
        <v>6</v>
      </c>
      <c r="G493" s="136" t="s">
        <v>2377</v>
      </c>
      <c r="H493" s="138">
        <v>83</v>
      </c>
      <c r="I493" s="92">
        <f t="shared" si="42"/>
        <v>0.37500136341619872</v>
      </c>
      <c r="J493" s="95">
        <v>2.72683239743721E-6</v>
      </c>
      <c r="K493" s="137">
        <v>0.76918779643582302</v>
      </c>
      <c r="L493" s="137">
        <v>0.75</v>
      </c>
      <c r="M493" s="137">
        <v>0.79796949108955795</v>
      </c>
      <c r="N493" s="136">
        <v>1</v>
      </c>
      <c r="O493" s="154">
        <v>43354</v>
      </c>
      <c r="P493" s="98">
        <f t="shared" si="45"/>
        <v>1</v>
      </c>
      <c r="Q493" s="111">
        <v>5.0999999999999996</v>
      </c>
      <c r="R493" s="111">
        <v>0</v>
      </c>
      <c r="S493" s="111">
        <v>0</v>
      </c>
      <c r="T493" s="112" t="s">
        <v>73</v>
      </c>
      <c r="U493" s="137" t="s">
        <v>2378</v>
      </c>
      <c r="V493" s="137" t="s">
        <v>2379</v>
      </c>
      <c r="W493" s="69">
        <v>75</v>
      </c>
      <c r="X493" s="69">
        <v>1</v>
      </c>
      <c r="Y493" s="69">
        <v>2</v>
      </c>
      <c r="Z493" s="69"/>
      <c r="AA493" t="s">
        <v>4556</v>
      </c>
      <c r="AB493" t="s">
        <v>4576</v>
      </c>
      <c r="AC493" t="s">
        <v>4353</v>
      </c>
      <c r="AD493" t="s">
        <v>4506</v>
      </c>
      <c r="AE493" t="s">
        <v>223</v>
      </c>
      <c r="AF493" t="s">
        <v>4639</v>
      </c>
      <c r="AG493" t="s">
        <v>223</v>
      </c>
      <c r="AH493" t="s">
        <v>4639</v>
      </c>
      <c r="AI493" t="s">
        <v>4353</v>
      </c>
      <c r="AJ493" t="s">
        <v>4506</v>
      </c>
      <c r="AK493" t="s">
        <v>4519</v>
      </c>
      <c r="AL493" t="s">
        <v>4552</v>
      </c>
      <c r="AM493" t="s">
        <v>4562</v>
      </c>
      <c r="AN493" t="s">
        <v>4742</v>
      </c>
      <c r="AO493" s="134">
        <v>107.79043600562601</v>
      </c>
      <c r="AP493" s="135">
        <v>117.985795454545</v>
      </c>
      <c r="AQ493">
        <v>0.35653409090909099</v>
      </c>
      <c r="AR493" s="136">
        <v>1.2315340909090899</v>
      </c>
      <c r="AS493">
        <v>7.3892045454545503</v>
      </c>
    </row>
    <row r="494" spans="1:45" customFormat="1" ht="241">
      <c r="A494">
        <v>994</v>
      </c>
      <c r="B494" s="69" t="s">
        <v>2638</v>
      </c>
      <c r="C494" s="69" t="s">
        <v>45</v>
      </c>
      <c r="D494" s="31">
        <f t="shared" si="43"/>
        <v>4</v>
      </c>
      <c r="E494" s="69" t="s">
        <v>46</v>
      </c>
      <c r="F494" s="31">
        <f t="shared" si="44"/>
        <v>6</v>
      </c>
      <c r="G494" s="89" t="s">
        <v>2692</v>
      </c>
      <c r="H494" s="138">
        <v>384</v>
      </c>
      <c r="I494" s="92">
        <f t="shared" si="42"/>
        <v>0.71166307805640949</v>
      </c>
      <c r="J494" s="95">
        <v>0.99997070857248604</v>
      </c>
      <c r="K494" s="137">
        <v>0.46449185193246301</v>
      </c>
      <c r="L494" s="137">
        <v>0.423355447540333</v>
      </c>
      <c r="M494" s="137">
        <v>0.526196458520657</v>
      </c>
      <c r="N494" s="136">
        <v>1</v>
      </c>
      <c r="O494" s="157">
        <v>43353</v>
      </c>
      <c r="P494" s="98">
        <f t="shared" si="45"/>
        <v>1</v>
      </c>
      <c r="Q494" s="124">
        <v>2.5499999999999998</v>
      </c>
      <c r="R494" s="124">
        <v>0</v>
      </c>
      <c r="S494" s="124">
        <v>0</v>
      </c>
      <c r="T494" s="125" t="s">
        <v>73</v>
      </c>
      <c r="U494" s="136" t="s">
        <v>4447</v>
      </c>
      <c r="V494" s="172" t="s">
        <v>2694</v>
      </c>
      <c r="W494" s="69">
        <v>85</v>
      </c>
      <c r="X494" s="69">
        <v>1</v>
      </c>
      <c r="Y494" s="69">
        <v>11</v>
      </c>
      <c r="Z494" s="69"/>
      <c r="AA494" t="s">
        <v>4923</v>
      </c>
      <c r="AB494" t="s">
        <v>71</v>
      </c>
      <c r="AC494" t="s">
        <v>4353</v>
      </c>
      <c r="AD494" t="s">
        <v>4506</v>
      </c>
      <c r="AE494" t="s">
        <v>4353</v>
      </c>
      <c r="AF494" t="s">
        <v>4506</v>
      </c>
      <c r="AG494" t="s">
        <v>223</v>
      </c>
      <c r="AH494" t="s">
        <v>4639</v>
      </c>
      <c r="AI494" t="s">
        <v>4353</v>
      </c>
      <c r="AJ494" t="s">
        <v>4506</v>
      </c>
      <c r="AK494" t="s">
        <v>4519</v>
      </c>
      <c r="AL494" t="s">
        <v>4509</v>
      </c>
      <c r="AM494" t="s">
        <v>4528</v>
      </c>
      <c r="AN494" t="s">
        <v>4688</v>
      </c>
      <c r="AO494" s="134">
        <v>107.814084507042</v>
      </c>
      <c r="AP494" s="135">
        <v>118.058487874465</v>
      </c>
      <c r="AQ494">
        <v>0.35805991440798901</v>
      </c>
      <c r="AR494" s="136">
        <v>1.23252496433666</v>
      </c>
      <c r="AS494">
        <v>7.4122681883024297</v>
      </c>
    </row>
    <row r="495" spans="1:45" customFormat="1" ht="91">
      <c r="A495">
        <v>78</v>
      </c>
      <c r="B495" s="69" t="s">
        <v>217</v>
      </c>
      <c r="C495" s="69" t="s">
        <v>59</v>
      </c>
      <c r="D495" s="31">
        <f t="shared" si="43"/>
        <v>5</v>
      </c>
      <c r="E495" s="69" t="s">
        <v>46</v>
      </c>
      <c r="F495" s="31">
        <f t="shared" si="44"/>
        <v>6</v>
      </c>
      <c r="G495" s="136" t="s">
        <v>280</v>
      </c>
      <c r="H495" s="138">
        <v>91</v>
      </c>
      <c r="I495" s="92">
        <f t="shared" si="42"/>
        <v>0.30438898323092528</v>
      </c>
      <c r="J495" s="95">
        <v>4.5291865785667601E-2</v>
      </c>
      <c r="K495" s="137">
        <v>0.73809166040570995</v>
      </c>
      <c r="L495" s="137">
        <v>0.56348610067618299</v>
      </c>
      <c r="M495" s="137">
        <v>1</v>
      </c>
      <c r="N495" s="136">
        <v>1</v>
      </c>
      <c r="O495" s="154">
        <v>43353</v>
      </c>
      <c r="P495" s="98">
        <f t="shared" si="45"/>
        <v>1</v>
      </c>
      <c r="Q495" s="111">
        <v>2.5499999999999998</v>
      </c>
      <c r="R495" s="111">
        <v>1.65</v>
      </c>
      <c r="S495" s="111">
        <v>0</v>
      </c>
      <c r="T495" s="112" t="s">
        <v>73</v>
      </c>
      <c r="U495" s="137" t="s">
        <v>281</v>
      </c>
      <c r="V495" s="137" t="s">
        <v>282</v>
      </c>
      <c r="W495" s="69">
        <v>129</v>
      </c>
      <c r="X495" s="69">
        <v>1</v>
      </c>
      <c r="Y495" s="69">
        <v>0</v>
      </c>
      <c r="AA495" t="s">
        <v>4551</v>
      </c>
      <c r="AB495" t="s">
        <v>71</v>
      </c>
      <c r="AC495" t="s">
        <v>223</v>
      </c>
      <c r="AD495" t="s">
        <v>4600</v>
      </c>
      <c r="AE495" t="s">
        <v>223</v>
      </c>
      <c r="AF495" t="s">
        <v>4600</v>
      </c>
      <c r="AG495" t="s">
        <v>4515</v>
      </c>
      <c r="AH495" t="s">
        <v>4617</v>
      </c>
      <c r="AI495" t="s">
        <v>4353</v>
      </c>
      <c r="AJ495" t="s">
        <v>4506</v>
      </c>
      <c r="AK495" t="s">
        <v>4519</v>
      </c>
      <c r="AL495" t="s">
        <v>4519</v>
      </c>
      <c r="AM495" t="s">
        <v>4562</v>
      </c>
      <c r="AN495" t="s">
        <v>4563</v>
      </c>
      <c r="AO495" s="134">
        <v>107.73765867418901</v>
      </c>
      <c r="AP495" s="135">
        <v>118.058487874465</v>
      </c>
      <c r="AQ495">
        <v>0.35805991440798901</v>
      </c>
      <c r="AR495" s="136">
        <v>1.23252496433666</v>
      </c>
      <c r="AS495">
        <v>7.4122681883024297</v>
      </c>
    </row>
    <row r="496" spans="1:45" customFormat="1" ht="121">
      <c r="A496" s="65">
        <v>328</v>
      </c>
      <c r="B496" s="69" t="s">
        <v>589</v>
      </c>
      <c r="C496" s="69" t="s">
        <v>45</v>
      </c>
      <c r="D496" s="31">
        <f t="shared" si="43"/>
        <v>4</v>
      </c>
      <c r="E496" s="69" t="s">
        <v>80</v>
      </c>
      <c r="F496" s="31">
        <f t="shared" si="44"/>
        <v>4</v>
      </c>
      <c r="G496" s="137" t="s">
        <v>966</v>
      </c>
      <c r="H496" s="138">
        <v>162</v>
      </c>
      <c r="I496" s="92">
        <f t="shared" si="42"/>
        <v>0.37500000599450017</v>
      </c>
      <c r="J496" s="95">
        <v>1.1989000348045E-8</v>
      </c>
      <c r="K496" s="137">
        <v>0.79285714285714304</v>
      </c>
      <c r="L496" s="137">
        <v>0.75</v>
      </c>
      <c r="M496" s="137">
        <v>0.85714285714285698</v>
      </c>
      <c r="N496" s="136">
        <v>1</v>
      </c>
      <c r="O496" s="154">
        <v>43353</v>
      </c>
      <c r="P496" s="98">
        <f t="shared" si="45"/>
        <v>0</v>
      </c>
      <c r="Q496" s="111">
        <v>7.65</v>
      </c>
      <c r="R496" s="111">
        <v>0</v>
      </c>
      <c r="S496" s="111">
        <v>0</v>
      </c>
      <c r="T496" s="112" t="s">
        <v>48</v>
      </c>
      <c r="U496" s="137" t="s">
        <v>967</v>
      </c>
      <c r="V496" s="137" t="s">
        <v>968</v>
      </c>
      <c r="W496" s="69">
        <v>163</v>
      </c>
      <c r="X496" s="69">
        <v>1</v>
      </c>
      <c r="Y496" s="69">
        <v>1</v>
      </c>
      <c r="AA496" t="s">
        <v>4564</v>
      </c>
      <c r="AB496" t="s">
        <v>71</v>
      </c>
      <c r="AC496" t="s">
        <v>4513</v>
      </c>
      <c r="AD496" t="s">
        <v>4590</v>
      </c>
      <c r="AE496" t="s">
        <v>4513</v>
      </c>
      <c r="AF496" t="s">
        <v>4590</v>
      </c>
      <c r="AG496" t="s">
        <v>4580</v>
      </c>
      <c r="AH496" t="s">
        <v>4595</v>
      </c>
      <c r="AI496" t="s">
        <v>4353</v>
      </c>
      <c r="AJ496" t="s">
        <v>4506</v>
      </c>
      <c r="AK496" t="s">
        <v>4518</v>
      </c>
      <c r="AL496" t="s">
        <v>4519</v>
      </c>
      <c r="AM496" t="s">
        <v>4592</v>
      </c>
      <c r="AN496" t="s">
        <v>4661</v>
      </c>
      <c r="AO496" s="134">
        <v>107.347457627119</v>
      </c>
      <c r="AP496" s="135">
        <v>118.058487874465</v>
      </c>
      <c r="AQ496">
        <v>0.35805991440798901</v>
      </c>
      <c r="AR496" s="136">
        <v>1.23252496433666</v>
      </c>
      <c r="AS496">
        <v>7.4122681883024297</v>
      </c>
    </row>
    <row r="497" spans="1:45" customFormat="1" ht="31">
      <c r="A497">
        <v>506</v>
      </c>
      <c r="B497" s="69" t="s">
        <v>1222</v>
      </c>
      <c r="C497" s="69" t="s">
        <v>45</v>
      </c>
      <c r="D497" s="31">
        <f t="shared" si="43"/>
        <v>4</v>
      </c>
      <c r="E497" s="69" t="s">
        <v>80</v>
      </c>
      <c r="F497" s="31">
        <f t="shared" si="44"/>
        <v>4</v>
      </c>
      <c r="G497" s="169" t="s">
        <v>305</v>
      </c>
      <c r="H497" s="138">
        <v>50</v>
      </c>
      <c r="I497" s="92">
        <f t="shared" si="42"/>
        <v>0.41278192734201347</v>
      </c>
      <c r="J497" s="95">
        <v>5.6385468402697604E-4</v>
      </c>
      <c r="K497" s="137">
        <v>0.75502915755524702</v>
      </c>
      <c r="L497" s="137">
        <v>0.82499999999999996</v>
      </c>
      <c r="M497" s="137">
        <v>0.65007289388811795</v>
      </c>
      <c r="N497" s="136">
        <v>1</v>
      </c>
      <c r="O497" s="154">
        <v>43351</v>
      </c>
      <c r="P497" s="98">
        <f t="shared" si="45"/>
        <v>0</v>
      </c>
      <c r="Q497" s="113">
        <v>2.5499999999999998</v>
      </c>
      <c r="R497" s="113">
        <v>1.65</v>
      </c>
      <c r="S497" s="113">
        <v>1.87</v>
      </c>
      <c r="T497" s="114" t="s">
        <v>48</v>
      </c>
      <c r="U497" s="147" t="s">
        <v>1430</v>
      </c>
      <c r="V497" s="137" t="s">
        <v>1431</v>
      </c>
      <c r="W497" s="69">
        <v>42</v>
      </c>
      <c r="X497" s="147">
        <v>1</v>
      </c>
      <c r="Y497" s="147">
        <v>6</v>
      </c>
      <c r="AA497" t="s">
        <v>4522</v>
      </c>
      <c r="AB497" t="s">
        <v>51</v>
      </c>
      <c r="AC497" t="s">
        <v>4353</v>
      </c>
      <c r="AD497" t="s">
        <v>4506</v>
      </c>
      <c r="AE497" t="s">
        <v>4513</v>
      </c>
      <c r="AF497" t="s">
        <v>4864</v>
      </c>
      <c r="AG497" t="s">
        <v>223</v>
      </c>
      <c r="AH497" t="s">
        <v>4537</v>
      </c>
      <c r="AI497" t="s">
        <v>4353</v>
      </c>
      <c r="AJ497" t="s">
        <v>4506</v>
      </c>
      <c r="AK497" t="s">
        <v>4518</v>
      </c>
      <c r="AL497" t="s">
        <v>4519</v>
      </c>
      <c r="AM497" t="s">
        <v>4520</v>
      </c>
      <c r="AN497" t="s">
        <v>4521</v>
      </c>
      <c r="AO497" s="134">
        <v>107.428571428571</v>
      </c>
      <c r="AP497" s="135">
        <v>118.058487874465</v>
      </c>
      <c r="AQ497">
        <v>0.35805991440798901</v>
      </c>
      <c r="AR497" s="136">
        <v>1.23252496433666</v>
      </c>
      <c r="AS497">
        <v>7.4122681883024297</v>
      </c>
    </row>
    <row r="498" spans="1:45" customFormat="1" ht="91">
      <c r="A498">
        <v>1111</v>
      </c>
      <c r="B498" s="69" t="s">
        <v>3001</v>
      </c>
      <c r="C498" s="69" t="s">
        <v>45</v>
      </c>
      <c r="D498" s="31">
        <f t="shared" si="43"/>
        <v>4</v>
      </c>
      <c r="E498" s="69" t="s">
        <v>46</v>
      </c>
      <c r="F498" s="31">
        <f t="shared" si="44"/>
        <v>6</v>
      </c>
      <c r="G498" s="89" t="s">
        <v>3018</v>
      </c>
      <c r="H498" s="138">
        <v>125</v>
      </c>
      <c r="I498" s="92">
        <f t="shared" si="42"/>
        <v>0.41253690078121652</v>
      </c>
      <c r="J498" s="95">
        <v>7.3801562433084596E-5</v>
      </c>
      <c r="K498" s="137">
        <v>0.81418779643582295</v>
      </c>
      <c r="L498" s="137">
        <v>0.82499999999999996</v>
      </c>
      <c r="M498" s="137">
        <v>0.79796949108955795</v>
      </c>
      <c r="N498" s="136">
        <v>1</v>
      </c>
      <c r="O498" s="157">
        <v>43351</v>
      </c>
      <c r="P498" s="98">
        <f t="shared" si="45"/>
        <v>0</v>
      </c>
      <c r="Q498" s="113">
        <v>5.0999999999999996</v>
      </c>
      <c r="R498" s="113">
        <v>0</v>
      </c>
      <c r="S498" s="113">
        <v>0</v>
      </c>
      <c r="T498" s="119" t="s">
        <v>48</v>
      </c>
      <c r="U498" s="136" t="s">
        <v>3019</v>
      </c>
      <c r="V498" s="172" t="s">
        <v>3020</v>
      </c>
      <c r="W498" s="69">
        <v>64</v>
      </c>
      <c r="X498" s="69">
        <v>1</v>
      </c>
      <c r="Y498" s="69">
        <v>2</v>
      </c>
      <c r="Z498" s="69"/>
      <c r="AA498" t="s">
        <v>4551</v>
      </c>
      <c r="AB498" t="s">
        <v>87</v>
      </c>
      <c r="AC498" t="s">
        <v>4538</v>
      </c>
      <c r="AD498" t="s">
        <v>4924</v>
      </c>
      <c r="AE498" t="s">
        <v>4353</v>
      </c>
      <c r="AF498" t="s">
        <v>4506</v>
      </c>
      <c r="AG498" t="s">
        <v>223</v>
      </c>
      <c r="AH498" t="s">
        <v>4721</v>
      </c>
      <c r="AI498" t="s">
        <v>4353</v>
      </c>
      <c r="AJ498" t="s">
        <v>4506</v>
      </c>
      <c r="AK498" t="s">
        <v>4519</v>
      </c>
      <c r="AL498" t="s">
        <v>4552</v>
      </c>
      <c r="AM498" t="s">
        <v>4510</v>
      </c>
      <c r="AN498" t="s">
        <v>4634</v>
      </c>
      <c r="AO498" s="134">
        <v>107.40368271954701</v>
      </c>
      <c r="AP498" s="135">
        <v>118.058487874465</v>
      </c>
      <c r="AQ498">
        <v>0.35805991440798901</v>
      </c>
      <c r="AR498" s="136">
        <v>1.23252496433666</v>
      </c>
      <c r="AS498">
        <v>7.4122681883024297</v>
      </c>
    </row>
    <row r="499" spans="1:45" customFormat="1" ht="61">
      <c r="A499">
        <v>874</v>
      </c>
      <c r="B499" s="69" t="s">
        <v>2355</v>
      </c>
      <c r="C499" s="69" t="s">
        <v>45</v>
      </c>
      <c r="D499" s="31">
        <f t="shared" si="43"/>
        <v>4</v>
      </c>
      <c r="E499" s="69" t="s">
        <v>46</v>
      </c>
      <c r="F499" s="31">
        <f t="shared" si="44"/>
        <v>6</v>
      </c>
      <c r="G499" s="136" t="s">
        <v>2380</v>
      </c>
      <c r="H499" s="138">
        <v>73</v>
      </c>
      <c r="I499" s="92">
        <f t="shared" si="42"/>
        <v>0.41508409969019949</v>
      </c>
      <c r="J499" s="95">
        <v>5.16819938039903E-3</v>
      </c>
      <c r="K499" s="137">
        <v>0.76722468700001201</v>
      </c>
      <c r="L499" s="137">
        <v>0.82499999999999996</v>
      </c>
      <c r="M499" s="137">
        <v>0.68056171750003003</v>
      </c>
      <c r="N499" s="136">
        <v>1</v>
      </c>
      <c r="O499" s="154">
        <v>43350</v>
      </c>
      <c r="P499" s="98">
        <f t="shared" si="45"/>
        <v>1</v>
      </c>
      <c r="Q499" s="111">
        <v>7.65</v>
      </c>
      <c r="R499" s="111">
        <v>0</v>
      </c>
      <c r="S499" s="111">
        <v>0</v>
      </c>
      <c r="T499" s="112" t="s">
        <v>73</v>
      </c>
      <c r="U499" s="137" t="s">
        <v>4435</v>
      </c>
      <c r="V499" s="137" t="s">
        <v>2382</v>
      </c>
      <c r="W499" s="69">
        <v>63</v>
      </c>
      <c r="X499" s="69">
        <v>1</v>
      </c>
      <c r="Y499" s="69">
        <v>5</v>
      </c>
      <c r="Z499" s="69"/>
      <c r="AA499" t="s">
        <v>4543</v>
      </c>
      <c r="AB499" t="s">
        <v>67</v>
      </c>
      <c r="AC499" t="s">
        <v>4353</v>
      </c>
      <c r="AD499" t="s">
        <v>4506</v>
      </c>
      <c r="AE499" t="s">
        <v>4353</v>
      </c>
      <c r="AF499" t="s">
        <v>4506</v>
      </c>
      <c r="AG499" t="s">
        <v>4353</v>
      </c>
      <c r="AH499" t="s">
        <v>4506</v>
      </c>
      <c r="AI499" t="s">
        <v>4353</v>
      </c>
      <c r="AJ499" t="s">
        <v>4506</v>
      </c>
      <c r="AK499" t="s">
        <v>4519</v>
      </c>
      <c r="AL499" t="s">
        <v>4519</v>
      </c>
      <c r="AM499" t="s">
        <v>4528</v>
      </c>
      <c r="AN499" t="s">
        <v>4529</v>
      </c>
      <c r="AO499" s="134">
        <v>107.452482269504</v>
      </c>
      <c r="AP499" s="135">
        <v>118.09885386819499</v>
      </c>
      <c r="AQ499">
        <v>0.35243553008596001</v>
      </c>
      <c r="AR499" s="136">
        <v>1.2335243553008599</v>
      </c>
      <c r="AS499">
        <v>7.4154727793696296</v>
      </c>
    </row>
    <row r="500" spans="1:45" customFormat="1" ht="286">
      <c r="A500" s="65">
        <v>329</v>
      </c>
      <c r="B500" s="69" t="s">
        <v>589</v>
      </c>
      <c r="C500" s="69" t="s">
        <v>45</v>
      </c>
      <c r="D500" s="31">
        <f t="shared" si="43"/>
        <v>4</v>
      </c>
      <c r="E500" s="69" t="s">
        <v>46</v>
      </c>
      <c r="F500" s="31">
        <f t="shared" si="44"/>
        <v>6</v>
      </c>
      <c r="G500" s="152" t="s">
        <v>969</v>
      </c>
      <c r="H500" s="138">
        <v>543</v>
      </c>
      <c r="I500" s="92">
        <f t="shared" si="42"/>
        <v>0.64457576933079097</v>
      </c>
      <c r="J500" s="95">
        <v>0.99999407158943299</v>
      </c>
      <c r="K500" s="137">
        <v>0.43352363779853598</v>
      </c>
      <c r="L500" s="137">
        <v>0.28915746707214901</v>
      </c>
      <c r="M500" s="137">
        <v>0.65007289388811795</v>
      </c>
      <c r="N500" s="136">
        <v>0</v>
      </c>
      <c r="O500" s="154">
        <v>43349</v>
      </c>
      <c r="P500" s="98">
        <f t="shared" si="45"/>
        <v>1</v>
      </c>
      <c r="Q500" s="111">
        <v>2.5499999999999998</v>
      </c>
      <c r="R500" s="111">
        <v>1.65</v>
      </c>
      <c r="S500" s="111">
        <v>0</v>
      </c>
      <c r="T500" s="112" t="s">
        <v>73</v>
      </c>
      <c r="U500" s="137" t="s">
        <v>4380</v>
      </c>
      <c r="V500" s="137" t="s">
        <v>971</v>
      </c>
      <c r="W500" s="69">
        <v>121</v>
      </c>
      <c r="X500" s="171">
        <v>1</v>
      </c>
      <c r="Y500" s="171">
        <v>6</v>
      </c>
      <c r="AA500" t="s">
        <v>4925</v>
      </c>
      <c r="AB500" t="s">
        <v>4597</v>
      </c>
      <c r="AC500" t="s">
        <v>4513</v>
      </c>
      <c r="AD500" t="s">
        <v>4680</v>
      </c>
      <c r="AE500" t="s">
        <v>4353</v>
      </c>
      <c r="AF500" t="s">
        <v>4506</v>
      </c>
      <c r="AG500" t="s">
        <v>4513</v>
      </c>
      <c r="AH500" t="s">
        <v>4680</v>
      </c>
      <c r="AI500" t="s">
        <v>4353</v>
      </c>
      <c r="AJ500" t="s">
        <v>4506</v>
      </c>
      <c r="AK500" t="s">
        <v>4519</v>
      </c>
      <c r="AL500" t="s">
        <v>4541</v>
      </c>
      <c r="AM500" t="s">
        <v>4520</v>
      </c>
      <c r="AN500" t="s">
        <v>4926</v>
      </c>
      <c r="AO500" s="134">
        <v>106.833806818182</v>
      </c>
      <c r="AP500" s="135">
        <v>118.196556671449</v>
      </c>
      <c r="AQ500">
        <v>0.35150645624103299</v>
      </c>
      <c r="AR500" s="136">
        <v>1.2338593974175001</v>
      </c>
      <c r="AS500">
        <v>7.4218077474892397</v>
      </c>
    </row>
    <row r="501" spans="1:45" customFormat="1" ht="76">
      <c r="A501" s="65">
        <v>1024</v>
      </c>
      <c r="B501" s="69" t="s">
        <v>2752</v>
      </c>
      <c r="C501" s="69" t="s">
        <v>45</v>
      </c>
      <c r="D501" s="31">
        <f t="shared" si="43"/>
        <v>4</v>
      </c>
      <c r="E501" s="69" t="s">
        <v>80</v>
      </c>
      <c r="F501" s="31">
        <f t="shared" si="44"/>
        <v>4</v>
      </c>
      <c r="G501" s="139" t="s">
        <v>159</v>
      </c>
      <c r="H501" s="138">
        <v>95</v>
      </c>
      <c r="I501" s="92">
        <f t="shared" si="42"/>
        <v>0.41296093208779028</v>
      </c>
      <c r="J501" s="95">
        <v>9.2186417558059997E-4</v>
      </c>
      <c r="K501" s="137">
        <v>0.78071428571428603</v>
      </c>
      <c r="L501" s="137">
        <v>0.82499999999999996</v>
      </c>
      <c r="M501" s="137">
        <v>0.71428571428571397</v>
      </c>
      <c r="N501" s="136">
        <v>1</v>
      </c>
      <c r="O501" s="157">
        <v>43349</v>
      </c>
      <c r="P501" s="98">
        <f t="shared" si="45"/>
        <v>0</v>
      </c>
      <c r="Q501" s="113">
        <v>5.0999999999999996</v>
      </c>
      <c r="R501" s="113">
        <v>0</v>
      </c>
      <c r="S501" s="113">
        <v>0</v>
      </c>
      <c r="T501" s="119" t="s">
        <v>48</v>
      </c>
      <c r="U501" s="89" t="s">
        <v>2782</v>
      </c>
      <c r="V501" s="172" t="s">
        <v>2783</v>
      </c>
      <c r="W501" s="69">
        <v>110</v>
      </c>
      <c r="X501" s="69">
        <v>1</v>
      </c>
      <c r="Y501" s="69">
        <v>4</v>
      </c>
      <c r="Z501" s="69"/>
      <c r="AA501" t="s">
        <v>4522</v>
      </c>
      <c r="AB501" t="s">
        <v>87</v>
      </c>
      <c r="AC501" t="s">
        <v>4513</v>
      </c>
      <c r="AD501" t="s">
        <v>4589</v>
      </c>
      <c r="AE501" t="s">
        <v>223</v>
      </c>
      <c r="AF501" t="s">
        <v>4588</v>
      </c>
      <c r="AG501" t="s">
        <v>223</v>
      </c>
      <c r="AH501" t="s">
        <v>4588</v>
      </c>
      <c r="AI501" t="s">
        <v>4515</v>
      </c>
      <c r="AJ501" t="s">
        <v>4590</v>
      </c>
      <c r="AK501" t="s">
        <v>4518</v>
      </c>
      <c r="AL501" t="s">
        <v>4519</v>
      </c>
      <c r="AM501" t="s">
        <v>4520</v>
      </c>
      <c r="AN501" t="s">
        <v>4521</v>
      </c>
      <c r="AO501" s="134">
        <v>106.85064011379799</v>
      </c>
      <c r="AP501" s="135">
        <v>118.196556671449</v>
      </c>
      <c r="AQ501">
        <v>0.35150645624103299</v>
      </c>
      <c r="AR501" s="136">
        <v>1.2338593974175001</v>
      </c>
      <c r="AS501">
        <v>7.4218077474892397</v>
      </c>
    </row>
    <row r="502" spans="1:45" customFormat="1" ht="46">
      <c r="A502" s="65">
        <v>1113</v>
      </c>
      <c r="B502" s="69" t="s">
        <v>3001</v>
      </c>
      <c r="C502" s="69" t="s">
        <v>45</v>
      </c>
      <c r="D502" s="31">
        <f t="shared" si="43"/>
        <v>4</v>
      </c>
      <c r="E502" s="69" t="s">
        <v>80</v>
      </c>
      <c r="F502" s="31">
        <f t="shared" si="44"/>
        <v>4</v>
      </c>
      <c r="G502" s="190" t="s">
        <v>3024</v>
      </c>
      <c r="H502" s="138">
        <v>78</v>
      </c>
      <c r="I502" s="92">
        <f t="shared" si="42"/>
        <v>0.34363728465575727</v>
      </c>
      <c r="J502" s="95">
        <v>5.4563874933325502E-3</v>
      </c>
      <c r="K502" s="137">
        <v>0.72827870552673202</v>
      </c>
      <c r="L502" s="137">
        <v>0.68181818181818199</v>
      </c>
      <c r="M502" s="137">
        <v>0.79796949108955795</v>
      </c>
      <c r="N502" s="136">
        <v>1</v>
      </c>
      <c r="O502" s="204">
        <v>43348</v>
      </c>
      <c r="P502" s="98">
        <f t="shared" si="45"/>
        <v>0</v>
      </c>
      <c r="Q502" s="113">
        <v>2.5499999999999998</v>
      </c>
      <c r="R502" s="113">
        <v>1.65</v>
      </c>
      <c r="S502" s="113">
        <v>0</v>
      </c>
      <c r="T502" s="114" t="s">
        <v>48</v>
      </c>
      <c r="U502" s="89" t="s">
        <v>3025</v>
      </c>
      <c r="V502" s="172" t="s">
        <v>3026</v>
      </c>
      <c r="W502" s="69">
        <v>54</v>
      </c>
      <c r="X502" s="195">
        <v>1</v>
      </c>
      <c r="Y502" s="195">
        <v>2</v>
      </c>
      <c r="Z502" s="69"/>
      <c r="AA502" t="s">
        <v>4564</v>
      </c>
      <c r="AB502" t="s">
        <v>51</v>
      </c>
      <c r="AC502" t="s">
        <v>223</v>
      </c>
      <c r="AD502" t="s">
        <v>4762</v>
      </c>
      <c r="AE502" t="s">
        <v>4513</v>
      </c>
      <c r="AF502" t="s">
        <v>4901</v>
      </c>
      <c r="AG502" t="s">
        <v>4353</v>
      </c>
      <c r="AH502" t="s">
        <v>4506</v>
      </c>
      <c r="AI502" t="s">
        <v>4353</v>
      </c>
      <c r="AJ502" t="s">
        <v>4506</v>
      </c>
      <c r="AK502" t="s">
        <v>4519</v>
      </c>
      <c r="AL502" t="s">
        <v>4519</v>
      </c>
      <c r="AM502" t="s">
        <v>4510</v>
      </c>
      <c r="AN502" t="s">
        <v>4550</v>
      </c>
      <c r="AO502" s="134">
        <v>106.891737891738</v>
      </c>
      <c r="AP502" s="135">
        <v>118.196556671449</v>
      </c>
      <c r="AQ502">
        <v>0.35150645624103299</v>
      </c>
      <c r="AR502" s="136">
        <v>1.2338593974175001</v>
      </c>
      <c r="AS502">
        <v>7.4218077474892397</v>
      </c>
    </row>
    <row r="503" spans="1:45" customFormat="1" ht="46">
      <c r="A503">
        <v>667</v>
      </c>
      <c r="B503" s="69" t="s">
        <v>1790</v>
      </c>
      <c r="C503" s="69" t="s">
        <v>45</v>
      </c>
      <c r="D503" s="31">
        <f t="shared" si="43"/>
        <v>4</v>
      </c>
      <c r="E503" s="69" t="s">
        <v>80</v>
      </c>
      <c r="F503" s="31">
        <f t="shared" si="44"/>
        <v>4</v>
      </c>
      <c r="G503" s="137" t="s">
        <v>1832</v>
      </c>
      <c r="H503" s="138">
        <v>41</v>
      </c>
      <c r="I503" s="92">
        <f t="shared" si="42"/>
        <v>0.37526365827660368</v>
      </c>
      <c r="J503" s="95">
        <v>5.2731655320736902E-4</v>
      </c>
      <c r="K503" s="137">
        <v>0.75102566813892102</v>
      </c>
      <c r="L503" s="137">
        <v>0.75</v>
      </c>
      <c r="M503" s="137">
        <v>0.75256417034730305</v>
      </c>
      <c r="N503" s="136">
        <v>1</v>
      </c>
      <c r="O503" s="154">
        <v>43346</v>
      </c>
      <c r="P503" s="98">
        <f t="shared" si="45"/>
        <v>1</v>
      </c>
      <c r="Q503" s="111">
        <v>0</v>
      </c>
      <c r="R503" s="111">
        <v>3.3</v>
      </c>
      <c r="S503" s="111">
        <v>1.87</v>
      </c>
      <c r="T503" s="112" t="s">
        <v>73</v>
      </c>
      <c r="U503" s="137" t="s">
        <v>1833</v>
      </c>
      <c r="V503" s="137" t="s">
        <v>1834</v>
      </c>
      <c r="W503" s="69">
        <v>50</v>
      </c>
      <c r="X503" s="69">
        <v>2</v>
      </c>
      <c r="Y503" s="69">
        <v>3</v>
      </c>
      <c r="Z503" s="69"/>
      <c r="AA503" t="s">
        <v>4512</v>
      </c>
      <c r="AB503" t="s">
        <v>87</v>
      </c>
      <c r="AC503" t="s">
        <v>4513</v>
      </c>
      <c r="AD503" t="s">
        <v>4677</v>
      </c>
      <c r="AE503" t="s">
        <v>223</v>
      </c>
      <c r="AF503" t="s">
        <v>4781</v>
      </c>
      <c r="AG503" t="s">
        <v>223</v>
      </c>
      <c r="AH503" t="s">
        <v>4781</v>
      </c>
      <c r="AI503" t="s">
        <v>4353</v>
      </c>
      <c r="AJ503" t="s">
        <v>4506</v>
      </c>
      <c r="AK503" t="s">
        <v>4519</v>
      </c>
      <c r="AL503" t="s">
        <v>4519</v>
      </c>
      <c r="AM503" t="s">
        <v>4562</v>
      </c>
      <c r="AN503" t="s">
        <v>4563</v>
      </c>
      <c r="AO503" s="134">
        <v>106.850213980029</v>
      </c>
      <c r="AP503" s="135">
        <v>118.325179856115</v>
      </c>
      <c r="AQ503">
        <v>0.35251798561151099</v>
      </c>
      <c r="AR503" s="136">
        <v>1.2345323741007199</v>
      </c>
      <c r="AS503">
        <v>7.4258992805755399</v>
      </c>
    </row>
    <row r="504" spans="1:45" customFormat="1" ht="76">
      <c r="A504">
        <v>330</v>
      </c>
      <c r="B504" s="69" t="s">
        <v>589</v>
      </c>
      <c r="C504" s="69" t="s">
        <v>45</v>
      </c>
      <c r="D504" s="31">
        <f t="shared" si="43"/>
        <v>4</v>
      </c>
      <c r="E504" s="69" t="s">
        <v>80</v>
      </c>
      <c r="F504" s="31">
        <f t="shared" si="44"/>
        <v>4</v>
      </c>
      <c r="G504" s="137" t="s">
        <v>972</v>
      </c>
      <c r="H504" s="138">
        <v>136</v>
      </c>
      <c r="I504" s="92">
        <f t="shared" si="42"/>
        <v>0.37500000711859371</v>
      </c>
      <c r="J504" s="95">
        <v>1.42371874289893E-8</v>
      </c>
      <c r="K504" s="137">
        <v>0.79285714285714304</v>
      </c>
      <c r="L504" s="137">
        <v>0.75</v>
      </c>
      <c r="M504" s="137">
        <v>0.85714285714285698</v>
      </c>
      <c r="N504" s="136">
        <v>0</v>
      </c>
      <c r="O504" s="154">
        <v>43346</v>
      </c>
      <c r="P504" s="98">
        <f t="shared" si="45"/>
        <v>1</v>
      </c>
      <c r="Q504" s="111">
        <v>2.5499999999999998</v>
      </c>
      <c r="R504" s="111">
        <v>0</v>
      </c>
      <c r="S504" s="111">
        <v>0</v>
      </c>
      <c r="T504" s="112" t="s">
        <v>73</v>
      </c>
      <c r="U504" s="147" t="s">
        <v>973</v>
      </c>
      <c r="V504" s="137" t="s">
        <v>974</v>
      </c>
      <c r="W504" s="69">
        <v>98</v>
      </c>
      <c r="X504" s="147">
        <v>1</v>
      </c>
      <c r="Y504" s="147">
        <v>1</v>
      </c>
      <c r="AA504" t="s">
        <v>4522</v>
      </c>
      <c r="AB504" t="s">
        <v>87</v>
      </c>
      <c r="AC504" t="s">
        <v>4515</v>
      </c>
      <c r="AD504" t="s">
        <v>4781</v>
      </c>
      <c r="AE504" t="s">
        <v>223</v>
      </c>
      <c r="AF504" t="s">
        <v>4615</v>
      </c>
      <c r="AG504" t="s">
        <v>223</v>
      </c>
      <c r="AH504" t="s">
        <v>4615</v>
      </c>
      <c r="AI504" t="s">
        <v>4353</v>
      </c>
      <c r="AJ504" t="s">
        <v>4506</v>
      </c>
      <c r="AK504" t="s">
        <v>4519</v>
      </c>
      <c r="AL504" t="s">
        <v>4519</v>
      </c>
      <c r="AM504" t="s">
        <v>4510</v>
      </c>
      <c r="AN504" t="s">
        <v>4550</v>
      </c>
      <c r="AO504" s="134">
        <v>106.944285714286</v>
      </c>
      <c r="AP504" s="135">
        <v>118.325179856115</v>
      </c>
      <c r="AQ504">
        <v>0.35251798561151099</v>
      </c>
      <c r="AR504" s="136">
        <v>1.2345323741007199</v>
      </c>
      <c r="AS504">
        <v>7.4258992805755399</v>
      </c>
    </row>
    <row r="505" spans="1:45" customFormat="1" ht="166">
      <c r="A505">
        <v>331</v>
      </c>
      <c r="B505" s="69" t="s">
        <v>589</v>
      </c>
      <c r="C505" s="69" t="s">
        <v>45</v>
      </c>
      <c r="D505" s="31">
        <f t="shared" si="43"/>
        <v>4</v>
      </c>
      <c r="E505" s="69" t="s">
        <v>46</v>
      </c>
      <c r="F505" s="31">
        <f t="shared" si="44"/>
        <v>6</v>
      </c>
      <c r="G505" s="137" t="s">
        <v>975</v>
      </c>
      <c r="H505" s="138">
        <v>304</v>
      </c>
      <c r="I505" s="92">
        <f t="shared" si="42"/>
        <v>0.30991735537368215</v>
      </c>
      <c r="J505" s="95">
        <v>3.5622615968122801E-12</v>
      </c>
      <c r="K505" s="137">
        <v>0.61027641931792698</v>
      </c>
      <c r="L505" s="137">
        <v>0.61983471074380203</v>
      </c>
      <c r="M505" s="137">
        <v>0.59593898217911601</v>
      </c>
      <c r="N505" s="136">
        <v>1</v>
      </c>
      <c r="O505" s="154">
        <v>43342</v>
      </c>
      <c r="P505" s="98">
        <f t="shared" si="45"/>
        <v>0</v>
      </c>
      <c r="Q505" s="111">
        <v>5.0999999999999996</v>
      </c>
      <c r="R505" s="111">
        <v>0</v>
      </c>
      <c r="S505" s="111">
        <v>0</v>
      </c>
      <c r="T505" s="112" t="s">
        <v>48</v>
      </c>
      <c r="U505" s="137" t="s">
        <v>4381</v>
      </c>
      <c r="V505" s="137" t="s">
        <v>977</v>
      </c>
      <c r="W505" s="69">
        <v>136</v>
      </c>
      <c r="X505" s="69">
        <v>3</v>
      </c>
      <c r="Y505" s="69">
        <v>8</v>
      </c>
      <c r="AA505" t="s">
        <v>4927</v>
      </c>
      <c r="AB505" t="s">
        <v>51</v>
      </c>
      <c r="AC505" t="s">
        <v>4353</v>
      </c>
      <c r="AD505" t="s">
        <v>4506</v>
      </c>
      <c r="AE505" t="s">
        <v>4513</v>
      </c>
      <c r="AF505" t="s">
        <v>4755</v>
      </c>
      <c r="AG505" t="s">
        <v>4353</v>
      </c>
      <c r="AH505" t="s">
        <v>4506</v>
      </c>
      <c r="AI505" t="s">
        <v>4353</v>
      </c>
      <c r="AJ505" t="s">
        <v>4506</v>
      </c>
      <c r="AK505" t="s">
        <v>4519</v>
      </c>
      <c r="AL505" t="s">
        <v>4928</v>
      </c>
      <c r="AM505" t="s">
        <v>4740</v>
      </c>
      <c r="AN505" t="s">
        <v>4929</v>
      </c>
      <c r="AO505" s="134">
        <v>106.662374821173</v>
      </c>
      <c r="AP505" s="135">
        <v>118.432276657061</v>
      </c>
      <c r="AQ505">
        <v>0.353025936599424</v>
      </c>
      <c r="AR505" s="136">
        <v>1.2348703170028801</v>
      </c>
      <c r="AS505">
        <v>7.4351585014409203</v>
      </c>
    </row>
    <row r="506" spans="1:45" customFormat="1" ht="46">
      <c r="A506">
        <v>802</v>
      </c>
      <c r="B506" s="69" t="s">
        <v>2179</v>
      </c>
      <c r="C506" s="69" t="s">
        <v>45</v>
      </c>
      <c r="D506" s="31">
        <f t="shared" si="43"/>
        <v>4</v>
      </c>
      <c r="E506" s="69" t="s">
        <v>80</v>
      </c>
      <c r="F506" s="31">
        <f t="shared" si="44"/>
        <v>4</v>
      </c>
      <c r="G506" s="209" t="s">
        <v>1459</v>
      </c>
      <c r="H506" s="138">
        <v>45</v>
      </c>
      <c r="I506" s="92">
        <f t="shared" si="42"/>
        <v>0.62164451947709398</v>
      </c>
      <c r="J506" s="95">
        <v>0.41828903895418801</v>
      </c>
      <c r="K506" s="137">
        <v>0.83785714285714297</v>
      </c>
      <c r="L506" s="137">
        <v>0.82499999999999996</v>
      </c>
      <c r="M506" s="137">
        <v>0.85714285714285698</v>
      </c>
      <c r="N506" s="136">
        <v>1</v>
      </c>
      <c r="O506" s="154">
        <v>43341</v>
      </c>
      <c r="P506" s="98">
        <f t="shared" si="45"/>
        <v>1</v>
      </c>
      <c r="Q506" s="201">
        <v>2.5499999999999998</v>
      </c>
      <c r="R506" s="201">
        <v>0</v>
      </c>
      <c r="S506" s="201">
        <v>0</v>
      </c>
      <c r="T506" s="213" t="s">
        <v>73</v>
      </c>
      <c r="U506" s="136" t="s">
        <v>2192</v>
      </c>
      <c r="V506" s="136" t="s">
        <v>2193</v>
      </c>
      <c r="W506" s="69">
        <v>44</v>
      </c>
      <c r="X506" s="171">
        <v>0</v>
      </c>
      <c r="Y506" s="171">
        <v>1</v>
      </c>
      <c r="Z506" s="69"/>
      <c r="AA506" t="s">
        <v>4522</v>
      </c>
      <c r="AB506" t="s">
        <v>71</v>
      </c>
      <c r="AC506" t="s">
        <v>4353</v>
      </c>
      <c r="AD506" t="s">
        <v>4506</v>
      </c>
      <c r="AE506" t="s">
        <v>4353</v>
      </c>
      <c r="AF506" t="s">
        <v>4506</v>
      </c>
      <c r="AG506" t="s">
        <v>223</v>
      </c>
      <c r="AH506" t="s">
        <v>4779</v>
      </c>
      <c r="AI506" t="s">
        <v>4353</v>
      </c>
      <c r="AJ506" t="s">
        <v>4506</v>
      </c>
      <c r="AK506" t="s">
        <v>4519</v>
      </c>
      <c r="AL506" t="s">
        <v>4519</v>
      </c>
      <c r="AM506" t="s">
        <v>4510</v>
      </c>
      <c r="AN506" t="s">
        <v>4550</v>
      </c>
      <c r="AO506" s="134">
        <v>106.750716332378</v>
      </c>
      <c r="AP506" s="135">
        <v>118.67919075144501</v>
      </c>
      <c r="AQ506">
        <v>0.35404624277456598</v>
      </c>
      <c r="AR506" s="136">
        <v>1.23554913294798</v>
      </c>
      <c r="AS506">
        <v>7.4479768786127201</v>
      </c>
    </row>
    <row r="507" spans="1:45" customFormat="1" ht="136">
      <c r="A507" s="65">
        <v>332</v>
      </c>
      <c r="B507" s="69" t="s">
        <v>589</v>
      </c>
      <c r="C507" s="69" t="s">
        <v>45</v>
      </c>
      <c r="D507" s="31">
        <f t="shared" si="43"/>
        <v>4</v>
      </c>
      <c r="E507" s="69" t="s">
        <v>46</v>
      </c>
      <c r="F507" s="31">
        <f t="shared" si="44"/>
        <v>6</v>
      </c>
      <c r="G507" s="147" t="s">
        <v>975</v>
      </c>
      <c r="H507" s="138">
        <v>257</v>
      </c>
      <c r="I507" s="92">
        <f t="shared" si="42"/>
        <v>0.30991735572953616</v>
      </c>
      <c r="J507" s="95">
        <v>7.1527028744355903E-10</v>
      </c>
      <c r="K507" s="137">
        <v>0.59119924586523098</v>
      </c>
      <c r="L507" s="137">
        <v>0.61983471074380203</v>
      </c>
      <c r="M507" s="137">
        <v>0.54824604854737402</v>
      </c>
      <c r="N507" s="136">
        <v>1</v>
      </c>
      <c r="O507" s="154">
        <v>43340</v>
      </c>
      <c r="P507" s="98">
        <f t="shared" si="45"/>
        <v>0</v>
      </c>
      <c r="Q507" s="111">
        <v>5.0999999999999996</v>
      </c>
      <c r="R507" s="111">
        <v>0</v>
      </c>
      <c r="S507" s="111">
        <v>0</v>
      </c>
      <c r="T507" s="112" t="s">
        <v>48</v>
      </c>
      <c r="U507" s="137" t="s">
        <v>4382</v>
      </c>
      <c r="V507" s="137" t="s">
        <v>977</v>
      </c>
      <c r="W507" s="69">
        <v>136</v>
      </c>
      <c r="X507" s="171">
        <v>3</v>
      </c>
      <c r="Y507" s="171">
        <v>10</v>
      </c>
      <c r="AA507" t="s">
        <v>4628</v>
      </c>
      <c r="AB507" t="s">
        <v>51</v>
      </c>
      <c r="AC507" t="s">
        <v>4353</v>
      </c>
      <c r="AD507" t="s">
        <v>4506</v>
      </c>
      <c r="AE507" t="s">
        <v>4513</v>
      </c>
      <c r="AF507" t="s">
        <v>4755</v>
      </c>
      <c r="AG507" t="s">
        <v>4353</v>
      </c>
      <c r="AH507" t="s">
        <v>4506</v>
      </c>
      <c r="AI507" t="s">
        <v>4353</v>
      </c>
      <c r="AJ507" t="s">
        <v>4506</v>
      </c>
      <c r="AK507" t="s">
        <v>4519</v>
      </c>
      <c r="AL507" t="s">
        <v>4541</v>
      </c>
      <c r="AM507" t="s">
        <v>4592</v>
      </c>
      <c r="AN507" t="s">
        <v>4690</v>
      </c>
      <c r="AO507" s="134">
        <v>106.535150645624</v>
      </c>
      <c r="AP507" s="135">
        <v>119.28093158660801</v>
      </c>
      <c r="AQ507">
        <v>0.34934497816593901</v>
      </c>
      <c r="AR507" s="136">
        <v>1.2358078602620099</v>
      </c>
      <c r="AS507">
        <v>7.4497816593886501</v>
      </c>
    </row>
    <row r="508" spans="1:45" customFormat="1" ht="46">
      <c r="A508" s="65">
        <v>173</v>
      </c>
      <c r="B508" s="69" t="s">
        <v>499</v>
      </c>
      <c r="C508" s="69" t="s">
        <v>45</v>
      </c>
      <c r="D508" s="31">
        <f t="shared" si="43"/>
        <v>4</v>
      </c>
      <c r="E508" s="69" t="s">
        <v>46</v>
      </c>
      <c r="F508" s="31">
        <f t="shared" si="44"/>
        <v>6</v>
      </c>
      <c r="G508" s="147" t="s">
        <v>539</v>
      </c>
      <c r="H508" s="138">
        <v>67</v>
      </c>
      <c r="I508" s="92">
        <f t="shared" si="42"/>
        <v>0.75598202247016855</v>
      </c>
      <c r="J508" s="95">
        <v>0.99970395341653395</v>
      </c>
      <c r="K508" s="137">
        <v>0.60838172305320304</v>
      </c>
      <c r="L508" s="137">
        <v>0.51226009152380303</v>
      </c>
      <c r="M508" s="137">
        <v>0.75256417034730305</v>
      </c>
      <c r="N508" s="136">
        <v>1</v>
      </c>
      <c r="O508" s="154">
        <v>43338</v>
      </c>
      <c r="P508" s="98">
        <f t="shared" si="45"/>
        <v>2</v>
      </c>
      <c r="Q508" s="111">
        <v>0</v>
      </c>
      <c r="R508" s="111">
        <v>0</v>
      </c>
      <c r="S508" s="111">
        <v>0</v>
      </c>
      <c r="T508" s="112" t="s">
        <v>64</v>
      </c>
      <c r="U508" s="147" t="s">
        <v>540</v>
      </c>
      <c r="V508" s="137" t="s">
        <v>541</v>
      </c>
      <c r="W508" s="69">
        <v>33</v>
      </c>
      <c r="X508" s="147">
        <v>1</v>
      </c>
      <c r="Y508" s="147">
        <v>3</v>
      </c>
      <c r="AA508" t="s">
        <v>4599</v>
      </c>
      <c r="AB508" t="s">
        <v>4732</v>
      </c>
      <c r="AC508" t="s">
        <v>223</v>
      </c>
      <c r="AD508" t="s">
        <v>4517</v>
      </c>
      <c r="AE508" t="s">
        <v>223</v>
      </c>
      <c r="AF508" t="s">
        <v>4517</v>
      </c>
      <c r="AG508" t="s">
        <v>223</v>
      </c>
      <c r="AH508" t="s">
        <v>4517</v>
      </c>
      <c r="AI508" t="s">
        <v>4353</v>
      </c>
      <c r="AJ508" t="s">
        <v>4506</v>
      </c>
      <c r="AK508" t="s">
        <v>4519</v>
      </c>
      <c r="AL508" t="s">
        <v>4552</v>
      </c>
      <c r="AM508" t="s">
        <v>4562</v>
      </c>
      <c r="AN508" t="s">
        <v>4742</v>
      </c>
      <c r="AO508" s="134">
        <v>106.591954022989</v>
      </c>
      <c r="AP508" s="135">
        <v>119.281341107872</v>
      </c>
      <c r="AQ508">
        <v>0.34985422740524802</v>
      </c>
      <c r="AR508" s="136">
        <v>1.23615160349854</v>
      </c>
      <c r="AS508">
        <v>7.4577259475218698</v>
      </c>
    </row>
    <row r="509" spans="1:45" s="66" customFormat="1" ht="45">
      <c r="A509" s="66">
        <v>647</v>
      </c>
      <c r="B509" s="141" t="s">
        <v>1779</v>
      </c>
      <c r="C509" s="142" t="s">
        <v>45</v>
      </c>
      <c r="D509" s="143">
        <f t="shared" si="43"/>
        <v>4</v>
      </c>
      <c r="E509" s="144" t="s">
        <v>46</v>
      </c>
      <c r="F509" s="143">
        <f t="shared" si="44"/>
        <v>6</v>
      </c>
      <c r="G509" s="212" t="s">
        <v>539</v>
      </c>
      <c r="H509" s="146">
        <f>LEN(U509)</f>
        <v>67</v>
      </c>
      <c r="I509" s="158">
        <f t="shared" si="42"/>
        <v>0.75598202247016855</v>
      </c>
      <c r="J509" s="95">
        <v>0.99970395341653395</v>
      </c>
      <c r="K509" s="95">
        <v>0.60838172305320304</v>
      </c>
      <c r="L509" s="95">
        <v>0.51226009152380303</v>
      </c>
      <c r="M509" s="95">
        <v>0.75256417034730305</v>
      </c>
      <c r="N509" s="143">
        <v>1</v>
      </c>
      <c r="O509" s="159">
        <v>43338</v>
      </c>
      <c r="P509" s="98">
        <f t="shared" si="45"/>
        <v>1</v>
      </c>
      <c r="Q509" s="111"/>
      <c r="R509" s="111"/>
      <c r="S509" s="111"/>
      <c r="T509" s="98" t="s">
        <v>73</v>
      </c>
      <c r="U509" s="214" t="s">
        <v>540</v>
      </c>
      <c r="V509" s="174" t="s">
        <v>541</v>
      </c>
      <c r="W509" s="144">
        <f>LEN(V509)</f>
        <v>33</v>
      </c>
      <c r="X509" s="215">
        <v>0</v>
      </c>
      <c r="Y509" s="215">
        <v>3</v>
      </c>
      <c r="Z509" s="68"/>
      <c r="AA509" s="66" t="s">
        <v>4599</v>
      </c>
      <c r="AB509" s="66" t="s">
        <v>4732</v>
      </c>
      <c r="AC509" s="66" t="s">
        <v>223</v>
      </c>
      <c r="AD509" s="66" t="s">
        <v>4517</v>
      </c>
      <c r="AE509" s="66" t="s">
        <v>223</v>
      </c>
      <c r="AF509" s="66" t="s">
        <v>4517</v>
      </c>
      <c r="AG509" s="66" t="s">
        <v>223</v>
      </c>
      <c r="AH509" s="66" t="s">
        <v>4517</v>
      </c>
      <c r="AI509" s="66" t="s">
        <v>4353</v>
      </c>
      <c r="AJ509" s="66" t="s">
        <v>4506</v>
      </c>
      <c r="AK509" s="66" t="s">
        <v>4519</v>
      </c>
      <c r="AL509" s="66" t="s">
        <v>4552</v>
      </c>
      <c r="AM509" s="66" t="s">
        <v>4562</v>
      </c>
      <c r="AN509" s="66" t="s">
        <v>4742</v>
      </c>
      <c r="AO509" s="179">
        <v>106.648920863309</v>
      </c>
      <c r="AP509" s="180">
        <v>119.281341107872</v>
      </c>
      <c r="AQ509" s="66">
        <v>0.34985422740524802</v>
      </c>
      <c r="AR509" s="181">
        <v>1.23615160349854</v>
      </c>
      <c r="AS509" s="66">
        <v>7.4577259475218698</v>
      </c>
    </row>
    <row r="510" spans="1:45" customFormat="1" ht="31">
      <c r="A510">
        <v>803</v>
      </c>
      <c r="B510" s="69" t="s">
        <v>2179</v>
      </c>
      <c r="C510" s="69" t="s">
        <v>45</v>
      </c>
      <c r="D510" s="31">
        <f t="shared" si="43"/>
        <v>4</v>
      </c>
      <c r="E510" s="69" t="s">
        <v>80</v>
      </c>
      <c r="F510" s="31">
        <f t="shared" si="44"/>
        <v>4</v>
      </c>
      <c r="G510" s="188" t="s">
        <v>2194</v>
      </c>
      <c r="H510" s="138">
        <v>35</v>
      </c>
      <c r="I510" s="92">
        <f t="shared" si="42"/>
        <v>0.28770068225211376</v>
      </c>
      <c r="J510" s="95">
        <v>1.19152638280445E-2</v>
      </c>
      <c r="K510" s="137">
        <v>0.65727945684153299</v>
      </c>
      <c r="L510" s="137">
        <v>0.56348610067618299</v>
      </c>
      <c r="M510" s="137">
        <v>0.79796949108955795</v>
      </c>
      <c r="N510" s="136">
        <v>0</v>
      </c>
      <c r="O510" s="154">
        <v>43338</v>
      </c>
      <c r="P510" s="98">
        <f t="shared" si="45"/>
        <v>0</v>
      </c>
      <c r="Q510" s="113">
        <v>5.0999999999999996</v>
      </c>
      <c r="R510" s="113">
        <v>0</v>
      </c>
      <c r="S510" s="113">
        <v>0</v>
      </c>
      <c r="T510" s="114" t="s">
        <v>48</v>
      </c>
      <c r="U510" s="69" t="s">
        <v>2195</v>
      </c>
      <c r="V510" s="136" t="s">
        <v>2196</v>
      </c>
      <c r="W510" s="69">
        <v>39</v>
      </c>
      <c r="X510" s="195">
        <v>0</v>
      </c>
      <c r="Y510" s="195">
        <v>2</v>
      </c>
      <c r="Z510" s="69"/>
      <c r="AA510" t="s">
        <v>4564</v>
      </c>
      <c r="AB510" t="s">
        <v>4732</v>
      </c>
      <c r="AC510" t="s">
        <v>223</v>
      </c>
      <c r="AD510" t="s">
        <v>4620</v>
      </c>
      <c r="AE510" t="s">
        <v>223</v>
      </c>
      <c r="AF510" t="s">
        <v>4620</v>
      </c>
      <c r="AG510" t="s">
        <v>223</v>
      </c>
      <c r="AH510" t="s">
        <v>4620</v>
      </c>
      <c r="AI510" t="s">
        <v>4353</v>
      </c>
      <c r="AJ510" t="s">
        <v>4506</v>
      </c>
      <c r="AK510" t="s">
        <v>4519</v>
      </c>
      <c r="AL510" t="s">
        <v>4519</v>
      </c>
      <c r="AM510" t="s">
        <v>4528</v>
      </c>
      <c r="AN510" t="s">
        <v>4529</v>
      </c>
      <c r="AO510" s="134">
        <v>106.752161383285</v>
      </c>
      <c r="AP510" s="135">
        <v>119.281341107872</v>
      </c>
      <c r="AQ510">
        <v>0.34985422740524802</v>
      </c>
      <c r="AR510" s="136">
        <v>1.23615160349854</v>
      </c>
      <c r="AS510">
        <v>7.4577259475218698</v>
      </c>
    </row>
    <row r="511" spans="1:45" customFormat="1" ht="106">
      <c r="A511">
        <v>507</v>
      </c>
      <c r="B511" s="69" t="s">
        <v>1222</v>
      </c>
      <c r="C511" s="69" t="s">
        <v>45</v>
      </c>
      <c r="D511" s="31">
        <f t="shared" si="43"/>
        <v>4</v>
      </c>
      <c r="E511" s="69" t="s">
        <v>1223</v>
      </c>
      <c r="F511" s="31">
        <f t="shared" si="44"/>
        <v>8</v>
      </c>
      <c r="G511" s="147" t="s">
        <v>1432</v>
      </c>
      <c r="H511" s="138">
        <v>198</v>
      </c>
      <c r="I511" s="92">
        <f t="shared" si="42"/>
        <v>0.60312025758080001</v>
      </c>
      <c r="J511" s="95">
        <v>0.91708304808945096</v>
      </c>
      <c r="K511" s="137">
        <v>0.49268227667911202</v>
      </c>
      <c r="L511" s="137">
        <v>0.28915746707214901</v>
      </c>
      <c r="M511" s="137">
        <v>0.79796949108955795</v>
      </c>
      <c r="N511" s="136">
        <v>1</v>
      </c>
      <c r="O511" s="154">
        <v>43337</v>
      </c>
      <c r="P511" s="98">
        <f t="shared" si="45"/>
        <v>0</v>
      </c>
      <c r="Q511" s="111">
        <v>2.5499999999999998</v>
      </c>
      <c r="R511" s="111">
        <v>1.65</v>
      </c>
      <c r="S511" s="111">
        <v>1.87</v>
      </c>
      <c r="T511" s="112" t="s">
        <v>48</v>
      </c>
      <c r="U511" s="137" t="s">
        <v>4394</v>
      </c>
      <c r="V511" s="137" t="s">
        <v>1434</v>
      </c>
      <c r="W511" s="69">
        <v>119</v>
      </c>
      <c r="X511" s="147">
        <v>1</v>
      </c>
      <c r="Y511" s="147">
        <v>2</v>
      </c>
      <c r="AA511" t="s">
        <v>4930</v>
      </c>
      <c r="AB511" t="s">
        <v>51</v>
      </c>
      <c r="AC511" t="s">
        <v>4530</v>
      </c>
      <c r="AD511" t="s">
        <v>4782</v>
      </c>
      <c r="AE511" t="s">
        <v>4538</v>
      </c>
      <c r="AF511" t="s">
        <v>4812</v>
      </c>
      <c r="AG511" t="s">
        <v>223</v>
      </c>
      <c r="AH511" t="s">
        <v>4776</v>
      </c>
      <c r="AI511" t="s">
        <v>4353</v>
      </c>
      <c r="AJ511" t="s">
        <v>4506</v>
      </c>
      <c r="AK511" t="s">
        <v>4518</v>
      </c>
      <c r="AL511" t="s">
        <v>4519</v>
      </c>
      <c r="AM511" t="s">
        <v>4520</v>
      </c>
      <c r="AN511" t="s">
        <v>4521</v>
      </c>
      <c r="AO511" s="134">
        <v>106.620490620491</v>
      </c>
      <c r="AP511" s="135">
        <v>119.281341107872</v>
      </c>
      <c r="AQ511">
        <v>0.34985422740524802</v>
      </c>
      <c r="AR511" s="136">
        <v>1.23615160349854</v>
      </c>
      <c r="AS511">
        <v>7.4577259475218698</v>
      </c>
    </row>
    <row r="512" spans="1:45" customFormat="1" ht="76">
      <c r="A512" s="65">
        <v>708</v>
      </c>
      <c r="B512" s="69" t="s">
        <v>1913</v>
      </c>
      <c r="C512" s="69" t="s">
        <v>45</v>
      </c>
      <c r="D512" s="31">
        <f t="shared" si="43"/>
        <v>4</v>
      </c>
      <c r="E512" s="69" t="s">
        <v>46</v>
      </c>
      <c r="F512" s="31">
        <f t="shared" si="44"/>
        <v>6</v>
      </c>
      <c r="G512" s="188" t="s">
        <v>1946</v>
      </c>
      <c r="H512" s="138">
        <v>140</v>
      </c>
      <c r="I512" s="92">
        <f t="shared" si="42"/>
        <v>0.82544905636824306</v>
      </c>
      <c r="J512" s="95">
        <v>0.96907993091830402</v>
      </c>
      <c r="K512" s="137">
        <v>0.42576497009094499</v>
      </c>
      <c r="L512" s="137">
        <v>0.68181818181818199</v>
      </c>
      <c r="M512" s="137">
        <v>4.1685152500090097E-2</v>
      </c>
      <c r="N512" s="136">
        <v>0</v>
      </c>
      <c r="O512" s="154">
        <v>43336</v>
      </c>
      <c r="P512" s="98">
        <f t="shared" si="45"/>
        <v>2</v>
      </c>
      <c r="Q512" s="111">
        <v>0</v>
      </c>
      <c r="R512" s="111">
        <v>0</v>
      </c>
      <c r="S512" s="111">
        <v>0</v>
      </c>
      <c r="T512" s="112" t="s">
        <v>64</v>
      </c>
      <c r="U512" s="136" t="s">
        <v>1947</v>
      </c>
      <c r="V512" s="137" t="s">
        <v>1948</v>
      </c>
      <c r="W512" s="69">
        <v>45</v>
      </c>
      <c r="X512" s="195">
        <v>3</v>
      </c>
      <c r="Y512" s="195">
        <v>45</v>
      </c>
      <c r="Z512" s="69"/>
      <c r="AA512" t="s">
        <v>4564</v>
      </c>
      <c r="AB512" t="s">
        <v>71</v>
      </c>
      <c r="AC512" t="s">
        <v>4353</v>
      </c>
      <c r="AD512" t="s">
        <v>4506</v>
      </c>
      <c r="AE512" t="s">
        <v>4353</v>
      </c>
      <c r="AF512" t="s">
        <v>4506</v>
      </c>
      <c r="AG512" t="s">
        <v>223</v>
      </c>
      <c r="AH512" t="s">
        <v>4554</v>
      </c>
      <c r="AI512" t="s">
        <v>4353</v>
      </c>
      <c r="AJ512" t="s">
        <v>4506</v>
      </c>
      <c r="AK512" t="s">
        <v>4519</v>
      </c>
      <c r="AL512" t="s">
        <v>4519</v>
      </c>
      <c r="AM512" t="s">
        <v>4510</v>
      </c>
      <c r="AN512" t="s">
        <v>4550</v>
      </c>
      <c r="AO512" s="134">
        <v>106.57225433526</v>
      </c>
      <c r="AP512" s="135">
        <v>119.45374449339199</v>
      </c>
      <c r="AQ512">
        <v>0.34361233480176201</v>
      </c>
      <c r="AR512" s="136">
        <v>1.23641703377386</v>
      </c>
      <c r="AS512">
        <v>7.4654919236417001</v>
      </c>
    </row>
    <row r="513" spans="1:45" customFormat="1" ht="196">
      <c r="A513">
        <v>995</v>
      </c>
      <c r="B513" s="69" t="s">
        <v>2638</v>
      </c>
      <c r="C513" s="69" t="s">
        <v>45</v>
      </c>
      <c r="D513" s="31">
        <f t="shared" si="43"/>
        <v>4</v>
      </c>
      <c r="E513" s="69" t="s">
        <v>46</v>
      </c>
      <c r="F513" s="31">
        <f t="shared" si="44"/>
        <v>6</v>
      </c>
      <c r="G513" s="203" t="s">
        <v>2695</v>
      </c>
      <c r="H513" s="138">
        <v>312</v>
      </c>
      <c r="I513" s="92">
        <f t="shared" si="42"/>
        <v>0.83541069996587047</v>
      </c>
      <c r="J513" s="95">
        <v>0.98900321811355896</v>
      </c>
      <c r="K513" s="137">
        <v>0.61956949249917204</v>
      </c>
      <c r="L513" s="137">
        <v>0.68181818181818199</v>
      </c>
      <c r="M513" s="137">
        <v>0.526196458520657</v>
      </c>
      <c r="N513" s="136">
        <v>1</v>
      </c>
      <c r="O513" s="157">
        <v>43335</v>
      </c>
      <c r="P513" s="98">
        <f t="shared" si="45"/>
        <v>1</v>
      </c>
      <c r="Q513" s="124">
        <v>5.0999999999999996</v>
      </c>
      <c r="R513" s="124">
        <v>1.65</v>
      </c>
      <c r="S513" s="124">
        <v>0</v>
      </c>
      <c r="T513" s="125" t="s">
        <v>73</v>
      </c>
      <c r="U513" s="209" t="s">
        <v>2696</v>
      </c>
      <c r="V513" s="172" t="s">
        <v>2697</v>
      </c>
      <c r="W513" s="69">
        <v>49</v>
      </c>
      <c r="X513" s="195">
        <v>1</v>
      </c>
      <c r="Y513" s="195">
        <v>11</v>
      </c>
      <c r="Z513" s="69"/>
      <c r="AA513" t="s">
        <v>4889</v>
      </c>
      <c r="AB513" t="s">
        <v>51</v>
      </c>
      <c r="AC513" t="s">
        <v>4353</v>
      </c>
      <c r="AD513" t="s">
        <v>4506</v>
      </c>
      <c r="AE513" t="s">
        <v>223</v>
      </c>
      <c r="AF513" t="s">
        <v>4554</v>
      </c>
      <c r="AG513" t="s">
        <v>4353</v>
      </c>
      <c r="AH513" t="s">
        <v>4506</v>
      </c>
      <c r="AI513" t="s">
        <v>4353</v>
      </c>
      <c r="AJ513" t="s">
        <v>4506</v>
      </c>
      <c r="AK513" t="s">
        <v>4519</v>
      </c>
      <c r="AL513" t="s">
        <v>4519</v>
      </c>
      <c r="AM513" t="s">
        <v>4528</v>
      </c>
      <c r="AN513" t="s">
        <v>4529</v>
      </c>
      <c r="AO513" s="134">
        <v>106.27496382055</v>
      </c>
      <c r="AP513" s="135">
        <v>119.45374449339199</v>
      </c>
      <c r="AQ513">
        <v>0.34361233480176201</v>
      </c>
      <c r="AR513" s="136">
        <v>1.23641703377386</v>
      </c>
      <c r="AS513">
        <v>7.4654919236417001</v>
      </c>
    </row>
    <row r="514" spans="1:45" customFormat="1" ht="136">
      <c r="A514" s="65">
        <v>804</v>
      </c>
      <c r="B514" s="69" t="s">
        <v>2179</v>
      </c>
      <c r="C514" s="69" t="s">
        <v>45</v>
      </c>
      <c r="D514" s="31">
        <f t="shared" si="43"/>
        <v>4</v>
      </c>
      <c r="E514" s="69" t="s">
        <v>80</v>
      </c>
      <c r="F514" s="31">
        <f t="shared" si="44"/>
        <v>4</v>
      </c>
      <c r="G514" s="189" t="s">
        <v>305</v>
      </c>
      <c r="H514" s="138">
        <v>114</v>
      </c>
      <c r="I514" s="92">
        <f t="shared" si="42"/>
        <v>0.41531368271747104</v>
      </c>
      <c r="J514" s="95">
        <v>5.6273654349421297E-3</v>
      </c>
      <c r="K514" s="137">
        <v>0.81418779643582295</v>
      </c>
      <c r="L514" s="137">
        <v>0.82499999999999996</v>
      </c>
      <c r="M514" s="137">
        <v>0.79796949108955795</v>
      </c>
      <c r="N514" s="136">
        <v>1</v>
      </c>
      <c r="O514" s="199">
        <v>43334</v>
      </c>
      <c r="P514" s="98">
        <f t="shared" si="45"/>
        <v>0</v>
      </c>
      <c r="Q514" s="113">
        <v>2.5499999999999998</v>
      </c>
      <c r="R514" s="113">
        <v>0</v>
      </c>
      <c r="S514" s="113">
        <v>0</v>
      </c>
      <c r="T514" s="114" t="s">
        <v>48</v>
      </c>
      <c r="U514" s="136" t="s">
        <v>2197</v>
      </c>
      <c r="V514" s="136" t="s">
        <v>2198</v>
      </c>
      <c r="W514" s="69">
        <v>192</v>
      </c>
      <c r="X514" s="195">
        <v>0</v>
      </c>
      <c r="Y514" s="195">
        <v>2</v>
      </c>
      <c r="Z514" s="69"/>
      <c r="AA514" t="s">
        <v>4543</v>
      </c>
      <c r="AB514" t="s">
        <v>51</v>
      </c>
      <c r="AC514" t="s">
        <v>4513</v>
      </c>
      <c r="AD514" t="s">
        <v>4750</v>
      </c>
      <c r="AE514" t="s">
        <v>4931</v>
      </c>
      <c r="AF514" t="s">
        <v>4838</v>
      </c>
      <c r="AG514" t="s">
        <v>4515</v>
      </c>
      <c r="AH514" t="s">
        <v>4689</v>
      </c>
      <c r="AI514" t="s">
        <v>4515</v>
      </c>
      <c r="AJ514" t="s">
        <v>4689</v>
      </c>
      <c r="AK514" t="s">
        <v>4518</v>
      </c>
      <c r="AL514" t="s">
        <v>4519</v>
      </c>
      <c r="AM514" t="s">
        <v>4528</v>
      </c>
      <c r="AN514" t="s">
        <v>4624</v>
      </c>
      <c r="AO514" s="134">
        <v>106.263768115942</v>
      </c>
      <c r="AP514" s="135">
        <v>119.279411764706</v>
      </c>
      <c r="AQ514">
        <v>0.34264705882352903</v>
      </c>
      <c r="AR514" s="136">
        <v>1.2367647058823501</v>
      </c>
      <c r="AS514">
        <v>7.4720588235294096</v>
      </c>
    </row>
    <row r="515" spans="1:45" customFormat="1" ht="61">
      <c r="A515">
        <v>334</v>
      </c>
      <c r="B515" s="69" t="s">
        <v>589</v>
      </c>
      <c r="C515" s="69" t="s">
        <v>45</v>
      </c>
      <c r="D515" s="31">
        <f t="shared" si="43"/>
        <v>4</v>
      </c>
      <c r="E515" s="69" t="s">
        <v>80</v>
      </c>
      <c r="F515" s="31">
        <f t="shared" si="44"/>
        <v>4</v>
      </c>
      <c r="G515" s="137" t="s">
        <v>305</v>
      </c>
      <c r="H515" s="138">
        <v>99</v>
      </c>
      <c r="I515" s="92">
        <f t="shared" si="42"/>
        <v>0.63483107047121745</v>
      </c>
      <c r="J515" s="95">
        <v>0.444662140942435</v>
      </c>
      <c r="K515" s="137">
        <v>0.74381421079630905</v>
      </c>
      <c r="L515" s="137">
        <v>0.82499999999999996</v>
      </c>
      <c r="M515" s="137">
        <v>0.62203552699077302</v>
      </c>
      <c r="N515" s="136">
        <v>1</v>
      </c>
      <c r="O515" s="154">
        <v>43333</v>
      </c>
      <c r="P515" s="98">
        <f t="shared" si="45"/>
        <v>0</v>
      </c>
      <c r="Q515" s="111">
        <v>2.5499999999999998</v>
      </c>
      <c r="R515" s="111">
        <v>0</v>
      </c>
      <c r="S515" s="111">
        <v>0</v>
      </c>
      <c r="T515" s="112" t="s">
        <v>48</v>
      </c>
      <c r="U515" s="137" t="s">
        <v>981</v>
      </c>
      <c r="V515" s="137" t="s">
        <v>980</v>
      </c>
      <c r="W515" s="69">
        <v>36</v>
      </c>
      <c r="X515" s="69">
        <v>2</v>
      </c>
      <c r="Y515" s="69">
        <v>7</v>
      </c>
      <c r="AA515" t="s">
        <v>4522</v>
      </c>
      <c r="AB515" t="s">
        <v>87</v>
      </c>
      <c r="AC515" t="s">
        <v>4515</v>
      </c>
      <c r="AD515" t="s">
        <v>4646</v>
      </c>
      <c r="AE515" t="s">
        <v>223</v>
      </c>
      <c r="AF515" t="s">
        <v>4737</v>
      </c>
      <c r="AG515" t="s">
        <v>4353</v>
      </c>
      <c r="AH515" t="s">
        <v>4506</v>
      </c>
      <c r="AI515" t="s">
        <v>4353</v>
      </c>
      <c r="AJ515" t="s">
        <v>4506</v>
      </c>
      <c r="AK515" t="s">
        <v>4518</v>
      </c>
      <c r="AL515" t="s">
        <v>4519</v>
      </c>
      <c r="AM515" t="s">
        <v>4510</v>
      </c>
      <c r="AN515" t="s">
        <v>4523</v>
      </c>
      <c r="AO515" s="134">
        <v>106.339622641509</v>
      </c>
      <c r="AP515" s="135">
        <v>119.304860088365</v>
      </c>
      <c r="AQ515">
        <v>0.34315169366715798</v>
      </c>
      <c r="AR515" s="136">
        <v>1.2356406480117801</v>
      </c>
      <c r="AS515">
        <v>7.4742268041237097</v>
      </c>
    </row>
    <row r="516" spans="1:45" customFormat="1" ht="31">
      <c r="A516" s="65">
        <v>333</v>
      </c>
      <c r="B516" s="69" t="s">
        <v>589</v>
      </c>
      <c r="C516" s="69" t="s">
        <v>45</v>
      </c>
      <c r="D516" s="31">
        <f t="shared" si="43"/>
        <v>4</v>
      </c>
      <c r="E516" s="69" t="s">
        <v>80</v>
      </c>
      <c r="F516" s="31">
        <f t="shared" si="44"/>
        <v>4</v>
      </c>
      <c r="G516" s="137" t="s">
        <v>305</v>
      </c>
      <c r="H516" s="138">
        <v>54</v>
      </c>
      <c r="I516" s="92">
        <f t="shared" ref="I516:I579" si="46">(J516+L516)/2</f>
        <v>0.41327859431947145</v>
      </c>
      <c r="J516" s="95">
        <v>1.5571886389429399E-3</v>
      </c>
      <c r="K516" s="137">
        <v>0.74381421079630905</v>
      </c>
      <c r="L516" s="137">
        <v>0.82499999999999996</v>
      </c>
      <c r="M516" s="137">
        <v>0.62203552699077302</v>
      </c>
      <c r="N516" s="136">
        <v>1</v>
      </c>
      <c r="O516" s="154">
        <v>43333</v>
      </c>
      <c r="P516" s="98">
        <f t="shared" si="45"/>
        <v>0</v>
      </c>
      <c r="Q516" s="111">
        <v>2.5499999999999998</v>
      </c>
      <c r="R516" s="111">
        <v>3.3</v>
      </c>
      <c r="S516" s="111">
        <v>0</v>
      </c>
      <c r="T516" s="112" t="s">
        <v>48</v>
      </c>
      <c r="U516" s="137" t="s">
        <v>979</v>
      </c>
      <c r="V516" s="137" t="s">
        <v>980</v>
      </c>
      <c r="W516" s="69">
        <v>36</v>
      </c>
      <c r="X516" s="69">
        <v>2</v>
      </c>
      <c r="Y516" s="69">
        <v>7</v>
      </c>
      <c r="AA516" t="s">
        <v>4522</v>
      </c>
      <c r="AB516" t="s">
        <v>87</v>
      </c>
      <c r="AC516" t="s">
        <v>4515</v>
      </c>
      <c r="AD516" t="s">
        <v>4646</v>
      </c>
      <c r="AE516" t="s">
        <v>223</v>
      </c>
      <c r="AF516" t="s">
        <v>4737</v>
      </c>
      <c r="AG516" t="s">
        <v>4353</v>
      </c>
      <c r="AH516" t="s">
        <v>4506</v>
      </c>
      <c r="AI516" t="s">
        <v>4353</v>
      </c>
      <c r="AJ516" t="s">
        <v>4506</v>
      </c>
      <c r="AK516" t="s">
        <v>4518</v>
      </c>
      <c r="AL516" t="s">
        <v>4519</v>
      </c>
      <c r="AM516" t="s">
        <v>4520</v>
      </c>
      <c r="AN516" t="s">
        <v>4521</v>
      </c>
      <c r="AO516" s="134">
        <v>106.350290697674</v>
      </c>
      <c r="AP516" s="135">
        <v>119.304860088365</v>
      </c>
      <c r="AQ516">
        <v>0.34315169366715798</v>
      </c>
      <c r="AR516" s="136">
        <v>1.2356406480117801</v>
      </c>
      <c r="AS516">
        <v>7.4742268041237097</v>
      </c>
    </row>
    <row r="517" spans="1:45" customFormat="1" ht="46">
      <c r="A517">
        <v>335</v>
      </c>
      <c r="B517" s="69" t="s">
        <v>589</v>
      </c>
      <c r="C517" s="69" t="s">
        <v>45</v>
      </c>
      <c r="D517" s="31">
        <f t="shared" si="43"/>
        <v>4</v>
      </c>
      <c r="E517" s="69" t="s">
        <v>80</v>
      </c>
      <c r="F517" s="31">
        <f t="shared" si="44"/>
        <v>4</v>
      </c>
      <c r="G517" s="137" t="s">
        <v>982</v>
      </c>
      <c r="H517" s="138">
        <v>79</v>
      </c>
      <c r="I517" s="92">
        <f t="shared" si="46"/>
        <v>0.375388150347715</v>
      </c>
      <c r="J517" s="95">
        <v>7.7630069542999902E-4</v>
      </c>
      <c r="K517" s="137">
        <v>0.69881421079630901</v>
      </c>
      <c r="L517" s="137">
        <v>0.75</v>
      </c>
      <c r="M517" s="137">
        <v>0.62203552699077302</v>
      </c>
      <c r="N517" s="136">
        <v>1</v>
      </c>
      <c r="O517" s="154">
        <v>43333</v>
      </c>
      <c r="P517" s="98">
        <f t="shared" si="45"/>
        <v>0</v>
      </c>
      <c r="Q517" s="111">
        <v>12.75</v>
      </c>
      <c r="R517" s="111">
        <v>1.65</v>
      </c>
      <c r="S517" s="111">
        <v>5.61</v>
      </c>
      <c r="T517" s="112" t="s">
        <v>48</v>
      </c>
      <c r="U517" s="137" t="s">
        <v>983</v>
      </c>
      <c r="V517" s="137" t="s">
        <v>980</v>
      </c>
      <c r="W517" s="69">
        <v>36</v>
      </c>
      <c r="X517" s="69">
        <v>2</v>
      </c>
      <c r="Y517" s="69">
        <v>7</v>
      </c>
      <c r="AA517" t="s">
        <v>4564</v>
      </c>
      <c r="AB517" t="s">
        <v>87</v>
      </c>
      <c r="AC517" t="s">
        <v>4515</v>
      </c>
      <c r="AD517" t="s">
        <v>4646</v>
      </c>
      <c r="AE517" t="s">
        <v>223</v>
      </c>
      <c r="AF517" t="s">
        <v>4737</v>
      </c>
      <c r="AG517" t="s">
        <v>4353</v>
      </c>
      <c r="AH517" t="s">
        <v>4506</v>
      </c>
      <c r="AI517" t="s">
        <v>4353</v>
      </c>
      <c r="AJ517" t="s">
        <v>4506</v>
      </c>
      <c r="AK517" t="s">
        <v>4518</v>
      </c>
      <c r="AL517" t="s">
        <v>4552</v>
      </c>
      <c r="AM517" t="s">
        <v>4520</v>
      </c>
      <c r="AN517" t="s">
        <v>4621</v>
      </c>
      <c r="AO517" s="134">
        <v>106.390101892285</v>
      </c>
      <c r="AP517" s="135">
        <v>119.304860088365</v>
      </c>
      <c r="AQ517">
        <v>0.34315169366715798</v>
      </c>
      <c r="AR517" s="136">
        <v>1.2356406480117801</v>
      </c>
      <c r="AS517">
        <v>7.4742268041237097</v>
      </c>
    </row>
    <row r="518" spans="1:45" customFormat="1" ht="61">
      <c r="A518">
        <v>710</v>
      </c>
      <c r="B518" s="69" t="s">
        <v>1913</v>
      </c>
      <c r="C518" s="69" t="s">
        <v>45</v>
      </c>
      <c r="D518" s="31">
        <f t="shared" si="43"/>
        <v>4</v>
      </c>
      <c r="E518" s="69" t="s">
        <v>46</v>
      </c>
      <c r="F518" s="31">
        <f t="shared" si="44"/>
        <v>6</v>
      </c>
      <c r="G518" s="137" t="s">
        <v>1952</v>
      </c>
      <c r="H518" s="138">
        <v>50</v>
      </c>
      <c r="I518" s="92">
        <f t="shared" si="46"/>
        <v>0.68892639419905644</v>
      </c>
      <c r="J518" s="95">
        <v>0.62785278839811298</v>
      </c>
      <c r="K518" s="137">
        <v>0.56428571428571395</v>
      </c>
      <c r="L518" s="137">
        <v>0.75</v>
      </c>
      <c r="M518" s="137">
        <v>0.28571428571428598</v>
      </c>
      <c r="N518" s="136">
        <v>0</v>
      </c>
      <c r="O518" s="154">
        <v>43332</v>
      </c>
      <c r="P518" s="98">
        <f t="shared" si="45"/>
        <v>1</v>
      </c>
      <c r="Q518" s="113">
        <v>0</v>
      </c>
      <c r="R518" s="113">
        <v>1.65</v>
      </c>
      <c r="S518" s="113">
        <v>0</v>
      </c>
      <c r="T518" s="114" t="s">
        <v>73</v>
      </c>
      <c r="U518" s="137" t="s">
        <v>1953</v>
      </c>
      <c r="V518" s="137" t="s">
        <v>1954</v>
      </c>
      <c r="W518" s="69">
        <v>42</v>
      </c>
      <c r="X518" s="69">
        <v>3</v>
      </c>
      <c r="Y518" s="69">
        <v>25</v>
      </c>
      <c r="Z518" s="69"/>
      <c r="AA518" t="s">
        <v>4543</v>
      </c>
      <c r="AB518" t="s">
        <v>67</v>
      </c>
      <c r="AC518" t="s">
        <v>4353</v>
      </c>
      <c r="AD518" t="s">
        <v>4506</v>
      </c>
      <c r="AE518" t="s">
        <v>4353</v>
      </c>
      <c r="AF518" t="s">
        <v>4506</v>
      </c>
      <c r="AG518" t="s">
        <v>4353</v>
      </c>
      <c r="AH518" t="s">
        <v>4506</v>
      </c>
      <c r="AI518" t="s">
        <v>4353</v>
      </c>
      <c r="AJ518" t="s">
        <v>4506</v>
      </c>
      <c r="AK518" t="s">
        <v>4519</v>
      </c>
      <c r="AL518" t="s">
        <v>4519</v>
      </c>
      <c r="AM518" t="s">
        <v>4528</v>
      </c>
      <c r="AN518" t="s">
        <v>4529</v>
      </c>
      <c r="AO518" s="134">
        <v>106.47667638484</v>
      </c>
      <c r="AP518" s="135">
        <v>119.304860088365</v>
      </c>
      <c r="AQ518">
        <v>0.34315169366715798</v>
      </c>
      <c r="AR518" s="136">
        <v>1.2356406480117801</v>
      </c>
      <c r="AS518">
        <v>7.4742268041237097</v>
      </c>
    </row>
    <row r="519" spans="1:45" customFormat="1" ht="46">
      <c r="A519" s="65">
        <v>709</v>
      </c>
      <c r="B519" s="69" t="s">
        <v>1913</v>
      </c>
      <c r="C519" s="69" t="s">
        <v>45</v>
      </c>
      <c r="D519" s="31">
        <f t="shared" si="43"/>
        <v>4</v>
      </c>
      <c r="E519" s="69" t="s">
        <v>46</v>
      </c>
      <c r="F519" s="31">
        <f t="shared" si="44"/>
        <v>6</v>
      </c>
      <c r="G519" s="188" t="s">
        <v>1949</v>
      </c>
      <c r="H519" s="138">
        <v>47</v>
      </c>
      <c r="I519" s="92">
        <f t="shared" si="46"/>
        <v>0.47206729656164348</v>
      </c>
      <c r="J519" s="95">
        <v>0.19413459312328701</v>
      </c>
      <c r="K519" s="137">
        <v>0.73571428571428599</v>
      </c>
      <c r="L519" s="137">
        <v>0.75</v>
      </c>
      <c r="M519" s="137">
        <v>0.71428571428571397</v>
      </c>
      <c r="N519" s="136">
        <v>0</v>
      </c>
      <c r="O519" s="154">
        <v>43332</v>
      </c>
      <c r="P519" s="98">
        <f t="shared" si="45"/>
        <v>2</v>
      </c>
      <c r="Q519" s="111">
        <v>0</v>
      </c>
      <c r="R519" s="111">
        <v>1.65</v>
      </c>
      <c r="S519" s="111">
        <v>0</v>
      </c>
      <c r="T519" s="112" t="s">
        <v>64</v>
      </c>
      <c r="U519" s="147" t="s">
        <v>1950</v>
      </c>
      <c r="V519" s="137" t="s">
        <v>1951</v>
      </c>
      <c r="W519" s="69">
        <v>66</v>
      </c>
      <c r="X519" s="195">
        <v>1</v>
      </c>
      <c r="Y519" s="195">
        <v>4</v>
      </c>
      <c r="Z519" s="69"/>
      <c r="AA519" t="s">
        <v>4564</v>
      </c>
      <c r="AB519" t="s">
        <v>4566</v>
      </c>
      <c r="AC519" t="s">
        <v>4353</v>
      </c>
      <c r="AD519" t="s">
        <v>4506</v>
      </c>
      <c r="AE519" t="s">
        <v>223</v>
      </c>
      <c r="AF519" t="s">
        <v>4734</v>
      </c>
      <c r="AG519" t="s">
        <v>4353</v>
      </c>
      <c r="AH519" t="s">
        <v>4506</v>
      </c>
      <c r="AI519" t="s">
        <v>223</v>
      </c>
      <c r="AJ519" t="s">
        <v>4734</v>
      </c>
      <c r="AK519" t="s">
        <v>4519</v>
      </c>
      <c r="AL519" t="s">
        <v>4519</v>
      </c>
      <c r="AM519" t="s">
        <v>4528</v>
      </c>
      <c r="AN519" t="s">
        <v>4529</v>
      </c>
      <c r="AO519" s="134">
        <v>106.559124087591</v>
      </c>
      <c r="AP519" s="135">
        <v>119.304860088365</v>
      </c>
      <c r="AQ519">
        <v>0.34315169366715798</v>
      </c>
      <c r="AR519" s="136">
        <v>1.2356406480117801</v>
      </c>
      <c r="AS519">
        <v>7.4742268041237097</v>
      </c>
    </row>
    <row r="520" spans="1:45" customFormat="1" ht="166">
      <c r="A520">
        <v>79</v>
      </c>
      <c r="B520" s="69" t="s">
        <v>217</v>
      </c>
      <c r="C520" s="69" t="s">
        <v>59</v>
      </c>
      <c r="D520" s="31">
        <f t="shared" si="43"/>
        <v>5</v>
      </c>
      <c r="E520" s="69" t="s">
        <v>46</v>
      </c>
      <c r="F520" s="31">
        <f t="shared" si="44"/>
        <v>6</v>
      </c>
      <c r="G520" s="137" t="s">
        <v>283</v>
      </c>
      <c r="H520" s="138">
        <v>263</v>
      </c>
      <c r="I520" s="92">
        <f t="shared" si="46"/>
        <v>0.34090986275230933</v>
      </c>
      <c r="J520" s="95">
        <v>1.5436864366780201E-6</v>
      </c>
      <c r="K520" s="137">
        <v>0.71011657722983001</v>
      </c>
      <c r="L520" s="137">
        <v>0.68181818181818199</v>
      </c>
      <c r="M520" s="137">
        <v>0.75256417034730305</v>
      </c>
      <c r="N520" s="136">
        <v>1</v>
      </c>
      <c r="O520" s="154">
        <v>43331</v>
      </c>
      <c r="P520" s="98">
        <f t="shared" si="45"/>
        <v>0</v>
      </c>
      <c r="Q520" s="111">
        <v>0</v>
      </c>
      <c r="R520" s="111">
        <v>1.65</v>
      </c>
      <c r="S520" s="111">
        <v>0</v>
      </c>
      <c r="T520" s="112" t="s">
        <v>48</v>
      </c>
      <c r="U520" s="137" t="s">
        <v>284</v>
      </c>
      <c r="V520" s="137" t="s">
        <v>285</v>
      </c>
      <c r="W520" s="69">
        <v>238</v>
      </c>
      <c r="X520" s="69">
        <v>2</v>
      </c>
      <c r="Y520" s="69">
        <v>3</v>
      </c>
      <c r="AA520" t="s">
        <v>4564</v>
      </c>
      <c r="AB520" t="s">
        <v>51</v>
      </c>
      <c r="AC520" t="s">
        <v>4515</v>
      </c>
      <c r="AD520" t="s">
        <v>4702</v>
      </c>
      <c r="AE520" t="s">
        <v>4513</v>
      </c>
      <c r="AF520" t="s">
        <v>4799</v>
      </c>
      <c r="AG520" t="s">
        <v>4515</v>
      </c>
      <c r="AH520" t="s">
        <v>4702</v>
      </c>
      <c r="AI520" t="s">
        <v>4353</v>
      </c>
      <c r="AJ520" t="s">
        <v>4506</v>
      </c>
      <c r="AK520" t="s">
        <v>4519</v>
      </c>
      <c r="AL520" t="s">
        <v>4552</v>
      </c>
      <c r="AM520" t="s">
        <v>4715</v>
      </c>
      <c r="AN520" t="s">
        <v>4897</v>
      </c>
      <c r="AO520" s="134">
        <v>106.330409356725</v>
      </c>
      <c r="AP520" s="135">
        <v>119.304860088365</v>
      </c>
      <c r="AQ520">
        <v>0.34315169366715798</v>
      </c>
      <c r="AR520" s="136">
        <v>1.2356406480117801</v>
      </c>
      <c r="AS520">
        <v>7.4742268041237097</v>
      </c>
    </row>
    <row r="521" spans="1:45" customFormat="1" ht="61">
      <c r="A521">
        <v>731</v>
      </c>
      <c r="B521" s="69" t="s">
        <v>1989</v>
      </c>
      <c r="C521" s="69" t="s">
        <v>45</v>
      </c>
      <c r="D521" s="31">
        <f t="shared" si="43"/>
        <v>4</v>
      </c>
      <c r="E521" s="69" t="s">
        <v>80</v>
      </c>
      <c r="F521" s="31">
        <f t="shared" si="44"/>
        <v>4</v>
      </c>
      <c r="G521" s="209" t="s">
        <v>944</v>
      </c>
      <c r="H521" s="138">
        <v>113</v>
      </c>
      <c r="I521" s="92">
        <f t="shared" si="46"/>
        <v>0.41250000761442451</v>
      </c>
      <c r="J521" s="95">
        <v>1.5228849070680901E-8</v>
      </c>
      <c r="K521" s="137">
        <v>0.76722468700001201</v>
      </c>
      <c r="L521" s="137">
        <v>0.82499999999999996</v>
      </c>
      <c r="M521" s="137">
        <v>0.68056171750003003</v>
      </c>
      <c r="N521" s="136">
        <v>1</v>
      </c>
      <c r="O521" s="154">
        <v>43331</v>
      </c>
      <c r="P521" s="98">
        <f t="shared" si="45"/>
        <v>1</v>
      </c>
      <c r="Q521" s="111">
        <v>2.5499999999999998</v>
      </c>
      <c r="R521" s="111">
        <v>4.95</v>
      </c>
      <c r="S521" s="111">
        <v>0</v>
      </c>
      <c r="T521" s="112" t="s">
        <v>73</v>
      </c>
      <c r="U521" s="188" t="s">
        <v>2005</v>
      </c>
      <c r="V521" s="137" t="s">
        <v>2006</v>
      </c>
      <c r="W521" s="69">
        <v>73</v>
      </c>
      <c r="X521" s="188">
        <v>3</v>
      </c>
      <c r="Y521" s="188">
        <v>5</v>
      </c>
      <c r="Z521" s="69"/>
      <c r="AA521" t="s">
        <v>4628</v>
      </c>
      <c r="AB521" t="s">
        <v>51</v>
      </c>
      <c r="AC521" t="s">
        <v>4353</v>
      </c>
      <c r="AD521" t="s">
        <v>4506</v>
      </c>
      <c r="AE521" t="s">
        <v>4513</v>
      </c>
      <c r="AF521" t="s">
        <v>4686</v>
      </c>
      <c r="AG521" t="s">
        <v>223</v>
      </c>
      <c r="AH521" t="s">
        <v>4685</v>
      </c>
      <c r="AI521" t="s">
        <v>4353</v>
      </c>
      <c r="AJ521" t="s">
        <v>4506</v>
      </c>
      <c r="AK521" t="s">
        <v>4518</v>
      </c>
      <c r="AL521" t="s">
        <v>4552</v>
      </c>
      <c r="AM521" t="s">
        <v>4520</v>
      </c>
      <c r="AN521" t="s">
        <v>4621</v>
      </c>
      <c r="AO521" s="134">
        <v>106.32064421669099</v>
      </c>
      <c r="AP521" s="135">
        <v>119.304860088365</v>
      </c>
      <c r="AQ521">
        <v>0.34315169366715798</v>
      </c>
      <c r="AR521" s="136">
        <v>1.2356406480117801</v>
      </c>
      <c r="AS521">
        <v>7.4742268041237097</v>
      </c>
    </row>
    <row r="522" spans="1:45" customFormat="1" ht="46">
      <c r="A522" s="65">
        <v>336</v>
      </c>
      <c r="B522" s="69" t="s">
        <v>589</v>
      </c>
      <c r="C522" s="69" t="s">
        <v>45</v>
      </c>
      <c r="D522" s="31">
        <f t="shared" si="43"/>
        <v>4</v>
      </c>
      <c r="E522" s="69" t="s">
        <v>80</v>
      </c>
      <c r="F522" s="31">
        <f t="shared" si="44"/>
        <v>4</v>
      </c>
      <c r="G522" s="169" t="s">
        <v>159</v>
      </c>
      <c r="H522" s="138">
        <v>68</v>
      </c>
      <c r="I522" s="92">
        <f t="shared" si="46"/>
        <v>0.41252682183640332</v>
      </c>
      <c r="J522" s="95">
        <v>5.3643672806691397E-5</v>
      </c>
      <c r="K522" s="137">
        <v>0.75502915755524702</v>
      </c>
      <c r="L522" s="137">
        <v>0.82499999999999996</v>
      </c>
      <c r="M522" s="137">
        <v>0.65007289388811795</v>
      </c>
      <c r="N522" s="136">
        <v>1</v>
      </c>
      <c r="O522" s="154">
        <v>43330</v>
      </c>
      <c r="P522" s="98">
        <f t="shared" si="45"/>
        <v>0</v>
      </c>
      <c r="Q522" s="111">
        <v>2.5499999999999998</v>
      </c>
      <c r="R522" s="111">
        <v>0</v>
      </c>
      <c r="S522" s="111">
        <v>0</v>
      </c>
      <c r="T522" s="112" t="s">
        <v>48</v>
      </c>
      <c r="U522" s="188" t="s">
        <v>984</v>
      </c>
      <c r="V522" s="137" t="s">
        <v>985</v>
      </c>
      <c r="W522" s="69">
        <v>53</v>
      </c>
      <c r="X522" s="195">
        <v>3</v>
      </c>
      <c r="Y522" s="195">
        <v>6</v>
      </c>
      <c r="AA522" t="s">
        <v>4522</v>
      </c>
      <c r="AB522" t="s">
        <v>87</v>
      </c>
      <c r="AC522" t="s">
        <v>4515</v>
      </c>
      <c r="AD522" t="s">
        <v>4544</v>
      </c>
      <c r="AE522" t="s">
        <v>223</v>
      </c>
      <c r="AF522" t="s">
        <v>4721</v>
      </c>
      <c r="AG522" t="s">
        <v>4353</v>
      </c>
      <c r="AH522" t="s">
        <v>4506</v>
      </c>
      <c r="AI522" t="s">
        <v>223</v>
      </c>
      <c r="AJ522" t="s">
        <v>4721</v>
      </c>
      <c r="AK522" t="s">
        <v>4518</v>
      </c>
      <c r="AL522" t="s">
        <v>4519</v>
      </c>
      <c r="AM522" t="s">
        <v>4510</v>
      </c>
      <c r="AN522" t="s">
        <v>4523</v>
      </c>
      <c r="AO522" s="134">
        <v>106.37683284457501</v>
      </c>
      <c r="AP522" s="135">
        <v>119.304860088365</v>
      </c>
      <c r="AQ522">
        <v>0.34315169366715798</v>
      </c>
      <c r="AR522" s="136">
        <v>1.2356406480117801</v>
      </c>
      <c r="AS522">
        <v>7.4742268041237097</v>
      </c>
    </row>
    <row r="523" spans="1:45" customFormat="1" ht="31">
      <c r="A523" s="65">
        <v>760</v>
      </c>
      <c r="B523" s="69" t="s">
        <v>2053</v>
      </c>
      <c r="C523" s="69" t="s">
        <v>45</v>
      </c>
      <c r="D523" s="31">
        <f t="shared" ref="D523:D586" si="47">IF(C523="投诉",4,IF(C523="建议",1,IF(C523="举报",2,IF(C523="求助",3,5))))</f>
        <v>4</v>
      </c>
      <c r="E523" s="69" t="s">
        <v>80</v>
      </c>
      <c r="F523" s="31">
        <f t="shared" ref="F523:F586" si="48">IF(E523="12345app",1,IF(E523="e福州app",2,IF(E523="qq",3,IF(E523="电话",4,IF(E523="短信",5,IF(E523="网站",6,IF(E523="微博",7,IF(E523="微信",8,9))))))))</f>
        <v>4</v>
      </c>
      <c r="G523" s="169" t="s">
        <v>778</v>
      </c>
      <c r="H523" s="138">
        <v>48</v>
      </c>
      <c r="I523" s="92">
        <f t="shared" si="46"/>
        <v>0.85788623711129208</v>
      </c>
      <c r="J523" s="95">
        <v>0.96577247422258405</v>
      </c>
      <c r="K523" s="137">
        <v>0.643968498544915</v>
      </c>
      <c r="L523" s="137">
        <v>0.75</v>
      </c>
      <c r="M523" s="137">
        <v>0.48492124636228701</v>
      </c>
      <c r="N523" s="136">
        <v>0</v>
      </c>
      <c r="O523" s="154">
        <v>43327</v>
      </c>
      <c r="P523" s="98">
        <f t="shared" ref="P523:P586" si="49">IF(T523="利己",0,IF(T523="生态",2,1))</f>
        <v>0</v>
      </c>
      <c r="Q523" s="201">
        <v>2.5499999999999998</v>
      </c>
      <c r="R523" s="201">
        <v>1.65</v>
      </c>
      <c r="S523" s="201">
        <v>0</v>
      </c>
      <c r="T523" s="213" t="s">
        <v>48</v>
      </c>
      <c r="U523" s="147" t="s">
        <v>2075</v>
      </c>
      <c r="V523" s="137" t="s">
        <v>2076</v>
      </c>
      <c r="W523" s="69">
        <v>33</v>
      </c>
      <c r="X523" s="147">
        <v>3</v>
      </c>
      <c r="Y523" s="147">
        <v>13</v>
      </c>
      <c r="Z523" s="69"/>
      <c r="AA523" t="s">
        <v>4556</v>
      </c>
      <c r="AB523" t="s">
        <v>67</v>
      </c>
      <c r="AC523" t="s">
        <v>4353</v>
      </c>
      <c r="AD523" t="s">
        <v>4506</v>
      </c>
      <c r="AE523" t="s">
        <v>4353</v>
      </c>
      <c r="AF523" t="s">
        <v>4506</v>
      </c>
      <c r="AG523" t="s">
        <v>4353</v>
      </c>
      <c r="AH523" t="s">
        <v>4506</v>
      </c>
      <c r="AI523" t="s">
        <v>4353</v>
      </c>
      <c r="AJ523" t="s">
        <v>4506</v>
      </c>
      <c r="AK523" t="s">
        <v>4519</v>
      </c>
      <c r="AL523" t="s">
        <v>4552</v>
      </c>
      <c r="AM523" t="s">
        <v>4528</v>
      </c>
      <c r="AN523" t="s">
        <v>4618</v>
      </c>
      <c r="AO523" s="134">
        <v>106.46549192364201</v>
      </c>
      <c r="AP523" s="135">
        <v>119.647407407407</v>
      </c>
      <c r="AQ523">
        <v>0.34222222222222198</v>
      </c>
      <c r="AR523" s="136">
        <v>1.23703703703704</v>
      </c>
      <c r="AS523">
        <v>7.4755555555555597</v>
      </c>
    </row>
    <row r="524" spans="1:45" customFormat="1" ht="76">
      <c r="A524" s="65">
        <v>508</v>
      </c>
      <c r="B524" s="69" t="s">
        <v>1222</v>
      </c>
      <c r="C524" s="69" t="s">
        <v>45</v>
      </c>
      <c r="D524" s="31">
        <f t="shared" si="47"/>
        <v>4</v>
      </c>
      <c r="E524" s="69" t="s">
        <v>80</v>
      </c>
      <c r="F524" s="31">
        <f t="shared" si="48"/>
        <v>4</v>
      </c>
      <c r="G524" s="147" t="s">
        <v>1435</v>
      </c>
      <c r="H524" s="138">
        <v>46</v>
      </c>
      <c r="I524" s="92">
        <f t="shared" si="46"/>
        <v>0.38597109608005825</v>
      </c>
      <c r="J524" s="95">
        <v>2.1942192160116499E-2</v>
      </c>
      <c r="K524" s="137">
        <v>0.71002915755524698</v>
      </c>
      <c r="L524" s="137">
        <v>0.75</v>
      </c>
      <c r="M524" s="137">
        <v>0.65007289388811795</v>
      </c>
      <c r="N524" s="136">
        <v>1</v>
      </c>
      <c r="O524" s="154">
        <v>43327</v>
      </c>
      <c r="P524" s="98">
        <f t="shared" si="49"/>
        <v>1</v>
      </c>
      <c r="Q524" s="111">
        <v>2.5499999999999998</v>
      </c>
      <c r="R524" s="111">
        <v>1.65</v>
      </c>
      <c r="S524" s="111">
        <v>0</v>
      </c>
      <c r="T524" s="112" t="s">
        <v>73</v>
      </c>
      <c r="U524" s="147" t="s">
        <v>1436</v>
      </c>
      <c r="V524" s="137" t="s">
        <v>1437</v>
      </c>
      <c r="W524" s="69">
        <v>102</v>
      </c>
      <c r="X524" s="171">
        <v>2</v>
      </c>
      <c r="Y524" s="171">
        <v>6</v>
      </c>
      <c r="AA524" t="s">
        <v>4564</v>
      </c>
      <c r="AB524" t="s">
        <v>71</v>
      </c>
      <c r="AC524" t="s">
        <v>223</v>
      </c>
      <c r="AD524" t="s">
        <v>4613</v>
      </c>
      <c r="AE524" t="s">
        <v>223</v>
      </c>
      <c r="AF524" t="s">
        <v>4613</v>
      </c>
      <c r="AG524" t="s">
        <v>4515</v>
      </c>
      <c r="AH524" t="s">
        <v>4614</v>
      </c>
      <c r="AI524" t="s">
        <v>4353</v>
      </c>
      <c r="AJ524" t="s">
        <v>4506</v>
      </c>
      <c r="AK524" t="s">
        <v>4519</v>
      </c>
      <c r="AL524" t="s">
        <v>4519</v>
      </c>
      <c r="AM524" t="s">
        <v>4510</v>
      </c>
      <c r="AN524" t="s">
        <v>4550</v>
      </c>
      <c r="AO524" s="134">
        <v>106.55147058823501</v>
      </c>
      <c r="AP524" s="135">
        <v>119.647407407407</v>
      </c>
      <c r="AQ524">
        <v>0.34222222222222198</v>
      </c>
      <c r="AR524" s="136">
        <v>1.23703703703704</v>
      </c>
      <c r="AS524">
        <v>7.4755555555555597</v>
      </c>
    </row>
    <row r="525" spans="1:45" customFormat="1" ht="61">
      <c r="A525" s="65">
        <v>509</v>
      </c>
      <c r="B525" s="69" t="s">
        <v>1222</v>
      </c>
      <c r="C525" s="69" t="s">
        <v>45</v>
      </c>
      <c r="D525" s="31">
        <f t="shared" si="47"/>
        <v>4</v>
      </c>
      <c r="E525" s="69" t="s">
        <v>80</v>
      </c>
      <c r="F525" s="31">
        <f t="shared" si="48"/>
        <v>4</v>
      </c>
      <c r="G525" s="147" t="s">
        <v>159</v>
      </c>
      <c r="H525" s="138">
        <v>98</v>
      </c>
      <c r="I525" s="92">
        <f t="shared" si="46"/>
        <v>0.37500021830032321</v>
      </c>
      <c r="J525" s="95">
        <v>4.3660064641404299E-7</v>
      </c>
      <c r="K525" s="137">
        <v>0.76918779643582302</v>
      </c>
      <c r="L525" s="137">
        <v>0.75</v>
      </c>
      <c r="M525" s="137">
        <v>0.79796949108955795</v>
      </c>
      <c r="N525" s="136">
        <v>1</v>
      </c>
      <c r="O525" s="154">
        <v>43325</v>
      </c>
      <c r="P525" s="98">
        <f t="shared" si="49"/>
        <v>2</v>
      </c>
      <c r="Q525" s="111">
        <v>5.0999999999999996</v>
      </c>
      <c r="R525" s="111">
        <v>1.65</v>
      </c>
      <c r="S525" s="111">
        <v>0</v>
      </c>
      <c r="T525" s="112" t="s">
        <v>64</v>
      </c>
      <c r="U525" s="137" t="s">
        <v>1438</v>
      </c>
      <c r="V525" s="137" t="s">
        <v>1439</v>
      </c>
      <c r="W525" s="69">
        <v>31</v>
      </c>
      <c r="X525" s="147">
        <v>1</v>
      </c>
      <c r="Y525" s="147">
        <v>2</v>
      </c>
      <c r="AA525" t="s">
        <v>4522</v>
      </c>
      <c r="AB525" t="s">
        <v>4827</v>
      </c>
      <c r="AC525" t="s">
        <v>223</v>
      </c>
      <c r="AD525" t="s">
        <v>4620</v>
      </c>
      <c r="AE525" t="s">
        <v>223</v>
      </c>
      <c r="AF525" t="s">
        <v>4620</v>
      </c>
      <c r="AG525" t="s">
        <v>4353</v>
      </c>
      <c r="AH525" t="s">
        <v>4506</v>
      </c>
      <c r="AI525" t="s">
        <v>223</v>
      </c>
      <c r="AJ525" t="s">
        <v>4620</v>
      </c>
      <c r="AK525" t="s">
        <v>4519</v>
      </c>
      <c r="AL525" t="s">
        <v>4519</v>
      </c>
      <c r="AM525" t="s">
        <v>4510</v>
      </c>
      <c r="AN525" t="s">
        <v>4550</v>
      </c>
      <c r="AO525" s="134">
        <v>106.56406480117801</v>
      </c>
      <c r="AP525" s="135">
        <v>119.686011904762</v>
      </c>
      <c r="AQ525">
        <v>0.34226190476190499</v>
      </c>
      <c r="AR525" s="136">
        <v>1.2380952380952399</v>
      </c>
      <c r="AS525">
        <v>7.4747023809523796</v>
      </c>
    </row>
    <row r="526" spans="1:45" customFormat="1" ht="46">
      <c r="A526" s="65">
        <v>337</v>
      </c>
      <c r="B526" s="69" t="s">
        <v>589</v>
      </c>
      <c r="C526" s="69" t="s">
        <v>45</v>
      </c>
      <c r="D526" s="31">
        <f t="shared" si="47"/>
        <v>4</v>
      </c>
      <c r="E526" s="69" t="s">
        <v>80</v>
      </c>
      <c r="F526" s="31">
        <f t="shared" si="48"/>
        <v>4</v>
      </c>
      <c r="G526" s="147" t="s">
        <v>986</v>
      </c>
      <c r="H526" s="138">
        <v>55</v>
      </c>
      <c r="I526" s="92">
        <f t="shared" si="46"/>
        <v>0.42045855890255845</v>
      </c>
      <c r="J526" s="95">
        <v>1.5917117805116999E-2</v>
      </c>
      <c r="K526" s="137">
        <v>0.78071428571428603</v>
      </c>
      <c r="L526" s="137">
        <v>0.82499999999999996</v>
      </c>
      <c r="M526" s="137">
        <v>0.71428571428571397</v>
      </c>
      <c r="N526" s="136">
        <v>1</v>
      </c>
      <c r="O526" s="154">
        <v>43323</v>
      </c>
      <c r="P526" s="98">
        <f t="shared" si="49"/>
        <v>0</v>
      </c>
      <c r="Q526" s="111">
        <v>2.5499999999999998</v>
      </c>
      <c r="R526" s="111">
        <v>0</v>
      </c>
      <c r="S526" s="111">
        <v>0</v>
      </c>
      <c r="T526" s="112" t="s">
        <v>48</v>
      </c>
      <c r="U526" s="188" t="s">
        <v>987</v>
      </c>
      <c r="V526" s="137" t="s">
        <v>988</v>
      </c>
      <c r="W526" s="69">
        <v>47</v>
      </c>
      <c r="X526" s="188">
        <v>1</v>
      </c>
      <c r="Y526" s="188">
        <v>4</v>
      </c>
      <c r="AA526" t="s">
        <v>4543</v>
      </c>
      <c r="AB526" t="s">
        <v>4783</v>
      </c>
      <c r="AC526" t="s">
        <v>223</v>
      </c>
      <c r="AD526" t="s">
        <v>4648</v>
      </c>
      <c r="AE526" t="s">
        <v>223</v>
      </c>
      <c r="AF526" t="s">
        <v>4648</v>
      </c>
      <c r="AG526" t="s">
        <v>223</v>
      </c>
      <c r="AH526" t="s">
        <v>4648</v>
      </c>
      <c r="AI526" t="s">
        <v>223</v>
      </c>
      <c r="AJ526" t="s">
        <v>4648</v>
      </c>
      <c r="AK526" t="s">
        <v>4518</v>
      </c>
      <c r="AL526" t="s">
        <v>4552</v>
      </c>
      <c r="AM526" t="s">
        <v>4510</v>
      </c>
      <c r="AN526" t="s">
        <v>4553</v>
      </c>
      <c r="AO526" s="134">
        <v>106.6401179941</v>
      </c>
      <c r="AP526" s="135">
        <v>119.686011904762</v>
      </c>
      <c r="AQ526">
        <v>0.34226190476190499</v>
      </c>
      <c r="AR526" s="136">
        <v>1.2380952380952399</v>
      </c>
      <c r="AS526">
        <v>7.4747023809523796</v>
      </c>
    </row>
    <row r="527" spans="1:45" customFormat="1" ht="106">
      <c r="A527">
        <v>338</v>
      </c>
      <c r="B527" s="69" t="s">
        <v>589</v>
      </c>
      <c r="C527" s="69" t="s">
        <v>45</v>
      </c>
      <c r="D527" s="31">
        <f t="shared" si="47"/>
        <v>4</v>
      </c>
      <c r="E527" s="69" t="s">
        <v>80</v>
      </c>
      <c r="F527" s="31">
        <f t="shared" si="48"/>
        <v>4</v>
      </c>
      <c r="G527" s="188" t="s">
        <v>293</v>
      </c>
      <c r="H527" s="138">
        <v>53</v>
      </c>
      <c r="I527" s="92">
        <f t="shared" si="46"/>
        <v>0.43463586571180773</v>
      </c>
      <c r="J527" s="95">
        <v>4.4271731423615499E-2</v>
      </c>
      <c r="K527" s="137">
        <v>0.78071428571428603</v>
      </c>
      <c r="L527" s="137">
        <v>0.82499999999999996</v>
      </c>
      <c r="M527" s="137">
        <v>0.71428571428571397</v>
      </c>
      <c r="N527" s="136">
        <v>1</v>
      </c>
      <c r="O527" s="154">
        <v>43321</v>
      </c>
      <c r="P527" s="98">
        <f t="shared" si="49"/>
        <v>0</v>
      </c>
      <c r="Q527" s="111">
        <v>5.0999999999999996</v>
      </c>
      <c r="R527" s="111">
        <v>1.65</v>
      </c>
      <c r="S527" s="111">
        <v>0</v>
      </c>
      <c r="T527" s="112" t="s">
        <v>48</v>
      </c>
      <c r="U527" s="188" t="s">
        <v>989</v>
      </c>
      <c r="V527" s="137" t="s">
        <v>990</v>
      </c>
      <c r="W527" s="69">
        <v>140</v>
      </c>
      <c r="X527" s="195">
        <v>1</v>
      </c>
      <c r="Y527" s="195">
        <v>4</v>
      </c>
      <c r="AA527" t="s">
        <v>4551</v>
      </c>
      <c r="AB527" t="s">
        <v>4827</v>
      </c>
      <c r="AC527" t="s">
        <v>4515</v>
      </c>
      <c r="AD527" t="s">
        <v>4674</v>
      </c>
      <c r="AE527" t="s">
        <v>4515</v>
      </c>
      <c r="AF527" t="s">
        <v>4674</v>
      </c>
      <c r="AG527" t="s">
        <v>223</v>
      </c>
      <c r="AH527" t="s">
        <v>4679</v>
      </c>
      <c r="AI527" t="s">
        <v>4515</v>
      </c>
      <c r="AJ527" t="s">
        <v>4674</v>
      </c>
      <c r="AK527" t="s">
        <v>4518</v>
      </c>
      <c r="AL527" t="s">
        <v>4552</v>
      </c>
      <c r="AM527" t="s">
        <v>4510</v>
      </c>
      <c r="AN527" t="s">
        <v>4553</v>
      </c>
      <c r="AO527" s="134">
        <v>106.719350073855</v>
      </c>
      <c r="AP527" s="135">
        <v>119.71492537313399</v>
      </c>
      <c r="AQ527">
        <v>0.34179104477611899</v>
      </c>
      <c r="AR527" s="136">
        <v>1.23880597014925</v>
      </c>
      <c r="AS527">
        <v>7.4850746268656696</v>
      </c>
    </row>
    <row r="528" spans="1:45" customFormat="1" ht="76">
      <c r="A528">
        <v>510</v>
      </c>
      <c r="B528" s="69" t="s">
        <v>1222</v>
      </c>
      <c r="C528" s="69" t="s">
        <v>45</v>
      </c>
      <c r="D528" s="31">
        <f t="shared" si="47"/>
        <v>4</v>
      </c>
      <c r="E528" s="69" t="s">
        <v>80</v>
      </c>
      <c r="F528" s="31">
        <f t="shared" si="48"/>
        <v>4</v>
      </c>
      <c r="G528" s="147" t="s">
        <v>439</v>
      </c>
      <c r="H528" s="138">
        <v>59</v>
      </c>
      <c r="I528" s="92">
        <f t="shared" si="46"/>
        <v>0.42536208243230922</v>
      </c>
      <c r="J528" s="95">
        <v>2.5724164864618499E-2</v>
      </c>
      <c r="K528" s="137">
        <v>0.67368666593100501</v>
      </c>
      <c r="L528" s="137">
        <v>0.82499999999999996</v>
      </c>
      <c r="M528" s="137">
        <v>0.44671666482751199</v>
      </c>
      <c r="N528" s="136">
        <v>1</v>
      </c>
      <c r="O528" s="154">
        <v>43321</v>
      </c>
      <c r="P528" s="98">
        <f t="shared" si="49"/>
        <v>0</v>
      </c>
      <c r="Q528" s="111">
        <v>10.199999999999999</v>
      </c>
      <c r="R528" s="111">
        <v>1.65</v>
      </c>
      <c r="S528" s="111">
        <v>1.87</v>
      </c>
      <c r="T528" s="112" t="s">
        <v>48</v>
      </c>
      <c r="U528" s="137" t="s">
        <v>1440</v>
      </c>
      <c r="V528" s="137" t="s">
        <v>1441</v>
      </c>
      <c r="W528" s="69">
        <v>95</v>
      </c>
      <c r="X528" s="147">
        <v>4</v>
      </c>
      <c r="Y528" s="147">
        <v>15</v>
      </c>
      <c r="AA528" t="s">
        <v>4543</v>
      </c>
      <c r="AB528" t="s">
        <v>358</v>
      </c>
      <c r="AC528" t="s">
        <v>223</v>
      </c>
      <c r="AD528" t="s">
        <v>4655</v>
      </c>
      <c r="AE528" t="s">
        <v>223</v>
      </c>
      <c r="AF528" t="s">
        <v>4655</v>
      </c>
      <c r="AG528" t="s">
        <v>223</v>
      </c>
      <c r="AH528" t="s">
        <v>4655</v>
      </c>
      <c r="AI528" t="s">
        <v>4515</v>
      </c>
      <c r="AJ528" t="s">
        <v>4654</v>
      </c>
      <c r="AK528" t="s">
        <v>4518</v>
      </c>
      <c r="AL528" t="s">
        <v>4519</v>
      </c>
      <c r="AM528" t="s">
        <v>4510</v>
      </c>
      <c r="AN528" t="s">
        <v>4523</v>
      </c>
      <c r="AO528" s="134">
        <v>106.789940828402</v>
      </c>
      <c r="AP528" s="135">
        <v>119.71492537313399</v>
      </c>
      <c r="AQ528">
        <v>0.34179104477611899</v>
      </c>
      <c r="AR528" s="136">
        <v>1.23880597014925</v>
      </c>
      <c r="AS528">
        <v>7.4850746268656696</v>
      </c>
    </row>
    <row r="529" spans="1:45" customFormat="1" ht="76">
      <c r="A529" s="65">
        <v>41</v>
      </c>
      <c r="B529" s="136" t="s">
        <v>170</v>
      </c>
      <c r="C529" s="136" t="s">
        <v>45</v>
      </c>
      <c r="D529" s="31">
        <f t="shared" si="47"/>
        <v>4</v>
      </c>
      <c r="E529" s="136" t="s">
        <v>46</v>
      </c>
      <c r="F529" s="31">
        <f t="shared" si="48"/>
        <v>6</v>
      </c>
      <c r="G529" s="188" t="s">
        <v>171</v>
      </c>
      <c r="H529" s="138">
        <v>98</v>
      </c>
      <c r="I529" s="92">
        <f t="shared" si="46"/>
        <v>0.91160984348855245</v>
      </c>
      <c r="J529" s="95">
        <v>0.99821968697710495</v>
      </c>
      <c r="K529" s="137">
        <v>0.72357142857142898</v>
      </c>
      <c r="L529" s="137">
        <v>0.82499999999999996</v>
      </c>
      <c r="M529" s="137">
        <v>0.57142857142857095</v>
      </c>
      <c r="N529" s="136">
        <v>1</v>
      </c>
      <c r="O529" s="154">
        <v>43319</v>
      </c>
      <c r="P529" s="98">
        <f t="shared" si="49"/>
        <v>1</v>
      </c>
      <c r="Q529" s="113">
        <v>0</v>
      </c>
      <c r="R529" s="113">
        <v>1.65</v>
      </c>
      <c r="S529" s="113">
        <v>0</v>
      </c>
      <c r="T529" s="114" t="s">
        <v>73</v>
      </c>
      <c r="U529" s="136" t="s">
        <v>172</v>
      </c>
      <c r="V529" s="137" t="s">
        <v>173</v>
      </c>
      <c r="W529" s="69">
        <v>104</v>
      </c>
      <c r="X529" s="189">
        <v>2</v>
      </c>
      <c r="Y529" s="189">
        <v>9</v>
      </c>
      <c r="AA529" t="s">
        <v>4564</v>
      </c>
      <c r="AB529" t="s">
        <v>71</v>
      </c>
      <c r="AC529" t="s">
        <v>4515</v>
      </c>
      <c r="AD529" t="s">
        <v>4607</v>
      </c>
      <c r="AE529" t="s">
        <v>223</v>
      </c>
      <c r="AF529" t="s">
        <v>4606</v>
      </c>
      <c r="AG529" t="s">
        <v>4530</v>
      </c>
      <c r="AH529" t="s">
        <v>4932</v>
      </c>
      <c r="AI529" t="s">
        <v>223</v>
      </c>
      <c r="AJ529" t="s">
        <v>4606</v>
      </c>
      <c r="AK529" t="s">
        <v>4519</v>
      </c>
      <c r="AL529" t="s">
        <v>4552</v>
      </c>
      <c r="AM529" t="s">
        <v>4562</v>
      </c>
      <c r="AN529" t="s">
        <v>4742</v>
      </c>
      <c r="AO529" s="134">
        <v>106.80296296296299</v>
      </c>
      <c r="AP529" s="135">
        <v>119.751506024096</v>
      </c>
      <c r="AQ529">
        <v>0.343373493975904</v>
      </c>
      <c r="AR529" s="136">
        <v>1.24096385542169</v>
      </c>
      <c r="AS529">
        <v>7.5</v>
      </c>
    </row>
    <row r="530" spans="1:45" customFormat="1" ht="45">
      <c r="A530" s="65">
        <v>1149</v>
      </c>
      <c r="B530" s="69" t="s">
        <v>3117</v>
      </c>
      <c r="C530" s="69" t="s">
        <v>45</v>
      </c>
      <c r="D530" s="31">
        <f t="shared" si="47"/>
        <v>4</v>
      </c>
      <c r="E530" s="69" t="s">
        <v>80</v>
      </c>
      <c r="F530" s="31">
        <f t="shared" si="48"/>
        <v>4</v>
      </c>
      <c r="G530" s="190" t="s">
        <v>3124</v>
      </c>
      <c r="H530" s="138">
        <v>65</v>
      </c>
      <c r="I530" s="92">
        <f t="shared" si="46"/>
        <v>0.37500014486559174</v>
      </c>
      <c r="J530" s="95">
        <v>2.8973118348929498E-7</v>
      </c>
      <c r="K530" s="137">
        <v>0.69881421079630901</v>
      </c>
      <c r="L530" s="137">
        <v>0.75</v>
      </c>
      <c r="M530" s="137">
        <v>0.62203552699077302</v>
      </c>
      <c r="N530" s="136">
        <v>1</v>
      </c>
      <c r="O530" s="157">
        <v>43319</v>
      </c>
      <c r="P530" s="98">
        <f t="shared" si="49"/>
        <v>0</v>
      </c>
      <c r="Q530" s="113">
        <v>2.5499999999999998</v>
      </c>
      <c r="R530" s="113">
        <v>0</v>
      </c>
      <c r="S530" s="113">
        <v>0</v>
      </c>
      <c r="T530" s="119" t="s">
        <v>48</v>
      </c>
      <c r="U530" s="89" t="s">
        <v>3125</v>
      </c>
      <c r="V530" s="172" t="s">
        <v>3126</v>
      </c>
      <c r="W530" s="69">
        <v>33</v>
      </c>
      <c r="X530" s="195">
        <v>2</v>
      </c>
      <c r="Y530" s="195">
        <v>7</v>
      </c>
      <c r="Z530" s="69"/>
      <c r="AA530" t="s">
        <v>4512</v>
      </c>
      <c r="AB530" t="s">
        <v>51</v>
      </c>
      <c r="AC530" t="s">
        <v>223</v>
      </c>
      <c r="AD530" t="s">
        <v>4724</v>
      </c>
      <c r="AE530" t="s">
        <v>4513</v>
      </c>
      <c r="AF530" t="s">
        <v>4933</v>
      </c>
      <c r="AG530" t="s">
        <v>4353</v>
      </c>
      <c r="AH530" t="s">
        <v>4506</v>
      </c>
      <c r="AI530" t="s">
        <v>4353</v>
      </c>
      <c r="AJ530" t="s">
        <v>4506</v>
      </c>
      <c r="AK530" t="s">
        <v>4519</v>
      </c>
      <c r="AL530" t="s">
        <v>4541</v>
      </c>
      <c r="AM530" t="s">
        <v>4510</v>
      </c>
      <c r="AN530" t="s">
        <v>4630</v>
      </c>
      <c r="AO530" s="134">
        <v>106.86498516320501</v>
      </c>
      <c r="AP530" s="135">
        <v>119.751506024096</v>
      </c>
      <c r="AQ530">
        <v>0.343373493975904</v>
      </c>
      <c r="AR530" s="136">
        <v>1.24096385542169</v>
      </c>
      <c r="AS530">
        <v>7.5</v>
      </c>
    </row>
    <row r="531" spans="1:45" customFormat="1" ht="76">
      <c r="A531">
        <v>339</v>
      </c>
      <c r="B531" s="69" t="s">
        <v>589</v>
      </c>
      <c r="C531" s="69" t="s">
        <v>45</v>
      </c>
      <c r="D531" s="31">
        <f t="shared" si="47"/>
        <v>4</v>
      </c>
      <c r="E531" s="69" t="s">
        <v>80</v>
      </c>
      <c r="F531" s="31">
        <f t="shared" si="48"/>
        <v>4</v>
      </c>
      <c r="G531" s="147" t="s">
        <v>180</v>
      </c>
      <c r="H531" s="138">
        <v>68</v>
      </c>
      <c r="I531" s="92">
        <f t="shared" si="46"/>
        <v>0.4351784420935047</v>
      </c>
      <c r="J531" s="95">
        <v>4.5356884187009401E-2</v>
      </c>
      <c r="K531" s="137">
        <v>0.81418779643582295</v>
      </c>
      <c r="L531" s="137">
        <v>0.82499999999999996</v>
      </c>
      <c r="M531" s="137">
        <v>0.79796949108955795</v>
      </c>
      <c r="N531" s="136">
        <v>1</v>
      </c>
      <c r="O531" s="154">
        <v>43318</v>
      </c>
      <c r="P531" s="98">
        <f t="shared" si="49"/>
        <v>0</v>
      </c>
      <c r="Q531" s="111">
        <v>5.0999999999999996</v>
      </c>
      <c r="R531" s="111">
        <v>0</v>
      </c>
      <c r="S531" s="111">
        <v>0</v>
      </c>
      <c r="T531" s="112" t="s">
        <v>48</v>
      </c>
      <c r="U531" s="188" t="s">
        <v>991</v>
      </c>
      <c r="V531" s="137" t="s">
        <v>992</v>
      </c>
      <c r="W531" s="69">
        <v>114</v>
      </c>
      <c r="X531" s="188">
        <v>1</v>
      </c>
      <c r="Y531" s="188">
        <v>2</v>
      </c>
      <c r="AA531" t="s">
        <v>4628</v>
      </c>
      <c r="AB531" t="s">
        <v>4597</v>
      </c>
      <c r="AC531" t="s">
        <v>4513</v>
      </c>
      <c r="AD531" t="s">
        <v>4801</v>
      </c>
      <c r="AE531" t="s">
        <v>4515</v>
      </c>
      <c r="AF531" t="s">
        <v>4762</v>
      </c>
      <c r="AG531" t="s">
        <v>4513</v>
      </c>
      <c r="AH531" t="s">
        <v>4801</v>
      </c>
      <c r="AI531" t="s">
        <v>4353</v>
      </c>
      <c r="AJ531" t="s">
        <v>4506</v>
      </c>
      <c r="AK531" t="s">
        <v>4519</v>
      </c>
      <c r="AL531" t="s">
        <v>4519</v>
      </c>
      <c r="AM531" t="s">
        <v>4520</v>
      </c>
      <c r="AN531" t="s">
        <v>4558</v>
      </c>
      <c r="AO531" s="134">
        <v>106.922734026746</v>
      </c>
      <c r="AP531" s="135">
        <v>119.751506024096</v>
      </c>
      <c r="AQ531">
        <v>0.343373493975904</v>
      </c>
      <c r="AR531" s="136">
        <v>1.24096385542169</v>
      </c>
      <c r="AS531">
        <v>7.5</v>
      </c>
    </row>
    <row r="532" spans="1:45" customFormat="1" ht="61">
      <c r="A532" s="65">
        <v>80</v>
      </c>
      <c r="B532" s="69" t="s">
        <v>217</v>
      </c>
      <c r="C532" s="69" t="s">
        <v>45</v>
      </c>
      <c r="D532" s="31">
        <f t="shared" si="47"/>
        <v>4</v>
      </c>
      <c r="E532" s="69" t="s">
        <v>46</v>
      </c>
      <c r="F532" s="31">
        <f t="shared" si="48"/>
        <v>6</v>
      </c>
      <c r="G532" s="137" t="s">
        <v>286</v>
      </c>
      <c r="H532" s="138">
        <v>87</v>
      </c>
      <c r="I532" s="92">
        <f t="shared" si="46"/>
        <v>0.41279961438129303</v>
      </c>
      <c r="J532" s="95">
        <v>5.9922876258611301E-4</v>
      </c>
      <c r="K532" s="137">
        <v>0.81418779643582295</v>
      </c>
      <c r="L532" s="137">
        <v>0.82499999999999996</v>
      </c>
      <c r="M532" s="137">
        <v>0.79796949108955795</v>
      </c>
      <c r="N532" s="136">
        <v>0</v>
      </c>
      <c r="O532" s="154">
        <v>43317</v>
      </c>
      <c r="P532" s="98">
        <f t="shared" si="49"/>
        <v>1</v>
      </c>
      <c r="Q532" s="111">
        <v>0</v>
      </c>
      <c r="R532" s="111">
        <v>1.65</v>
      </c>
      <c r="S532" s="111">
        <v>0</v>
      </c>
      <c r="T532" s="112" t="s">
        <v>287</v>
      </c>
      <c r="U532" s="188" t="s">
        <v>288</v>
      </c>
      <c r="V532" s="137" t="s">
        <v>289</v>
      </c>
      <c r="W532" s="69">
        <v>68</v>
      </c>
      <c r="X532" s="195">
        <v>1</v>
      </c>
      <c r="Y532" s="195">
        <v>2</v>
      </c>
      <c r="AA532" t="s">
        <v>4564</v>
      </c>
      <c r="AB532" t="s">
        <v>4597</v>
      </c>
      <c r="AC532" t="s">
        <v>223</v>
      </c>
      <c r="AD532" t="s">
        <v>4507</v>
      </c>
      <c r="AE532" t="s">
        <v>4353</v>
      </c>
      <c r="AF532" t="s">
        <v>4506</v>
      </c>
      <c r="AG532" t="s">
        <v>223</v>
      </c>
      <c r="AH532" t="s">
        <v>4507</v>
      </c>
      <c r="AI532" t="s">
        <v>4353</v>
      </c>
      <c r="AJ532" t="s">
        <v>4506</v>
      </c>
      <c r="AK532" t="s">
        <v>4519</v>
      </c>
      <c r="AL532" t="s">
        <v>4519</v>
      </c>
      <c r="AM532" t="s">
        <v>4528</v>
      </c>
      <c r="AN532" t="s">
        <v>4529</v>
      </c>
      <c r="AO532" s="134">
        <v>106.95238095238101</v>
      </c>
      <c r="AP532" s="135">
        <v>119.751506024096</v>
      </c>
      <c r="AQ532">
        <v>0.343373493975904</v>
      </c>
      <c r="AR532" s="136">
        <v>1.24096385542169</v>
      </c>
      <c r="AS532">
        <v>7.5</v>
      </c>
    </row>
    <row r="533" spans="1:45" customFormat="1" ht="121">
      <c r="A533" s="65">
        <v>628</v>
      </c>
      <c r="B533" s="69" t="s">
        <v>1707</v>
      </c>
      <c r="C533" s="69" t="s">
        <v>45</v>
      </c>
      <c r="D533" s="31">
        <f t="shared" si="47"/>
        <v>4</v>
      </c>
      <c r="E533" s="69" t="s">
        <v>46</v>
      </c>
      <c r="F533" s="31">
        <f t="shared" si="48"/>
        <v>6</v>
      </c>
      <c r="G533" s="169" t="s">
        <v>1736</v>
      </c>
      <c r="H533" s="138">
        <v>68</v>
      </c>
      <c r="I533" s="92">
        <f t="shared" si="46"/>
        <v>0.37509482450700765</v>
      </c>
      <c r="J533" s="95">
        <v>1.8964901401530301E-4</v>
      </c>
      <c r="K533" s="137">
        <v>0.73571428571428599</v>
      </c>
      <c r="L533" s="137">
        <v>0.75</v>
      </c>
      <c r="M533" s="137">
        <v>0.71428571428571397</v>
      </c>
      <c r="N533" s="136">
        <v>0</v>
      </c>
      <c r="O533" s="154">
        <v>43317</v>
      </c>
      <c r="P533" s="98">
        <f t="shared" si="49"/>
        <v>0</v>
      </c>
      <c r="Q533" s="111">
        <v>2.5499999999999998</v>
      </c>
      <c r="R533" s="111">
        <v>1.65</v>
      </c>
      <c r="S533" s="111">
        <v>0</v>
      </c>
      <c r="T533" s="112" t="s">
        <v>48</v>
      </c>
      <c r="U533" s="137" t="s">
        <v>1737</v>
      </c>
      <c r="V533" s="136" t="s">
        <v>1738</v>
      </c>
      <c r="W533" s="69">
        <v>169</v>
      </c>
      <c r="X533" s="69">
        <v>2</v>
      </c>
      <c r="Y533" s="69">
        <v>4</v>
      </c>
      <c r="Z533" s="69"/>
      <c r="AA533" t="s">
        <v>4603</v>
      </c>
      <c r="AB533" t="s">
        <v>71</v>
      </c>
      <c r="AC533" t="s">
        <v>4513</v>
      </c>
      <c r="AD533" t="s">
        <v>4721</v>
      </c>
      <c r="AE533" t="s">
        <v>4353</v>
      </c>
      <c r="AF533" t="s">
        <v>4506</v>
      </c>
      <c r="AG533" t="s">
        <v>4538</v>
      </c>
      <c r="AH533" t="s">
        <v>4934</v>
      </c>
      <c r="AI533" t="s">
        <v>4353</v>
      </c>
      <c r="AJ533" t="s">
        <v>4506</v>
      </c>
      <c r="AK533" t="s">
        <v>4519</v>
      </c>
      <c r="AL533" t="s">
        <v>4519</v>
      </c>
      <c r="AM533" t="s">
        <v>4528</v>
      </c>
      <c r="AN533" t="s">
        <v>4529</v>
      </c>
      <c r="AO533" s="134">
        <v>106.93442622950801</v>
      </c>
      <c r="AP533" s="135">
        <v>119.751506024096</v>
      </c>
      <c r="AQ533">
        <v>0.343373493975904</v>
      </c>
      <c r="AR533" s="136">
        <v>1.24096385542169</v>
      </c>
      <c r="AS533">
        <v>7.5</v>
      </c>
    </row>
    <row r="534" spans="1:45" customFormat="1" ht="61">
      <c r="A534" s="65">
        <v>81</v>
      </c>
      <c r="B534" s="69" t="s">
        <v>217</v>
      </c>
      <c r="C534" s="69" t="s">
        <v>45</v>
      </c>
      <c r="D534" s="31">
        <f t="shared" si="47"/>
        <v>4</v>
      </c>
      <c r="E534" s="69" t="s">
        <v>80</v>
      </c>
      <c r="F534" s="31">
        <f t="shared" si="48"/>
        <v>4</v>
      </c>
      <c r="G534" s="147" t="s">
        <v>290</v>
      </c>
      <c r="H534" s="138">
        <v>119</v>
      </c>
      <c r="I534" s="92">
        <f t="shared" si="46"/>
        <v>0.30991735537195769</v>
      </c>
      <c r="J534" s="95">
        <v>1.14352971536391E-13</v>
      </c>
      <c r="K534" s="137">
        <v>0.65761511216056701</v>
      </c>
      <c r="L534" s="137">
        <v>0.61983471074380103</v>
      </c>
      <c r="M534" s="137">
        <v>0.71428571428571397</v>
      </c>
      <c r="N534" s="136">
        <v>1</v>
      </c>
      <c r="O534" s="194">
        <v>43317</v>
      </c>
      <c r="P534" s="98">
        <f t="shared" si="49"/>
        <v>1</v>
      </c>
      <c r="Q534" s="111">
        <v>2.5499999999999998</v>
      </c>
      <c r="R534" s="111">
        <v>1.65</v>
      </c>
      <c r="S534" s="111">
        <v>0</v>
      </c>
      <c r="T534" s="112" t="s">
        <v>287</v>
      </c>
      <c r="U534" s="137" t="s">
        <v>291</v>
      </c>
      <c r="V534" s="137" t="s">
        <v>292</v>
      </c>
      <c r="W534" s="69">
        <v>51</v>
      </c>
      <c r="X534" s="147">
        <v>1</v>
      </c>
      <c r="Y534" s="147">
        <v>4</v>
      </c>
      <c r="AA534" t="s">
        <v>4619</v>
      </c>
      <c r="AB534" t="s">
        <v>4576</v>
      </c>
      <c r="AC534" t="s">
        <v>4353</v>
      </c>
      <c r="AD534" t="s">
        <v>4506</v>
      </c>
      <c r="AE534" t="s">
        <v>223</v>
      </c>
      <c r="AF534" t="s">
        <v>4590</v>
      </c>
      <c r="AG534" t="s">
        <v>223</v>
      </c>
      <c r="AH534" t="s">
        <v>4590</v>
      </c>
      <c r="AI534" t="s">
        <v>4353</v>
      </c>
      <c r="AJ534" t="s">
        <v>4506</v>
      </c>
      <c r="AK534" t="s">
        <v>4519</v>
      </c>
      <c r="AL534" t="s">
        <v>4519</v>
      </c>
      <c r="AM534" t="s">
        <v>4592</v>
      </c>
      <c r="AN534" t="s">
        <v>4626</v>
      </c>
      <c r="AO534" s="134">
        <v>106.992537313433</v>
      </c>
      <c r="AP534" s="135">
        <v>119.751506024096</v>
      </c>
      <c r="AQ534">
        <v>0.343373493975904</v>
      </c>
      <c r="AR534" s="136">
        <v>1.24096385542169</v>
      </c>
      <c r="AS534">
        <v>7.5</v>
      </c>
    </row>
    <row r="535" spans="1:45" customFormat="1" ht="181">
      <c r="A535">
        <v>1198</v>
      </c>
      <c r="B535" s="69" t="s">
        <v>3209</v>
      </c>
      <c r="C535" s="69" t="s">
        <v>45</v>
      </c>
      <c r="D535" s="31">
        <f t="shared" si="47"/>
        <v>4</v>
      </c>
      <c r="E535" s="69" t="s">
        <v>80</v>
      </c>
      <c r="F535" s="31">
        <f t="shared" si="48"/>
        <v>4</v>
      </c>
      <c r="G535" s="169" t="s">
        <v>3217</v>
      </c>
      <c r="H535" s="138">
        <v>61</v>
      </c>
      <c r="I535" s="92">
        <f t="shared" si="46"/>
        <v>0.50671135433998649</v>
      </c>
      <c r="J535" s="95">
        <v>0.26342270867997303</v>
      </c>
      <c r="K535" s="137">
        <v>0.73571428571428599</v>
      </c>
      <c r="L535" s="137">
        <v>0.75</v>
      </c>
      <c r="M535" s="137">
        <v>0.71428571428571397</v>
      </c>
      <c r="N535" s="136">
        <v>1</v>
      </c>
      <c r="O535" s="154">
        <v>43316</v>
      </c>
      <c r="P535" s="98">
        <f t="shared" si="49"/>
        <v>0</v>
      </c>
      <c r="Q535" s="111">
        <v>2.5499999999999998</v>
      </c>
      <c r="R535" s="111">
        <v>1.65</v>
      </c>
      <c r="S535" s="111">
        <v>1.87</v>
      </c>
      <c r="T535" s="112" t="s">
        <v>48</v>
      </c>
      <c r="U535" s="147" t="s">
        <v>3218</v>
      </c>
      <c r="V535" s="137" t="s">
        <v>3219</v>
      </c>
      <c r="W535" s="69">
        <v>251</v>
      </c>
      <c r="X535" s="171">
        <v>1</v>
      </c>
      <c r="Y535" s="171">
        <v>4</v>
      </c>
      <c r="Z535" s="69"/>
      <c r="AA535" t="s">
        <v>4512</v>
      </c>
      <c r="AB535" t="s">
        <v>51</v>
      </c>
      <c r="AC535" t="s">
        <v>4515</v>
      </c>
      <c r="AD535" t="s">
        <v>4702</v>
      </c>
      <c r="AE535" t="s">
        <v>4530</v>
      </c>
      <c r="AF535" t="s">
        <v>4858</v>
      </c>
      <c r="AG535" t="s">
        <v>4515</v>
      </c>
      <c r="AH535" t="s">
        <v>4702</v>
      </c>
      <c r="AI535" t="s">
        <v>4353</v>
      </c>
      <c r="AJ535" t="s">
        <v>4506</v>
      </c>
      <c r="AK535" t="s">
        <v>4519</v>
      </c>
      <c r="AL535" t="s">
        <v>4552</v>
      </c>
      <c r="AM535" t="s">
        <v>4520</v>
      </c>
      <c r="AN535" t="s">
        <v>4652</v>
      </c>
      <c r="AO535" s="134">
        <v>107.061285500747</v>
      </c>
      <c r="AP535" s="135">
        <v>119.751506024096</v>
      </c>
      <c r="AQ535">
        <v>0.343373493975904</v>
      </c>
      <c r="AR535" s="136">
        <v>1.24096385542169</v>
      </c>
      <c r="AS535">
        <v>7.5</v>
      </c>
    </row>
    <row r="536" spans="1:45" customFormat="1" ht="61">
      <c r="A536">
        <v>82</v>
      </c>
      <c r="B536" s="69" t="s">
        <v>217</v>
      </c>
      <c r="C536" s="69" t="s">
        <v>45</v>
      </c>
      <c r="D536" s="31">
        <f t="shared" si="47"/>
        <v>4</v>
      </c>
      <c r="E536" s="69" t="s">
        <v>80</v>
      </c>
      <c r="F536" s="31">
        <f t="shared" si="48"/>
        <v>4</v>
      </c>
      <c r="G536" s="137" t="s">
        <v>293</v>
      </c>
      <c r="H536" s="138">
        <v>51</v>
      </c>
      <c r="I536" s="92">
        <f t="shared" si="46"/>
        <v>0.4133751816728698</v>
      </c>
      <c r="J536" s="95">
        <v>1.75036334573964E-3</v>
      </c>
      <c r="K536" s="137">
        <v>0.78071428571428603</v>
      </c>
      <c r="L536" s="137">
        <v>0.82499999999999996</v>
      </c>
      <c r="M536" s="137">
        <v>0.71428571428571397</v>
      </c>
      <c r="N536" s="136">
        <v>1</v>
      </c>
      <c r="O536" s="154">
        <v>43315</v>
      </c>
      <c r="P536" s="98">
        <f t="shared" si="49"/>
        <v>0</v>
      </c>
      <c r="Q536" s="111">
        <v>5.0999999999999996</v>
      </c>
      <c r="R536" s="111">
        <v>1.65</v>
      </c>
      <c r="S536" s="111">
        <v>0</v>
      </c>
      <c r="T536" s="112" t="s">
        <v>48</v>
      </c>
      <c r="U536" s="137" t="s">
        <v>294</v>
      </c>
      <c r="V536" s="137" t="s">
        <v>295</v>
      </c>
      <c r="W536" s="69">
        <v>87</v>
      </c>
      <c r="X536" s="69">
        <v>1</v>
      </c>
      <c r="Y536" s="69">
        <v>4</v>
      </c>
      <c r="AA536" t="s">
        <v>4522</v>
      </c>
      <c r="AB536" t="s">
        <v>87</v>
      </c>
      <c r="AC536" t="s">
        <v>4515</v>
      </c>
      <c r="AD536" t="s">
        <v>4676</v>
      </c>
      <c r="AE536" t="s">
        <v>223</v>
      </c>
      <c r="AF536" t="s">
        <v>4691</v>
      </c>
      <c r="AG536" t="s">
        <v>4353</v>
      </c>
      <c r="AH536" t="s">
        <v>4506</v>
      </c>
      <c r="AI536" t="s">
        <v>223</v>
      </c>
      <c r="AJ536" t="s">
        <v>4691</v>
      </c>
      <c r="AK536" t="s">
        <v>4518</v>
      </c>
      <c r="AL536" t="s">
        <v>4519</v>
      </c>
      <c r="AM536" t="s">
        <v>4520</v>
      </c>
      <c r="AN536" t="s">
        <v>4521</v>
      </c>
      <c r="AO536" s="134">
        <v>107.145209580838</v>
      </c>
      <c r="AP536" s="135">
        <v>119.751506024096</v>
      </c>
      <c r="AQ536">
        <v>0.343373493975904</v>
      </c>
      <c r="AR536" s="136">
        <v>1.24096385542169</v>
      </c>
      <c r="AS536">
        <v>7.5</v>
      </c>
    </row>
    <row r="537" spans="1:45" customFormat="1" ht="241">
      <c r="A537" s="65">
        <v>904</v>
      </c>
      <c r="B537" s="69" t="s">
        <v>2418</v>
      </c>
      <c r="C537" s="69" t="s">
        <v>45</v>
      </c>
      <c r="D537" s="31">
        <f t="shared" si="47"/>
        <v>4</v>
      </c>
      <c r="E537" s="69" t="s">
        <v>46</v>
      </c>
      <c r="F537" s="31">
        <f t="shared" si="48"/>
        <v>6</v>
      </c>
      <c r="G537" s="137" t="s">
        <v>2467</v>
      </c>
      <c r="H537" s="138">
        <v>452</v>
      </c>
      <c r="I537" s="92">
        <f t="shared" si="46"/>
        <v>0.375</v>
      </c>
      <c r="J537" s="95">
        <v>0</v>
      </c>
      <c r="K537" s="137">
        <v>0.63619100647005999</v>
      </c>
      <c r="L537" s="137">
        <v>0.75</v>
      </c>
      <c r="M537" s="137">
        <v>0.46547751617515098</v>
      </c>
      <c r="N537" s="136">
        <v>1</v>
      </c>
      <c r="O537" s="154">
        <v>43315</v>
      </c>
      <c r="P537" s="98">
        <f t="shared" si="49"/>
        <v>2</v>
      </c>
      <c r="Q537" s="111">
        <v>0</v>
      </c>
      <c r="R537" s="111">
        <v>1.65</v>
      </c>
      <c r="S537" s="111">
        <v>0</v>
      </c>
      <c r="T537" s="112" t="s">
        <v>64</v>
      </c>
      <c r="U537" s="137" t="s">
        <v>2468</v>
      </c>
      <c r="V537" s="137" t="s">
        <v>2469</v>
      </c>
      <c r="W537" s="69">
        <v>64</v>
      </c>
      <c r="X537" s="69">
        <v>2</v>
      </c>
      <c r="Y537" s="69">
        <v>14</v>
      </c>
      <c r="Z537" s="69"/>
      <c r="AA537" t="s">
        <v>4673</v>
      </c>
      <c r="AB537" t="s">
        <v>87</v>
      </c>
      <c r="AC537" t="s">
        <v>4513</v>
      </c>
      <c r="AD537" t="s">
        <v>4792</v>
      </c>
      <c r="AE537" t="s">
        <v>4353</v>
      </c>
      <c r="AF537" t="s">
        <v>4506</v>
      </c>
      <c r="AG537" t="s">
        <v>4515</v>
      </c>
      <c r="AH537" t="s">
        <v>4565</v>
      </c>
      <c r="AI537" t="s">
        <v>4353</v>
      </c>
      <c r="AJ537" t="s">
        <v>4506</v>
      </c>
      <c r="AK537" t="s">
        <v>4519</v>
      </c>
      <c r="AL537" t="s">
        <v>4552</v>
      </c>
      <c r="AM537" t="s">
        <v>4510</v>
      </c>
      <c r="AN537" t="s">
        <v>4634</v>
      </c>
      <c r="AO537" s="134">
        <v>106.628185907046</v>
      </c>
      <c r="AP537" s="135">
        <v>119.751506024096</v>
      </c>
      <c r="AQ537">
        <v>0.343373493975904</v>
      </c>
      <c r="AR537" s="136">
        <v>1.24096385542169</v>
      </c>
      <c r="AS537">
        <v>7.5</v>
      </c>
    </row>
    <row r="538" spans="1:45" customFormat="1" ht="76">
      <c r="A538" s="65">
        <v>793</v>
      </c>
      <c r="B538" s="69" t="s">
        <v>2147</v>
      </c>
      <c r="C538" s="69" t="s">
        <v>45</v>
      </c>
      <c r="D538" s="31">
        <f t="shared" si="47"/>
        <v>4</v>
      </c>
      <c r="E538" s="69" t="s">
        <v>46</v>
      </c>
      <c r="F538" s="31">
        <f t="shared" si="48"/>
        <v>6</v>
      </c>
      <c r="G538" s="137" t="s">
        <v>2164</v>
      </c>
      <c r="H538" s="138">
        <v>122</v>
      </c>
      <c r="I538" s="92">
        <f t="shared" si="46"/>
        <v>0.78166037646633402</v>
      </c>
      <c r="J538" s="95">
        <v>0.99983465225648505</v>
      </c>
      <c r="K538" s="137">
        <v>0.61031634740572205</v>
      </c>
      <c r="L538" s="137">
        <v>0.56348610067618299</v>
      </c>
      <c r="M538" s="137">
        <v>0.68056171750003003</v>
      </c>
      <c r="N538" s="136">
        <v>1</v>
      </c>
      <c r="O538" s="154">
        <v>43314</v>
      </c>
      <c r="P538" s="98">
        <f t="shared" si="49"/>
        <v>0</v>
      </c>
      <c r="Q538" s="111">
        <v>7.65</v>
      </c>
      <c r="R538" s="111">
        <v>0</v>
      </c>
      <c r="S538" s="111">
        <v>0</v>
      </c>
      <c r="T538" s="112" t="s">
        <v>48</v>
      </c>
      <c r="U538" s="137" t="s">
        <v>2165</v>
      </c>
      <c r="V538" s="137" t="s">
        <v>2166</v>
      </c>
      <c r="W538" s="69">
        <v>98</v>
      </c>
      <c r="X538" s="69">
        <v>1</v>
      </c>
      <c r="Y538" s="69">
        <v>5</v>
      </c>
      <c r="Z538" s="69"/>
      <c r="AA538" t="s">
        <v>4603</v>
      </c>
      <c r="AB538" t="s">
        <v>87</v>
      </c>
      <c r="AC538" t="s">
        <v>4513</v>
      </c>
      <c r="AD538" t="s">
        <v>4751</v>
      </c>
      <c r="AE538" t="s">
        <v>4353</v>
      </c>
      <c r="AF538" t="s">
        <v>4506</v>
      </c>
      <c r="AG538" t="s">
        <v>223</v>
      </c>
      <c r="AH538" t="s">
        <v>4689</v>
      </c>
      <c r="AI538" t="s">
        <v>4353</v>
      </c>
      <c r="AJ538" t="s">
        <v>4506</v>
      </c>
      <c r="AK538" t="s">
        <v>4519</v>
      </c>
      <c r="AL538" t="s">
        <v>4519</v>
      </c>
      <c r="AM538" t="s">
        <v>4562</v>
      </c>
      <c r="AN538" t="s">
        <v>4563</v>
      </c>
      <c r="AO538" s="134">
        <v>106.677177177177</v>
      </c>
      <c r="AP538" s="135">
        <v>119.965204236006</v>
      </c>
      <c r="AQ538">
        <v>0.34341906202723099</v>
      </c>
      <c r="AR538" s="136">
        <v>1.24205748865356</v>
      </c>
      <c r="AS538">
        <v>7.5204236006051399</v>
      </c>
    </row>
    <row r="539" spans="1:45" customFormat="1" ht="106">
      <c r="A539" s="65">
        <v>761</v>
      </c>
      <c r="B539" s="69" t="s">
        <v>2053</v>
      </c>
      <c r="C539" s="69" t="s">
        <v>45</v>
      </c>
      <c r="D539" s="31">
        <f t="shared" si="47"/>
        <v>4</v>
      </c>
      <c r="E539" s="69" t="s">
        <v>80</v>
      </c>
      <c r="F539" s="31">
        <f t="shared" si="48"/>
        <v>4</v>
      </c>
      <c r="G539" s="137" t="s">
        <v>2077</v>
      </c>
      <c r="H539" s="138">
        <v>74</v>
      </c>
      <c r="I539" s="92">
        <f t="shared" si="46"/>
        <v>0.77860082615074155</v>
      </c>
      <c r="J539" s="95">
        <v>0.807201652301483</v>
      </c>
      <c r="K539" s="137">
        <v>0.65205133627784295</v>
      </c>
      <c r="L539" s="137">
        <v>0.75</v>
      </c>
      <c r="M539" s="137">
        <v>0.50512834069460699</v>
      </c>
      <c r="N539" s="136">
        <v>0</v>
      </c>
      <c r="O539" s="154">
        <v>43314</v>
      </c>
      <c r="P539" s="98">
        <f t="shared" si="49"/>
        <v>1</v>
      </c>
      <c r="Q539" s="111">
        <v>0</v>
      </c>
      <c r="R539" s="111">
        <v>0</v>
      </c>
      <c r="S539" s="111">
        <v>0</v>
      </c>
      <c r="T539" s="112" t="s">
        <v>73</v>
      </c>
      <c r="U539" s="147" t="s">
        <v>2078</v>
      </c>
      <c r="V539" s="137" t="s">
        <v>2079</v>
      </c>
      <c r="W539" s="69">
        <v>160</v>
      </c>
      <c r="X539" s="171">
        <v>1</v>
      </c>
      <c r="Y539" s="171">
        <v>12</v>
      </c>
      <c r="Z539" s="69"/>
      <c r="AA539" t="s">
        <v>4522</v>
      </c>
      <c r="AB539" t="s">
        <v>71</v>
      </c>
      <c r="AC539" t="s">
        <v>4515</v>
      </c>
      <c r="AD539" t="s">
        <v>4790</v>
      </c>
      <c r="AE539" t="s">
        <v>4515</v>
      </c>
      <c r="AF539" t="s">
        <v>4790</v>
      </c>
      <c r="AG539" t="s">
        <v>4513</v>
      </c>
      <c r="AH539" t="s">
        <v>4614</v>
      </c>
      <c r="AI539" t="s">
        <v>4353</v>
      </c>
      <c r="AJ539" t="s">
        <v>4506</v>
      </c>
      <c r="AK539" t="s">
        <v>4518</v>
      </c>
      <c r="AL539" t="s">
        <v>4541</v>
      </c>
      <c r="AM539" t="s">
        <v>4528</v>
      </c>
      <c r="AN539" t="s">
        <v>4878</v>
      </c>
      <c r="AO539" s="134">
        <v>106.65413533834599</v>
      </c>
      <c r="AP539" s="135">
        <v>119.965204236006</v>
      </c>
      <c r="AQ539">
        <v>0.34341906202723099</v>
      </c>
      <c r="AR539" s="136">
        <v>1.24205748865356</v>
      </c>
      <c r="AS539">
        <v>7.5204236006051399</v>
      </c>
    </row>
    <row r="540" spans="1:45" customFormat="1" ht="121">
      <c r="A540">
        <v>762</v>
      </c>
      <c r="B540" s="69" t="s">
        <v>2053</v>
      </c>
      <c r="C540" s="69" t="s">
        <v>45</v>
      </c>
      <c r="D540" s="31">
        <f t="shared" si="47"/>
        <v>4</v>
      </c>
      <c r="E540" s="69" t="s">
        <v>80</v>
      </c>
      <c r="F540" s="31">
        <f t="shared" si="48"/>
        <v>4</v>
      </c>
      <c r="G540" s="147" t="s">
        <v>2077</v>
      </c>
      <c r="H540" s="138">
        <v>98</v>
      </c>
      <c r="I540" s="92">
        <f t="shared" si="46"/>
        <v>0.4042772448415205</v>
      </c>
      <c r="J540" s="95">
        <v>0.12673630786485901</v>
      </c>
      <c r="K540" s="137">
        <v>0.75194805194805203</v>
      </c>
      <c r="L540" s="137">
        <v>0.68181818181818199</v>
      </c>
      <c r="M540" s="137">
        <v>0.85714285714285698</v>
      </c>
      <c r="N540" s="136">
        <v>0</v>
      </c>
      <c r="O540" s="154">
        <v>43313</v>
      </c>
      <c r="P540" s="98">
        <f t="shared" si="49"/>
        <v>1</v>
      </c>
      <c r="Q540" s="111">
        <v>0</v>
      </c>
      <c r="R540" s="111">
        <v>0</v>
      </c>
      <c r="S540" s="111">
        <v>0</v>
      </c>
      <c r="T540" s="112" t="s">
        <v>73</v>
      </c>
      <c r="U540" s="137" t="s">
        <v>2080</v>
      </c>
      <c r="V540" s="137" t="s">
        <v>2081</v>
      </c>
      <c r="W540" s="69">
        <v>164</v>
      </c>
      <c r="X540" s="171">
        <v>1</v>
      </c>
      <c r="Y540" s="171">
        <v>1</v>
      </c>
      <c r="Z540" s="69"/>
      <c r="AA540" t="s">
        <v>4733</v>
      </c>
      <c r="AB540" t="s">
        <v>4597</v>
      </c>
      <c r="AC540" t="s">
        <v>4530</v>
      </c>
      <c r="AD540" t="s">
        <v>4729</v>
      </c>
      <c r="AE540" t="s">
        <v>4353</v>
      </c>
      <c r="AF540" t="s">
        <v>4506</v>
      </c>
      <c r="AG540" t="s">
        <v>4530</v>
      </c>
      <c r="AH540" t="s">
        <v>4729</v>
      </c>
      <c r="AI540" t="s">
        <v>223</v>
      </c>
      <c r="AJ540" t="s">
        <v>4640</v>
      </c>
      <c r="AK540" t="s">
        <v>4518</v>
      </c>
      <c r="AL540" t="s">
        <v>4552</v>
      </c>
      <c r="AM540" t="s">
        <v>4528</v>
      </c>
      <c r="AN540" t="s">
        <v>4557</v>
      </c>
      <c r="AO540" s="134">
        <v>106.667168674699</v>
      </c>
      <c r="AP540" s="135">
        <v>120.292237442922</v>
      </c>
      <c r="AQ540">
        <v>0.34398782343987799</v>
      </c>
      <c r="AR540" s="136">
        <v>1.24353120243531</v>
      </c>
      <c r="AS540">
        <v>7.3820395738203999</v>
      </c>
    </row>
    <row r="541" spans="1:45" customFormat="1" ht="60">
      <c r="A541" s="65">
        <v>996</v>
      </c>
      <c r="B541" s="69" t="s">
        <v>2638</v>
      </c>
      <c r="C541" s="69" t="s">
        <v>45</v>
      </c>
      <c r="D541" s="31">
        <f t="shared" si="47"/>
        <v>4</v>
      </c>
      <c r="E541" s="69" t="s">
        <v>46</v>
      </c>
      <c r="F541" s="31">
        <f t="shared" si="48"/>
        <v>6</v>
      </c>
      <c r="G541" s="89" t="s">
        <v>2698</v>
      </c>
      <c r="H541" s="138">
        <v>91</v>
      </c>
      <c r="I541" s="92">
        <f t="shared" si="46"/>
        <v>0.28174388232854941</v>
      </c>
      <c r="J541" s="95">
        <v>1.6639809158336401E-6</v>
      </c>
      <c r="K541" s="137">
        <v>0.68094880326285301</v>
      </c>
      <c r="L541" s="137">
        <v>0.56348610067618299</v>
      </c>
      <c r="M541" s="137">
        <v>0.85714285714285698</v>
      </c>
      <c r="N541" s="136">
        <v>1</v>
      </c>
      <c r="O541" s="157">
        <v>43313</v>
      </c>
      <c r="P541" s="98">
        <f t="shared" si="49"/>
        <v>0</v>
      </c>
      <c r="Q541" s="124">
        <v>7.65</v>
      </c>
      <c r="R541" s="124">
        <v>0</v>
      </c>
      <c r="S541" s="124">
        <v>0</v>
      </c>
      <c r="T541" s="170" t="s">
        <v>48</v>
      </c>
      <c r="U541" s="89" t="s">
        <v>4448</v>
      </c>
      <c r="V541" s="218" t="s">
        <v>2700</v>
      </c>
      <c r="W541" s="69">
        <v>16</v>
      </c>
      <c r="X541" s="69">
        <v>1</v>
      </c>
      <c r="Y541" s="69">
        <v>1</v>
      </c>
      <c r="Z541" s="69"/>
      <c r="AA541" t="s">
        <v>4757</v>
      </c>
      <c r="AB541" t="s">
        <v>87</v>
      </c>
      <c r="AC541" t="s">
        <v>223</v>
      </c>
      <c r="AD541" t="s">
        <v>4651</v>
      </c>
      <c r="AE541" t="s">
        <v>4353</v>
      </c>
      <c r="AF541" t="s">
        <v>4506</v>
      </c>
      <c r="AG541" t="s">
        <v>4353</v>
      </c>
      <c r="AH541" t="s">
        <v>4506</v>
      </c>
      <c r="AI541" t="s">
        <v>4353</v>
      </c>
      <c r="AJ541" t="s">
        <v>4506</v>
      </c>
      <c r="AK541" t="s">
        <v>4519</v>
      </c>
      <c r="AL541" t="s">
        <v>4519</v>
      </c>
      <c r="AM541" t="s">
        <v>4528</v>
      </c>
      <c r="AN541" t="s">
        <v>4529</v>
      </c>
      <c r="AO541" s="134">
        <v>106.690799396682</v>
      </c>
      <c r="AP541" s="135">
        <v>120.292237442922</v>
      </c>
      <c r="AQ541">
        <v>0.34398782343987799</v>
      </c>
      <c r="AR541" s="136">
        <v>1.24353120243531</v>
      </c>
      <c r="AS541">
        <v>7.3820395738203999</v>
      </c>
    </row>
    <row r="542" spans="1:45" customFormat="1" ht="46">
      <c r="A542" s="65">
        <v>340</v>
      </c>
      <c r="B542" s="69" t="s">
        <v>589</v>
      </c>
      <c r="C542" s="69" t="s">
        <v>45</v>
      </c>
      <c r="D542" s="31">
        <f t="shared" si="47"/>
        <v>4</v>
      </c>
      <c r="E542" s="69" t="s">
        <v>80</v>
      </c>
      <c r="F542" s="31">
        <f t="shared" si="48"/>
        <v>4</v>
      </c>
      <c r="G542" s="188" t="s">
        <v>993</v>
      </c>
      <c r="H542" s="138">
        <v>50</v>
      </c>
      <c r="I542" s="92">
        <f t="shared" si="46"/>
        <v>0.41285977918364808</v>
      </c>
      <c r="J542" s="95">
        <v>7.1955836729620205E-4</v>
      </c>
      <c r="K542" s="137">
        <v>0.81418779643582295</v>
      </c>
      <c r="L542" s="137">
        <v>0.82499999999999996</v>
      </c>
      <c r="M542" s="137">
        <v>0.79796949108955795</v>
      </c>
      <c r="N542" s="136">
        <v>1</v>
      </c>
      <c r="O542" s="154">
        <v>43311</v>
      </c>
      <c r="P542" s="98">
        <f t="shared" si="49"/>
        <v>0</v>
      </c>
      <c r="Q542" s="111">
        <v>12.75</v>
      </c>
      <c r="R542" s="111">
        <v>0</v>
      </c>
      <c r="S542" s="111">
        <v>0</v>
      </c>
      <c r="T542" s="112" t="s">
        <v>48</v>
      </c>
      <c r="U542" s="147" t="s">
        <v>4383</v>
      </c>
      <c r="V542" s="188" t="s">
        <v>995</v>
      </c>
      <c r="W542" s="69">
        <v>35</v>
      </c>
      <c r="X542" s="195">
        <v>1</v>
      </c>
      <c r="Y542" s="195">
        <v>2</v>
      </c>
      <c r="AA542" t="s">
        <v>4522</v>
      </c>
      <c r="AB542" t="s">
        <v>4576</v>
      </c>
      <c r="AC542" t="s">
        <v>4353</v>
      </c>
      <c r="AD542" t="s">
        <v>4506</v>
      </c>
      <c r="AE542" t="s">
        <v>223</v>
      </c>
      <c r="AF542" t="s">
        <v>4531</v>
      </c>
      <c r="AG542" t="s">
        <v>223</v>
      </c>
      <c r="AH542" t="s">
        <v>4531</v>
      </c>
      <c r="AI542" t="s">
        <v>4353</v>
      </c>
      <c r="AJ542" t="s">
        <v>4506</v>
      </c>
      <c r="AK542" t="s">
        <v>4519</v>
      </c>
      <c r="AL542" t="s">
        <v>4519</v>
      </c>
      <c r="AM542" t="s">
        <v>4510</v>
      </c>
      <c r="AN542" t="s">
        <v>4550</v>
      </c>
      <c r="AO542" s="134">
        <v>106.776435045317</v>
      </c>
      <c r="AP542" s="135">
        <v>120.225954198473</v>
      </c>
      <c r="AQ542">
        <v>0.34351145038167902</v>
      </c>
      <c r="AR542" s="136">
        <v>1.24427480916031</v>
      </c>
      <c r="AS542">
        <v>7.3923664122137396</v>
      </c>
    </row>
    <row r="543" spans="1:45" customFormat="1" ht="76">
      <c r="A543" s="65">
        <v>629</v>
      </c>
      <c r="B543" s="69" t="s">
        <v>1707</v>
      </c>
      <c r="C543" s="69" t="s">
        <v>45</v>
      </c>
      <c r="D543" s="31">
        <f t="shared" si="47"/>
        <v>4</v>
      </c>
      <c r="E543" s="69" t="s">
        <v>46</v>
      </c>
      <c r="F543" s="31">
        <f t="shared" si="48"/>
        <v>6</v>
      </c>
      <c r="G543" s="188" t="s">
        <v>1739</v>
      </c>
      <c r="H543" s="138">
        <v>122</v>
      </c>
      <c r="I543" s="92">
        <f t="shared" si="46"/>
        <v>0.37501424629160723</v>
      </c>
      <c r="J543" s="95">
        <v>2.8492583214467799E-5</v>
      </c>
      <c r="K543" s="137">
        <v>0.75102566813892102</v>
      </c>
      <c r="L543" s="137">
        <v>0.75</v>
      </c>
      <c r="M543" s="137">
        <v>0.75256417034730305</v>
      </c>
      <c r="N543" s="136">
        <v>1</v>
      </c>
      <c r="O543" s="154">
        <v>43308</v>
      </c>
      <c r="P543" s="98">
        <f t="shared" si="49"/>
        <v>0</v>
      </c>
      <c r="Q543" s="111">
        <v>5.0999999999999996</v>
      </c>
      <c r="R543" s="111">
        <v>1.65</v>
      </c>
      <c r="S543" s="111">
        <v>0</v>
      </c>
      <c r="T543" s="112" t="s">
        <v>48</v>
      </c>
      <c r="U543" s="147" t="s">
        <v>1740</v>
      </c>
      <c r="V543" s="137" t="s">
        <v>4407</v>
      </c>
      <c r="W543" s="69">
        <v>118</v>
      </c>
      <c r="X543" s="195">
        <v>1</v>
      </c>
      <c r="Y543" s="195">
        <v>3</v>
      </c>
      <c r="Z543" s="69"/>
      <c r="AA543" t="s">
        <v>4733</v>
      </c>
      <c r="AB543" t="s">
        <v>71</v>
      </c>
      <c r="AC543" t="s">
        <v>4515</v>
      </c>
      <c r="AD543" t="s">
        <v>4849</v>
      </c>
      <c r="AE543" t="s">
        <v>223</v>
      </c>
      <c r="AF543" t="s">
        <v>4668</v>
      </c>
      <c r="AG543" t="s">
        <v>4513</v>
      </c>
      <c r="AH543" t="s">
        <v>4531</v>
      </c>
      <c r="AI543" t="s">
        <v>4353</v>
      </c>
      <c r="AJ543" t="s">
        <v>4506</v>
      </c>
      <c r="AK543" t="s">
        <v>4519</v>
      </c>
      <c r="AL543" t="s">
        <v>4519</v>
      </c>
      <c r="AM543" t="s">
        <v>4528</v>
      </c>
      <c r="AN543" t="s">
        <v>4529</v>
      </c>
      <c r="AO543" s="134">
        <v>106.753403933434</v>
      </c>
      <c r="AP543" s="135">
        <v>120.225954198473</v>
      </c>
      <c r="AQ543">
        <v>0.34351145038167902</v>
      </c>
      <c r="AR543" s="136">
        <v>1.24427480916031</v>
      </c>
      <c r="AS543">
        <v>7.3923664122137396</v>
      </c>
    </row>
    <row r="544" spans="1:45" customFormat="1" ht="121">
      <c r="A544">
        <v>763</v>
      </c>
      <c r="B544" s="69" t="s">
        <v>2053</v>
      </c>
      <c r="C544" s="69" t="s">
        <v>45</v>
      </c>
      <c r="D544" s="31">
        <f t="shared" si="47"/>
        <v>4</v>
      </c>
      <c r="E544" s="69" t="s">
        <v>80</v>
      </c>
      <c r="F544" s="31">
        <f t="shared" si="48"/>
        <v>4</v>
      </c>
      <c r="G544" s="137" t="s">
        <v>2077</v>
      </c>
      <c r="H544" s="138">
        <v>114</v>
      </c>
      <c r="I544" s="92">
        <f t="shared" si="46"/>
        <v>0.58923265398091296</v>
      </c>
      <c r="J544" s="95">
        <v>0.55863059721802399</v>
      </c>
      <c r="K544" s="137">
        <v>0.64412551344629299</v>
      </c>
      <c r="L544" s="137">
        <v>0.61983471074380203</v>
      </c>
      <c r="M544" s="137">
        <v>0.68056171750003003</v>
      </c>
      <c r="N544" s="136">
        <v>0</v>
      </c>
      <c r="O544" s="154">
        <v>43307</v>
      </c>
      <c r="P544" s="98">
        <f t="shared" si="49"/>
        <v>0</v>
      </c>
      <c r="Q544" s="111">
        <v>0</v>
      </c>
      <c r="R544" s="111">
        <v>0</v>
      </c>
      <c r="S544" s="111">
        <v>0</v>
      </c>
      <c r="T544" s="112" t="s">
        <v>48</v>
      </c>
      <c r="U544" s="137" t="s">
        <v>2082</v>
      </c>
      <c r="V544" s="136" t="s">
        <v>2083</v>
      </c>
      <c r="W544" s="69">
        <v>166</v>
      </c>
      <c r="X544" s="69">
        <v>2</v>
      </c>
      <c r="Y544" s="69">
        <v>5</v>
      </c>
      <c r="Z544" s="69"/>
      <c r="AA544" t="s">
        <v>4512</v>
      </c>
      <c r="AB544" t="s">
        <v>4597</v>
      </c>
      <c r="AC544" t="s">
        <v>4530</v>
      </c>
      <c r="AD544" t="s">
        <v>4729</v>
      </c>
      <c r="AE544" t="s">
        <v>4515</v>
      </c>
      <c r="AF544" t="s">
        <v>4639</v>
      </c>
      <c r="AG544" t="s">
        <v>4530</v>
      </c>
      <c r="AH544" t="s">
        <v>4729</v>
      </c>
      <c r="AI544" t="s">
        <v>223</v>
      </c>
      <c r="AJ544" t="s">
        <v>4640</v>
      </c>
      <c r="AK544" t="s">
        <v>4519</v>
      </c>
      <c r="AL544" t="s">
        <v>4552</v>
      </c>
      <c r="AM544" t="s">
        <v>4520</v>
      </c>
      <c r="AN544" t="s">
        <v>4652</v>
      </c>
      <c r="AO544" s="134">
        <v>106.74242424242399</v>
      </c>
      <c r="AP544" s="135">
        <v>120.238897396631</v>
      </c>
      <c r="AQ544">
        <v>0.34303215926493102</v>
      </c>
      <c r="AR544" s="136">
        <v>1.2450229709035201</v>
      </c>
      <c r="AS544">
        <v>7.4042879019908101</v>
      </c>
    </row>
    <row r="545" spans="1:45" customFormat="1" ht="61">
      <c r="A545">
        <v>926</v>
      </c>
      <c r="B545" s="69" t="s">
        <v>2510</v>
      </c>
      <c r="C545" s="69" t="s">
        <v>45</v>
      </c>
      <c r="D545" s="31">
        <f t="shared" si="47"/>
        <v>4</v>
      </c>
      <c r="E545" s="69" t="s">
        <v>46</v>
      </c>
      <c r="F545" s="31">
        <f t="shared" si="48"/>
        <v>6</v>
      </c>
      <c r="G545" s="136" t="s">
        <v>2527</v>
      </c>
      <c r="H545" s="138">
        <v>46</v>
      </c>
      <c r="I545" s="92">
        <f t="shared" si="46"/>
        <v>0.37690485827791204</v>
      </c>
      <c r="J545" s="95">
        <v>0.13397500581202201</v>
      </c>
      <c r="K545" s="137">
        <v>0.631929984001528</v>
      </c>
      <c r="L545" s="137">
        <v>0.61983471074380203</v>
      </c>
      <c r="M545" s="137">
        <v>0.65007289388811795</v>
      </c>
      <c r="N545" s="136">
        <v>1</v>
      </c>
      <c r="O545" s="154">
        <v>43307</v>
      </c>
      <c r="P545" s="98">
        <f t="shared" si="49"/>
        <v>1</v>
      </c>
      <c r="Q545" s="111">
        <v>0</v>
      </c>
      <c r="R545" s="111">
        <v>1.65</v>
      </c>
      <c r="S545" s="111">
        <v>0</v>
      </c>
      <c r="T545" s="112" t="s">
        <v>73</v>
      </c>
      <c r="U545" s="188" t="s">
        <v>2528</v>
      </c>
      <c r="V545" s="188" t="s">
        <v>2529</v>
      </c>
      <c r="W545" s="69">
        <v>90</v>
      </c>
      <c r="X545" s="195">
        <v>2</v>
      </c>
      <c r="Y545" s="195">
        <v>6</v>
      </c>
      <c r="Z545" s="69"/>
      <c r="AA545" t="s">
        <v>4564</v>
      </c>
      <c r="AB545" t="s">
        <v>71</v>
      </c>
      <c r="AC545" t="s">
        <v>4515</v>
      </c>
      <c r="AD545" t="s">
        <v>4779</v>
      </c>
      <c r="AE545" t="s">
        <v>4353</v>
      </c>
      <c r="AF545" t="s">
        <v>4506</v>
      </c>
      <c r="AG545" t="s">
        <v>4513</v>
      </c>
      <c r="AH545" t="s">
        <v>4711</v>
      </c>
      <c r="AI545" t="s">
        <v>4353</v>
      </c>
      <c r="AJ545" t="s">
        <v>4506</v>
      </c>
      <c r="AK545" t="s">
        <v>4519</v>
      </c>
      <c r="AL545" t="s">
        <v>4519</v>
      </c>
      <c r="AM545" t="s">
        <v>4528</v>
      </c>
      <c r="AN545" t="s">
        <v>4529</v>
      </c>
      <c r="AO545" s="134">
        <v>106.834597875569</v>
      </c>
      <c r="AP545" s="135">
        <v>120.238897396631</v>
      </c>
      <c r="AQ545">
        <v>0.34303215926493102</v>
      </c>
      <c r="AR545" s="136">
        <v>1.2450229709035201</v>
      </c>
      <c r="AS545">
        <v>7.4042879019908101</v>
      </c>
    </row>
    <row r="546" spans="1:45" customFormat="1" ht="60">
      <c r="A546">
        <v>1138</v>
      </c>
      <c r="B546" s="69" t="s">
        <v>3082</v>
      </c>
      <c r="C546" s="69" t="s">
        <v>45</v>
      </c>
      <c r="D546" s="31">
        <f t="shared" si="47"/>
        <v>4</v>
      </c>
      <c r="E546" s="69" t="s">
        <v>80</v>
      </c>
      <c r="F546" s="31">
        <f t="shared" si="48"/>
        <v>4</v>
      </c>
      <c r="G546" s="190" t="s">
        <v>3095</v>
      </c>
      <c r="H546" s="138">
        <v>97</v>
      </c>
      <c r="I546" s="92">
        <f t="shared" si="46"/>
        <v>0.41405391399911512</v>
      </c>
      <c r="J546" s="95">
        <v>3.1078279982302802E-3</v>
      </c>
      <c r="K546" s="137">
        <v>0.74381421079630905</v>
      </c>
      <c r="L546" s="137">
        <v>0.82499999999999996</v>
      </c>
      <c r="M546" s="137">
        <v>0.62203552699077302</v>
      </c>
      <c r="N546" s="136">
        <v>1</v>
      </c>
      <c r="O546" s="157">
        <v>43307</v>
      </c>
      <c r="P546" s="98">
        <f t="shared" si="49"/>
        <v>0</v>
      </c>
      <c r="Q546" s="113">
        <v>0</v>
      </c>
      <c r="R546" s="113">
        <v>1.65</v>
      </c>
      <c r="S546" s="113">
        <v>0</v>
      </c>
      <c r="T546" s="119" t="s">
        <v>48</v>
      </c>
      <c r="U546" s="89" t="s">
        <v>3096</v>
      </c>
      <c r="V546" s="172" t="s">
        <v>3097</v>
      </c>
      <c r="W546" s="69">
        <v>38</v>
      </c>
      <c r="X546" s="195">
        <v>2</v>
      </c>
      <c r="Y546" s="195">
        <v>7</v>
      </c>
      <c r="Z546" s="69"/>
      <c r="AA546" t="s">
        <v>4551</v>
      </c>
      <c r="AB546" t="s">
        <v>51</v>
      </c>
      <c r="AC546" t="s">
        <v>4515</v>
      </c>
      <c r="AD546" t="s">
        <v>4646</v>
      </c>
      <c r="AE546" t="s">
        <v>4513</v>
      </c>
      <c r="AF546" t="s">
        <v>4935</v>
      </c>
      <c r="AG546" t="s">
        <v>4353</v>
      </c>
      <c r="AH546" t="s">
        <v>4506</v>
      </c>
      <c r="AI546" t="s">
        <v>4353</v>
      </c>
      <c r="AJ546" t="s">
        <v>4506</v>
      </c>
      <c r="AK546" t="s">
        <v>4519</v>
      </c>
      <c r="AL546" t="s">
        <v>4552</v>
      </c>
      <c r="AM546" t="s">
        <v>4510</v>
      </c>
      <c r="AN546" t="s">
        <v>4634</v>
      </c>
      <c r="AO546" s="134">
        <v>106.84954407294801</v>
      </c>
      <c r="AP546" s="135">
        <v>120.238897396631</v>
      </c>
      <c r="AQ546">
        <v>0.34303215926493102</v>
      </c>
      <c r="AR546" s="136">
        <v>1.2450229709035201</v>
      </c>
      <c r="AS546">
        <v>7.4042879019908101</v>
      </c>
    </row>
    <row r="547" spans="1:45" customFormat="1" ht="61">
      <c r="A547">
        <v>83</v>
      </c>
      <c r="B547" s="69" t="s">
        <v>217</v>
      </c>
      <c r="C547" s="69" t="s">
        <v>45</v>
      </c>
      <c r="D547" s="31">
        <f t="shared" si="47"/>
        <v>4</v>
      </c>
      <c r="E547" s="69" t="s">
        <v>80</v>
      </c>
      <c r="F547" s="31">
        <f t="shared" si="48"/>
        <v>4</v>
      </c>
      <c r="G547" s="137" t="s">
        <v>296</v>
      </c>
      <c r="H547" s="138">
        <v>47</v>
      </c>
      <c r="I547" s="92">
        <f t="shared" si="46"/>
        <v>0.4141774748774929</v>
      </c>
      <c r="J547" s="95">
        <v>3.3549497549858502E-3</v>
      </c>
      <c r="K547" s="137">
        <v>0.79602566813892095</v>
      </c>
      <c r="L547" s="137">
        <v>0.82499999999999996</v>
      </c>
      <c r="M547" s="137">
        <v>0.75256417034730305</v>
      </c>
      <c r="N547" s="136">
        <v>1</v>
      </c>
      <c r="O547" s="168">
        <v>43304</v>
      </c>
      <c r="P547" s="98">
        <f t="shared" si="49"/>
        <v>0</v>
      </c>
      <c r="Q547" s="111">
        <v>0</v>
      </c>
      <c r="R547" s="111">
        <v>0</v>
      </c>
      <c r="S547" s="111">
        <v>0</v>
      </c>
      <c r="T547" s="112" t="s">
        <v>48</v>
      </c>
      <c r="U547" s="137" t="s">
        <v>297</v>
      </c>
      <c r="V547" s="137" t="s">
        <v>298</v>
      </c>
      <c r="W547" s="69">
        <v>78</v>
      </c>
      <c r="X547" s="69">
        <v>1</v>
      </c>
      <c r="Y547" s="69">
        <v>3</v>
      </c>
      <c r="AA547" t="s">
        <v>4556</v>
      </c>
      <c r="AB547" t="s">
        <v>87</v>
      </c>
      <c r="AC547" t="s">
        <v>4515</v>
      </c>
      <c r="AD547" t="s">
        <v>4769</v>
      </c>
      <c r="AE547" t="s">
        <v>223</v>
      </c>
      <c r="AF547" t="s">
        <v>4685</v>
      </c>
      <c r="AG547" t="s">
        <v>4353</v>
      </c>
      <c r="AH547" t="s">
        <v>4506</v>
      </c>
      <c r="AI547" t="s">
        <v>223</v>
      </c>
      <c r="AJ547" t="s">
        <v>4685</v>
      </c>
      <c r="AK547" t="s">
        <v>4519</v>
      </c>
      <c r="AL547" t="s">
        <v>4519</v>
      </c>
      <c r="AM547" t="s">
        <v>4528</v>
      </c>
      <c r="AN547" t="s">
        <v>4529</v>
      </c>
      <c r="AO547" s="134">
        <v>106.94063926940601</v>
      </c>
      <c r="AP547" s="135">
        <v>120.408320493066</v>
      </c>
      <c r="AQ547">
        <v>0.338983050847458</v>
      </c>
      <c r="AR547" s="136">
        <v>1.2465331278890599</v>
      </c>
      <c r="AS547">
        <v>7.4191063174113996</v>
      </c>
    </row>
    <row r="548" spans="1:45" customFormat="1" ht="106">
      <c r="A548">
        <v>875</v>
      </c>
      <c r="B548" s="69" t="s">
        <v>2355</v>
      </c>
      <c r="C548" s="69" t="s">
        <v>45</v>
      </c>
      <c r="D548" s="31">
        <f t="shared" si="47"/>
        <v>4</v>
      </c>
      <c r="E548" s="69" t="s">
        <v>46</v>
      </c>
      <c r="F548" s="31">
        <f t="shared" si="48"/>
        <v>6</v>
      </c>
      <c r="G548" s="189" t="s">
        <v>2383</v>
      </c>
      <c r="H548" s="138">
        <v>138</v>
      </c>
      <c r="I548" s="92">
        <f t="shared" si="46"/>
        <v>0.50588455843952151</v>
      </c>
      <c r="J548" s="95">
        <v>0.32995093506086098</v>
      </c>
      <c r="K548" s="137">
        <v>0.69480519480519498</v>
      </c>
      <c r="L548" s="137">
        <v>0.68181818181818199</v>
      </c>
      <c r="M548" s="137">
        <v>0.71428571428571397</v>
      </c>
      <c r="N548" s="136">
        <v>1</v>
      </c>
      <c r="O548" s="154">
        <v>43303</v>
      </c>
      <c r="P548" s="98">
        <f t="shared" si="49"/>
        <v>2</v>
      </c>
      <c r="Q548" s="111">
        <v>7.65</v>
      </c>
      <c r="R548" s="111">
        <v>0</v>
      </c>
      <c r="S548" s="111">
        <v>0</v>
      </c>
      <c r="T548" s="112" t="s">
        <v>64</v>
      </c>
      <c r="U548" s="137" t="s">
        <v>2384</v>
      </c>
      <c r="V548" s="137" t="s">
        <v>2385</v>
      </c>
      <c r="W548" s="69">
        <v>154</v>
      </c>
      <c r="X548" s="195">
        <v>2</v>
      </c>
      <c r="Y548" s="195">
        <v>4</v>
      </c>
      <c r="Z548" s="69"/>
      <c r="AA548" t="s">
        <v>4543</v>
      </c>
      <c r="AB548" t="s">
        <v>87</v>
      </c>
      <c r="AC548" t="s">
        <v>4538</v>
      </c>
      <c r="AD548" t="s">
        <v>4936</v>
      </c>
      <c r="AE548" t="s">
        <v>223</v>
      </c>
      <c r="AF548" t="s">
        <v>4921</v>
      </c>
      <c r="AG548" t="s">
        <v>4530</v>
      </c>
      <c r="AH548" t="s">
        <v>4769</v>
      </c>
      <c r="AI548" t="s">
        <v>4353</v>
      </c>
      <c r="AJ548" t="s">
        <v>4506</v>
      </c>
      <c r="AK548" t="s">
        <v>4519</v>
      </c>
      <c r="AL548" t="s">
        <v>4552</v>
      </c>
      <c r="AM548" t="s">
        <v>4528</v>
      </c>
      <c r="AN548" t="s">
        <v>4618</v>
      </c>
      <c r="AO548" s="134">
        <v>106.99085365853701</v>
      </c>
      <c r="AP548" s="135">
        <v>120.170579029734</v>
      </c>
      <c r="AQ548">
        <v>0.338983050847458</v>
      </c>
      <c r="AR548" s="136">
        <v>1.2465331278890599</v>
      </c>
      <c r="AS548">
        <v>7.4191063174113996</v>
      </c>
    </row>
    <row r="549" spans="1:45" customFormat="1" ht="46">
      <c r="A549">
        <v>174</v>
      </c>
      <c r="B549" s="69" t="s">
        <v>499</v>
      </c>
      <c r="C549" s="69" t="s">
        <v>59</v>
      </c>
      <c r="D549" s="31">
        <f t="shared" si="47"/>
        <v>5</v>
      </c>
      <c r="E549" s="69" t="s">
        <v>46</v>
      </c>
      <c r="F549" s="31">
        <f t="shared" si="48"/>
        <v>6</v>
      </c>
      <c r="G549" s="169" t="s">
        <v>542</v>
      </c>
      <c r="H549" s="138">
        <v>74</v>
      </c>
      <c r="I549" s="92">
        <f t="shared" si="46"/>
        <v>0.37718338366226473</v>
      </c>
      <c r="J549" s="95">
        <v>4.3667673245294499E-3</v>
      </c>
      <c r="K549" s="137">
        <v>0.76918779643582302</v>
      </c>
      <c r="L549" s="137">
        <v>0.75</v>
      </c>
      <c r="M549" s="137">
        <v>0.79796949108955795</v>
      </c>
      <c r="N549" s="136">
        <v>1</v>
      </c>
      <c r="O549" s="154">
        <v>43303</v>
      </c>
      <c r="P549" s="98">
        <f t="shared" si="49"/>
        <v>1</v>
      </c>
      <c r="Q549" s="111">
        <v>0</v>
      </c>
      <c r="R549" s="111">
        <v>0</v>
      </c>
      <c r="S549" s="111">
        <v>0</v>
      </c>
      <c r="T549" s="112" t="s">
        <v>73</v>
      </c>
      <c r="U549" s="137" t="s">
        <v>543</v>
      </c>
      <c r="V549" s="137" t="s">
        <v>544</v>
      </c>
      <c r="W549" s="69">
        <v>36</v>
      </c>
      <c r="X549" s="69">
        <v>2</v>
      </c>
      <c r="Y549" s="69">
        <v>2</v>
      </c>
      <c r="AA549" t="s">
        <v>4522</v>
      </c>
      <c r="AB549" t="s">
        <v>87</v>
      </c>
      <c r="AC549" t="s">
        <v>223</v>
      </c>
      <c r="AD549" t="s">
        <v>4531</v>
      </c>
      <c r="AE549" t="s">
        <v>4353</v>
      </c>
      <c r="AF549" t="s">
        <v>4506</v>
      </c>
      <c r="AG549" t="s">
        <v>4353</v>
      </c>
      <c r="AH549" t="s">
        <v>4506</v>
      </c>
      <c r="AI549" t="s">
        <v>4353</v>
      </c>
      <c r="AJ549" t="s">
        <v>4506</v>
      </c>
      <c r="AK549" t="s">
        <v>4519</v>
      </c>
      <c r="AL549" t="s">
        <v>4519</v>
      </c>
      <c r="AM549" t="s">
        <v>4766</v>
      </c>
      <c r="AN549" t="s">
        <v>4543</v>
      </c>
      <c r="AO549" s="134">
        <v>106.943511450382</v>
      </c>
      <c r="AP549" s="135">
        <v>120.408320493066</v>
      </c>
      <c r="AQ549">
        <v>0.338983050847458</v>
      </c>
      <c r="AR549" s="136">
        <v>1.2465331278890599</v>
      </c>
      <c r="AS549">
        <v>7.4191063174113996</v>
      </c>
    </row>
    <row r="550" spans="1:45" customFormat="1" ht="61">
      <c r="A550" s="65">
        <v>997</v>
      </c>
      <c r="B550" s="69" t="s">
        <v>2638</v>
      </c>
      <c r="C550" s="69" t="s">
        <v>45</v>
      </c>
      <c r="D550" s="31">
        <f t="shared" si="47"/>
        <v>4</v>
      </c>
      <c r="E550" s="69" t="s">
        <v>46</v>
      </c>
      <c r="F550" s="31">
        <f t="shared" si="48"/>
        <v>6</v>
      </c>
      <c r="G550" s="89" t="s">
        <v>2701</v>
      </c>
      <c r="H550" s="138">
        <v>90</v>
      </c>
      <c r="I550" s="92">
        <f t="shared" si="46"/>
        <v>0.70125206105122095</v>
      </c>
      <c r="J550" s="95">
        <v>0.83901802142625903</v>
      </c>
      <c r="K550" s="137">
        <v>0.49565504971317897</v>
      </c>
      <c r="L550" s="137">
        <v>0.56348610067618299</v>
      </c>
      <c r="M550" s="137">
        <v>0.39390847326867401</v>
      </c>
      <c r="N550" s="136">
        <v>1</v>
      </c>
      <c r="O550" s="157">
        <v>43302</v>
      </c>
      <c r="P550" s="98">
        <f t="shared" si="49"/>
        <v>1</v>
      </c>
      <c r="Q550" s="124">
        <v>2.5499999999999998</v>
      </c>
      <c r="R550" s="124">
        <v>3.3</v>
      </c>
      <c r="S550" s="124">
        <v>1.87</v>
      </c>
      <c r="T550" s="170" t="s">
        <v>73</v>
      </c>
      <c r="U550" s="89" t="s">
        <v>2702</v>
      </c>
      <c r="V550" s="172" t="s">
        <v>2703</v>
      </c>
      <c r="W550" s="69">
        <v>76</v>
      </c>
      <c r="X550" s="69">
        <v>2</v>
      </c>
      <c r="Y550" s="69">
        <v>18</v>
      </c>
      <c r="Z550" s="69"/>
      <c r="AA550" t="s">
        <v>4543</v>
      </c>
      <c r="AB550" t="s">
        <v>4576</v>
      </c>
      <c r="AC550" t="s">
        <v>4353</v>
      </c>
      <c r="AD550" t="s">
        <v>4506</v>
      </c>
      <c r="AE550" t="s">
        <v>223</v>
      </c>
      <c r="AF550" t="s">
        <v>4635</v>
      </c>
      <c r="AG550" t="s">
        <v>223</v>
      </c>
      <c r="AH550" t="s">
        <v>4635</v>
      </c>
      <c r="AI550" t="s">
        <v>4353</v>
      </c>
      <c r="AJ550" t="s">
        <v>4506</v>
      </c>
      <c r="AK550" t="s">
        <v>4519</v>
      </c>
      <c r="AL550" t="s">
        <v>4519</v>
      </c>
      <c r="AM550" t="s">
        <v>4528</v>
      </c>
      <c r="AN550" t="s">
        <v>4529</v>
      </c>
      <c r="AO550" s="134">
        <v>106.96941896024499</v>
      </c>
      <c r="AP550" s="135">
        <v>120.408320493066</v>
      </c>
      <c r="AQ550">
        <v>0.338983050847458</v>
      </c>
      <c r="AR550" s="136">
        <v>1.2465331278890599</v>
      </c>
      <c r="AS550">
        <v>7.4191063174113996</v>
      </c>
    </row>
    <row r="551" spans="1:45" customFormat="1" ht="91">
      <c r="A551">
        <v>1026</v>
      </c>
      <c r="B551" s="69" t="s">
        <v>2752</v>
      </c>
      <c r="C551" s="69" t="s">
        <v>45</v>
      </c>
      <c r="D551" s="31">
        <f t="shared" si="47"/>
        <v>4</v>
      </c>
      <c r="E551" s="69" t="s">
        <v>80</v>
      </c>
      <c r="F551" s="31">
        <f t="shared" si="48"/>
        <v>4</v>
      </c>
      <c r="G551" s="139" t="s">
        <v>159</v>
      </c>
      <c r="H551" s="138">
        <v>76</v>
      </c>
      <c r="I551" s="92">
        <f t="shared" si="46"/>
        <v>0.43343114856544002</v>
      </c>
      <c r="J551" s="95">
        <v>0.11686229713088001</v>
      </c>
      <c r="K551" s="137">
        <v>0.643968498544915</v>
      </c>
      <c r="L551" s="137">
        <v>0.75</v>
      </c>
      <c r="M551" s="137">
        <v>0.48492124636228701</v>
      </c>
      <c r="N551" s="136">
        <v>1</v>
      </c>
      <c r="O551" s="204">
        <v>43300</v>
      </c>
      <c r="P551" s="98">
        <f t="shared" si="49"/>
        <v>1</v>
      </c>
      <c r="Q551" s="113">
        <v>5.0999999999999996</v>
      </c>
      <c r="R551" s="113">
        <v>1.65</v>
      </c>
      <c r="S551" s="113">
        <v>0</v>
      </c>
      <c r="T551" s="119" t="s">
        <v>73</v>
      </c>
      <c r="U551" s="89" t="s">
        <v>2786</v>
      </c>
      <c r="V551" s="172" t="s">
        <v>2787</v>
      </c>
      <c r="W551" s="69">
        <v>122</v>
      </c>
      <c r="X551" s="69">
        <v>1</v>
      </c>
      <c r="Y551" s="69">
        <v>13</v>
      </c>
      <c r="Z551" s="69"/>
      <c r="AA551" t="s">
        <v>4522</v>
      </c>
      <c r="AB551" t="s">
        <v>87</v>
      </c>
      <c r="AC551" t="s">
        <v>4513</v>
      </c>
      <c r="AD551" t="s">
        <v>4537</v>
      </c>
      <c r="AE551" t="s">
        <v>223</v>
      </c>
      <c r="AF551" t="s">
        <v>4545</v>
      </c>
      <c r="AG551" t="s">
        <v>223</v>
      </c>
      <c r="AH551" t="s">
        <v>4545</v>
      </c>
      <c r="AI551" t="s">
        <v>4515</v>
      </c>
      <c r="AJ551" t="s">
        <v>4721</v>
      </c>
      <c r="AK551" t="s">
        <v>4519</v>
      </c>
      <c r="AL551" t="s">
        <v>4552</v>
      </c>
      <c r="AM551" t="s">
        <v>4510</v>
      </c>
      <c r="AN551" t="s">
        <v>4634</v>
      </c>
      <c r="AO551" s="134">
        <v>107.01990811638601</v>
      </c>
      <c r="AP551" s="135">
        <v>120.408320493066</v>
      </c>
      <c r="AQ551">
        <v>0.338983050847458</v>
      </c>
      <c r="AR551" s="136">
        <v>1.2465331278890599</v>
      </c>
      <c r="AS551">
        <v>7.4191063174113996</v>
      </c>
    </row>
    <row r="552" spans="1:45" customFormat="1" ht="91">
      <c r="A552" s="65">
        <v>1025</v>
      </c>
      <c r="B552" s="69" t="s">
        <v>2752</v>
      </c>
      <c r="C552" s="69" t="s">
        <v>45</v>
      </c>
      <c r="D552" s="31">
        <f t="shared" si="47"/>
        <v>4</v>
      </c>
      <c r="E552" s="69" t="s">
        <v>80</v>
      </c>
      <c r="F552" s="31">
        <f t="shared" si="48"/>
        <v>4</v>
      </c>
      <c r="G552" s="139" t="s">
        <v>180</v>
      </c>
      <c r="H552" s="138">
        <v>74</v>
      </c>
      <c r="I552" s="92">
        <f t="shared" si="46"/>
        <v>0.37546714915058349</v>
      </c>
      <c r="J552" s="95">
        <v>9.3429830116697999E-4</v>
      </c>
      <c r="K552" s="137">
        <v>0.73571428571428599</v>
      </c>
      <c r="L552" s="137">
        <v>0.75</v>
      </c>
      <c r="M552" s="137">
        <v>0.71428571428571397</v>
      </c>
      <c r="N552" s="136">
        <v>1</v>
      </c>
      <c r="O552" s="157">
        <v>43300</v>
      </c>
      <c r="P552" s="98">
        <f t="shared" si="49"/>
        <v>0</v>
      </c>
      <c r="Q552" s="113">
        <v>0</v>
      </c>
      <c r="R552" s="113">
        <v>0</v>
      </c>
      <c r="S552" s="113">
        <v>0</v>
      </c>
      <c r="T552" s="119" t="s">
        <v>48</v>
      </c>
      <c r="U552" s="89" t="s">
        <v>2784</v>
      </c>
      <c r="V552" s="172" t="s">
        <v>2785</v>
      </c>
      <c r="W552" s="69">
        <v>119</v>
      </c>
      <c r="X552" s="69">
        <v>1</v>
      </c>
      <c r="Y552" s="69">
        <v>4</v>
      </c>
      <c r="Z552" s="69"/>
      <c r="AA552" t="s">
        <v>4522</v>
      </c>
      <c r="AB552" t="s">
        <v>87</v>
      </c>
      <c r="AC552" t="s">
        <v>4513</v>
      </c>
      <c r="AD552" t="s">
        <v>4876</v>
      </c>
      <c r="AE552" t="s">
        <v>223</v>
      </c>
      <c r="AF552" t="s">
        <v>4841</v>
      </c>
      <c r="AG552" t="s">
        <v>223</v>
      </c>
      <c r="AH552" t="s">
        <v>4841</v>
      </c>
      <c r="AI552" t="s">
        <v>4515</v>
      </c>
      <c r="AJ552" t="s">
        <v>4842</v>
      </c>
      <c r="AK552" t="s">
        <v>4518</v>
      </c>
      <c r="AL552" t="s">
        <v>4552</v>
      </c>
      <c r="AM552" t="s">
        <v>4520</v>
      </c>
      <c r="AN552" t="s">
        <v>4621</v>
      </c>
      <c r="AO552" s="134">
        <v>107.067484662577</v>
      </c>
      <c r="AP552" s="135">
        <v>120.408320493066</v>
      </c>
      <c r="AQ552">
        <v>0.338983050847458</v>
      </c>
      <c r="AR552" s="136">
        <v>1.2465331278890599</v>
      </c>
      <c r="AS552">
        <v>7.4191063174113996</v>
      </c>
    </row>
    <row r="553" spans="1:45" customFormat="1" ht="106">
      <c r="A553">
        <v>630</v>
      </c>
      <c r="B553" s="69" t="s">
        <v>1707</v>
      </c>
      <c r="C553" s="69" t="s">
        <v>45</v>
      </c>
      <c r="D553" s="31">
        <f t="shared" si="47"/>
        <v>4</v>
      </c>
      <c r="E553" s="69" t="s">
        <v>46</v>
      </c>
      <c r="F553" s="31">
        <f t="shared" si="48"/>
        <v>6</v>
      </c>
      <c r="G553" s="147" t="s">
        <v>1742</v>
      </c>
      <c r="H553" s="138">
        <v>177</v>
      </c>
      <c r="I553" s="92">
        <f t="shared" si="46"/>
        <v>0.80094098445388551</v>
      </c>
      <c r="J553" s="95">
        <v>0.85188196890777101</v>
      </c>
      <c r="K553" s="137">
        <v>0.71002915755524698</v>
      </c>
      <c r="L553" s="137">
        <v>0.75</v>
      </c>
      <c r="M553" s="137">
        <v>0.65007289388811795</v>
      </c>
      <c r="N553" s="136">
        <v>1</v>
      </c>
      <c r="O553" s="154">
        <v>43298</v>
      </c>
      <c r="P553" s="98">
        <f t="shared" si="49"/>
        <v>2</v>
      </c>
      <c r="Q553" s="111">
        <v>5.0999999999999996</v>
      </c>
      <c r="R553" s="111">
        <v>0</v>
      </c>
      <c r="S553" s="111">
        <v>0</v>
      </c>
      <c r="T553" s="112" t="s">
        <v>64</v>
      </c>
      <c r="U553" s="147" t="s">
        <v>1743</v>
      </c>
      <c r="V553" s="137" t="s">
        <v>1744</v>
      </c>
      <c r="W553" s="69">
        <v>112</v>
      </c>
      <c r="X553" s="147">
        <v>2</v>
      </c>
      <c r="Y553" s="147">
        <v>6</v>
      </c>
      <c r="Z553" s="69"/>
      <c r="AA553" t="s">
        <v>4543</v>
      </c>
      <c r="AB553" t="s">
        <v>71</v>
      </c>
      <c r="AC553" t="s">
        <v>4513</v>
      </c>
      <c r="AD553" t="s">
        <v>4876</v>
      </c>
      <c r="AE553" t="s">
        <v>4515</v>
      </c>
      <c r="AF553" t="s">
        <v>4842</v>
      </c>
      <c r="AG553" t="s">
        <v>4530</v>
      </c>
      <c r="AH553" t="s">
        <v>4937</v>
      </c>
      <c r="AI553" t="s">
        <v>4353</v>
      </c>
      <c r="AJ553" t="s">
        <v>4506</v>
      </c>
      <c r="AK553" t="s">
        <v>4519</v>
      </c>
      <c r="AL553" t="s">
        <v>4519</v>
      </c>
      <c r="AM553" t="s">
        <v>4510</v>
      </c>
      <c r="AN553" t="s">
        <v>4550</v>
      </c>
      <c r="AO553" s="134">
        <v>106.96006144393201</v>
      </c>
      <c r="AP553" s="135">
        <v>120.408320493066</v>
      </c>
      <c r="AQ553">
        <v>0.338983050847458</v>
      </c>
      <c r="AR553" s="136">
        <v>1.2465331278890599</v>
      </c>
      <c r="AS553">
        <v>7.4191063174113996</v>
      </c>
    </row>
    <row r="554" spans="1:45" customFormat="1" ht="76">
      <c r="A554" s="65">
        <v>764</v>
      </c>
      <c r="B554" s="69" t="s">
        <v>2053</v>
      </c>
      <c r="C554" s="69" t="s">
        <v>45</v>
      </c>
      <c r="D554" s="31">
        <f t="shared" si="47"/>
        <v>4</v>
      </c>
      <c r="E554" s="69" t="s">
        <v>80</v>
      </c>
      <c r="F554" s="31">
        <f t="shared" si="48"/>
        <v>4</v>
      </c>
      <c r="G554" s="147" t="s">
        <v>180</v>
      </c>
      <c r="H554" s="138">
        <v>48</v>
      </c>
      <c r="I554" s="92">
        <f t="shared" si="46"/>
        <v>0.37500015759745869</v>
      </c>
      <c r="J554" s="95">
        <v>3.1519491738851702E-7</v>
      </c>
      <c r="K554" s="137">
        <v>0.68837559287164596</v>
      </c>
      <c r="L554" s="137">
        <v>0.75</v>
      </c>
      <c r="M554" s="137">
        <v>0.59593898217911601</v>
      </c>
      <c r="N554" s="136">
        <v>1</v>
      </c>
      <c r="O554" s="154">
        <v>43298</v>
      </c>
      <c r="P554" s="98">
        <f t="shared" si="49"/>
        <v>0</v>
      </c>
      <c r="Q554" s="111">
        <v>0</v>
      </c>
      <c r="R554" s="111">
        <v>0</v>
      </c>
      <c r="S554" s="111">
        <v>0</v>
      </c>
      <c r="T554" s="112" t="s">
        <v>48</v>
      </c>
      <c r="U554" s="147" t="s">
        <v>2084</v>
      </c>
      <c r="V554" s="137" t="s">
        <v>2085</v>
      </c>
      <c r="W554" s="69">
        <v>104</v>
      </c>
      <c r="X554" s="147">
        <v>3</v>
      </c>
      <c r="Y554" s="147">
        <v>8</v>
      </c>
      <c r="Z554" s="69"/>
      <c r="AA554" t="s">
        <v>4556</v>
      </c>
      <c r="AB554" t="s">
        <v>87</v>
      </c>
      <c r="AC554" t="s">
        <v>4530</v>
      </c>
      <c r="AD554" t="s">
        <v>4609</v>
      </c>
      <c r="AE554" t="s">
        <v>223</v>
      </c>
      <c r="AF554" t="s">
        <v>4704</v>
      </c>
      <c r="AG554" t="s">
        <v>4513</v>
      </c>
      <c r="AH554" t="s">
        <v>4517</v>
      </c>
      <c r="AI554" t="s">
        <v>4353</v>
      </c>
      <c r="AJ554" t="s">
        <v>4506</v>
      </c>
      <c r="AK554" t="s">
        <v>4519</v>
      </c>
      <c r="AL554" t="s">
        <v>4552</v>
      </c>
      <c r="AM554" t="s">
        <v>4528</v>
      </c>
      <c r="AN554" t="s">
        <v>4618</v>
      </c>
      <c r="AO554" s="134">
        <v>107.05076923076901</v>
      </c>
      <c r="AP554" s="135">
        <v>120.408320493066</v>
      </c>
      <c r="AQ554">
        <v>0.338983050847458</v>
      </c>
      <c r="AR554" s="136">
        <v>1.2465331278890599</v>
      </c>
      <c r="AS554">
        <v>7.4191063174113996</v>
      </c>
    </row>
    <row r="555" spans="1:45" customFormat="1" ht="76">
      <c r="A555">
        <v>1062</v>
      </c>
      <c r="B555" s="69" t="s">
        <v>2833</v>
      </c>
      <c r="C555" s="69" t="s">
        <v>59</v>
      </c>
      <c r="D555" s="31">
        <f t="shared" si="47"/>
        <v>5</v>
      </c>
      <c r="E555" s="69" t="s">
        <v>664</v>
      </c>
      <c r="F555" s="31">
        <f t="shared" si="48"/>
        <v>1</v>
      </c>
      <c r="G555" s="139" t="s">
        <v>2885</v>
      </c>
      <c r="H555" s="138">
        <v>42</v>
      </c>
      <c r="I555" s="92">
        <f t="shared" si="46"/>
        <v>0.47037017159446748</v>
      </c>
      <c r="J555" s="95">
        <v>0.32090563244513298</v>
      </c>
      <c r="K555" s="137">
        <v>0.69108862288210404</v>
      </c>
      <c r="L555" s="137">
        <v>0.61983471074380203</v>
      </c>
      <c r="M555" s="137">
        <v>0.79796949108955795</v>
      </c>
      <c r="N555" s="136">
        <v>1</v>
      </c>
      <c r="O555" s="157">
        <v>43290</v>
      </c>
      <c r="P555" s="98">
        <f t="shared" si="49"/>
        <v>2</v>
      </c>
      <c r="Q555" s="201">
        <v>2.5499999999999998</v>
      </c>
      <c r="R555" s="201">
        <v>0</v>
      </c>
      <c r="S555" s="201">
        <v>0</v>
      </c>
      <c r="T555" s="202" t="s">
        <v>64</v>
      </c>
      <c r="U555" s="89" t="s">
        <v>2886</v>
      </c>
      <c r="V555" s="172" t="s">
        <v>2887</v>
      </c>
      <c r="W555" s="69">
        <v>103</v>
      </c>
      <c r="X555" s="69">
        <v>1</v>
      </c>
      <c r="Y555" s="69">
        <v>2</v>
      </c>
      <c r="Z555" s="69"/>
      <c r="AA555" t="s">
        <v>4543</v>
      </c>
      <c r="AB555" t="s">
        <v>67</v>
      </c>
      <c r="AC555" t="s">
        <v>4353</v>
      </c>
      <c r="AD555" t="s">
        <v>4506</v>
      </c>
      <c r="AE555" t="s">
        <v>4353</v>
      </c>
      <c r="AF555" t="s">
        <v>4506</v>
      </c>
      <c r="AG555" t="s">
        <v>4353</v>
      </c>
      <c r="AH555" t="s">
        <v>4506</v>
      </c>
      <c r="AI555" t="s">
        <v>4353</v>
      </c>
      <c r="AJ555" t="s">
        <v>4506</v>
      </c>
      <c r="AK555" t="s">
        <v>4518</v>
      </c>
      <c r="AL555" t="s">
        <v>4552</v>
      </c>
      <c r="AM555" t="s">
        <v>4528</v>
      </c>
      <c r="AN555" t="s">
        <v>4557</v>
      </c>
      <c r="AO555" s="134">
        <v>107.027734976888</v>
      </c>
      <c r="AP555" s="135">
        <v>120.407465007776</v>
      </c>
      <c r="AQ555">
        <v>0.33592534992223899</v>
      </c>
      <c r="AR555" s="136">
        <v>1.24883359253499</v>
      </c>
      <c r="AS555">
        <v>7.4447900466563004</v>
      </c>
    </row>
    <row r="556" spans="1:45" customFormat="1" ht="106">
      <c r="A556" s="65">
        <v>668</v>
      </c>
      <c r="B556" s="69" t="s">
        <v>1790</v>
      </c>
      <c r="C556" s="69" t="s">
        <v>45</v>
      </c>
      <c r="D556" s="31">
        <f t="shared" si="47"/>
        <v>4</v>
      </c>
      <c r="E556" s="69" t="s">
        <v>46</v>
      </c>
      <c r="F556" s="31">
        <f t="shared" si="48"/>
        <v>6</v>
      </c>
      <c r="G556" s="147" t="s">
        <v>1835</v>
      </c>
      <c r="H556" s="138">
        <v>122</v>
      </c>
      <c r="I556" s="92">
        <f t="shared" si="46"/>
        <v>0.37635839375575897</v>
      </c>
      <c r="J556" s="95">
        <v>0.28702579521715199</v>
      </c>
      <c r="K556" s="137">
        <v>0.59860239181244301</v>
      </c>
      <c r="L556" s="137">
        <v>0.465690992294366</v>
      </c>
      <c r="M556" s="137">
        <v>0.79796949108955795</v>
      </c>
      <c r="N556" s="136">
        <v>1</v>
      </c>
      <c r="O556" s="154">
        <v>43290</v>
      </c>
      <c r="P556" s="98">
        <f t="shared" si="49"/>
        <v>1</v>
      </c>
      <c r="Q556" s="111">
        <v>2.5499999999999998</v>
      </c>
      <c r="R556" s="111">
        <v>0</v>
      </c>
      <c r="S556" s="111">
        <v>0</v>
      </c>
      <c r="T556" s="112" t="s">
        <v>73</v>
      </c>
      <c r="U556" s="188" t="s">
        <v>1836</v>
      </c>
      <c r="V556" s="137" t="s">
        <v>1837</v>
      </c>
      <c r="W556" s="69">
        <v>142</v>
      </c>
      <c r="X556" s="195">
        <v>2</v>
      </c>
      <c r="Y556" s="195">
        <v>2</v>
      </c>
      <c r="Z556" s="69"/>
      <c r="AA556" t="s">
        <v>4564</v>
      </c>
      <c r="AB556" t="s">
        <v>51</v>
      </c>
      <c r="AC556" t="s">
        <v>4515</v>
      </c>
      <c r="AD556" t="s">
        <v>4734</v>
      </c>
      <c r="AE556" t="s">
        <v>4513</v>
      </c>
      <c r="AF556" t="s">
        <v>4554</v>
      </c>
      <c r="AG556" t="s">
        <v>4353</v>
      </c>
      <c r="AH556" t="s">
        <v>4506</v>
      </c>
      <c r="AI556" t="s">
        <v>4353</v>
      </c>
      <c r="AJ556" t="s">
        <v>4506</v>
      </c>
      <c r="AK556" t="s">
        <v>4519</v>
      </c>
      <c r="AL556" t="s">
        <v>4519</v>
      </c>
      <c r="AM556" t="s">
        <v>4510</v>
      </c>
      <c r="AN556" t="s">
        <v>4550</v>
      </c>
      <c r="AO556" s="134">
        <v>107.128086419753</v>
      </c>
      <c r="AP556" s="135">
        <v>120.407465007776</v>
      </c>
      <c r="AQ556">
        <v>0.33592534992223899</v>
      </c>
      <c r="AR556" s="136">
        <v>1.24883359253499</v>
      </c>
      <c r="AS556">
        <v>7.4447900466563004</v>
      </c>
    </row>
    <row r="557" spans="1:45" customFormat="1" ht="91">
      <c r="A557">
        <v>175</v>
      </c>
      <c r="B557" s="69" t="s">
        <v>499</v>
      </c>
      <c r="C557" s="69" t="s">
        <v>45</v>
      </c>
      <c r="D557" s="31">
        <f t="shared" si="47"/>
        <v>4</v>
      </c>
      <c r="E557" s="69" t="s">
        <v>46</v>
      </c>
      <c r="F557" s="31">
        <f t="shared" si="48"/>
        <v>6</v>
      </c>
      <c r="G557" s="147" t="s">
        <v>545</v>
      </c>
      <c r="H557" s="138">
        <v>76</v>
      </c>
      <c r="I557" s="92">
        <f t="shared" si="46"/>
        <v>0.34098470007693804</v>
      </c>
      <c r="J557" s="95">
        <v>1.5121833569409199E-4</v>
      </c>
      <c r="K557" s="137">
        <v>0.68131559609092096</v>
      </c>
      <c r="L557" s="137">
        <v>0.68181818181818199</v>
      </c>
      <c r="M557" s="137">
        <v>0.68056171750003003</v>
      </c>
      <c r="N557" s="136">
        <v>1</v>
      </c>
      <c r="O557" s="154">
        <v>43289</v>
      </c>
      <c r="P557" s="98">
        <f t="shared" si="49"/>
        <v>1</v>
      </c>
      <c r="Q557" s="111">
        <v>0</v>
      </c>
      <c r="R557" s="111">
        <v>1.65</v>
      </c>
      <c r="S557" s="111">
        <v>3.74</v>
      </c>
      <c r="T557" s="112" t="s">
        <v>73</v>
      </c>
      <c r="U557" s="137" t="s">
        <v>546</v>
      </c>
      <c r="V557" s="137" t="s">
        <v>547</v>
      </c>
      <c r="W557" s="69">
        <v>112</v>
      </c>
      <c r="X557" s="147">
        <v>1</v>
      </c>
      <c r="Y557" s="147">
        <v>5</v>
      </c>
      <c r="AA557" t="s">
        <v>4564</v>
      </c>
      <c r="AB557" t="s">
        <v>51</v>
      </c>
      <c r="AC557" t="s">
        <v>4353</v>
      </c>
      <c r="AD557" t="s">
        <v>4506</v>
      </c>
      <c r="AE557" t="s">
        <v>4513</v>
      </c>
      <c r="AF557" t="s">
        <v>4801</v>
      </c>
      <c r="AG557" t="s">
        <v>4353</v>
      </c>
      <c r="AH557" t="s">
        <v>4506</v>
      </c>
      <c r="AI557" t="s">
        <v>4353</v>
      </c>
      <c r="AJ557" t="s">
        <v>4506</v>
      </c>
      <c r="AK557" t="s">
        <v>4519</v>
      </c>
      <c r="AL557" t="s">
        <v>4519</v>
      </c>
      <c r="AM557" t="s">
        <v>4528</v>
      </c>
      <c r="AN557" t="s">
        <v>4529</v>
      </c>
      <c r="AO557" s="134">
        <v>107.17619783616701</v>
      </c>
      <c r="AP557" s="135">
        <v>120.407465007776</v>
      </c>
      <c r="AQ557">
        <v>0.33592534992223899</v>
      </c>
      <c r="AR557" s="136">
        <v>1.24883359253499</v>
      </c>
      <c r="AS557">
        <v>7.4447900466563004</v>
      </c>
    </row>
    <row r="558" spans="1:45" customFormat="1" ht="106">
      <c r="A558" s="65">
        <v>669</v>
      </c>
      <c r="B558" s="69" t="s">
        <v>1790</v>
      </c>
      <c r="C558" s="69" t="s">
        <v>45</v>
      </c>
      <c r="D558" s="31">
        <f t="shared" si="47"/>
        <v>4</v>
      </c>
      <c r="E558" s="69" t="s">
        <v>80</v>
      </c>
      <c r="F558" s="31">
        <f t="shared" si="48"/>
        <v>4</v>
      </c>
      <c r="G558" s="169" t="s">
        <v>1838</v>
      </c>
      <c r="H558" s="138">
        <v>130</v>
      </c>
      <c r="I558" s="92">
        <f t="shared" si="46"/>
        <v>0.39974258490961401</v>
      </c>
      <c r="J558" s="95">
        <v>0.17965045907542701</v>
      </c>
      <c r="K558" s="137">
        <v>0.64412551344629299</v>
      </c>
      <c r="L558" s="137">
        <v>0.61983471074380103</v>
      </c>
      <c r="M558" s="137">
        <v>0.68056171750003003</v>
      </c>
      <c r="N558" s="136">
        <v>1</v>
      </c>
      <c r="O558" s="154">
        <v>43287</v>
      </c>
      <c r="P558" s="98">
        <f t="shared" si="49"/>
        <v>1</v>
      </c>
      <c r="Q558" s="111">
        <v>2.5499999999999998</v>
      </c>
      <c r="R558" s="111">
        <v>1.65</v>
      </c>
      <c r="S558" s="111">
        <v>0</v>
      </c>
      <c r="T558" s="112" t="s">
        <v>73</v>
      </c>
      <c r="U558" s="137" t="s">
        <v>1839</v>
      </c>
      <c r="V558" s="137" t="s">
        <v>1837</v>
      </c>
      <c r="W558" s="69">
        <v>142</v>
      </c>
      <c r="X558" s="69">
        <v>2</v>
      </c>
      <c r="Y558" s="69">
        <v>5</v>
      </c>
      <c r="Z558" s="69"/>
      <c r="AA558" t="s">
        <v>4826</v>
      </c>
      <c r="AB558" t="s">
        <v>51</v>
      </c>
      <c r="AC558" t="s">
        <v>4515</v>
      </c>
      <c r="AD558" t="s">
        <v>4734</v>
      </c>
      <c r="AE558" t="s">
        <v>4513</v>
      </c>
      <c r="AF558" t="s">
        <v>4554</v>
      </c>
      <c r="AG558" t="s">
        <v>4353</v>
      </c>
      <c r="AH558" t="s">
        <v>4506</v>
      </c>
      <c r="AI558" t="s">
        <v>4353</v>
      </c>
      <c r="AJ558" t="s">
        <v>4506</v>
      </c>
      <c r="AK558" t="s">
        <v>4518</v>
      </c>
      <c r="AL558" t="s">
        <v>4552</v>
      </c>
      <c r="AM558" t="s">
        <v>4592</v>
      </c>
      <c r="AN558" t="s">
        <v>4893</v>
      </c>
      <c r="AO558" s="134">
        <v>107.14086687306499</v>
      </c>
      <c r="AP558" s="135">
        <v>120.428348909657</v>
      </c>
      <c r="AQ558">
        <v>0.33644859813084099</v>
      </c>
      <c r="AR558" s="136">
        <v>1.24922118380062</v>
      </c>
      <c r="AS558">
        <v>7.4485981308411198</v>
      </c>
    </row>
    <row r="559" spans="1:45" customFormat="1" ht="61">
      <c r="A559" s="65">
        <v>832</v>
      </c>
      <c r="B559" s="69" t="s">
        <v>2264</v>
      </c>
      <c r="C559" s="69" t="s">
        <v>45</v>
      </c>
      <c r="D559" s="31">
        <f t="shared" si="47"/>
        <v>4</v>
      </c>
      <c r="E559" s="69" t="s">
        <v>80</v>
      </c>
      <c r="F559" s="31">
        <f t="shared" si="48"/>
        <v>4</v>
      </c>
      <c r="G559" s="188" t="s">
        <v>2267</v>
      </c>
      <c r="H559" s="138">
        <v>94</v>
      </c>
      <c r="I559" s="92">
        <f t="shared" si="46"/>
        <v>0.38538837228359485</v>
      </c>
      <c r="J559" s="95">
        <v>8.8958562749007694E-2</v>
      </c>
      <c r="K559" s="137">
        <v>0.62838932850985896</v>
      </c>
      <c r="L559" s="137">
        <v>0.68181818181818199</v>
      </c>
      <c r="M559" s="137">
        <v>0.54824604854737402</v>
      </c>
      <c r="N559" s="136">
        <v>1</v>
      </c>
      <c r="O559" s="154">
        <v>43287</v>
      </c>
      <c r="P559" s="98">
        <f t="shared" si="49"/>
        <v>2</v>
      </c>
      <c r="Q559" s="201">
        <v>0</v>
      </c>
      <c r="R559" s="201">
        <v>0</v>
      </c>
      <c r="S559" s="201">
        <v>0</v>
      </c>
      <c r="T559" s="213" t="s">
        <v>64</v>
      </c>
      <c r="U559" s="189" t="s">
        <v>2268</v>
      </c>
      <c r="V559" s="136" t="s">
        <v>2269</v>
      </c>
      <c r="W559" s="69">
        <v>70</v>
      </c>
      <c r="X559" s="195">
        <v>3</v>
      </c>
      <c r="Y559" s="195">
        <v>10</v>
      </c>
      <c r="Z559" s="69"/>
      <c r="AA559" t="s">
        <v>4512</v>
      </c>
      <c r="AB559" t="s">
        <v>87</v>
      </c>
      <c r="AC559" t="s">
        <v>4513</v>
      </c>
      <c r="AD559" t="s">
        <v>4792</v>
      </c>
      <c r="AE559" t="s">
        <v>4515</v>
      </c>
      <c r="AF559" t="s">
        <v>4565</v>
      </c>
      <c r="AG559" t="s">
        <v>4515</v>
      </c>
      <c r="AH559" t="s">
        <v>4565</v>
      </c>
      <c r="AI559" t="s">
        <v>4353</v>
      </c>
      <c r="AJ559" t="s">
        <v>4506</v>
      </c>
      <c r="AK559" t="s">
        <v>4519</v>
      </c>
      <c r="AL559" t="s">
        <v>4519</v>
      </c>
      <c r="AM559" t="s">
        <v>4510</v>
      </c>
      <c r="AN559" t="s">
        <v>4550</v>
      </c>
      <c r="AO559" s="134">
        <v>107.20930232558101</v>
      </c>
      <c r="AP559" s="135">
        <v>120.428348909657</v>
      </c>
      <c r="AQ559">
        <v>0.33644859813084099</v>
      </c>
      <c r="AR559" s="136">
        <v>1.24922118380062</v>
      </c>
      <c r="AS559">
        <v>7.4485981308411198</v>
      </c>
    </row>
    <row r="560" spans="1:45" customFormat="1" ht="106">
      <c r="A560" s="65">
        <v>805</v>
      </c>
      <c r="B560" s="69" t="s">
        <v>2179</v>
      </c>
      <c r="C560" s="69" t="s">
        <v>119</v>
      </c>
      <c r="D560" s="31">
        <f t="shared" si="47"/>
        <v>1</v>
      </c>
      <c r="E560" s="69" t="s">
        <v>46</v>
      </c>
      <c r="F560" s="31">
        <f t="shared" si="48"/>
        <v>6</v>
      </c>
      <c r="G560" s="137" t="s">
        <v>2199</v>
      </c>
      <c r="H560" s="138">
        <v>63</v>
      </c>
      <c r="I560" s="92">
        <f t="shared" si="46"/>
        <v>0.41356183071583019</v>
      </c>
      <c r="J560" s="95">
        <v>2.1236614316604298E-3</v>
      </c>
      <c r="K560" s="137">
        <v>0.78071428571428603</v>
      </c>
      <c r="L560" s="137">
        <v>0.82499999999999996</v>
      </c>
      <c r="M560" s="137">
        <v>0.71428571428571397</v>
      </c>
      <c r="N560" s="136">
        <v>1</v>
      </c>
      <c r="O560" s="154">
        <v>43287</v>
      </c>
      <c r="P560" s="98">
        <f t="shared" si="49"/>
        <v>1</v>
      </c>
      <c r="Q560" s="113">
        <v>2.5499999999999998</v>
      </c>
      <c r="R560" s="113">
        <v>1.65</v>
      </c>
      <c r="S560" s="113">
        <v>0</v>
      </c>
      <c r="T560" s="114" t="s">
        <v>73</v>
      </c>
      <c r="U560" s="209" t="s">
        <v>2200</v>
      </c>
      <c r="V560" s="136" t="s">
        <v>2201</v>
      </c>
      <c r="W560" s="69">
        <v>154</v>
      </c>
      <c r="X560" s="171">
        <v>0</v>
      </c>
      <c r="Y560" s="171">
        <v>4</v>
      </c>
      <c r="Z560" s="69"/>
      <c r="AA560" t="s">
        <v>4603</v>
      </c>
      <c r="AB560" t="s">
        <v>87</v>
      </c>
      <c r="AC560" t="s">
        <v>4538</v>
      </c>
      <c r="AD560" t="s">
        <v>4751</v>
      </c>
      <c r="AE560" t="s">
        <v>223</v>
      </c>
      <c r="AF560" t="s">
        <v>4559</v>
      </c>
      <c r="AG560" t="s">
        <v>4530</v>
      </c>
      <c r="AH560" t="s">
        <v>4938</v>
      </c>
      <c r="AI560" t="s">
        <v>4353</v>
      </c>
      <c r="AJ560" t="s">
        <v>4506</v>
      </c>
      <c r="AK560" t="s">
        <v>4519</v>
      </c>
      <c r="AL560" t="s">
        <v>4519</v>
      </c>
      <c r="AM560" t="s">
        <v>4528</v>
      </c>
      <c r="AN560" t="s">
        <v>4529</v>
      </c>
      <c r="AO560" s="134">
        <v>107.22981366459599</v>
      </c>
      <c r="AP560" s="135">
        <v>120.428348909657</v>
      </c>
      <c r="AQ560">
        <v>0.33644859813084099</v>
      </c>
      <c r="AR560" s="136">
        <v>1.24922118380062</v>
      </c>
      <c r="AS560">
        <v>7.4485981308411198</v>
      </c>
    </row>
    <row r="561" spans="1:45" customFormat="1" ht="76">
      <c r="A561" s="65">
        <v>341</v>
      </c>
      <c r="B561" s="69" t="s">
        <v>589</v>
      </c>
      <c r="C561" s="69" t="s">
        <v>45</v>
      </c>
      <c r="D561" s="31">
        <f t="shared" si="47"/>
        <v>4</v>
      </c>
      <c r="E561" s="69" t="s">
        <v>80</v>
      </c>
      <c r="F561" s="31">
        <f t="shared" si="48"/>
        <v>4</v>
      </c>
      <c r="G561" s="137" t="s">
        <v>996</v>
      </c>
      <c r="H561" s="138">
        <v>104</v>
      </c>
      <c r="I561" s="92">
        <f t="shared" si="46"/>
        <v>0.41257805225650068</v>
      </c>
      <c r="J561" s="95">
        <v>1.5610451300140899E-4</v>
      </c>
      <c r="K561" s="137">
        <v>0.76722468700001201</v>
      </c>
      <c r="L561" s="137">
        <v>0.82499999999999996</v>
      </c>
      <c r="M561" s="137">
        <v>0.68056171750003003</v>
      </c>
      <c r="N561" s="136">
        <v>1</v>
      </c>
      <c r="O561" s="154">
        <v>43282</v>
      </c>
      <c r="P561" s="98">
        <f t="shared" si="49"/>
        <v>0</v>
      </c>
      <c r="Q561" s="111">
        <v>0</v>
      </c>
      <c r="R561" s="111">
        <v>0</v>
      </c>
      <c r="S561" s="111">
        <v>0</v>
      </c>
      <c r="T561" s="112" t="s">
        <v>48</v>
      </c>
      <c r="U561" s="137" t="s">
        <v>997</v>
      </c>
      <c r="V561" s="137" t="s">
        <v>998</v>
      </c>
      <c r="W561" s="69">
        <v>107</v>
      </c>
      <c r="X561" s="69">
        <v>1</v>
      </c>
      <c r="Y561" s="69">
        <v>5</v>
      </c>
      <c r="AA561" t="s">
        <v>4522</v>
      </c>
      <c r="AB561" t="s">
        <v>4597</v>
      </c>
      <c r="AC561" t="s">
        <v>4513</v>
      </c>
      <c r="AD561" t="s">
        <v>4811</v>
      </c>
      <c r="AE561" t="s">
        <v>4515</v>
      </c>
      <c r="AF561" t="s">
        <v>4614</v>
      </c>
      <c r="AG561" t="s">
        <v>4513</v>
      </c>
      <c r="AH561" t="s">
        <v>4811</v>
      </c>
      <c r="AI561" t="s">
        <v>4353</v>
      </c>
      <c r="AJ561" t="s">
        <v>4506</v>
      </c>
      <c r="AK561" t="s">
        <v>4519</v>
      </c>
      <c r="AL561" t="s">
        <v>4519</v>
      </c>
      <c r="AM561" t="s">
        <v>4520</v>
      </c>
      <c r="AN561" t="s">
        <v>4558</v>
      </c>
      <c r="AO561" s="134">
        <v>107.23483670295499</v>
      </c>
      <c r="AP561" s="135">
        <v>120.170579029734</v>
      </c>
      <c r="AQ561">
        <v>0.33489827856025001</v>
      </c>
      <c r="AR561" s="136">
        <v>1.25039123630673</v>
      </c>
      <c r="AS561">
        <v>7.4647887323943696</v>
      </c>
    </row>
    <row r="562" spans="1:45" customFormat="1" ht="91">
      <c r="A562">
        <v>342</v>
      </c>
      <c r="B562" s="69" t="s">
        <v>589</v>
      </c>
      <c r="C562" s="69" t="s">
        <v>59</v>
      </c>
      <c r="D562" s="31">
        <f t="shared" si="47"/>
        <v>5</v>
      </c>
      <c r="E562" s="69" t="s">
        <v>46</v>
      </c>
      <c r="F562" s="31">
        <f t="shared" si="48"/>
        <v>6</v>
      </c>
      <c r="G562" s="147" t="s">
        <v>999</v>
      </c>
      <c r="H562" s="138">
        <v>111</v>
      </c>
      <c r="I562" s="92">
        <f t="shared" si="46"/>
        <v>0.28174434946270344</v>
      </c>
      <c r="J562" s="95">
        <v>2.5982492238840702E-6</v>
      </c>
      <c r="K562" s="137">
        <v>0.63911732854463099</v>
      </c>
      <c r="L562" s="137">
        <v>0.56348610067618299</v>
      </c>
      <c r="M562" s="137">
        <v>0.75256417034730305</v>
      </c>
      <c r="N562" s="136">
        <v>0</v>
      </c>
      <c r="O562" s="154">
        <v>43281</v>
      </c>
      <c r="P562" s="98">
        <f t="shared" si="49"/>
        <v>1</v>
      </c>
      <c r="Q562" s="111">
        <v>10.199999999999999</v>
      </c>
      <c r="R562" s="111">
        <v>0</v>
      </c>
      <c r="S562" s="111">
        <v>0</v>
      </c>
      <c r="T562" s="112" t="s">
        <v>73</v>
      </c>
      <c r="U562" s="137" t="s">
        <v>1000</v>
      </c>
      <c r="V562" s="137" t="s">
        <v>1001</v>
      </c>
      <c r="W562" s="69">
        <v>118</v>
      </c>
      <c r="X562" s="171">
        <v>3</v>
      </c>
      <c r="Y562" s="171">
        <v>3</v>
      </c>
      <c r="AA562" t="s">
        <v>4556</v>
      </c>
      <c r="AB562" t="s">
        <v>87</v>
      </c>
      <c r="AC562" t="s">
        <v>4513</v>
      </c>
      <c r="AD562" t="s">
        <v>4537</v>
      </c>
      <c r="AE562" t="s">
        <v>4515</v>
      </c>
      <c r="AF562" t="s">
        <v>4721</v>
      </c>
      <c r="AG562" t="s">
        <v>223</v>
      </c>
      <c r="AH562" t="s">
        <v>4545</v>
      </c>
      <c r="AI562" t="s">
        <v>4353</v>
      </c>
      <c r="AJ562" t="s">
        <v>4506</v>
      </c>
      <c r="AK562" t="s">
        <v>4519</v>
      </c>
      <c r="AL562" t="s">
        <v>4519</v>
      </c>
      <c r="AM562" t="s">
        <v>4898</v>
      </c>
      <c r="AN562" t="s">
        <v>4899</v>
      </c>
      <c r="AO562" s="134">
        <v>107.228971962617</v>
      </c>
      <c r="AP562" s="135">
        <v>120.170579029734</v>
      </c>
      <c r="AQ562">
        <v>0.33489827856025001</v>
      </c>
      <c r="AR562" s="136">
        <v>1.25039123630673</v>
      </c>
      <c r="AS562">
        <v>7.4647887323943696</v>
      </c>
    </row>
    <row r="563" spans="1:45" customFormat="1" ht="211">
      <c r="A563">
        <v>343</v>
      </c>
      <c r="B563" s="69" t="s">
        <v>589</v>
      </c>
      <c r="C563" s="69" t="s">
        <v>45</v>
      </c>
      <c r="D563" s="31">
        <f t="shared" si="47"/>
        <v>4</v>
      </c>
      <c r="E563" s="69" t="s">
        <v>46</v>
      </c>
      <c r="F563" s="31">
        <f t="shared" si="48"/>
        <v>6</v>
      </c>
      <c r="G563" s="147" t="s">
        <v>1002</v>
      </c>
      <c r="H563" s="138">
        <v>402</v>
      </c>
      <c r="I563" s="92">
        <f t="shared" si="46"/>
        <v>0.9108941233982365</v>
      </c>
      <c r="J563" s="95">
        <v>0.99678824679647304</v>
      </c>
      <c r="K563" s="137">
        <v>0.76722468700001201</v>
      </c>
      <c r="L563" s="137">
        <v>0.82499999999999996</v>
      </c>
      <c r="M563" s="137">
        <v>0.68056171750003003</v>
      </c>
      <c r="N563" s="136">
        <v>0</v>
      </c>
      <c r="O563" s="154">
        <v>43280</v>
      </c>
      <c r="P563" s="98">
        <f t="shared" si="49"/>
        <v>0</v>
      </c>
      <c r="Q563" s="111">
        <v>5.0999999999999996</v>
      </c>
      <c r="R563" s="111">
        <v>0</v>
      </c>
      <c r="S563" s="111">
        <v>0</v>
      </c>
      <c r="T563" s="112" t="s">
        <v>48</v>
      </c>
      <c r="U563" s="137" t="s">
        <v>1003</v>
      </c>
      <c r="V563" s="137" t="s">
        <v>1004</v>
      </c>
      <c r="W563" s="69">
        <v>314</v>
      </c>
      <c r="X563" s="171">
        <v>2</v>
      </c>
      <c r="Y563" s="171">
        <v>5</v>
      </c>
      <c r="AA563" t="s">
        <v>4522</v>
      </c>
      <c r="AB563" t="s">
        <v>51</v>
      </c>
      <c r="AC563" t="s">
        <v>4530</v>
      </c>
      <c r="AD563" t="s">
        <v>4714</v>
      </c>
      <c r="AE563" t="s">
        <v>4580</v>
      </c>
      <c r="AF563" t="s">
        <v>4939</v>
      </c>
      <c r="AG563" t="s">
        <v>4538</v>
      </c>
      <c r="AH563" t="s">
        <v>4940</v>
      </c>
      <c r="AI563" t="s">
        <v>4353</v>
      </c>
      <c r="AJ563" t="s">
        <v>4506</v>
      </c>
      <c r="AK563" t="s">
        <v>4518</v>
      </c>
      <c r="AL563" t="s">
        <v>4552</v>
      </c>
      <c r="AM563" t="s">
        <v>4510</v>
      </c>
      <c r="AN563" t="s">
        <v>4553</v>
      </c>
      <c r="AO563" s="134">
        <v>106.76911076443101</v>
      </c>
      <c r="AP563" s="135">
        <v>120.258620689655</v>
      </c>
      <c r="AQ563">
        <v>0.33542319749216298</v>
      </c>
      <c r="AR563" s="136">
        <v>1.25078369905956</v>
      </c>
      <c r="AS563">
        <v>7.4514106583072097</v>
      </c>
    </row>
    <row r="564" spans="1:45" customFormat="1" ht="76">
      <c r="A564" s="65">
        <v>84</v>
      </c>
      <c r="B564" s="69" t="s">
        <v>217</v>
      </c>
      <c r="C564" s="69" t="s">
        <v>45</v>
      </c>
      <c r="D564" s="31">
        <f t="shared" si="47"/>
        <v>4</v>
      </c>
      <c r="E564" s="69" t="s">
        <v>80</v>
      </c>
      <c r="F564" s="31">
        <f t="shared" si="48"/>
        <v>4</v>
      </c>
      <c r="G564" s="137" t="s">
        <v>299</v>
      </c>
      <c r="H564" s="138">
        <v>118</v>
      </c>
      <c r="I564" s="92">
        <f t="shared" si="46"/>
        <v>0.37500956866585616</v>
      </c>
      <c r="J564" s="95">
        <v>1.9137331712326701E-5</v>
      </c>
      <c r="K564" s="137">
        <v>0.73571428571428599</v>
      </c>
      <c r="L564" s="137">
        <v>0.75</v>
      </c>
      <c r="M564" s="137">
        <v>0.71428571428571397</v>
      </c>
      <c r="N564" s="136">
        <v>1</v>
      </c>
      <c r="O564" s="168">
        <v>43279</v>
      </c>
      <c r="P564" s="98">
        <f t="shared" si="49"/>
        <v>1</v>
      </c>
      <c r="Q564" s="111">
        <v>2.5499999999999998</v>
      </c>
      <c r="R564" s="111">
        <v>0</v>
      </c>
      <c r="S564" s="111">
        <v>0</v>
      </c>
      <c r="T564" s="112" t="s">
        <v>73</v>
      </c>
      <c r="U564" s="137" t="s">
        <v>300</v>
      </c>
      <c r="V564" s="137" t="s">
        <v>301</v>
      </c>
      <c r="W564" s="69">
        <v>94</v>
      </c>
      <c r="X564" s="69">
        <v>1</v>
      </c>
      <c r="Y564" s="69">
        <v>4</v>
      </c>
      <c r="AA564" t="s">
        <v>4522</v>
      </c>
      <c r="AB564" t="s">
        <v>51</v>
      </c>
      <c r="AC564" t="s">
        <v>4353</v>
      </c>
      <c r="AD564" t="s">
        <v>4506</v>
      </c>
      <c r="AE564" t="s">
        <v>223</v>
      </c>
      <c r="AF564" t="s">
        <v>4555</v>
      </c>
      <c r="AG564" t="s">
        <v>4353</v>
      </c>
      <c r="AH564" t="s">
        <v>4506</v>
      </c>
      <c r="AI564" t="s">
        <v>4353</v>
      </c>
      <c r="AJ564" t="s">
        <v>4506</v>
      </c>
      <c r="AK564" t="s">
        <v>4518</v>
      </c>
      <c r="AL564" t="s">
        <v>4552</v>
      </c>
      <c r="AM564" t="s">
        <v>4510</v>
      </c>
      <c r="AN564" t="s">
        <v>4553</v>
      </c>
      <c r="AO564" s="134">
        <v>106.75156250000001</v>
      </c>
      <c r="AP564" s="135">
        <v>120.35321821036101</v>
      </c>
      <c r="AQ564">
        <v>0.33594976452119302</v>
      </c>
      <c r="AR564" s="136">
        <v>1.2511773940345401</v>
      </c>
      <c r="AS564">
        <v>7.4599686028257501</v>
      </c>
    </row>
    <row r="565" spans="1:45" customFormat="1" ht="76">
      <c r="A565" s="65">
        <v>85</v>
      </c>
      <c r="B565" s="69" t="s">
        <v>217</v>
      </c>
      <c r="C565" s="69" t="s">
        <v>45</v>
      </c>
      <c r="D565" s="31">
        <f t="shared" si="47"/>
        <v>4</v>
      </c>
      <c r="E565" s="69" t="s">
        <v>80</v>
      </c>
      <c r="F565" s="31">
        <f t="shared" si="48"/>
        <v>4</v>
      </c>
      <c r="G565" s="137" t="s">
        <v>302</v>
      </c>
      <c r="H565" s="138">
        <v>96</v>
      </c>
      <c r="I565" s="92">
        <f t="shared" si="46"/>
        <v>0.3409091167494766</v>
      </c>
      <c r="J565" s="95">
        <v>5.1680771218087798E-8</v>
      </c>
      <c r="K565" s="137">
        <v>0.72827870552673202</v>
      </c>
      <c r="L565" s="137">
        <v>0.68181818181818199</v>
      </c>
      <c r="M565" s="137">
        <v>0.79796949108955795</v>
      </c>
      <c r="N565" s="136">
        <v>1</v>
      </c>
      <c r="O565" s="154">
        <v>43277</v>
      </c>
      <c r="P565" s="98">
        <f t="shared" si="49"/>
        <v>1</v>
      </c>
      <c r="Q565" s="111">
        <v>0</v>
      </c>
      <c r="R565" s="111">
        <v>0</v>
      </c>
      <c r="S565" s="111">
        <v>0</v>
      </c>
      <c r="T565" s="112" t="s">
        <v>287</v>
      </c>
      <c r="U565" s="137" t="s">
        <v>303</v>
      </c>
      <c r="V565" s="137" t="s">
        <v>304</v>
      </c>
      <c r="W565" s="69">
        <v>60</v>
      </c>
      <c r="X565" s="69">
        <v>1</v>
      </c>
      <c r="Y565" s="69">
        <v>2</v>
      </c>
      <c r="AA565" t="s">
        <v>4619</v>
      </c>
      <c r="AB565" t="s">
        <v>87</v>
      </c>
      <c r="AC565" t="s">
        <v>4515</v>
      </c>
      <c r="AD565" t="s">
        <v>4544</v>
      </c>
      <c r="AE565" t="s">
        <v>223</v>
      </c>
      <c r="AF565" t="s">
        <v>4721</v>
      </c>
      <c r="AG565" t="s">
        <v>4353</v>
      </c>
      <c r="AH565" t="s">
        <v>4506</v>
      </c>
      <c r="AI565" t="s">
        <v>4353</v>
      </c>
      <c r="AJ565" t="s">
        <v>4506</v>
      </c>
      <c r="AK565" t="s">
        <v>4519</v>
      </c>
      <c r="AL565" t="s">
        <v>4519</v>
      </c>
      <c r="AM565" t="s">
        <v>4592</v>
      </c>
      <c r="AN565" t="s">
        <v>4626</v>
      </c>
      <c r="AO565" s="134">
        <v>106.768388106416</v>
      </c>
      <c r="AP565" s="135">
        <v>120.28075709779201</v>
      </c>
      <c r="AQ565">
        <v>0.33596214511041</v>
      </c>
      <c r="AR565" s="136">
        <v>1.2492113564668801</v>
      </c>
      <c r="AS565">
        <v>7.4432176656151396</v>
      </c>
    </row>
    <row r="566" spans="1:45" customFormat="1" ht="136">
      <c r="A566">
        <v>511</v>
      </c>
      <c r="B566" s="69" t="s">
        <v>1222</v>
      </c>
      <c r="C566" s="69" t="s">
        <v>45</v>
      </c>
      <c r="D566" s="31">
        <f t="shared" si="47"/>
        <v>4</v>
      </c>
      <c r="E566" s="69" t="s">
        <v>80</v>
      </c>
      <c r="F566" s="31">
        <f t="shared" si="48"/>
        <v>4</v>
      </c>
      <c r="G566" s="147" t="s">
        <v>1442</v>
      </c>
      <c r="H566" s="138">
        <v>55</v>
      </c>
      <c r="I566" s="92">
        <f t="shared" si="46"/>
        <v>0.4151515532618103</v>
      </c>
      <c r="J566" s="95">
        <v>5.3031065236206496E-3</v>
      </c>
      <c r="K566" s="137">
        <v>0.83785714285714297</v>
      </c>
      <c r="L566" s="137">
        <v>0.82499999999999996</v>
      </c>
      <c r="M566" s="137">
        <v>0.85714285714285698</v>
      </c>
      <c r="N566" s="136">
        <v>1</v>
      </c>
      <c r="O566" s="154">
        <v>43272</v>
      </c>
      <c r="P566" s="98">
        <f t="shared" si="49"/>
        <v>0</v>
      </c>
      <c r="Q566" s="111">
        <v>2.5499999999999998</v>
      </c>
      <c r="R566" s="111">
        <v>1.65</v>
      </c>
      <c r="S566" s="111">
        <v>0</v>
      </c>
      <c r="T566" s="112" t="s">
        <v>48</v>
      </c>
      <c r="U566" s="137" t="s">
        <v>1443</v>
      </c>
      <c r="V566" s="137" t="s">
        <v>1444</v>
      </c>
      <c r="W566" s="69">
        <v>197</v>
      </c>
      <c r="X566" s="147">
        <v>4</v>
      </c>
      <c r="Y566" s="147">
        <v>1</v>
      </c>
      <c r="AA566" t="s">
        <v>4564</v>
      </c>
      <c r="AB566" t="s">
        <v>87</v>
      </c>
      <c r="AC566" t="s">
        <v>4515</v>
      </c>
      <c r="AD566" t="s">
        <v>4655</v>
      </c>
      <c r="AE566" t="s">
        <v>223</v>
      </c>
      <c r="AF566" t="s">
        <v>4941</v>
      </c>
      <c r="AG566" t="s">
        <v>223</v>
      </c>
      <c r="AH566" t="s">
        <v>4941</v>
      </c>
      <c r="AI566" t="s">
        <v>4353</v>
      </c>
      <c r="AJ566" t="s">
        <v>4506</v>
      </c>
      <c r="AK566" t="s">
        <v>4519</v>
      </c>
      <c r="AL566" t="s">
        <v>4519</v>
      </c>
      <c r="AM566" t="s">
        <v>4510</v>
      </c>
      <c r="AN566" t="s">
        <v>4550</v>
      </c>
      <c r="AO566" s="134">
        <v>106.849529780564</v>
      </c>
      <c r="AP566" s="135">
        <v>120.32535885167501</v>
      </c>
      <c r="AQ566">
        <v>0.33014354066985602</v>
      </c>
      <c r="AR566" s="136">
        <v>1.25039872408293</v>
      </c>
      <c r="AS566">
        <v>7.4688995215310996</v>
      </c>
    </row>
    <row r="567" spans="1:45" customFormat="1" ht="45">
      <c r="A567">
        <v>1063</v>
      </c>
      <c r="B567" s="69" t="s">
        <v>2833</v>
      </c>
      <c r="C567" s="69" t="s">
        <v>45</v>
      </c>
      <c r="D567" s="31">
        <f t="shared" si="47"/>
        <v>4</v>
      </c>
      <c r="E567" s="69" t="s">
        <v>664</v>
      </c>
      <c r="F567" s="31">
        <f t="shared" si="48"/>
        <v>1</v>
      </c>
      <c r="G567" s="89" t="s">
        <v>2888</v>
      </c>
      <c r="H567" s="138">
        <v>68</v>
      </c>
      <c r="I567" s="92">
        <f t="shared" si="46"/>
        <v>0.66400213232236349</v>
      </c>
      <c r="J567" s="95">
        <v>0.764518163968544</v>
      </c>
      <c r="K567" s="137">
        <v>0.61031634740572205</v>
      </c>
      <c r="L567" s="137">
        <v>0.56348610067618299</v>
      </c>
      <c r="M567" s="137">
        <v>0.68056171750003003</v>
      </c>
      <c r="N567" s="136">
        <v>1</v>
      </c>
      <c r="O567" s="157">
        <v>43271</v>
      </c>
      <c r="P567" s="98">
        <f t="shared" si="49"/>
        <v>2</v>
      </c>
      <c r="Q567" s="113">
        <v>0</v>
      </c>
      <c r="R567" s="113">
        <v>0</v>
      </c>
      <c r="S567" s="113">
        <v>0</v>
      </c>
      <c r="T567" s="119" t="s">
        <v>64</v>
      </c>
      <c r="U567" s="89" t="s">
        <v>2889</v>
      </c>
      <c r="V567" s="172" t="s">
        <v>2890</v>
      </c>
      <c r="W567" s="69">
        <v>41</v>
      </c>
      <c r="X567" s="69">
        <v>2</v>
      </c>
      <c r="Y567" s="69">
        <v>5</v>
      </c>
      <c r="Z567" s="69"/>
      <c r="AA567" t="s">
        <v>4543</v>
      </c>
      <c r="AB567" t="s">
        <v>51</v>
      </c>
      <c r="AC567" t="s">
        <v>4353</v>
      </c>
      <c r="AD567" t="s">
        <v>4506</v>
      </c>
      <c r="AE567" t="s">
        <v>4515</v>
      </c>
      <c r="AF567" t="s">
        <v>4577</v>
      </c>
      <c r="AG567" t="s">
        <v>4353</v>
      </c>
      <c r="AH567" t="s">
        <v>4506</v>
      </c>
      <c r="AI567" t="s">
        <v>4353</v>
      </c>
      <c r="AJ567" t="s">
        <v>4506</v>
      </c>
      <c r="AK567" t="s">
        <v>4518</v>
      </c>
      <c r="AL567" t="s">
        <v>4552</v>
      </c>
      <c r="AM567" t="s">
        <v>4528</v>
      </c>
      <c r="AN567" t="s">
        <v>4557</v>
      </c>
      <c r="AO567" s="134">
        <v>106.863422291994</v>
      </c>
      <c r="AP567" s="135">
        <v>120.32535885167501</v>
      </c>
      <c r="AQ567">
        <v>0.33014354066985602</v>
      </c>
      <c r="AR567" s="136">
        <v>1.25039872408293</v>
      </c>
      <c r="AS567">
        <v>7.4688995215310996</v>
      </c>
    </row>
    <row r="568" spans="1:45" customFormat="1" ht="76">
      <c r="A568" s="65">
        <v>344</v>
      </c>
      <c r="B568" s="69" t="s">
        <v>589</v>
      </c>
      <c r="C568" s="69" t="s">
        <v>45</v>
      </c>
      <c r="D568" s="31">
        <f t="shared" si="47"/>
        <v>4</v>
      </c>
      <c r="E568" s="69" t="s">
        <v>80</v>
      </c>
      <c r="F568" s="31">
        <f t="shared" si="48"/>
        <v>4</v>
      </c>
      <c r="G568" s="147" t="s">
        <v>1005</v>
      </c>
      <c r="H568" s="138">
        <v>98</v>
      </c>
      <c r="I568" s="92">
        <f t="shared" si="46"/>
        <v>0.4125009993630519</v>
      </c>
      <c r="J568" s="95">
        <v>1.9987261038467699E-6</v>
      </c>
      <c r="K568" s="137">
        <v>0.76722468700001201</v>
      </c>
      <c r="L568" s="137">
        <v>0.82499999999999996</v>
      </c>
      <c r="M568" s="137">
        <v>0.68056171750003003</v>
      </c>
      <c r="N568" s="136">
        <v>1</v>
      </c>
      <c r="O568" s="154">
        <v>43271</v>
      </c>
      <c r="P568" s="98">
        <f t="shared" si="49"/>
        <v>0</v>
      </c>
      <c r="Q568" s="111">
        <v>2.5499999999999998</v>
      </c>
      <c r="R568" s="111">
        <v>0</v>
      </c>
      <c r="S568" s="111">
        <v>0</v>
      </c>
      <c r="T568" s="112" t="s">
        <v>48</v>
      </c>
      <c r="U568" s="188" t="s">
        <v>1006</v>
      </c>
      <c r="V568" s="137" t="s">
        <v>1007</v>
      </c>
      <c r="W568" s="69">
        <v>117</v>
      </c>
      <c r="X568" s="188">
        <v>2</v>
      </c>
      <c r="Y568" s="188">
        <v>5</v>
      </c>
      <c r="AA568" t="s">
        <v>4512</v>
      </c>
      <c r="AB568" t="s">
        <v>4597</v>
      </c>
      <c r="AC568" t="s">
        <v>4513</v>
      </c>
      <c r="AD568" t="s">
        <v>4531</v>
      </c>
      <c r="AE568" t="s">
        <v>4515</v>
      </c>
      <c r="AF568" t="s">
        <v>4849</v>
      </c>
      <c r="AG568" t="s">
        <v>4513</v>
      </c>
      <c r="AH568" t="s">
        <v>4531</v>
      </c>
      <c r="AI568" t="s">
        <v>4353</v>
      </c>
      <c r="AJ568" t="s">
        <v>4506</v>
      </c>
      <c r="AK568" t="s">
        <v>4519</v>
      </c>
      <c r="AL568" t="s">
        <v>4552</v>
      </c>
      <c r="AM568" t="s">
        <v>4510</v>
      </c>
      <c r="AN568" t="s">
        <v>4634</v>
      </c>
      <c r="AO568" s="134">
        <v>106.92452830188699</v>
      </c>
      <c r="AP568" s="135">
        <v>120.32535885167501</v>
      </c>
      <c r="AQ568">
        <v>0.33014354066985602</v>
      </c>
      <c r="AR568" s="136">
        <v>1.25039872408293</v>
      </c>
      <c r="AS568">
        <v>7.4688995215310996</v>
      </c>
    </row>
    <row r="569" spans="1:45" customFormat="1" ht="90">
      <c r="A569">
        <v>1027</v>
      </c>
      <c r="B569" s="69" t="s">
        <v>2752</v>
      </c>
      <c r="C569" s="69" t="s">
        <v>45</v>
      </c>
      <c r="D569" s="31">
        <f t="shared" si="47"/>
        <v>4</v>
      </c>
      <c r="E569" s="69" t="s">
        <v>46</v>
      </c>
      <c r="F569" s="31">
        <f t="shared" si="48"/>
        <v>6</v>
      </c>
      <c r="G569" s="190" t="s">
        <v>2788</v>
      </c>
      <c r="H569" s="138">
        <v>153</v>
      </c>
      <c r="I569" s="92">
        <f t="shared" si="46"/>
        <v>0.38131588603708572</v>
      </c>
      <c r="J569" s="95">
        <v>1.2631772074171399E-2</v>
      </c>
      <c r="K569" s="137">
        <v>0.69881421079630901</v>
      </c>
      <c r="L569" s="137">
        <v>0.75</v>
      </c>
      <c r="M569" s="137">
        <v>0.62203552699077302</v>
      </c>
      <c r="N569" s="136">
        <v>0</v>
      </c>
      <c r="O569" s="157">
        <v>43270</v>
      </c>
      <c r="P569" s="98">
        <f t="shared" si="49"/>
        <v>0</v>
      </c>
      <c r="Q569" s="113">
        <v>5.0999999999999996</v>
      </c>
      <c r="R569" s="113">
        <v>0</v>
      </c>
      <c r="S569" s="113">
        <v>0</v>
      </c>
      <c r="T569" s="119" t="s">
        <v>48</v>
      </c>
      <c r="U569" s="89" t="s">
        <v>2789</v>
      </c>
      <c r="V569" s="172" t="s">
        <v>2790</v>
      </c>
      <c r="W569" s="69">
        <v>91</v>
      </c>
      <c r="X569" s="195">
        <v>2</v>
      </c>
      <c r="Y569" s="195">
        <v>7</v>
      </c>
      <c r="Z569" s="69"/>
      <c r="AA569" t="s">
        <v>4522</v>
      </c>
      <c r="AB569" t="s">
        <v>87</v>
      </c>
      <c r="AC569" t="s">
        <v>223</v>
      </c>
      <c r="AD569" t="s">
        <v>4588</v>
      </c>
      <c r="AE569" t="s">
        <v>4353</v>
      </c>
      <c r="AF569" t="s">
        <v>4506</v>
      </c>
      <c r="AG569" t="s">
        <v>4353</v>
      </c>
      <c r="AH569" t="s">
        <v>4506</v>
      </c>
      <c r="AI569" t="s">
        <v>4353</v>
      </c>
      <c r="AJ569" t="s">
        <v>4506</v>
      </c>
      <c r="AK569" t="s">
        <v>4519</v>
      </c>
      <c r="AL569" t="s">
        <v>4519</v>
      </c>
      <c r="AM569" t="s">
        <v>4510</v>
      </c>
      <c r="AN569" t="s">
        <v>4550</v>
      </c>
      <c r="AO569" s="134">
        <v>106.87086614173199</v>
      </c>
      <c r="AP569" s="135">
        <v>120.380191693291</v>
      </c>
      <c r="AQ569">
        <v>0.33067092651757202</v>
      </c>
      <c r="AR569" s="136">
        <v>1.2507987220447301</v>
      </c>
      <c r="AS569">
        <v>7.4760383386581504</v>
      </c>
    </row>
    <row r="570" spans="1:45" customFormat="1" ht="196">
      <c r="A570" s="65">
        <v>905</v>
      </c>
      <c r="B570" s="69" t="s">
        <v>2418</v>
      </c>
      <c r="C570" s="69" t="s">
        <v>45</v>
      </c>
      <c r="D570" s="31">
        <f t="shared" si="47"/>
        <v>4</v>
      </c>
      <c r="E570" s="69" t="s">
        <v>80</v>
      </c>
      <c r="F570" s="31">
        <f t="shared" si="48"/>
        <v>4</v>
      </c>
      <c r="G570" s="137" t="s">
        <v>2470</v>
      </c>
      <c r="H570" s="138">
        <v>141</v>
      </c>
      <c r="I570" s="92">
        <f t="shared" si="46"/>
        <v>0.41250905901916973</v>
      </c>
      <c r="J570" s="95">
        <v>1.8118038339509602E-5</v>
      </c>
      <c r="K570" s="137">
        <v>0.74381421079630905</v>
      </c>
      <c r="L570" s="137">
        <v>0.82499999999999996</v>
      </c>
      <c r="M570" s="137">
        <v>0.62203552699077302</v>
      </c>
      <c r="N570" s="136">
        <v>1</v>
      </c>
      <c r="O570" s="154">
        <v>43270</v>
      </c>
      <c r="P570" s="98">
        <f t="shared" si="49"/>
        <v>2</v>
      </c>
      <c r="Q570" s="107">
        <v>0</v>
      </c>
      <c r="R570" s="107">
        <v>0</v>
      </c>
      <c r="S570" s="107">
        <v>1.87</v>
      </c>
      <c r="T570" s="108" t="s">
        <v>64</v>
      </c>
      <c r="U570" s="137" t="s">
        <v>2471</v>
      </c>
      <c r="V570" s="137" t="s">
        <v>2472</v>
      </c>
      <c r="W570" s="69">
        <v>285</v>
      </c>
      <c r="X570" s="69">
        <v>3</v>
      </c>
      <c r="Y570" s="69">
        <v>7</v>
      </c>
      <c r="Z570" s="69"/>
      <c r="AA570" t="s">
        <v>4942</v>
      </c>
      <c r="AB570" t="s">
        <v>51</v>
      </c>
      <c r="AC570" t="s">
        <v>223</v>
      </c>
      <c r="AD570" t="s">
        <v>4943</v>
      </c>
      <c r="AE570" t="s">
        <v>4530</v>
      </c>
      <c r="AF570" t="s">
        <v>4773</v>
      </c>
      <c r="AG570" t="s">
        <v>223</v>
      </c>
      <c r="AH570" t="s">
        <v>4943</v>
      </c>
      <c r="AI570" t="s">
        <v>4353</v>
      </c>
      <c r="AJ570" t="s">
        <v>4506</v>
      </c>
      <c r="AK570" t="s">
        <v>4519</v>
      </c>
      <c r="AL570" t="s">
        <v>4552</v>
      </c>
      <c r="AM570" t="s">
        <v>4520</v>
      </c>
      <c r="AN570" t="s">
        <v>4652</v>
      </c>
      <c r="AO570" s="134">
        <v>106.798107255521</v>
      </c>
      <c r="AP570" s="135">
        <v>120.380191693291</v>
      </c>
      <c r="AQ570">
        <v>0.33067092651757202</v>
      </c>
      <c r="AR570" s="136">
        <v>1.2507987220447301</v>
      </c>
      <c r="AS570">
        <v>7.4760383386581504</v>
      </c>
    </row>
    <row r="571" spans="1:45" customFormat="1" ht="106">
      <c r="A571" s="65">
        <v>345</v>
      </c>
      <c r="B571" s="69" t="s">
        <v>589</v>
      </c>
      <c r="C571" s="69" t="s">
        <v>45</v>
      </c>
      <c r="D571" s="31">
        <f t="shared" si="47"/>
        <v>4</v>
      </c>
      <c r="E571" s="69" t="s">
        <v>80</v>
      </c>
      <c r="F571" s="31">
        <f t="shared" si="48"/>
        <v>4</v>
      </c>
      <c r="G571" s="147" t="s">
        <v>200</v>
      </c>
      <c r="H571" s="138">
        <v>75</v>
      </c>
      <c r="I571" s="92">
        <f t="shared" si="46"/>
        <v>0.37608422837217531</v>
      </c>
      <c r="J571" s="95">
        <v>2.1684567443506198E-3</v>
      </c>
      <c r="K571" s="137">
        <v>0.73571428571428599</v>
      </c>
      <c r="L571" s="137">
        <v>0.75</v>
      </c>
      <c r="M571" s="137">
        <v>0.71428571428571397</v>
      </c>
      <c r="N571" s="136">
        <v>1</v>
      </c>
      <c r="O571" s="154">
        <v>43268</v>
      </c>
      <c r="P571" s="98">
        <f t="shared" si="49"/>
        <v>0</v>
      </c>
      <c r="Q571" s="111">
        <v>0</v>
      </c>
      <c r="R571" s="111">
        <v>0</v>
      </c>
      <c r="S571" s="111">
        <v>0</v>
      </c>
      <c r="T571" s="112" t="s">
        <v>48</v>
      </c>
      <c r="U571" s="147" t="s">
        <v>1008</v>
      </c>
      <c r="V571" s="137" t="s">
        <v>1009</v>
      </c>
      <c r="W571" s="69">
        <v>134</v>
      </c>
      <c r="X571" s="147">
        <v>1</v>
      </c>
      <c r="Y571" s="147">
        <v>4</v>
      </c>
      <c r="AA571" t="s">
        <v>4522</v>
      </c>
      <c r="AB571" t="s">
        <v>4827</v>
      </c>
      <c r="AC571" t="s">
        <v>4515</v>
      </c>
      <c r="AD571" t="s">
        <v>4858</v>
      </c>
      <c r="AE571" t="s">
        <v>4515</v>
      </c>
      <c r="AF571" t="s">
        <v>4858</v>
      </c>
      <c r="AG571" t="s">
        <v>223</v>
      </c>
      <c r="AH571" t="s">
        <v>4702</v>
      </c>
      <c r="AI571" t="s">
        <v>4515</v>
      </c>
      <c r="AJ571" t="s">
        <v>4858</v>
      </c>
      <c r="AK571" t="s">
        <v>4518</v>
      </c>
      <c r="AL571" t="s">
        <v>4519</v>
      </c>
      <c r="AM571" t="s">
        <v>4520</v>
      </c>
      <c r="AN571" t="s">
        <v>4521</v>
      </c>
      <c r="AO571" s="134">
        <v>106.848341232227</v>
      </c>
      <c r="AP571" s="135">
        <v>120.380191693291</v>
      </c>
      <c r="AQ571">
        <v>0.33067092651757202</v>
      </c>
      <c r="AR571" s="136">
        <v>1.2507987220447301</v>
      </c>
      <c r="AS571">
        <v>7.4760383386581504</v>
      </c>
    </row>
    <row r="572" spans="1:45" customFormat="1" ht="121">
      <c r="A572" s="65">
        <v>24</v>
      </c>
      <c r="B572" s="136" t="s">
        <v>115</v>
      </c>
      <c r="C572" s="136" t="s">
        <v>119</v>
      </c>
      <c r="D572" s="31">
        <f t="shared" si="47"/>
        <v>1</v>
      </c>
      <c r="E572" s="136" t="s">
        <v>46</v>
      </c>
      <c r="F572" s="31">
        <f t="shared" si="48"/>
        <v>6</v>
      </c>
      <c r="G572" s="216" t="s">
        <v>120</v>
      </c>
      <c r="H572" s="138">
        <v>144</v>
      </c>
      <c r="I572" s="92">
        <f t="shared" si="46"/>
        <v>0.71533023895408454</v>
      </c>
      <c r="J572" s="95">
        <v>0.74884229608998698</v>
      </c>
      <c r="K572" s="137">
        <v>0.68131559609092096</v>
      </c>
      <c r="L572" s="137">
        <v>0.68181818181818199</v>
      </c>
      <c r="M572" s="137">
        <v>0.68056171750003003</v>
      </c>
      <c r="N572" s="136">
        <v>1</v>
      </c>
      <c r="O572" s="217">
        <v>43267</v>
      </c>
      <c r="P572" s="98">
        <f t="shared" si="49"/>
        <v>0</v>
      </c>
      <c r="Q572" s="111">
        <v>2.5499999999999998</v>
      </c>
      <c r="R572" s="111">
        <v>0</v>
      </c>
      <c r="S572" s="111">
        <v>0</v>
      </c>
      <c r="T572" s="112" t="s">
        <v>48</v>
      </c>
      <c r="U572" s="137" t="s">
        <v>121</v>
      </c>
      <c r="V572" s="136" t="s">
        <v>122</v>
      </c>
      <c r="W572" s="69">
        <v>166</v>
      </c>
      <c r="X572" s="136">
        <v>3</v>
      </c>
      <c r="Y572" s="136">
        <v>5</v>
      </c>
      <c r="AA572" t="s">
        <v>4551</v>
      </c>
      <c r="AB572" t="s">
        <v>71</v>
      </c>
      <c r="AC572" t="s">
        <v>4515</v>
      </c>
      <c r="AD572" t="s">
        <v>4582</v>
      </c>
      <c r="AE572" t="s">
        <v>4353</v>
      </c>
      <c r="AF572" t="s">
        <v>4506</v>
      </c>
      <c r="AG572" t="s">
        <v>4513</v>
      </c>
      <c r="AH572" t="s">
        <v>4944</v>
      </c>
      <c r="AI572" t="s">
        <v>4353</v>
      </c>
      <c r="AJ572" t="s">
        <v>4506</v>
      </c>
      <c r="AK572" t="s">
        <v>4519</v>
      </c>
      <c r="AL572" t="s">
        <v>4519</v>
      </c>
      <c r="AM572" t="s">
        <v>4510</v>
      </c>
      <c r="AN572" t="s">
        <v>4550</v>
      </c>
      <c r="AO572" s="134">
        <v>106.789556962025</v>
      </c>
      <c r="AP572" s="135">
        <v>120.380191693291</v>
      </c>
      <c r="AQ572">
        <v>0.33067092651757202</v>
      </c>
      <c r="AR572" s="136">
        <v>1.2507987220447301</v>
      </c>
      <c r="AS572">
        <v>7.4760383386581504</v>
      </c>
    </row>
    <row r="573" spans="1:45" customFormat="1" ht="61">
      <c r="A573">
        <v>346</v>
      </c>
      <c r="B573" s="69" t="s">
        <v>589</v>
      </c>
      <c r="C573" s="69" t="s">
        <v>45</v>
      </c>
      <c r="D573" s="31">
        <f t="shared" si="47"/>
        <v>4</v>
      </c>
      <c r="E573" s="69" t="s">
        <v>46</v>
      </c>
      <c r="F573" s="31">
        <f t="shared" si="48"/>
        <v>6</v>
      </c>
      <c r="G573" s="137" t="s">
        <v>1010</v>
      </c>
      <c r="H573" s="138">
        <v>19</v>
      </c>
      <c r="I573" s="92">
        <f t="shared" si="46"/>
        <v>0.41831736425837501</v>
      </c>
      <c r="J573" s="95">
        <v>8.6634728516749998E-2</v>
      </c>
      <c r="K573" s="137">
        <v>0.75102566813892102</v>
      </c>
      <c r="L573" s="137">
        <v>0.75</v>
      </c>
      <c r="M573" s="137">
        <v>0.75256417034730305</v>
      </c>
      <c r="N573" s="136">
        <v>0</v>
      </c>
      <c r="O573" s="154">
        <v>43267</v>
      </c>
      <c r="P573" s="98">
        <f t="shared" si="49"/>
        <v>0</v>
      </c>
      <c r="Q573" s="111">
        <v>5.0999999999999996</v>
      </c>
      <c r="R573" s="111">
        <v>4.95</v>
      </c>
      <c r="S573" s="111">
        <v>0</v>
      </c>
      <c r="T573" s="112" t="s">
        <v>48</v>
      </c>
      <c r="U573" s="169" t="s">
        <v>1011</v>
      </c>
      <c r="V573" s="137" t="s">
        <v>1012</v>
      </c>
      <c r="W573" s="69">
        <v>86</v>
      </c>
      <c r="X573" s="69">
        <v>1</v>
      </c>
      <c r="Y573" s="69">
        <v>3</v>
      </c>
      <c r="AA573" t="s">
        <v>4564</v>
      </c>
      <c r="AB573" t="s">
        <v>51</v>
      </c>
      <c r="AC573" t="s">
        <v>4515</v>
      </c>
      <c r="AD573" t="s">
        <v>4798</v>
      </c>
      <c r="AE573" t="s">
        <v>4538</v>
      </c>
      <c r="AF573" t="s">
        <v>4754</v>
      </c>
      <c r="AG573" t="s">
        <v>223</v>
      </c>
      <c r="AH573" t="s">
        <v>4670</v>
      </c>
      <c r="AI573" t="s">
        <v>4353</v>
      </c>
      <c r="AJ573" t="s">
        <v>4506</v>
      </c>
      <c r="AK573" t="s">
        <v>4519</v>
      </c>
      <c r="AL573" t="s">
        <v>4519</v>
      </c>
      <c r="AM573" t="s">
        <v>4510</v>
      </c>
      <c r="AN573" t="s">
        <v>4550</v>
      </c>
      <c r="AO573" s="134">
        <v>106.928684627575</v>
      </c>
      <c r="AP573" s="135">
        <v>120.380191693291</v>
      </c>
      <c r="AQ573">
        <v>0.33067092651757202</v>
      </c>
      <c r="AR573" s="136">
        <v>1.2507987220447301</v>
      </c>
      <c r="AS573">
        <v>7.4760383386581504</v>
      </c>
    </row>
    <row r="574" spans="1:45" customFormat="1" ht="76">
      <c r="A574">
        <v>347</v>
      </c>
      <c r="B574" s="69" t="s">
        <v>589</v>
      </c>
      <c r="C574" s="69" t="s">
        <v>45</v>
      </c>
      <c r="D574" s="31">
        <f t="shared" si="47"/>
        <v>4</v>
      </c>
      <c r="E574" s="69" t="s">
        <v>80</v>
      </c>
      <c r="F574" s="31">
        <f t="shared" si="48"/>
        <v>4</v>
      </c>
      <c r="G574" s="169" t="s">
        <v>439</v>
      </c>
      <c r="H574" s="138">
        <v>94</v>
      </c>
      <c r="I574" s="92">
        <f t="shared" si="46"/>
        <v>0.34090972872940839</v>
      </c>
      <c r="J574" s="95">
        <v>1.2756406347902399E-6</v>
      </c>
      <c r="K574" s="137">
        <v>0.68131559609092096</v>
      </c>
      <c r="L574" s="137">
        <v>0.68181818181818199</v>
      </c>
      <c r="M574" s="137">
        <v>0.68056171750003003</v>
      </c>
      <c r="N574" s="136">
        <v>1</v>
      </c>
      <c r="O574" s="154">
        <v>43267</v>
      </c>
      <c r="P574" s="98">
        <f t="shared" si="49"/>
        <v>0</v>
      </c>
      <c r="Q574" s="107">
        <v>10.199999999999999</v>
      </c>
      <c r="R574" s="107">
        <v>0</v>
      </c>
      <c r="S574" s="107">
        <v>0</v>
      </c>
      <c r="T574" s="108" t="s">
        <v>48</v>
      </c>
      <c r="U574" s="147" t="s">
        <v>1013</v>
      </c>
      <c r="V574" s="137" t="s">
        <v>1014</v>
      </c>
      <c r="W574" s="69">
        <v>101</v>
      </c>
      <c r="X574" s="171">
        <v>1</v>
      </c>
      <c r="Y574" s="171">
        <v>5</v>
      </c>
      <c r="AA574" t="s">
        <v>4522</v>
      </c>
      <c r="AB574" t="s">
        <v>87</v>
      </c>
      <c r="AC574" t="s">
        <v>4515</v>
      </c>
      <c r="AD574" t="s">
        <v>4748</v>
      </c>
      <c r="AE574" t="s">
        <v>223</v>
      </c>
      <c r="AF574" t="s">
        <v>4747</v>
      </c>
      <c r="AG574" t="s">
        <v>223</v>
      </c>
      <c r="AH574" t="s">
        <v>4747</v>
      </c>
      <c r="AI574" t="s">
        <v>223</v>
      </c>
      <c r="AJ574" t="s">
        <v>4747</v>
      </c>
      <c r="AK574" t="s">
        <v>4518</v>
      </c>
      <c r="AL574" t="s">
        <v>4519</v>
      </c>
      <c r="AM574" t="s">
        <v>4898</v>
      </c>
      <c r="AN574" t="s">
        <v>4945</v>
      </c>
      <c r="AO574" s="134">
        <v>106.94920634920599</v>
      </c>
      <c r="AP574" s="135">
        <v>120.380191693291</v>
      </c>
      <c r="AQ574">
        <v>0.33067092651757202</v>
      </c>
      <c r="AR574" s="136">
        <v>1.2507987220447301</v>
      </c>
      <c r="AS574">
        <v>7.4760383386581504</v>
      </c>
    </row>
    <row r="575" spans="1:45" customFormat="1" ht="151">
      <c r="A575" s="65">
        <v>512</v>
      </c>
      <c r="B575" s="69" t="s">
        <v>1222</v>
      </c>
      <c r="C575" s="69" t="s">
        <v>45</v>
      </c>
      <c r="D575" s="31">
        <f t="shared" si="47"/>
        <v>4</v>
      </c>
      <c r="E575" s="69" t="s">
        <v>664</v>
      </c>
      <c r="F575" s="31">
        <f t="shared" si="48"/>
        <v>1</v>
      </c>
      <c r="G575" s="152" t="s">
        <v>1445</v>
      </c>
      <c r="H575" s="138">
        <v>275</v>
      </c>
      <c r="I575" s="92">
        <f t="shared" si="46"/>
        <v>0.36762052954108904</v>
      </c>
      <c r="J575" s="95">
        <v>0.22298096755837499</v>
      </c>
      <c r="K575" s="137">
        <v>0.47878462634285301</v>
      </c>
      <c r="L575" s="137">
        <v>0.51226009152380303</v>
      </c>
      <c r="M575" s="137">
        <v>0.42857142857142899</v>
      </c>
      <c r="N575" s="136">
        <v>0</v>
      </c>
      <c r="O575" s="154">
        <v>43264</v>
      </c>
      <c r="P575" s="98">
        <f t="shared" si="49"/>
        <v>1</v>
      </c>
      <c r="Q575" s="111">
        <v>0</v>
      </c>
      <c r="R575" s="111">
        <v>0</v>
      </c>
      <c r="S575" s="111">
        <v>0</v>
      </c>
      <c r="T575" s="112" t="s">
        <v>73</v>
      </c>
      <c r="U575" s="147" t="s">
        <v>1446</v>
      </c>
      <c r="V575" s="137" t="s">
        <v>1447</v>
      </c>
      <c r="W575" s="69">
        <v>64</v>
      </c>
      <c r="X575" s="171">
        <v>1</v>
      </c>
      <c r="Y575" s="171">
        <v>16</v>
      </c>
      <c r="AA575" t="s">
        <v>4599</v>
      </c>
      <c r="AB575" t="s">
        <v>67</v>
      </c>
      <c r="AC575" t="s">
        <v>4353</v>
      </c>
      <c r="AD575" t="s">
        <v>4506</v>
      </c>
      <c r="AE575" t="s">
        <v>4353</v>
      </c>
      <c r="AF575" t="s">
        <v>4506</v>
      </c>
      <c r="AG575" t="s">
        <v>4353</v>
      </c>
      <c r="AH575" t="s">
        <v>4506</v>
      </c>
      <c r="AI575" t="s">
        <v>4353</v>
      </c>
      <c r="AJ575" t="s">
        <v>4506</v>
      </c>
      <c r="AK575" t="s">
        <v>4518</v>
      </c>
      <c r="AL575" t="s">
        <v>4519</v>
      </c>
      <c r="AM575" t="s">
        <v>4510</v>
      </c>
      <c r="AN575" t="s">
        <v>4523</v>
      </c>
      <c r="AO575" s="134">
        <v>106.68203497615301</v>
      </c>
      <c r="AP575" s="135">
        <v>120.349436392915</v>
      </c>
      <c r="AQ575">
        <v>0.32850241545893699</v>
      </c>
      <c r="AR575" s="136">
        <v>1.2512077294685999</v>
      </c>
      <c r="AS575">
        <v>7.4863123993558798</v>
      </c>
    </row>
    <row r="576" spans="1:45" customFormat="1" ht="151">
      <c r="A576" s="65">
        <v>513</v>
      </c>
      <c r="B576" s="69" t="s">
        <v>1222</v>
      </c>
      <c r="C576" s="69" t="s">
        <v>45</v>
      </c>
      <c r="D576" s="31">
        <f t="shared" si="47"/>
        <v>4</v>
      </c>
      <c r="E576" s="69" t="s">
        <v>1223</v>
      </c>
      <c r="F576" s="31">
        <f t="shared" si="48"/>
        <v>8</v>
      </c>
      <c r="G576" s="137" t="s">
        <v>1448</v>
      </c>
      <c r="H576" s="138">
        <v>268</v>
      </c>
      <c r="I576" s="92">
        <f t="shared" si="46"/>
        <v>9.4637119127194011E-2</v>
      </c>
      <c r="J576" s="95">
        <v>2.6052386411777002E-2</v>
      </c>
      <c r="K576" s="137">
        <v>0.39895877924448803</v>
      </c>
      <c r="L576" s="137">
        <v>0.16322185184261101</v>
      </c>
      <c r="M576" s="137">
        <v>0.75256417034730305</v>
      </c>
      <c r="N576" s="136">
        <v>1</v>
      </c>
      <c r="O576" s="154">
        <v>43263</v>
      </c>
      <c r="P576" s="98">
        <f t="shared" si="49"/>
        <v>0</v>
      </c>
      <c r="Q576" s="111">
        <v>2.5499999999999998</v>
      </c>
      <c r="R576" s="111">
        <v>3.3</v>
      </c>
      <c r="S576" s="111">
        <v>1.87</v>
      </c>
      <c r="T576" s="112" t="s">
        <v>48</v>
      </c>
      <c r="U576" s="137" t="s">
        <v>1449</v>
      </c>
      <c r="V576" s="137" t="s">
        <v>1450</v>
      </c>
      <c r="W576" s="69">
        <v>126</v>
      </c>
      <c r="X576" s="69">
        <v>1</v>
      </c>
      <c r="Y576" s="69">
        <v>3</v>
      </c>
      <c r="AA576" t="s">
        <v>4946</v>
      </c>
      <c r="AB576" t="s">
        <v>4597</v>
      </c>
      <c r="AC576" t="s">
        <v>4530</v>
      </c>
      <c r="AD576" t="s">
        <v>4840</v>
      </c>
      <c r="AE576" t="s">
        <v>4515</v>
      </c>
      <c r="AF576" t="s">
        <v>4575</v>
      </c>
      <c r="AG576" t="s">
        <v>4530</v>
      </c>
      <c r="AH576" t="s">
        <v>4840</v>
      </c>
      <c r="AI576" t="s">
        <v>4353</v>
      </c>
      <c r="AJ576" t="s">
        <v>4506</v>
      </c>
      <c r="AK576" t="s">
        <v>4519</v>
      </c>
      <c r="AL576" t="s">
        <v>4519</v>
      </c>
      <c r="AM576" t="s">
        <v>4715</v>
      </c>
      <c r="AN576" t="s">
        <v>4716</v>
      </c>
      <c r="AO576" s="134">
        <v>106.425159235669</v>
      </c>
      <c r="AP576" s="135">
        <v>120.32741935483899</v>
      </c>
      <c r="AQ576">
        <v>0.32903225806451603</v>
      </c>
      <c r="AR576" s="136">
        <v>1.2516129032258101</v>
      </c>
      <c r="AS576">
        <v>7.4919354838709697</v>
      </c>
    </row>
    <row r="577" spans="1:50" customFormat="1" ht="181">
      <c r="A577">
        <v>851</v>
      </c>
      <c r="B577" s="69" t="s">
        <v>2287</v>
      </c>
      <c r="C577" s="69" t="s">
        <v>45</v>
      </c>
      <c r="D577" s="31">
        <f t="shared" si="47"/>
        <v>4</v>
      </c>
      <c r="E577" s="69" t="s">
        <v>46</v>
      </c>
      <c r="F577" s="31">
        <f t="shared" si="48"/>
        <v>6</v>
      </c>
      <c r="G577" s="137" t="s">
        <v>2314</v>
      </c>
      <c r="H577" s="138">
        <v>330</v>
      </c>
      <c r="I577" s="92">
        <f t="shared" si="46"/>
        <v>0.35414542546162475</v>
      </c>
      <c r="J577" s="95">
        <v>2.6472669105067501E-2</v>
      </c>
      <c r="K577" s="137">
        <v>0.72827870552673202</v>
      </c>
      <c r="L577" s="137">
        <v>0.68181818181818199</v>
      </c>
      <c r="M577" s="137">
        <v>0.79796949108955795</v>
      </c>
      <c r="N577" s="136">
        <v>1</v>
      </c>
      <c r="O577" s="154">
        <v>43262</v>
      </c>
      <c r="P577" s="98">
        <f t="shared" si="49"/>
        <v>1</v>
      </c>
      <c r="Q577" s="201">
        <v>5.0999999999999996</v>
      </c>
      <c r="R577" s="201">
        <v>0</v>
      </c>
      <c r="S577" s="201">
        <v>0</v>
      </c>
      <c r="T577" s="213" t="s">
        <v>73</v>
      </c>
      <c r="U577" s="137" t="s">
        <v>2315</v>
      </c>
      <c r="V577" s="137" t="s">
        <v>2316</v>
      </c>
      <c r="W577" s="69">
        <v>134</v>
      </c>
      <c r="X577" s="69">
        <v>1</v>
      </c>
      <c r="Y577" s="69">
        <v>2</v>
      </c>
      <c r="Z577" s="69"/>
      <c r="AA577" t="s">
        <v>4564</v>
      </c>
      <c r="AB577" t="s">
        <v>51</v>
      </c>
      <c r="AC577" t="s">
        <v>4515</v>
      </c>
      <c r="AD577" t="s">
        <v>4568</v>
      </c>
      <c r="AE577" t="s">
        <v>4538</v>
      </c>
      <c r="AF577" t="s">
        <v>4884</v>
      </c>
      <c r="AG577" t="s">
        <v>4530</v>
      </c>
      <c r="AH577" t="s">
        <v>4620</v>
      </c>
      <c r="AI577" t="s">
        <v>4353</v>
      </c>
      <c r="AJ577" t="s">
        <v>4506</v>
      </c>
      <c r="AK577" t="s">
        <v>4518</v>
      </c>
      <c r="AL577" t="s">
        <v>4509</v>
      </c>
      <c r="AM577" t="s">
        <v>4510</v>
      </c>
      <c r="AN577" t="s">
        <v>4947</v>
      </c>
      <c r="AO577" s="134">
        <v>106.516746411483</v>
      </c>
      <c r="AP577" s="135">
        <v>120.466882067851</v>
      </c>
      <c r="AQ577">
        <v>0.32794830371567002</v>
      </c>
      <c r="AR577" s="136">
        <v>1.25040387722132</v>
      </c>
      <c r="AS577">
        <v>7.4894991922455603</v>
      </c>
    </row>
    <row r="578" spans="1:50" customFormat="1" ht="106">
      <c r="A578" s="65">
        <v>348</v>
      </c>
      <c r="B578" s="69" t="s">
        <v>589</v>
      </c>
      <c r="C578" s="69" t="s">
        <v>45</v>
      </c>
      <c r="D578" s="31">
        <f t="shared" si="47"/>
        <v>4</v>
      </c>
      <c r="E578" s="69" t="s">
        <v>80</v>
      </c>
      <c r="F578" s="31">
        <f t="shared" si="48"/>
        <v>4</v>
      </c>
      <c r="G578" s="147" t="s">
        <v>932</v>
      </c>
      <c r="H578" s="138">
        <v>49</v>
      </c>
      <c r="I578" s="92">
        <f t="shared" si="46"/>
        <v>0.38407220222465882</v>
      </c>
      <c r="J578" s="95">
        <v>1.81444044493176E-2</v>
      </c>
      <c r="K578" s="137">
        <v>0.76918779643582302</v>
      </c>
      <c r="L578" s="137">
        <v>0.75</v>
      </c>
      <c r="M578" s="137">
        <v>0.79796949108955795</v>
      </c>
      <c r="N578" s="136">
        <v>1</v>
      </c>
      <c r="O578" s="154">
        <v>43262</v>
      </c>
      <c r="P578" s="98">
        <f t="shared" si="49"/>
        <v>0</v>
      </c>
      <c r="Q578" s="111">
        <v>2.5499999999999998</v>
      </c>
      <c r="R578" s="111">
        <v>0</v>
      </c>
      <c r="S578" s="111">
        <v>0</v>
      </c>
      <c r="T578" s="112" t="s">
        <v>48</v>
      </c>
      <c r="U578" s="137" t="s">
        <v>1015</v>
      </c>
      <c r="V578" s="137" t="s">
        <v>1016</v>
      </c>
      <c r="W578" s="69">
        <v>151</v>
      </c>
      <c r="X578" s="147">
        <v>1</v>
      </c>
      <c r="Y578" s="147">
        <v>2</v>
      </c>
      <c r="AA578" t="s">
        <v>4556</v>
      </c>
      <c r="AB578" t="s">
        <v>4827</v>
      </c>
      <c r="AC578" t="s">
        <v>4515</v>
      </c>
      <c r="AD578" t="s">
        <v>4803</v>
      </c>
      <c r="AE578" t="s">
        <v>4515</v>
      </c>
      <c r="AF578" t="s">
        <v>4803</v>
      </c>
      <c r="AG578" t="s">
        <v>223</v>
      </c>
      <c r="AH578" t="s">
        <v>4616</v>
      </c>
      <c r="AI578" t="s">
        <v>4515</v>
      </c>
      <c r="AJ578" t="s">
        <v>4803</v>
      </c>
      <c r="AK578" t="s">
        <v>4518</v>
      </c>
      <c r="AL578" t="s">
        <v>4541</v>
      </c>
      <c r="AM578" t="s">
        <v>4528</v>
      </c>
      <c r="AN578" t="s">
        <v>4878</v>
      </c>
      <c r="AO578" s="134">
        <v>106.159744408946</v>
      </c>
      <c r="AP578" s="135">
        <v>120.466882067851</v>
      </c>
      <c r="AQ578">
        <v>0.32794830371567002</v>
      </c>
      <c r="AR578" s="136">
        <v>1.25040387722132</v>
      </c>
      <c r="AS578">
        <v>7.4894991922455603</v>
      </c>
    </row>
    <row r="579" spans="1:50" customFormat="1" ht="106">
      <c r="A579" s="65">
        <v>781</v>
      </c>
      <c r="B579" s="69" t="s">
        <v>2098</v>
      </c>
      <c r="C579" s="69" t="s">
        <v>45</v>
      </c>
      <c r="D579" s="31">
        <f t="shared" si="47"/>
        <v>4</v>
      </c>
      <c r="E579" s="69" t="s">
        <v>46</v>
      </c>
      <c r="F579" s="31">
        <f t="shared" si="48"/>
        <v>6</v>
      </c>
      <c r="G579" s="153" t="s">
        <v>2132</v>
      </c>
      <c r="H579" s="138">
        <v>199</v>
      </c>
      <c r="I579" s="92">
        <f t="shared" si="46"/>
        <v>0.41250000000002851</v>
      </c>
      <c r="J579" s="95">
        <v>5.7065463465732996E-14</v>
      </c>
      <c r="K579" s="137">
        <v>0.70547858340826297</v>
      </c>
      <c r="L579" s="137">
        <v>0.82499999999999996</v>
      </c>
      <c r="M579" s="137">
        <v>0.526196458520657</v>
      </c>
      <c r="N579" s="136">
        <v>1</v>
      </c>
      <c r="O579" s="154">
        <v>43261</v>
      </c>
      <c r="P579" s="98">
        <f t="shared" si="49"/>
        <v>0</v>
      </c>
      <c r="Q579" s="111">
        <v>0</v>
      </c>
      <c r="R579" s="111">
        <v>0</v>
      </c>
      <c r="S579" s="111">
        <v>0</v>
      </c>
      <c r="T579" s="112" t="s">
        <v>48</v>
      </c>
      <c r="U579" s="147" t="s">
        <v>4423</v>
      </c>
      <c r="V579" s="137" t="s">
        <v>2134</v>
      </c>
      <c r="W579" s="69">
        <v>58</v>
      </c>
      <c r="X579" s="171">
        <v>1</v>
      </c>
      <c r="Y579" s="171">
        <v>11</v>
      </c>
      <c r="Z579" s="69"/>
      <c r="AA579" t="s">
        <v>4543</v>
      </c>
      <c r="AB579" t="s">
        <v>67</v>
      </c>
      <c r="AC579" t="s">
        <v>4353</v>
      </c>
      <c r="AD579" t="s">
        <v>4506</v>
      </c>
      <c r="AE579" t="s">
        <v>4353</v>
      </c>
      <c r="AF579" t="s">
        <v>4506</v>
      </c>
      <c r="AG579" t="s">
        <v>4353</v>
      </c>
      <c r="AH579" t="s">
        <v>4506</v>
      </c>
      <c r="AI579" t="s">
        <v>4353</v>
      </c>
      <c r="AJ579" t="s">
        <v>4506</v>
      </c>
      <c r="AK579" t="s">
        <v>4519</v>
      </c>
      <c r="AL579" t="s">
        <v>4519</v>
      </c>
      <c r="AM579" t="s">
        <v>4528</v>
      </c>
      <c r="AN579" t="s">
        <v>4529</v>
      </c>
      <c r="AO579" s="134">
        <v>106.0112</v>
      </c>
      <c r="AP579" s="135">
        <v>120.466882067851</v>
      </c>
      <c r="AQ579">
        <v>0.32794830371567002</v>
      </c>
      <c r="AR579" s="136">
        <v>1.25040387722132</v>
      </c>
      <c r="AS579">
        <v>7.4894991922455603</v>
      </c>
    </row>
    <row r="580" spans="1:50" customFormat="1" ht="136">
      <c r="A580" s="65">
        <v>852</v>
      </c>
      <c r="B580" s="69" t="s">
        <v>2287</v>
      </c>
      <c r="C580" s="69" t="s">
        <v>45</v>
      </c>
      <c r="D580" s="31">
        <f t="shared" si="47"/>
        <v>4</v>
      </c>
      <c r="E580" s="69" t="s">
        <v>46</v>
      </c>
      <c r="F580" s="31">
        <f t="shared" si="48"/>
        <v>6</v>
      </c>
      <c r="G580" s="147" t="s">
        <v>2317</v>
      </c>
      <c r="H580" s="138">
        <v>263</v>
      </c>
      <c r="I580" s="92">
        <f t="shared" ref="I580:I643" si="50">(J580+L580)/2</f>
        <v>0.34092852066384738</v>
      </c>
      <c r="J580" s="95">
        <v>3.8859509512767503E-5</v>
      </c>
      <c r="K580" s="137">
        <v>0.69480519480519498</v>
      </c>
      <c r="L580" s="137">
        <v>0.68181818181818199</v>
      </c>
      <c r="M580" s="137">
        <v>0.71428571428571397</v>
      </c>
      <c r="N580" s="136">
        <v>1</v>
      </c>
      <c r="O580" s="154">
        <v>43259</v>
      </c>
      <c r="P580" s="98">
        <f t="shared" si="49"/>
        <v>1</v>
      </c>
      <c r="Q580" s="111">
        <v>2.5499999999999998</v>
      </c>
      <c r="R580" s="111">
        <v>0</v>
      </c>
      <c r="S580" s="111">
        <v>0</v>
      </c>
      <c r="T580" s="112" t="s">
        <v>73</v>
      </c>
      <c r="U580" s="137" t="s">
        <v>2318</v>
      </c>
      <c r="V580" s="137" t="s">
        <v>2316</v>
      </c>
      <c r="W580" s="69">
        <v>134</v>
      </c>
      <c r="X580" s="171">
        <v>1</v>
      </c>
      <c r="Y580" s="171">
        <v>4</v>
      </c>
      <c r="Z580" s="69"/>
      <c r="AA580" t="s">
        <v>4564</v>
      </c>
      <c r="AB580" t="s">
        <v>51</v>
      </c>
      <c r="AC580" t="s">
        <v>4515</v>
      </c>
      <c r="AD580" t="s">
        <v>4568</v>
      </c>
      <c r="AE580" t="s">
        <v>4538</v>
      </c>
      <c r="AF580" t="s">
        <v>4884</v>
      </c>
      <c r="AG580" t="s">
        <v>4530</v>
      </c>
      <c r="AH580" t="s">
        <v>4620</v>
      </c>
      <c r="AI580" t="s">
        <v>4353</v>
      </c>
      <c r="AJ580" t="s">
        <v>4506</v>
      </c>
      <c r="AK580" t="s">
        <v>4519</v>
      </c>
      <c r="AL580" t="s">
        <v>4552</v>
      </c>
      <c r="AM580" t="s">
        <v>4510</v>
      </c>
      <c r="AN580" t="s">
        <v>4634</v>
      </c>
      <c r="AO580" s="134">
        <v>105.81730769230801</v>
      </c>
      <c r="AP580" s="135">
        <v>120.576051779935</v>
      </c>
      <c r="AQ580">
        <v>0.32847896440129398</v>
      </c>
      <c r="AR580" s="136">
        <v>1.25080906148867</v>
      </c>
      <c r="AS580">
        <v>7.4951456310679596</v>
      </c>
    </row>
    <row r="581" spans="1:50" s="69" customFormat="1" ht="121">
      <c r="A581">
        <v>514</v>
      </c>
      <c r="B581" s="69" t="s">
        <v>1222</v>
      </c>
      <c r="C581" s="69" t="s">
        <v>45</v>
      </c>
      <c r="D581" s="31">
        <f t="shared" si="47"/>
        <v>4</v>
      </c>
      <c r="E581" s="69" t="s">
        <v>46</v>
      </c>
      <c r="F581" s="31">
        <f t="shared" si="48"/>
        <v>6</v>
      </c>
      <c r="G581" s="188" t="s">
        <v>1451</v>
      </c>
      <c r="H581" s="138">
        <v>227</v>
      </c>
      <c r="I581" s="92">
        <f t="shared" si="50"/>
        <v>0.37500003595393644</v>
      </c>
      <c r="J581" s="95">
        <v>7.1907872878362906E-8</v>
      </c>
      <c r="K581" s="137">
        <v>0.60092006036910395</v>
      </c>
      <c r="L581" s="137">
        <v>0.75</v>
      </c>
      <c r="M581" s="137">
        <v>0.37730015092276098</v>
      </c>
      <c r="N581" s="136">
        <v>0</v>
      </c>
      <c r="O581" s="154">
        <v>43259</v>
      </c>
      <c r="P581" s="98">
        <f t="shared" si="49"/>
        <v>1</v>
      </c>
      <c r="Q581" s="111">
        <v>0</v>
      </c>
      <c r="R581" s="111">
        <v>0</v>
      </c>
      <c r="S581" s="111">
        <v>0</v>
      </c>
      <c r="T581" s="112" t="s">
        <v>73</v>
      </c>
      <c r="U581" s="137" t="s">
        <v>1452</v>
      </c>
      <c r="V581" s="137" t="s">
        <v>1453</v>
      </c>
      <c r="W581" s="69">
        <v>31</v>
      </c>
      <c r="X581" s="195">
        <v>2</v>
      </c>
      <c r="Y581" s="195">
        <v>19</v>
      </c>
      <c r="Z581"/>
      <c r="AA581" t="s">
        <v>4603</v>
      </c>
      <c r="AB581" t="s">
        <v>87</v>
      </c>
      <c r="AC581" t="s">
        <v>223</v>
      </c>
      <c r="AD581" t="s">
        <v>4620</v>
      </c>
      <c r="AE581" t="s">
        <v>4353</v>
      </c>
      <c r="AF581" t="s">
        <v>4506</v>
      </c>
      <c r="AG581" t="s">
        <v>4353</v>
      </c>
      <c r="AH581" t="s">
        <v>4506</v>
      </c>
      <c r="AI581" t="s">
        <v>4353</v>
      </c>
      <c r="AJ581" t="s">
        <v>4506</v>
      </c>
      <c r="AK581" t="s">
        <v>4518</v>
      </c>
      <c r="AL581" t="s">
        <v>4519</v>
      </c>
      <c r="AM581" t="s">
        <v>4510</v>
      </c>
      <c r="AN581" t="s">
        <v>4523</v>
      </c>
      <c r="AO581" s="134">
        <v>105.565008025682</v>
      </c>
      <c r="AP581" s="135">
        <v>120.576051779935</v>
      </c>
      <c r="AQ581" s="69">
        <v>0.32847896440129398</v>
      </c>
      <c r="AR581" s="136">
        <v>1.25080906148867</v>
      </c>
      <c r="AS581">
        <v>7.4951456310679596</v>
      </c>
      <c r="AU581"/>
      <c r="AV581"/>
      <c r="AW581"/>
      <c r="AX581"/>
    </row>
    <row r="582" spans="1:50" customFormat="1" ht="61">
      <c r="A582">
        <v>42</v>
      </c>
      <c r="B582" s="136" t="s">
        <v>170</v>
      </c>
      <c r="C582" s="136" t="s">
        <v>45</v>
      </c>
      <c r="D582" s="31">
        <f t="shared" si="47"/>
        <v>4</v>
      </c>
      <c r="E582" s="136" t="s">
        <v>80</v>
      </c>
      <c r="F582" s="31">
        <f t="shared" si="48"/>
        <v>4</v>
      </c>
      <c r="G582" s="169" t="s">
        <v>174</v>
      </c>
      <c r="H582" s="138">
        <v>62</v>
      </c>
      <c r="I582" s="92">
        <f t="shared" si="50"/>
        <v>0.41250194037569948</v>
      </c>
      <c r="J582" s="95">
        <v>3.8807513990102302E-6</v>
      </c>
      <c r="K582" s="137">
        <v>0.733375592871646</v>
      </c>
      <c r="L582" s="137">
        <v>0.82499999999999996</v>
      </c>
      <c r="M582" s="137">
        <v>0.59593898217911601</v>
      </c>
      <c r="N582" s="136">
        <v>1</v>
      </c>
      <c r="O582" s="154">
        <v>43256</v>
      </c>
      <c r="P582" s="98">
        <f t="shared" si="49"/>
        <v>0</v>
      </c>
      <c r="Q582" s="113">
        <v>5.0999999999999996</v>
      </c>
      <c r="R582" s="113">
        <v>0</v>
      </c>
      <c r="S582" s="113">
        <v>1.87</v>
      </c>
      <c r="T582" s="114" t="s">
        <v>48</v>
      </c>
      <c r="U582" s="189" t="s">
        <v>175</v>
      </c>
      <c r="V582" s="136" t="s">
        <v>176</v>
      </c>
      <c r="W582" s="69">
        <v>89</v>
      </c>
      <c r="X582" s="189">
        <v>3</v>
      </c>
      <c r="Y582" s="189">
        <v>8</v>
      </c>
      <c r="AA582" t="s">
        <v>4628</v>
      </c>
      <c r="AB582" t="s">
        <v>71</v>
      </c>
      <c r="AC582" t="s">
        <v>4515</v>
      </c>
      <c r="AD582" t="s">
        <v>4813</v>
      </c>
      <c r="AE582" t="s">
        <v>4353</v>
      </c>
      <c r="AF582" t="s">
        <v>4506</v>
      </c>
      <c r="AG582" t="s">
        <v>4513</v>
      </c>
      <c r="AH582" t="s">
        <v>4609</v>
      </c>
      <c r="AI582" t="s">
        <v>4353</v>
      </c>
      <c r="AJ582" t="s">
        <v>4506</v>
      </c>
      <c r="AK582" t="s">
        <v>4519</v>
      </c>
      <c r="AL582" t="s">
        <v>4519</v>
      </c>
      <c r="AM582" t="s">
        <v>4520</v>
      </c>
      <c r="AN582" t="s">
        <v>4558</v>
      </c>
      <c r="AO582" s="134">
        <v>105.63504823151101</v>
      </c>
      <c r="AP582" s="135">
        <v>120.170731707317</v>
      </c>
      <c r="AQ582">
        <v>0.32195121951219502</v>
      </c>
      <c r="AR582" s="136">
        <v>1.2520325203252001</v>
      </c>
      <c r="AS582">
        <v>7.4747967479674804</v>
      </c>
    </row>
    <row r="583" spans="1:50" customFormat="1" ht="91">
      <c r="A583">
        <v>1199</v>
      </c>
      <c r="B583" s="69" t="s">
        <v>3209</v>
      </c>
      <c r="C583" s="69" t="s">
        <v>119</v>
      </c>
      <c r="D583" s="31">
        <f t="shared" si="47"/>
        <v>1</v>
      </c>
      <c r="E583" s="69" t="s">
        <v>46</v>
      </c>
      <c r="F583" s="31">
        <f t="shared" si="48"/>
        <v>6</v>
      </c>
      <c r="G583" s="147" t="s">
        <v>3220</v>
      </c>
      <c r="H583" s="138">
        <v>170</v>
      </c>
      <c r="I583" s="92">
        <f t="shared" si="50"/>
        <v>0.875</v>
      </c>
      <c r="J583" s="95">
        <v>1</v>
      </c>
      <c r="K583" s="137">
        <v>0.73571428571428599</v>
      </c>
      <c r="L583" s="137">
        <v>0.75</v>
      </c>
      <c r="M583" s="137">
        <v>0.71428571428571397</v>
      </c>
      <c r="N583" s="136">
        <v>1</v>
      </c>
      <c r="O583" s="154">
        <v>43255</v>
      </c>
      <c r="P583" s="98">
        <f t="shared" si="49"/>
        <v>1</v>
      </c>
      <c r="Q583" s="111">
        <v>0</v>
      </c>
      <c r="R583" s="111">
        <v>0</v>
      </c>
      <c r="S583" s="111">
        <v>0</v>
      </c>
      <c r="T583" s="112" t="s">
        <v>73</v>
      </c>
      <c r="U583" s="137" t="s">
        <v>3221</v>
      </c>
      <c r="V583" s="137" t="s">
        <v>3222</v>
      </c>
      <c r="W583" s="69">
        <v>53</v>
      </c>
      <c r="X583" s="171">
        <v>1</v>
      </c>
      <c r="Y583" s="171">
        <v>4</v>
      </c>
      <c r="Z583" s="69"/>
      <c r="AA583" t="s">
        <v>4564</v>
      </c>
      <c r="AB583" t="s">
        <v>51</v>
      </c>
      <c r="AC583" t="s">
        <v>223</v>
      </c>
      <c r="AD583" t="s">
        <v>4648</v>
      </c>
      <c r="AE583" t="s">
        <v>4530</v>
      </c>
      <c r="AF583" t="s">
        <v>4622</v>
      </c>
      <c r="AG583" t="s">
        <v>4353</v>
      </c>
      <c r="AH583" t="s">
        <v>4506</v>
      </c>
      <c r="AI583" t="s">
        <v>4353</v>
      </c>
      <c r="AJ583" t="s">
        <v>4506</v>
      </c>
      <c r="AK583" t="s">
        <v>4519</v>
      </c>
      <c r="AL583" t="s">
        <v>4519</v>
      </c>
      <c r="AM583" t="s">
        <v>4528</v>
      </c>
      <c r="AN583" t="s">
        <v>4529</v>
      </c>
      <c r="AO583" s="134">
        <v>105.669887278583</v>
      </c>
      <c r="AP583" s="135">
        <v>120.252442996743</v>
      </c>
      <c r="AQ583">
        <v>0.32247557003257299</v>
      </c>
      <c r="AR583" s="136">
        <v>1.25244299674267</v>
      </c>
      <c r="AS583">
        <v>7.4804560260586301</v>
      </c>
    </row>
    <row r="584" spans="1:50" customFormat="1" ht="61">
      <c r="A584" s="65">
        <v>25</v>
      </c>
      <c r="B584" s="136" t="s">
        <v>115</v>
      </c>
      <c r="C584" s="136" t="s">
        <v>45</v>
      </c>
      <c r="D584" s="31">
        <f t="shared" si="47"/>
        <v>4</v>
      </c>
      <c r="E584" s="136" t="s">
        <v>80</v>
      </c>
      <c r="F584" s="31">
        <f t="shared" si="48"/>
        <v>4</v>
      </c>
      <c r="G584" s="209" t="s">
        <v>123</v>
      </c>
      <c r="H584" s="138">
        <v>84</v>
      </c>
      <c r="I584" s="92">
        <f t="shared" si="50"/>
        <v>0.38357894186904168</v>
      </c>
      <c r="J584" s="95">
        <v>1.7157883738083399E-2</v>
      </c>
      <c r="K584" s="137">
        <v>0.76918779643582302</v>
      </c>
      <c r="L584" s="137">
        <v>0.75</v>
      </c>
      <c r="M584" s="137">
        <v>0.79796949108955795</v>
      </c>
      <c r="N584" s="136">
        <v>1</v>
      </c>
      <c r="O584" s="41">
        <v>43255</v>
      </c>
      <c r="P584" s="98">
        <f t="shared" si="49"/>
        <v>0</v>
      </c>
      <c r="Q584" s="113">
        <v>0</v>
      </c>
      <c r="R584" s="113">
        <v>0</v>
      </c>
      <c r="S584" s="113">
        <v>0</v>
      </c>
      <c r="T584" s="114" t="s">
        <v>48</v>
      </c>
      <c r="U584" s="136" t="s">
        <v>124</v>
      </c>
      <c r="V584" s="136" t="s">
        <v>125</v>
      </c>
      <c r="W584" s="69">
        <v>82</v>
      </c>
      <c r="X584" s="209">
        <v>1</v>
      </c>
      <c r="Y584" s="209">
        <v>2</v>
      </c>
      <c r="AA584" t="s">
        <v>4522</v>
      </c>
      <c r="AB584" t="s">
        <v>87</v>
      </c>
      <c r="AC584" t="s">
        <v>4530</v>
      </c>
      <c r="AD584" t="s">
        <v>4834</v>
      </c>
      <c r="AE584" t="s">
        <v>223</v>
      </c>
      <c r="AF584" t="s">
        <v>4635</v>
      </c>
      <c r="AG584" t="s">
        <v>223</v>
      </c>
      <c r="AH584" t="s">
        <v>4635</v>
      </c>
      <c r="AI584" t="s">
        <v>4353</v>
      </c>
      <c r="AJ584" t="s">
        <v>4506</v>
      </c>
      <c r="AK584" t="s">
        <v>4519</v>
      </c>
      <c r="AL584" t="s">
        <v>4552</v>
      </c>
      <c r="AM584" t="s">
        <v>4520</v>
      </c>
      <c r="AN584" t="s">
        <v>4652</v>
      </c>
      <c r="AO584" s="134">
        <v>105.58548387096801</v>
      </c>
      <c r="AP584" s="135">
        <v>120.252442996743</v>
      </c>
      <c r="AQ584">
        <v>0.32247557003257299</v>
      </c>
      <c r="AR584" s="136">
        <v>1.25244299674267</v>
      </c>
      <c r="AS584">
        <v>7.4804560260586301</v>
      </c>
    </row>
    <row r="585" spans="1:50" customFormat="1" ht="106">
      <c r="A585" s="65">
        <v>853</v>
      </c>
      <c r="B585" s="69" t="s">
        <v>2287</v>
      </c>
      <c r="C585" s="69" t="s">
        <v>59</v>
      </c>
      <c r="D585" s="31">
        <f t="shared" si="47"/>
        <v>5</v>
      </c>
      <c r="E585" s="69" t="s">
        <v>46</v>
      </c>
      <c r="F585" s="31">
        <f t="shared" si="48"/>
        <v>6</v>
      </c>
      <c r="G585" s="147" t="s">
        <v>2319</v>
      </c>
      <c r="H585" s="138">
        <v>158</v>
      </c>
      <c r="I585" s="92">
        <f t="shared" si="50"/>
        <v>0.34100038891986156</v>
      </c>
      <c r="J585" s="95">
        <v>1.82596021541137E-4</v>
      </c>
      <c r="K585" s="137">
        <v>0.71011657722983001</v>
      </c>
      <c r="L585" s="137">
        <v>0.68181818181818199</v>
      </c>
      <c r="M585" s="137">
        <v>0.75256417034730305</v>
      </c>
      <c r="N585" s="136">
        <v>0</v>
      </c>
      <c r="O585" s="154">
        <v>43255</v>
      </c>
      <c r="P585" s="98">
        <f t="shared" si="49"/>
        <v>1</v>
      </c>
      <c r="Q585" s="111">
        <v>5.0999999999999996</v>
      </c>
      <c r="R585" s="111">
        <v>0</v>
      </c>
      <c r="S585" s="111">
        <v>0</v>
      </c>
      <c r="T585" s="112" t="s">
        <v>73</v>
      </c>
      <c r="U585" s="137" t="s">
        <v>4430</v>
      </c>
      <c r="V585" s="137" t="s">
        <v>2321</v>
      </c>
      <c r="W585" s="69">
        <v>145</v>
      </c>
      <c r="X585" s="171">
        <v>3</v>
      </c>
      <c r="Y585" s="171">
        <v>3</v>
      </c>
      <c r="Z585" s="69"/>
      <c r="AA585" t="s">
        <v>4697</v>
      </c>
      <c r="AB585" t="s">
        <v>87</v>
      </c>
      <c r="AC585" t="s">
        <v>4513</v>
      </c>
      <c r="AD585" t="s">
        <v>4752</v>
      </c>
      <c r="AE585" t="s">
        <v>223</v>
      </c>
      <c r="AF585" t="s">
        <v>4800</v>
      </c>
      <c r="AG585" t="s">
        <v>4515</v>
      </c>
      <c r="AH585" t="s">
        <v>4948</v>
      </c>
      <c r="AI585" t="s">
        <v>4353</v>
      </c>
      <c r="AJ585" t="s">
        <v>4506</v>
      </c>
      <c r="AK585" t="s">
        <v>4519</v>
      </c>
      <c r="AL585" t="s">
        <v>4519</v>
      </c>
      <c r="AM585" t="s">
        <v>4519</v>
      </c>
      <c r="AN585" t="s">
        <v>4564</v>
      </c>
      <c r="AO585" s="134">
        <v>105.481421647819</v>
      </c>
      <c r="AP585" s="135">
        <v>120.252442996743</v>
      </c>
      <c r="AQ585">
        <v>0.32247557003257299</v>
      </c>
      <c r="AR585" s="136">
        <v>1.25244299674267</v>
      </c>
      <c r="AS585">
        <v>7.4804560260586301</v>
      </c>
    </row>
    <row r="586" spans="1:50" customFormat="1" ht="76">
      <c r="A586" s="65">
        <v>349</v>
      </c>
      <c r="B586" s="69" t="s">
        <v>589</v>
      </c>
      <c r="C586" s="69" t="s">
        <v>45</v>
      </c>
      <c r="D586" s="31">
        <f t="shared" si="47"/>
        <v>4</v>
      </c>
      <c r="E586" s="69" t="s">
        <v>80</v>
      </c>
      <c r="F586" s="31">
        <f t="shared" si="48"/>
        <v>4</v>
      </c>
      <c r="G586" s="169" t="s">
        <v>159</v>
      </c>
      <c r="H586" s="138">
        <v>125</v>
      </c>
      <c r="I586" s="92">
        <f t="shared" si="50"/>
        <v>0.41262453457108822</v>
      </c>
      <c r="J586" s="95">
        <v>2.49069142176484E-4</v>
      </c>
      <c r="K586" s="137">
        <v>0.72357142857142898</v>
      </c>
      <c r="L586" s="137">
        <v>0.82499999999999996</v>
      </c>
      <c r="M586" s="137">
        <v>0.57142857142857095</v>
      </c>
      <c r="N586" s="136">
        <v>1</v>
      </c>
      <c r="O586" s="154">
        <v>43253</v>
      </c>
      <c r="P586" s="98">
        <f t="shared" si="49"/>
        <v>0</v>
      </c>
      <c r="Q586" s="111">
        <v>7.65</v>
      </c>
      <c r="R586" s="111">
        <v>0</v>
      </c>
      <c r="S586" s="111">
        <v>0</v>
      </c>
      <c r="T586" s="112" t="s">
        <v>48</v>
      </c>
      <c r="U586" s="188" t="s">
        <v>1017</v>
      </c>
      <c r="V586" s="137" t="s">
        <v>1018</v>
      </c>
      <c r="W586" s="69">
        <v>34</v>
      </c>
      <c r="X586" s="195">
        <v>3</v>
      </c>
      <c r="Y586" s="195">
        <v>9</v>
      </c>
      <c r="AA586" t="s">
        <v>4522</v>
      </c>
      <c r="AB586" t="s">
        <v>87</v>
      </c>
      <c r="AC586" t="s">
        <v>223</v>
      </c>
      <c r="AD586" t="s">
        <v>4517</v>
      </c>
      <c r="AE586" t="s">
        <v>4353</v>
      </c>
      <c r="AF586" t="s">
        <v>4506</v>
      </c>
      <c r="AG586" t="s">
        <v>4353</v>
      </c>
      <c r="AH586" t="s">
        <v>4506</v>
      </c>
      <c r="AI586" t="s">
        <v>4353</v>
      </c>
      <c r="AJ586" t="s">
        <v>4506</v>
      </c>
      <c r="AK586" t="s">
        <v>4519</v>
      </c>
      <c r="AL586" t="s">
        <v>4519</v>
      </c>
      <c r="AM586" t="s">
        <v>4520</v>
      </c>
      <c r="AN586" t="s">
        <v>4558</v>
      </c>
      <c r="AO586" s="134">
        <v>105.449838187702</v>
      </c>
      <c r="AP586" s="135">
        <v>120.252442996743</v>
      </c>
      <c r="AQ586">
        <v>0.32247557003257299</v>
      </c>
      <c r="AR586" s="136">
        <v>1.25244299674267</v>
      </c>
      <c r="AS586">
        <v>7.4804560260586301</v>
      </c>
    </row>
    <row r="587" spans="1:50" s="65" customFormat="1" ht="61">
      <c r="A587">
        <v>86</v>
      </c>
      <c r="B587" s="69" t="s">
        <v>217</v>
      </c>
      <c r="C587" s="69" t="s">
        <v>45</v>
      </c>
      <c r="D587" s="31">
        <f t="shared" ref="D587:D650" si="51">IF(C587="投诉",4,IF(C587="建议",1,IF(C587="举报",2,IF(C587="求助",3,5))))</f>
        <v>4</v>
      </c>
      <c r="E587" s="69" t="s">
        <v>80</v>
      </c>
      <c r="F587" s="31">
        <f t="shared" ref="F587:F650" si="52">IF(E587="12345app",1,IF(E587="e福州app",2,IF(E587="qq",3,IF(E587="电话",4,IF(E587="短信",5,IF(E587="网站",6,IF(E587="微博",7,IF(E587="微信",8,9))))))))</f>
        <v>4</v>
      </c>
      <c r="G587" s="147" t="s">
        <v>305</v>
      </c>
      <c r="H587" s="138">
        <v>46</v>
      </c>
      <c r="I587" s="92">
        <f t="shared" si="50"/>
        <v>0.41252326981372672</v>
      </c>
      <c r="J587" s="95">
        <v>4.6539627453490203E-5</v>
      </c>
      <c r="K587" s="137">
        <v>0.78071428571428603</v>
      </c>
      <c r="L587" s="137">
        <v>0.82499999999999996</v>
      </c>
      <c r="M587" s="137">
        <v>0.71428571428571397</v>
      </c>
      <c r="N587" s="136">
        <v>1</v>
      </c>
      <c r="O587" s="154">
        <v>43251</v>
      </c>
      <c r="P587" s="98">
        <f t="shared" ref="P587:P650" si="53">IF(T587="利己",0,IF(T587="生态",2,1))</f>
        <v>0</v>
      </c>
      <c r="Q587" s="111">
        <v>5.0999999999999996</v>
      </c>
      <c r="R587" s="111">
        <v>3.3</v>
      </c>
      <c r="S587" s="111">
        <v>1.87</v>
      </c>
      <c r="T587" s="112" t="s">
        <v>48</v>
      </c>
      <c r="U587" s="137" t="s">
        <v>306</v>
      </c>
      <c r="V587" s="137" t="s">
        <v>307</v>
      </c>
      <c r="W587" s="69">
        <v>70</v>
      </c>
      <c r="X587" s="147">
        <v>1</v>
      </c>
      <c r="Y587" s="147">
        <v>4</v>
      </c>
      <c r="Z587"/>
      <c r="AA587" t="s">
        <v>4522</v>
      </c>
      <c r="AB587" t="s">
        <v>51</v>
      </c>
      <c r="AC587" t="s">
        <v>223</v>
      </c>
      <c r="AD587" t="s">
        <v>4734</v>
      </c>
      <c r="AE587" t="s">
        <v>4515</v>
      </c>
      <c r="AF587" t="s">
        <v>4561</v>
      </c>
      <c r="AG587" t="s">
        <v>4353</v>
      </c>
      <c r="AH587" t="s">
        <v>4506</v>
      </c>
      <c r="AI587" t="s">
        <v>223</v>
      </c>
      <c r="AJ587" t="s">
        <v>4734</v>
      </c>
      <c r="AK587" t="s">
        <v>4518</v>
      </c>
      <c r="AL587" t="s">
        <v>4519</v>
      </c>
      <c r="AM587" t="s">
        <v>4520</v>
      </c>
      <c r="AN587" t="s">
        <v>4521</v>
      </c>
      <c r="AO587" s="132">
        <v>105.54619124797399</v>
      </c>
      <c r="AP587" s="133">
        <v>120.555737704918</v>
      </c>
      <c r="AQ587" s="65">
        <v>0.31967213114754101</v>
      </c>
      <c r="AR587" s="65">
        <v>1.2524590163934399</v>
      </c>
      <c r="AS587" s="65">
        <v>7.48524590163934</v>
      </c>
    </row>
    <row r="588" spans="1:50" s="65" customFormat="1" ht="91">
      <c r="A588">
        <v>350</v>
      </c>
      <c r="B588" s="69" t="s">
        <v>589</v>
      </c>
      <c r="C588" s="69" t="s">
        <v>45</v>
      </c>
      <c r="D588" s="31">
        <f t="shared" si="51"/>
        <v>4</v>
      </c>
      <c r="E588" s="69" t="s">
        <v>80</v>
      </c>
      <c r="F588" s="31">
        <f t="shared" si="52"/>
        <v>4</v>
      </c>
      <c r="G588" s="137" t="s">
        <v>1005</v>
      </c>
      <c r="H588" s="138">
        <v>83</v>
      </c>
      <c r="I588" s="92">
        <f t="shared" si="50"/>
        <v>0.41382714656622394</v>
      </c>
      <c r="J588" s="95">
        <v>2.6542931324479201E-3</v>
      </c>
      <c r="K588" s="137">
        <v>0.66642857142857104</v>
      </c>
      <c r="L588" s="137">
        <v>0.82499999999999996</v>
      </c>
      <c r="M588" s="137">
        <v>0.42857142857142899</v>
      </c>
      <c r="N588" s="136">
        <v>1</v>
      </c>
      <c r="O588" s="154">
        <v>43250</v>
      </c>
      <c r="P588" s="98">
        <f t="shared" si="53"/>
        <v>0</v>
      </c>
      <c r="Q588" s="111">
        <v>2.5499999999999998</v>
      </c>
      <c r="R588" s="111">
        <v>0</v>
      </c>
      <c r="S588" s="111">
        <v>0</v>
      </c>
      <c r="T588" s="112" t="s">
        <v>48</v>
      </c>
      <c r="U588" s="137" t="s">
        <v>1019</v>
      </c>
      <c r="V588" s="137" t="s">
        <v>1020</v>
      </c>
      <c r="W588" s="69">
        <v>121</v>
      </c>
      <c r="X588" s="69">
        <v>3</v>
      </c>
      <c r="Y588" s="69">
        <v>16</v>
      </c>
      <c r="Z588"/>
      <c r="AA588" t="s">
        <v>4512</v>
      </c>
      <c r="AB588" t="s">
        <v>71</v>
      </c>
      <c r="AC588" t="s">
        <v>4515</v>
      </c>
      <c r="AD588" t="s">
        <v>4721</v>
      </c>
      <c r="AE588" t="s">
        <v>223</v>
      </c>
      <c r="AF588" t="s">
        <v>4545</v>
      </c>
      <c r="AG588" t="s">
        <v>4530</v>
      </c>
      <c r="AH588" t="s">
        <v>4544</v>
      </c>
      <c r="AI588" t="s">
        <v>4353</v>
      </c>
      <c r="AJ588" t="s">
        <v>4506</v>
      </c>
      <c r="AK588" t="s">
        <v>4519</v>
      </c>
      <c r="AL588" t="s">
        <v>4552</v>
      </c>
      <c r="AM588" t="s">
        <v>4510</v>
      </c>
      <c r="AN588" t="s">
        <v>4634</v>
      </c>
      <c r="AO588" s="132">
        <v>105.582792207792</v>
      </c>
      <c r="AP588" s="133">
        <v>120.91433278418501</v>
      </c>
      <c r="AQ588" s="65">
        <v>0.31795716639209198</v>
      </c>
      <c r="AR588" s="65">
        <v>1.2537067545304801</v>
      </c>
      <c r="AS588" s="65">
        <v>7.5057660626029596</v>
      </c>
    </row>
    <row r="589" spans="1:50" s="65" customFormat="1" ht="226">
      <c r="A589">
        <v>854</v>
      </c>
      <c r="B589" s="69" t="s">
        <v>2287</v>
      </c>
      <c r="C589" s="69" t="s">
        <v>59</v>
      </c>
      <c r="D589" s="31">
        <f t="shared" si="51"/>
        <v>5</v>
      </c>
      <c r="E589" s="69" t="s">
        <v>46</v>
      </c>
      <c r="F589" s="31">
        <f t="shared" si="52"/>
        <v>6</v>
      </c>
      <c r="G589" s="137" t="s">
        <v>2322</v>
      </c>
      <c r="H589" s="138">
        <v>420</v>
      </c>
      <c r="I589" s="92">
        <f t="shared" si="50"/>
        <v>0.37502600109783246</v>
      </c>
      <c r="J589" s="95">
        <v>5.2002195664924097E-5</v>
      </c>
      <c r="K589" s="137">
        <v>0.79285714285714304</v>
      </c>
      <c r="L589" s="137">
        <v>0.75</v>
      </c>
      <c r="M589" s="137">
        <v>0.85714285714285698</v>
      </c>
      <c r="N589" s="136">
        <v>0</v>
      </c>
      <c r="O589" s="154">
        <v>43250</v>
      </c>
      <c r="P589" s="98">
        <f t="shared" si="53"/>
        <v>2</v>
      </c>
      <c r="Q589" s="111">
        <v>0</v>
      </c>
      <c r="R589" s="111">
        <v>0</v>
      </c>
      <c r="S589" s="111">
        <v>0</v>
      </c>
      <c r="T589" s="112" t="s">
        <v>64</v>
      </c>
      <c r="U589" s="137" t="s">
        <v>2323</v>
      </c>
      <c r="V589" s="137" t="s">
        <v>2324</v>
      </c>
      <c r="W589" s="69">
        <v>104</v>
      </c>
      <c r="X589" s="69">
        <v>1</v>
      </c>
      <c r="Y589" s="69">
        <v>1</v>
      </c>
      <c r="Z589" s="69"/>
      <c r="AA589" t="s">
        <v>4522</v>
      </c>
      <c r="AB589" t="s">
        <v>4594</v>
      </c>
      <c r="AC589" t="s">
        <v>223</v>
      </c>
      <c r="AD589" t="s">
        <v>4747</v>
      </c>
      <c r="AE589" t="s">
        <v>223</v>
      </c>
      <c r="AF589" t="s">
        <v>4747</v>
      </c>
      <c r="AG589" t="s">
        <v>4353</v>
      </c>
      <c r="AH589" t="s">
        <v>4506</v>
      </c>
      <c r="AI589" t="s">
        <v>4353</v>
      </c>
      <c r="AJ589" t="s">
        <v>4506</v>
      </c>
      <c r="AK589" t="s">
        <v>4518</v>
      </c>
      <c r="AL589" t="s">
        <v>4552</v>
      </c>
      <c r="AM589" t="s">
        <v>4528</v>
      </c>
      <c r="AN589" t="s">
        <v>4557</v>
      </c>
      <c r="AO589" s="132">
        <v>105.071544715447</v>
      </c>
      <c r="AP589" s="133">
        <v>120.91433278418501</v>
      </c>
      <c r="AQ589" s="65">
        <v>0.31795716639209198</v>
      </c>
      <c r="AR589" s="65">
        <v>1.2537067545304801</v>
      </c>
      <c r="AS589" s="65">
        <v>7.5057660626029596</v>
      </c>
    </row>
    <row r="590" spans="1:50" s="65" customFormat="1" ht="76">
      <c r="A590">
        <v>855</v>
      </c>
      <c r="B590" s="69" t="s">
        <v>2287</v>
      </c>
      <c r="C590" s="69" t="s">
        <v>59</v>
      </c>
      <c r="D590" s="31">
        <f t="shared" si="51"/>
        <v>5</v>
      </c>
      <c r="E590" s="69" t="s">
        <v>46</v>
      </c>
      <c r="F590" s="31">
        <f t="shared" si="52"/>
        <v>6</v>
      </c>
      <c r="G590" s="137" t="s">
        <v>2319</v>
      </c>
      <c r="H590" s="138">
        <v>137</v>
      </c>
      <c r="I590" s="92">
        <f t="shared" si="50"/>
        <v>0.80392197807923393</v>
      </c>
      <c r="J590" s="95">
        <v>0.98800924541466595</v>
      </c>
      <c r="K590" s="137">
        <v>0.69108862288210404</v>
      </c>
      <c r="L590" s="137">
        <v>0.61983471074380203</v>
      </c>
      <c r="M590" s="137">
        <v>0.79796949108955795</v>
      </c>
      <c r="N590" s="136">
        <v>0</v>
      </c>
      <c r="O590" s="154">
        <v>43248</v>
      </c>
      <c r="P590" s="98">
        <f t="shared" si="53"/>
        <v>2</v>
      </c>
      <c r="Q590" s="111">
        <v>0</v>
      </c>
      <c r="R590" s="111">
        <v>1.65</v>
      </c>
      <c r="S590" s="111">
        <v>0</v>
      </c>
      <c r="T590" s="112" t="s">
        <v>64</v>
      </c>
      <c r="U590" s="137" t="s">
        <v>4431</v>
      </c>
      <c r="V590" s="137" t="s">
        <v>2326</v>
      </c>
      <c r="W590" s="69">
        <v>37</v>
      </c>
      <c r="X590" s="69">
        <v>2</v>
      </c>
      <c r="Y590" s="69">
        <v>2</v>
      </c>
      <c r="Z590" s="69"/>
      <c r="AA590" t="s">
        <v>4543</v>
      </c>
      <c r="AB590" t="s">
        <v>67</v>
      </c>
      <c r="AC590" t="s">
        <v>4353</v>
      </c>
      <c r="AD590" t="s">
        <v>4506</v>
      </c>
      <c r="AE590" t="s">
        <v>4353</v>
      </c>
      <c r="AF590" t="s">
        <v>4506</v>
      </c>
      <c r="AG590" t="s">
        <v>4353</v>
      </c>
      <c r="AH590" t="s">
        <v>4506</v>
      </c>
      <c r="AI590" t="s">
        <v>4353</v>
      </c>
      <c r="AJ590" t="s">
        <v>4506</v>
      </c>
      <c r="AK590" t="s">
        <v>4519</v>
      </c>
      <c r="AL590" t="s">
        <v>4519</v>
      </c>
      <c r="AM590" t="s">
        <v>4562</v>
      </c>
      <c r="AN590" t="s">
        <v>4563</v>
      </c>
      <c r="AO590" s="132">
        <v>105.019543973941</v>
      </c>
      <c r="AP590" s="133">
        <v>121.036363636364</v>
      </c>
      <c r="AQ590" s="65">
        <v>0.31570247933884299</v>
      </c>
      <c r="AR590" s="65">
        <v>1.25123966942149</v>
      </c>
      <c r="AS590" s="65">
        <v>7.5024793388429796</v>
      </c>
    </row>
    <row r="591" spans="1:50" s="65" customFormat="1" ht="46">
      <c r="A591">
        <v>87</v>
      </c>
      <c r="B591" s="69" t="s">
        <v>217</v>
      </c>
      <c r="C591" s="69" t="s">
        <v>45</v>
      </c>
      <c r="D591" s="31">
        <f t="shared" si="51"/>
        <v>4</v>
      </c>
      <c r="E591" s="69" t="s">
        <v>80</v>
      </c>
      <c r="F591" s="31">
        <f t="shared" si="52"/>
        <v>4</v>
      </c>
      <c r="G591" s="137" t="s">
        <v>308</v>
      </c>
      <c r="H591" s="138">
        <v>87</v>
      </c>
      <c r="I591" s="92">
        <f t="shared" si="50"/>
        <v>0.86511159541891203</v>
      </c>
      <c r="J591" s="95">
        <v>0.98022319083782405</v>
      </c>
      <c r="K591" s="137">
        <v>0.73571428571428599</v>
      </c>
      <c r="L591" s="137">
        <v>0.75</v>
      </c>
      <c r="M591" s="137">
        <v>0.71428571428571397</v>
      </c>
      <c r="N591" s="136">
        <v>1</v>
      </c>
      <c r="O591" s="154">
        <v>43246</v>
      </c>
      <c r="P591" s="98">
        <f t="shared" si="53"/>
        <v>1</v>
      </c>
      <c r="Q591" s="111">
        <v>0</v>
      </c>
      <c r="R591" s="111">
        <v>3.3</v>
      </c>
      <c r="S591" s="111">
        <v>0</v>
      </c>
      <c r="T591" s="112" t="s">
        <v>73</v>
      </c>
      <c r="U591" s="137" t="s">
        <v>309</v>
      </c>
      <c r="V591" s="137" t="s">
        <v>310</v>
      </c>
      <c r="W591" s="69">
        <v>42</v>
      </c>
      <c r="X591" s="69">
        <v>2</v>
      </c>
      <c r="Y591" s="69">
        <v>4</v>
      </c>
      <c r="Z591"/>
      <c r="AA591" t="s">
        <v>4522</v>
      </c>
      <c r="AB591" t="s">
        <v>4594</v>
      </c>
      <c r="AC591" t="s">
        <v>4513</v>
      </c>
      <c r="AD591" t="s">
        <v>4835</v>
      </c>
      <c r="AE591" t="s">
        <v>4513</v>
      </c>
      <c r="AF591" t="s">
        <v>4835</v>
      </c>
      <c r="AG591" t="s">
        <v>4353</v>
      </c>
      <c r="AH591" t="s">
        <v>4506</v>
      </c>
      <c r="AI591" t="s">
        <v>4353</v>
      </c>
      <c r="AJ591" t="s">
        <v>4506</v>
      </c>
      <c r="AK591" t="s">
        <v>4518</v>
      </c>
      <c r="AL591" t="s">
        <v>4552</v>
      </c>
      <c r="AM591" t="s">
        <v>4510</v>
      </c>
      <c r="AN591" t="s">
        <v>4553</v>
      </c>
      <c r="AO591" s="132">
        <v>105.048939641109</v>
      </c>
      <c r="AP591" s="133">
        <v>121.036363636364</v>
      </c>
      <c r="AQ591" s="65">
        <v>0.31570247933884299</v>
      </c>
      <c r="AR591" s="65">
        <v>1.25123966942149</v>
      </c>
      <c r="AS591" s="65">
        <v>7.5024793388429796</v>
      </c>
    </row>
    <row r="592" spans="1:50" customFormat="1" ht="46">
      <c r="A592">
        <v>351</v>
      </c>
      <c r="B592" s="69" t="s">
        <v>589</v>
      </c>
      <c r="C592" s="69" t="s">
        <v>45</v>
      </c>
      <c r="D592" s="31">
        <f t="shared" si="51"/>
        <v>4</v>
      </c>
      <c r="E592" s="69" t="s">
        <v>80</v>
      </c>
      <c r="F592" s="31">
        <f t="shared" si="52"/>
        <v>4</v>
      </c>
      <c r="G592" s="169" t="s">
        <v>439</v>
      </c>
      <c r="H592" s="138">
        <v>36</v>
      </c>
      <c r="I592" s="92">
        <f t="shared" si="50"/>
        <v>0.37732274316496395</v>
      </c>
      <c r="J592" s="95">
        <v>4.6454863299278896E-3</v>
      </c>
      <c r="K592" s="137">
        <v>0.73571428571428599</v>
      </c>
      <c r="L592" s="137">
        <v>0.75</v>
      </c>
      <c r="M592" s="137">
        <v>0.71428571428571397</v>
      </c>
      <c r="N592" s="136">
        <v>1</v>
      </c>
      <c r="O592" s="154">
        <v>43246</v>
      </c>
      <c r="P592" s="98">
        <f t="shared" si="53"/>
        <v>0</v>
      </c>
      <c r="Q592" s="111">
        <v>0</v>
      </c>
      <c r="R592" s="111">
        <v>0</v>
      </c>
      <c r="S592" s="111">
        <v>0</v>
      </c>
      <c r="T592" s="112" t="s">
        <v>48</v>
      </c>
      <c r="U592" s="137" t="s">
        <v>1021</v>
      </c>
      <c r="V592" s="137" t="s">
        <v>1022</v>
      </c>
      <c r="W592" s="69">
        <v>65</v>
      </c>
      <c r="X592" s="69">
        <v>1</v>
      </c>
      <c r="Y592" s="69">
        <v>4</v>
      </c>
      <c r="AA592" t="s">
        <v>4564</v>
      </c>
      <c r="AB592" t="s">
        <v>51</v>
      </c>
      <c r="AC592" t="s">
        <v>223</v>
      </c>
      <c r="AD592" t="s">
        <v>4684</v>
      </c>
      <c r="AE592" t="s">
        <v>4515</v>
      </c>
      <c r="AF592" t="s">
        <v>4724</v>
      </c>
      <c r="AG592" t="s">
        <v>4353</v>
      </c>
      <c r="AH592" t="s">
        <v>4506</v>
      </c>
      <c r="AI592" t="s">
        <v>223</v>
      </c>
      <c r="AJ592" t="s">
        <v>4684</v>
      </c>
      <c r="AK592" t="s">
        <v>4518</v>
      </c>
      <c r="AL592" t="s">
        <v>4519</v>
      </c>
      <c r="AM592" t="s">
        <v>4520</v>
      </c>
      <c r="AN592" t="s">
        <v>4521</v>
      </c>
      <c r="AO592" s="134">
        <v>105.16176470588201</v>
      </c>
      <c r="AP592" s="135">
        <v>121.036363636364</v>
      </c>
      <c r="AQ592">
        <v>0.31570247933884299</v>
      </c>
      <c r="AR592" s="136">
        <v>1.25123966942149</v>
      </c>
      <c r="AS592">
        <v>7.5024793388429796</v>
      </c>
    </row>
    <row r="593" spans="1:50" customFormat="1" ht="106">
      <c r="A593">
        <v>794</v>
      </c>
      <c r="B593" s="69" t="s">
        <v>2147</v>
      </c>
      <c r="C593" s="69" t="s">
        <v>45</v>
      </c>
      <c r="D593" s="31">
        <f t="shared" si="51"/>
        <v>4</v>
      </c>
      <c r="E593" s="69" t="s">
        <v>46</v>
      </c>
      <c r="F593" s="31">
        <f t="shared" si="52"/>
        <v>6</v>
      </c>
      <c r="G593" s="188" t="s">
        <v>2167</v>
      </c>
      <c r="H593" s="138">
        <v>180</v>
      </c>
      <c r="I593" s="92">
        <f t="shared" si="50"/>
        <v>0.31023213248855641</v>
      </c>
      <c r="J593" s="95">
        <v>6.2955423331079196E-4</v>
      </c>
      <c r="K593" s="137">
        <v>0.64412551344629299</v>
      </c>
      <c r="L593" s="137">
        <v>0.61983471074380203</v>
      </c>
      <c r="M593" s="137">
        <v>0.68056171750003003</v>
      </c>
      <c r="N593" s="136">
        <v>1</v>
      </c>
      <c r="O593" s="154">
        <v>43246</v>
      </c>
      <c r="P593" s="98">
        <f t="shared" si="53"/>
        <v>0</v>
      </c>
      <c r="Q593" s="111">
        <v>2.5499999999999998</v>
      </c>
      <c r="R593" s="111">
        <v>0</v>
      </c>
      <c r="S593" s="111">
        <v>0</v>
      </c>
      <c r="T593" s="112" t="s">
        <v>48</v>
      </c>
      <c r="U593" s="188" t="s">
        <v>2168</v>
      </c>
      <c r="V593" s="137" t="s">
        <v>2169</v>
      </c>
      <c r="W593" s="69">
        <v>74</v>
      </c>
      <c r="X593" s="188">
        <v>2</v>
      </c>
      <c r="Y593" s="188">
        <v>5</v>
      </c>
      <c r="Z593" s="69"/>
      <c r="AA593" t="s">
        <v>4564</v>
      </c>
      <c r="AB593" t="s">
        <v>71</v>
      </c>
      <c r="AC593" t="s">
        <v>4515</v>
      </c>
      <c r="AD593" t="s">
        <v>4620</v>
      </c>
      <c r="AE593" t="s">
        <v>4515</v>
      </c>
      <c r="AF593" t="s">
        <v>4620</v>
      </c>
      <c r="AG593" t="s">
        <v>4513</v>
      </c>
      <c r="AH593" t="s">
        <v>4700</v>
      </c>
      <c r="AI593" t="s">
        <v>4353</v>
      </c>
      <c r="AJ593" t="s">
        <v>4506</v>
      </c>
      <c r="AK593" t="s">
        <v>4518</v>
      </c>
      <c r="AL593" t="s">
        <v>4519</v>
      </c>
      <c r="AM593" t="s">
        <v>4562</v>
      </c>
      <c r="AN593" t="s">
        <v>4949</v>
      </c>
      <c r="AO593" s="134">
        <v>105.039279869067</v>
      </c>
      <c r="AP593" s="135">
        <v>121.036363636364</v>
      </c>
      <c r="AQ593">
        <v>0.31570247933884299</v>
      </c>
      <c r="AR593" s="136">
        <v>1.25123966942149</v>
      </c>
      <c r="AS593">
        <v>7.5024793388429796</v>
      </c>
    </row>
    <row r="594" spans="1:50" s="69" customFormat="1" ht="211">
      <c r="A594">
        <v>927</v>
      </c>
      <c r="B594" s="69" t="s">
        <v>2510</v>
      </c>
      <c r="C594" s="69" t="s">
        <v>45</v>
      </c>
      <c r="D594" s="31">
        <f t="shared" si="51"/>
        <v>4</v>
      </c>
      <c r="E594" s="69" t="s">
        <v>80</v>
      </c>
      <c r="F594" s="31">
        <f t="shared" si="52"/>
        <v>4</v>
      </c>
      <c r="G594" s="169" t="s">
        <v>439</v>
      </c>
      <c r="H594" s="138">
        <v>55</v>
      </c>
      <c r="I594" s="92">
        <f t="shared" si="50"/>
        <v>0.423931005152061</v>
      </c>
      <c r="J594" s="95">
        <v>9.7862010304122005E-2</v>
      </c>
      <c r="K594" s="137">
        <v>0.85</v>
      </c>
      <c r="L594" s="137">
        <v>0.75</v>
      </c>
      <c r="M594" s="137">
        <v>1</v>
      </c>
      <c r="N594" s="136">
        <v>1</v>
      </c>
      <c r="O594" s="154">
        <v>43245</v>
      </c>
      <c r="P594" s="98">
        <f t="shared" si="53"/>
        <v>0</v>
      </c>
      <c r="Q594" s="111">
        <v>0</v>
      </c>
      <c r="R594" s="111">
        <v>6.6</v>
      </c>
      <c r="S594" s="111">
        <v>0</v>
      </c>
      <c r="T594" s="112" t="s">
        <v>48</v>
      </c>
      <c r="U594" s="137" t="s">
        <v>2530</v>
      </c>
      <c r="V594" s="137" t="s">
        <v>2531</v>
      </c>
      <c r="W594" s="69">
        <v>296</v>
      </c>
      <c r="X594" s="69">
        <v>1</v>
      </c>
      <c r="Y594" s="69">
        <v>0</v>
      </c>
      <c r="AA594" t="s">
        <v>4564</v>
      </c>
      <c r="AB594" t="s">
        <v>51</v>
      </c>
      <c r="AC594" t="s">
        <v>4513</v>
      </c>
      <c r="AD594" t="s">
        <v>4772</v>
      </c>
      <c r="AE594" t="s">
        <v>4538</v>
      </c>
      <c r="AF594" t="s">
        <v>4950</v>
      </c>
      <c r="AG594" t="s">
        <v>4515</v>
      </c>
      <c r="AH594" t="s">
        <v>4774</v>
      </c>
      <c r="AI594" t="s">
        <v>4515</v>
      </c>
      <c r="AJ594" t="s">
        <v>4774</v>
      </c>
      <c r="AK594" t="s">
        <v>4519</v>
      </c>
      <c r="AL594" t="s">
        <v>4519</v>
      </c>
      <c r="AM594" t="s">
        <v>4520</v>
      </c>
      <c r="AN594" t="s">
        <v>4558</v>
      </c>
      <c r="AO594" s="134">
        <v>105.12131147541</v>
      </c>
      <c r="AP594" s="135">
        <v>120.485049833887</v>
      </c>
      <c r="AQ594" s="69">
        <v>0.31561461794019902</v>
      </c>
      <c r="AR594" s="136">
        <v>1.25249169435216</v>
      </c>
      <c r="AS594">
        <v>7.5282392026578098</v>
      </c>
      <c r="AU594"/>
      <c r="AV594"/>
      <c r="AW594"/>
      <c r="AX594"/>
    </row>
    <row r="595" spans="1:50" customFormat="1" ht="46">
      <c r="A595">
        <v>1091</v>
      </c>
      <c r="B595" s="69" t="s">
        <v>2948</v>
      </c>
      <c r="C595" s="69" t="s">
        <v>45</v>
      </c>
      <c r="D595" s="31">
        <f t="shared" si="51"/>
        <v>4</v>
      </c>
      <c r="E595" s="69" t="s">
        <v>80</v>
      </c>
      <c r="F595" s="31">
        <f t="shared" si="52"/>
        <v>4</v>
      </c>
      <c r="G595" s="139" t="s">
        <v>2966</v>
      </c>
      <c r="H595" s="138">
        <v>85</v>
      </c>
      <c r="I595" s="92">
        <f t="shared" si="50"/>
        <v>0.58169461560803148</v>
      </c>
      <c r="J595" s="95">
        <v>0.41338923121606302</v>
      </c>
      <c r="K595" s="137">
        <v>0.68837559287164596</v>
      </c>
      <c r="L595" s="137">
        <v>0.75</v>
      </c>
      <c r="M595" s="137">
        <v>0.59593898217911601</v>
      </c>
      <c r="N595" s="136">
        <v>1</v>
      </c>
      <c r="O595" s="157">
        <v>43244</v>
      </c>
      <c r="P595" s="98">
        <f t="shared" si="53"/>
        <v>0</v>
      </c>
      <c r="Q595" s="113">
        <v>2.5499999999999998</v>
      </c>
      <c r="R595" s="113">
        <v>0</v>
      </c>
      <c r="S595" s="113">
        <v>1.87</v>
      </c>
      <c r="T595" s="119" t="s">
        <v>48</v>
      </c>
      <c r="U595" s="89" t="s">
        <v>2967</v>
      </c>
      <c r="V595" s="172" t="s">
        <v>2968</v>
      </c>
      <c r="W595" s="69">
        <v>51</v>
      </c>
      <c r="X595" s="69">
        <v>3</v>
      </c>
      <c r="Y595" s="69">
        <v>8</v>
      </c>
      <c r="Z595" s="69"/>
      <c r="AA595" t="s">
        <v>4564</v>
      </c>
      <c r="AB595" t="s">
        <v>51</v>
      </c>
      <c r="AC595" t="s">
        <v>4353</v>
      </c>
      <c r="AD595" t="s">
        <v>4506</v>
      </c>
      <c r="AE595" t="s">
        <v>4515</v>
      </c>
      <c r="AF595" t="s">
        <v>4609</v>
      </c>
      <c r="AG595" t="s">
        <v>223</v>
      </c>
      <c r="AH595" t="s">
        <v>4759</v>
      </c>
      <c r="AI595" t="s">
        <v>4353</v>
      </c>
      <c r="AJ595" t="s">
        <v>4506</v>
      </c>
      <c r="AK595" t="s">
        <v>4519</v>
      </c>
      <c r="AL595" t="s">
        <v>4552</v>
      </c>
      <c r="AM595" t="s">
        <v>4528</v>
      </c>
      <c r="AN595" t="s">
        <v>4618</v>
      </c>
      <c r="AO595" s="134">
        <v>105.188834154351</v>
      </c>
      <c r="AP595" s="135">
        <v>120.56572379367699</v>
      </c>
      <c r="AQ595">
        <v>0.31613976705490798</v>
      </c>
      <c r="AR595" s="136">
        <v>1.2529118136439299</v>
      </c>
      <c r="AS595">
        <v>7.51913477537438</v>
      </c>
    </row>
    <row r="596" spans="1:50" customFormat="1" ht="211">
      <c r="A596" s="65">
        <v>928</v>
      </c>
      <c r="B596" s="69" t="s">
        <v>2510</v>
      </c>
      <c r="C596" s="69" t="s">
        <v>45</v>
      </c>
      <c r="D596" s="31">
        <f t="shared" si="51"/>
        <v>4</v>
      </c>
      <c r="E596" s="69" t="s">
        <v>80</v>
      </c>
      <c r="F596" s="31">
        <f t="shared" si="52"/>
        <v>4</v>
      </c>
      <c r="G596" s="196" t="s">
        <v>180</v>
      </c>
      <c r="H596" s="138">
        <v>64</v>
      </c>
      <c r="I596" s="92">
        <f t="shared" si="50"/>
        <v>0.37545791857925093</v>
      </c>
      <c r="J596" s="95">
        <v>9.1583715850185299E-4</v>
      </c>
      <c r="K596" s="137">
        <v>0.79285714285714304</v>
      </c>
      <c r="L596" s="137">
        <v>0.75</v>
      </c>
      <c r="M596" s="137">
        <v>0.85714285714285698</v>
      </c>
      <c r="N596" s="136">
        <v>1</v>
      </c>
      <c r="O596" s="154">
        <v>43244</v>
      </c>
      <c r="P596" s="98">
        <f t="shared" si="53"/>
        <v>0</v>
      </c>
      <c r="Q596" s="111">
        <v>0</v>
      </c>
      <c r="R596" s="111">
        <v>3.3</v>
      </c>
      <c r="S596" s="111">
        <v>0</v>
      </c>
      <c r="T596" s="112" t="s">
        <v>48</v>
      </c>
      <c r="U596" s="137" t="s">
        <v>2532</v>
      </c>
      <c r="V596" s="137" t="s">
        <v>2531</v>
      </c>
      <c r="W596" s="69">
        <v>296</v>
      </c>
      <c r="X596" s="195">
        <v>1</v>
      </c>
      <c r="Y596" s="195">
        <v>1</v>
      </c>
      <c r="Z596" s="69"/>
      <c r="AA596" t="s">
        <v>4660</v>
      </c>
      <c r="AB596" t="s">
        <v>51</v>
      </c>
      <c r="AC596" t="s">
        <v>4513</v>
      </c>
      <c r="AD596" t="s">
        <v>4772</v>
      </c>
      <c r="AE596" t="s">
        <v>4538</v>
      </c>
      <c r="AF596" t="s">
        <v>4950</v>
      </c>
      <c r="AG596" t="s">
        <v>4515</v>
      </c>
      <c r="AH596" t="s">
        <v>4774</v>
      </c>
      <c r="AI596" t="s">
        <v>4515</v>
      </c>
      <c r="AJ596" t="s">
        <v>4774</v>
      </c>
      <c r="AK596" t="s">
        <v>4518</v>
      </c>
      <c r="AL596" t="s">
        <v>4519</v>
      </c>
      <c r="AM596" t="s">
        <v>4520</v>
      </c>
      <c r="AN596" t="s">
        <v>4521</v>
      </c>
      <c r="AO596" s="134">
        <v>105.22203947368401</v>
      </c>
      <c r="AP596" s="135">
        <v>120.56572379367699</v>
      </c>
      <c r="AQ596">
        <v>0.31613976705490798</v>
      </c>
      <c r="AR596" s="136">
        <v>1.2529118136439299</v>
      </c>
      <c r="AS596">
        <v>7.51913477537438</v>
      </c>
    </row>
    <row r="597" spans="1:50" customFormat="1" ht="91">
      <c r="A597" s="65">
        <v>88</v>
      </c>
      <c r="B597" s="69" t="s">
        <v>217</v>
      </c>
      <c r="C597" s="69" t="s">
        <v>45</v>
      </c>
      <c r="D597" s="31">
        <f t="shared" si="51"/>
        <v>4</v>
      </c>
      <c r="E597" s="69" t="s">
        <v>80</v>
      </c>
      <c r="F597" s="31">
        <f t="shared" si="52"/>
        <v>4</v>
      </c>
      <c r="G597" s="188" t="s">
        <v>311</v>
      </c>
      <c r="H597" s="138">
        <v>64</v>
      </c>
      <c r="I597" s="92">
        <f t="shared" si="50"/>
        <v>0.39481714614957841</v>
      </c>
      <c r="J597" s="95">
        <v>3.9634292299156798E-2</v>
      </c>
      <c r="K597" s="137">
        <v>0.71002915755524698</v>
      </c>
      <c r="L597" s="137">
        <v>0.75</v>
      </c>
      <c r="M597" s="137">
        <v>0.65007289388811795</v>
      </c>
      <c r="N597" s="136">
        <v>1</v>
      </c>
      <c r="O597" s="154">
        <v>43242</v>
      </c>
      <c r="P597" s="98">
        <f t="shared" si="53"/>
        <v>0</v>
      </c>
      <c r="Q597" s="111">
        <v>0</v>
      </c>
      <c r="R597" s="111">
        <v>1.65</v>
      </c>
      <c r="S597" s="111">
        <v>0</v>
      </c>
      <c r="T597" s="112" t="s">
        <v>48</v>
      </c>
      <c r="U597" s="147" t="s">
        <v>312</v>
      </c>
      <c r="V597" s="137" t="s">
        <v>313</v>
      </c>
      <c r="W597" s="69">
        <v>125</v>
      </c>
      <c r="X597" s="171">
        <v>2</v>
      </c>
      <c r="Y597" s="171">
        <v>6</v>
      </c>
      <c r="AA597" t="s">
        <v>4522</v>
      </c>
      <c r="AB597" t="s">
        <v>51</v>
      </c>
      <c r="AC597" t="s">
        <v>223</v>
      </c>
      <c r="AD597" t="s">
        <v>4549</v>
      </c>
      <c r="AE597" t="s">
        <v>4530</v>
      </c>
      <c r="AF597" t="s">
        <v>4951</v>
      </c>
      <c r="AG597" t="s">
        <v>223</v>
      </c>
      <c r="AH597" t="s">
        <v>4549</v>
      </c>
      <c r="AI597" t="s">
        <v>4353</v>
      </c>
      <c r="AJ597" t="s">
        <v>4506</v>
      </c>
      <c r="AK597" t="s">
        <v>4519</v>
      </c>
      <c r="AL597" t="s">
        <v>4552</v>
      </c>
      <c r="AM597" t="s">
        <v>4510</v>
      </c>
      <c r="AN597" t="s">
        <v>4634</v>
      </c>
      <c r="AO597" s="134">
        <v>105.289950576606</v>
      </c>
      <c r="AP597" s="135">
        <v>120.356418918919</v>
      </c>
      <c r="AQ597">
        <v>0.31756756756756799</v>
      </c>
      <c r="AR597" s="136">
        <v>1.25506756756757</v>
      </c>
      <c r="AS597">
        <v>7.5219594594594597</v>
      </c>
    </row>
    <row r="598" spans="1:50" customFormat="1" ht="151">
      <c r="A598" s="65">
        <v>929</v>
      </c>
      <c r="B598" s="69" t="s">
        <v>2510</v>
      </c>
      <c r="C598" s="69" t="s">
        <v>45</v>
      </c>
      <c r="D598" s="31">
        <f t="shared" si="51"/>
        <v>4</v>
      </c>
      <c r="E598" s="69" t="s">
        <v>80</v>
      </c>
      <c r="F598" s="31">
        <f t="shared" si="52"/>
        <v>4</v>
      </c>
      <c r="G598" s="137" t="s">
        <v>559</v>
      </c>
      <c r="H598" s="138">
        <v>73</v>
      </c>
      <c r="I598" s="92">
        <f t="shared" si="50"/>
        <v>0.37510081539235846</v>
      </c>
      <c r="J598" s="95">
        <v>2.01630784716911E-4</v>
      </c>
      <c r="K598" s="137">
        <v>0.85</v>
      </c>
      <c r="L598" s="137">
        <v>0.75</v>
      </c>
      <c r="M598" s="137">
        <v>1</v>
      </c>
      <c r="N598" s="136">
        <v>1</v>
      </c>
      <c r="O598" s="154">
        <v>43242</v>
      </c>
      <c r="P598" s="98">
        <f t="shared" si="53"/>
        <v>0</v>
      </c>
      <c r="Q598" s="111">
        <v>0</v>
      </c>
      <c r="R598" s="111">
        <v>0</v>
      </c>
      <c r="S598" s="111">
        <v>0</v>
      </c>
      <c r="T598" s="112" t="s">
        <v>48</v>
      </c>
      <c r="U598" s="137" t="s">
        <v>2533</v>
      </c>
      <c r="V598" s="137" t="s">
        <v>2534</v>
      </c>
      <c r="W598" s="69">
        <v>220</v>
      </c>
      <c r="X598" s="69">
        <v>1</v>
      </c>
      <c r="Y598" s="69">
        <v>0</v>
      </c>
      <c r="Z598" s="69"/>
      <c r="AA598" t="s">
        <v>4564</v>
      </c>
      <c r="AB598" t="s">
        <v>51</v>
      </c>
      <c r="AC598" t="s">
        <v>4515</v>
      </c>
      <c r="AD598" t="s">
        <v>4952</v>
      </c>
      <c r="AE598" t="s">
        <v>4931</v>
      </c>
      <c r="AF598" t="s">
        <v>4953</v>
      </c>
      <c r="AG598" t="s">
        <v>4515</v>
      </c>
      <c r="AH598" t="s">
        <v>4952</v>
      </c>
      <c r="AI598" t="s">
        <v>4515</v>
      </c>
      <c r="AJ598" t="s">
        <v>4952</v>
      </c>
      <c r="AK598" t="s">
        <v>4519</v>
      </c>
      <c r="AL598" t="s">
        <v>4519</v>
      </c>
      <c r="AM598" t="s">
        <v>4510</v>
      </c>
      <c r="AN598" t="s">
        <v>4550</v>
      </c>
      <c r="AO598" s="134">
        <v>105.343234323432</v>
      </c>
      <c r="AP598" s="135">
        <v>120.356418918919</v>
      </c>
      <c r="AQ598">
        <v>0.31756756756756799</v>
      </c>
      <c r="AR598" s="136">
        <v>1.25506756756757</v>
      </c>
      <c r="AS598">
        <v>7.5219594594594597</v>
      </c>
    </row>
    <row r="599" spans="1:50" customFormat="1" ht="91">
      <c r="A599">
        <v>515</v>
      </c>
      <c r="B599" s="69" t="s">
        <v>1222</v>
      </c>
      <c r="C599" s="69" t="s">
        <v>45</v>
      </c>
      <c r="D599" s="31">
        <f t="shared" si="51"/>
        <v>4</v>
      </c>
      <c r="E599" s="69" t="s">
        <v>80</v>
      </c>
      <c r="F599" s="31">
        <f t="shared" si="52"/>
        <v>4</v>
      </c>
      <c r="G599" s="152" t="s">
        <v>159</v>
      </c>
      <c r="H599" s="138">
        <v>44</v>
      </c>
      <c r="I599" s="92">
        <f t="shared" si="50"/>
        <v>0.37500000000000755</v>
      </c>
      <c r="J599" s="95">
        <v>1.5099033134902101E-14</v>
      </c>
      <c r="K599" s="137">
        <v>0.75102566813892102</v>
      </c>
      <c r="L599" s="137">
        <v>0.75</v>
      </c>
      <c r="M599" s="137">
        <v>0.75256417034730305</v>
      </c>
      <c r="N599" s="136">
        <v>1</v>
      </c>
      <c r="O599" s="154">
        <v>43240</v>
      </c>
      <c r="P599" s="98">
        <f t="shared" si="53"/>
        <v>0</v>
      </c>
      <c r="Q599" s="111">
        <v>5.0999999999999996</v>
      </c>
      <c r="R599" s="111">
        <v>0</v>
      </c>
      <c r="S599" s="111">
        <v>0</v>
      </c>
      <c r="T599" s="112" t="s">
        <v>48</v>
      </c>
      <c r="U599" s="137" t="s">
        <v>1454</v>
      </c>
      <c r="V599" s="137" t="s">
        <v>1455</v>
      </c>
      <c r="W599" s="69">
        <v>121</v>
      </c>
      <c r="X599" s="171">
        <v>1</v>
      </c>
      <c r="Y599" s="171">
        <v>3</v>
      </c>
      <c r="AA599" t="s">
        <v>4551</v>
      </c>
      <c r="AB599" t="s">
        <v>4827</v>
      </c>
      <c r="AC599" t="s">
        <v>4515</v>
      </c>
      <c r="AD599" t="s">
        <v>4750</v>
      </c>
      <c r="AE599" t="s">
        <v>4515</v>
      </c>
      <c r="AF599" t="s">
        <v>4750</v>
      </c>
      <c r="AG599" t="s">
        <v>223</v>
      </c>
      <c r="AH599" t="s">
        <v>4681</v>
      </c>
      <c r="AI599" t="s">
        <v>4515</v>
      </c>
      <c r="AJ599" t="s">
        <v>4750</v>
      </c>
      <c r="AK599" t="s">
        <v>4518</v>
      </c>
      <c r="AL599" t="s">
        <v>4541</v>
      </c>
      <c r="AM599" t="s">
        <v>4528</v>
      </c>
      <c r="AN599" t="s">
        <v>4878</v>
      </c>
      <c r="AO599" s="134">
        <v>105.444628099174</v>
      </c>
      <c r="AP599" s="135">
        <v>120.27118644067799</v>
      </c>
      <c r="AQ599">
        <v>0.31694915254237299</v>
      </c>
      <c r="AR599" s="136">
        <v>1.2559322033898299</v>
      </c>
      <c r="AS599">
        <v>7.53050847457627</v>
      </c>
    </row>
    <row r="600" spans="1:50" s="69" customFormat="1" ht="91">
      <c r="A600">
        <v>631</v>
      </c>
      <c r="B600" s="69" t="s">
        <v>1707</v>
      </c>
      <c r="C600" s="69" t="s">
        <v>45</v>
      </c>
      <c r="D600" s="31">
        <f t="shared" si="51"/>
        <v>4</v>
      </c>
      <c r="E600" s="69" t="s">
        <v>80</v>
      </c>
      <c r="F600" s="31">
        <f t="shared" si="52"/>
        <v>4</v>
      </c>
      <c r="G600" s="169" t="s">
        <v>159</v>
      </c>
      <c r="H600" s="138">
        <v>36</v>
      </c>
      <c r="I600" s="92">
        <f t="shared" si="50"/>
        <v>0.65042304705953957</v>
      </c>
      <c r="J600" s="95">
        <v>0.55084609411907903</v>
      </c>
      <c r="K600" s="137">
        <v>0.73571428571428599</v>
      </c>
      <c r="L600" s="137">
        <v>0.75</v>
      </c>
      <c r="M600" s="137">
        <v>0.71428571428571397</v>
      </c>
      <c r="N600" s="136">
        <v>1</v>
      </c>
      <c r="O600" s="168">
        <v>43239</v>
      </c>
      <c r="P600" s="98">
        <f t="shared" si="53"/>
        <v>0</v>
      </c>
      <c r="Q600" s="111">
        <v>7.65</v>
      </c>
      <c r="R600" s="111">
        <v>0</v>
      </c>
      <c r="S600" s="111">
        <v>0</v>
      </c>
      <c r="T600" s="112" t="s">
        <v>48</v>
      </c>
      <c r="U600" s="137" t="s">
        <v>1745</v>
      </c>
      <c r="V600" s="137" t="s">
        <v>1746</v>
      </c>
      <c r="W600" s="69">
        <v>121</v>
      </c>
      <c r="X600" s="69">
        <v>1</v>
      </c>
      <c r="Y600" s="69">
        <v>4</v>
      </c>
      <c r="AA600" t="s">
        <v>4512</v>
      </c>
      <c r="AB600" t="s">
        <v>4827</v>
      </c>
      <c r="AC600" t="s">
        <v>4515</v>
      </c>
      <c r="AD600" t="s">
        <v>4750</v>
      </c>
      <c r="AE600" t="s">
        <v>4515</v>
      </c>
      <c r="AF600" t="s">
        <v>4750</v>
      </c>
      <c r="AG600" t="s">
        <v>223</v>
      </c>
      <c r="AH600" t="s">
        <v>4681</v>
      </c>
      <c r="AI600" t="s">
        <v>4515</v>
      </c>
      <c r="AJ600" t="s">
        <v>4750</v>
      </c>
      <c r="AK600" t="s">
        <v>4519</v>
      </c>
      <c r="AL600" t="s">
        <v>4552</v>
      </c>
      <c r="AM600" t="s">
        <v>4510</v>
      </c>
      <c r="AN600" t="s">
        <v>4634</v>
      </c>
      <c r="AO600" s="134">
        <v>105.415562913907</v>
      </c>
      <c r="AP600" s="135">
        <v>120.27118644067799</v>
      </c>
      <c r="AQ600" s="69">
        <v>0.31694915254237299</v>
      </c>
      <c r="AR600" s="136">
        <v>1.2559322033898299</v>
      </c>
      <c r="AS600">
        <v>7.53050847457627</v>
      </c>
      <c r="AU600"/>
      <c r="AV600"/>
      <c r="AW600"/>
      <c r="AX600"/>
    </row>
    <row r="601" spans="1:50" s="69" customFormat="1" ht="76">
      <c r="A601">
        <v>906</v>
      </c>
      <c r="B601" s="69" t="s">
        <v>2418</v>
      </c>
      <c r="C601" s="69" t="s">
        <v>45</v>
      </c>
      <c r="D601" s="31">
        <f t="shared" si="51"/>
        <v>4</v>
      </c>
      <c r="E601" s="69" t="s">
        <v>46</v>
      </c>
      <c r="F601" s="31">
        <f t="shared" si="52"/>
        <v>6</v>
      </c>
      <c r="G601" s="147" t="s">
        <v>2473</v>
      </c>
      <c r="H601" s="138">
        <v>42</v>
      </c>
      <c r="I601" s="92">
        <f t="shared" si="50"/>
        <v>0.45833251747021753</v>
      </c>
      <c r="J601" s="95">
        <v>0.166665034940435</v>
      </c>
      <c r="K601" s="137">
        <v>0.71002915755524698</v>
      </c>
      <c r="L601" s="137">
        <v>0.75</v>
      </c>
      <c r="M601" s="137">
        <v>0.65007289388811795</v>
      </c>
      <c r="N601" s="136">
        <v>0</v>
      </c>
      <c r="O601" s="154">
        <v>43239</v>
      </c>
      <c r="P601" s="98">
        <f t="shared" si="53"/>
        <v>1</v>
      </c>
      <c r="Q601" s="111">
        <v>0</v>
      </c>
      <c r="R601" s="111">
        <v>0</v>
      </c>
      <c r="S601" s="111">
        <v>0</v>
      </c>
      <c r="T601" s="112" t="s">
        <v>73</v>
      </c>
      <c r="U601" s="188" t="s">
        <v>2474</v>
      </c>
      <c r="V601" s="137" t="s">
        <v>2475</v>
      </c>
      <c r="W601" s="69">
        <v>103</v>
      </c>
      <c r="X601" s="195">
        <v>2</v>
      </c>
      <c r="Y601" s="195">
        <v>6</v>
      </c>
      <c r="AA601" t="s">
        <v>4564</v>
      </c>
      <c r="AB601" t="s">
        <v>87</v>
      </c>
      <c r="AC601" t="s">
        <v>4530</v>
      </c>
      <c r="AD601" t="s">
        <v>4932</v>
      </c>
      <c r="AE601" t="s">
        <v>223</v>
      </c>
      <c r="AF601" t="s">
        <v>4606</v>
      </c>
      <c r="AG601" t="s">
        <v>223</v>
      </c>
      <c r="AH601" t="s">
        <v>4606</v>
      </c>
      <c r="AI601" t="s">
        <v>4353</v>
      </c>
      <c r="AJ601" t="s">
        <v>4506</v>
      </c>
      <c r="AK601" t="s">
        <v>4518</v>
      </c>
      <c r="AL601" t="s">
        <v>4519</v>
      </c>
      <c r="AM601" t="s">
        <v>4528</v>
      </c>
      <c r="AN601" t="s">
        <v>4624</v>
      </c>
      <c r="AO601" s="134">
        <v>105.530679933665</v>
      </c>
      <c r="AP601" s="135">
        <v>120.27118644067799</v>
      </c>
      <c r="AQ601" s="69">
        <v>0.31694915254237299</v>
      </c>
      <c r="AR601" s="136">
        <v>1.2559322033898299</v>
      </c>
      <c r="AS601">
        <v>7.53050847457627</v>
      </c>
      <c r="AU601"/>
      <c r="AV601"/>
      <c r="AW601"/>
      <c r="AX601"/>
    </row>
    <row r="602" spans="1:50" s="69" customFormat="1" ht="76">
      <c r="A602" s="65">
        <v>516</v>
      </c>
      <c r="B602" s="69" t="s">
        <v>1222</v>
      </c>
      <c r="C602" s="69" t="s">
        <v>45</v>
      </c>
      <c r="D602" s="31">
        <f t="shared" si="51"/>
        <v>4</v>
      </c>
      <c r="E602" s="69" t="s">
        <v>1223</v>
      </c>
      <c r="F602" s="31">
        <f t="shared" si="52"/>
        <v>8</v>
      </c>
      <c r="G602" s="147" t="s">
        <v>1456</v>
      </c>
      <c r="H602" s="138">
        <v>123</v>
      </c>
      <c r="I602" s="92">
        <f t="shared" si="50"/>
        <v>0.25613330910496385</v>
      </c>
      <c r="J602" s="95">
        <v>6.5266861246637797E-6</v>
      </c>
      <c r="K602" s="137">
        <v>0.60838172305320304</v>
      </c>
      <c r="L602" s="137">
        <v>0.51226009152380303</v>
      </c>
      <c r="M602" s="137">
        <v>0.75256417034730305</v>
      </c>
      <c r="N602" s="136">
        <v>1</v>
      </c>
      <c r="O602" s="154">
        <v>43239</v>
      </c>
      <c r="P602" s="98">
        <f t="shared" si="53"/>
        <v>2</v>
      </c>
      <c r="Q602" s="111">
        <v>2.5499999999999998</v>
      </c>
      <c r="R602" s="111">
        <v>0</v>
      </c>
      <c r="S602" s="111">
        <v>0</v>
      </c>
      <c r="T602" s="112" t="s">
        <v>64</v>
      </c>
      <c r="U602" s="137" t="s">
        <v>1457</v>
      </c>
      <c r="V602" s="137" t="s">
        <v>1458</v>
      </c>
      <c r="W602" s="69">
        <v>84</v>
      </c>
      <c r="X602" s="147">
        <v>1</v>
      </c>
      <c r="Y602" s="147">
        <v>3</v>
      </c>
      <c r="Z602"/>
      <c r="AA602" t="s">
        <v>4850</v>
      </c>
      <c r="AB602" t="s">
        <v>71</v>
      </c>
      <c r="AC602" t="s">
        <v>4515</v>
      </c>
      <c r="AD602" t="s">
        <v>4554</v>
      </c>
      <c r="AE602" t="s">
        <v>4515</v>
      </c>
      <c r="AF602" t="s">
        <v>4554</v>
      </c>
      <c r="AG602" t="s">
        <v>4513</v>
      </c>
      <c r="AH602" t="s">
        <v>4765</v>
      </c>
      <c r="AI602" t="s">
        <v>4353</v>
      </c>
      <c r="AJ602" t="s">
        <v>4506</v>
      </c>
      <c r="AK602" t="s">
        <v>4519</v>
      </c>
      <c r="AL602" t="s">
        <v>4519</v>
      </c>
      <c r="AM602" t="s">
        <v>4562</v>
      </c>
      <c r="AN602" t="s">
        <v>4563</v>
      </c>
      <c r="AO602" s="134">
        <v>105.636212624585</v>
      </c>
      <c r="AP602" s="135">
        <v>120.27118644067799</v>
      </c>
      <c r="AQ602" s="69">
        <v>0.31694915254237299</v>
      </c>
      <c r="AR602" s="136">
        <v>1.2559322033898299</v>
      </c>
      <c r="AS602">
        <v>7.53050847457627</v>
      </c>
      <c r="AU602"/>
      <c r="AV602"/>
      <c r="AW602"/>
      <c r="AX602"/>
    </row>
    <row r="603" spans="1:50" s="69" customFormat="1" ht="61">
      <c r="A603" s="65">
        <v>176</v>
      </c>
      <c r="B603" s="69" t="s">
        <v>499</v>
      </c>
      <c r="C603" s="69" t="s">
        <v>45</v>
      </c>
      <c r="D603" s="31">
        <f t="shared" si="51"/>
        <v>4</v>
      </c>
      <c r="E603" s="69" t="s">
        <v>519</v>
      </c>
      <c r="F603" s="31">
        <f t="shared" si="52"/>
        <v>5</v>
      </c>
      <c r="G603" s="147" t="s">
        <v>520</v>
      </c>
      <c r="H603" s="138">
        <v>96</v>
      </c>
      <c r="I603" s="92">
        <f t="shared" si="50"/>
        <v>0.73060238485910745</v>
      </c>
      <c r="J603" s="95">
        <v>0.94894467819441197</v>
      </c>
      <c r="K603" s="137">
        <v>0.50132455345919702</v>
      </c>
      <c r="L603" s="137">
        <v>0.51226009152380303</v>
      </c>
      <c r="M603" s="137">
        <v>0.48492124636228701</v>
      </c>
      <c r="N603" s="136">
        <v>1</v>
      </c>
      <c r="O603" s="154">
        <v>43238</v>
      </c>
      <c r="P603" s="98">
        <f t="shared" si="53"/>
        <v>1</v>
      </c>
      <c r="Q603" s="111">
        <v>0</v>
      </c>
      <c r="R603" s="111">
        <v>1.65</v>
      </c>
      <c r="S603" s="111">
        <v>1.87</v>
      </c>
      <c r="T603" s="112" t="s">
        <v>73</v>
      </c>
      <c r="U603" s="147" t="s">
        <v>548</v>
      </c>
      <c r="V603" s="137" t="s">
        <v>549</v>
      </c>
      <c r="W603" s="69">
        <v>67</v>
      </c>
      <c r="X603" s="147">
        <v>2</v>
      </c>
      <c r="Y603" s="147">
        <v>13</v>
      </c>
      <c r="Z603"/>
      <c r="AA603" t="s">
        <v>4728</v>
      </c>
      <c r="AB603" t="s">
        <v>51</v>
      </c>
      <c r="AC603" t="s">
        <v>223</v>
      </c>
      <c r="AD603" t="s">
        <v>4568</v>
      </c>
      <c r="AE603" t="s">
        <v>4515</v>
      </c>
      <c r="AF603" t="s">
        <v>4620</v>
      </c>
      <c r="AG603" t="s">
        <v>223</v>
      </c>
      <c r="AH603" t="s">
        <v>4568</v>
      </c>
      <c r="AI603" t="s">
        <v>4353</v>
      </c>
      <c r="AJ603" t="s">
        <v>4506</v>
      </c>
      <c r="AK603" t="s">
        <v>4519</v>
      </c>
      <c r="AL603" t="s">
        <v>4552</v>
      </c>
      <c r="AM603" t="s">
        <v>4528</v>
      </c>
      <c r="AN603" t="s">
        <v>4618</v>
      </c>
      <c r="AO603" s="134">
        <v>105.625623960067</v>
      </c>
      <c r="AP603" s="135">
        <v>120.285229202037</v>
      </c>
      <c r="AQ603">
        <v>0.31748726655347997</v>
      </c>
      <c r="AR603" s="136">
        <v>1.25636672325976</v>
      </c>
      <c r="AS603">
        <v>7.5398981324278402</v>
      </c>
      <c r="AU603"/>
      <c r="AV603"/>
      <c r="AW603"/>
      <c r="AX603"/>
    </row>
    <row r="604" spans="1:50" s="69" customFormat="1" ht="151">
      <c r="A604">
        <v>930</v>
      </c>
      <c r="B604" s="69" t="s">
        <v>2510</v>
      </c>
      <c r="C604" s="69" t="s">
        <v>45</v>
      </c>
      <c r="D604" s="31">
        <f t="shared" si="51"/>
        <v>4</v>
      </c>
      <c r="E604" s="69" t="s">
        <v>46</v>
      </c>
      <c r="F604" s="31">
        <f t="shared" si="52"/>
        <v>6</v>
      </c>
      <c r="G604" s="137" t="s">
        <v>2535</v>
      </c>
      <c r="H604" s="138">
        <v>67</v>
      </c>
      <c r="I604" s="92">
        <f t="shared" si="50"/>
        <v>0.37716585251259749</v>
      </c>
      <c r="J604" s="95">
        <v>4.3317050251949797E-3</v>
      </c>
      <c r="K604" s="137">
        <v>0.75102566813892102</v>
      </c>
      <c r="L604" s="137">
        <v>0.75</v>
      </c>
      <c r="M604" s="137">
        <v>0.75256417034730305</v>
      </c>
      <c r="N604" s="136">
        <v>1</v>
      </c>
      <c r="O604" s="154">
        <v>43238</v>
      </c>
      <c r="P604" s="98">
        <f t="shared" si="53"/>
        <v>0</v>
      </c>
      <c r="Q604" s="111">
        <v>0</v>
      </c>
      <c r="R604" s="111">
        <v>3.3</v>
      </c>
      <c r="S604" s="111">
        <v>0</v>
      </c>
      <c r="T604" s="112" t="s">
        <v>48</v>
      </c>
      <c r="U604" s="137" t="s">
        <v>2536</v>
      </c>
      <c r="V604" s="137" t="s">
        <v>2537</v>
      </c>
      <c r="W604" s="69">
        <v>214</v>
      </c>
      <c r="X604" s="69">
        <v>1</v>
      </c>
      <c r="Y604" s="69">
        <v>3</v>
      </c>
      <c r="AA604" t="s">
        <v>4512</v>
      </c>
      <c r="AB604" t="s">
        <v>51</v>
      </c>
      <c r="AC604" t="s">
        <v>223</v>
      </c>
      <c r="AD604" t="s">
        <v>4796</v>
      </c>
      <c r="AE604" t="s">
        <v>4530</v>
      </c>
      <c r="AF604" t="s">
        <v>4954</v>
      </c>
      <c r="AG604" t="s">
        <v>223</v>
      </c>
      <c r="AH604" t="s">
        <v>4796</v>
      </c>
      <c r="AI604" t="s">
        <v>223</v>
      </c>
      <c r="AJ604" t="s">
        <v>4796</v>
      </c>
      <c r="AK604" t="s">
        <v>4519</v>
      </c>
      <c r="AL604" t="s">
        <v>4519</v>
      </c>
      <c r="AM604" t="s">
        <v>4592</v>
      </c>
      <c r="AN604" t="s">
        <v>4626</v>
      </c>
      <c r="AO604" s="134">
        <v>105.64166666666701</v>
      </c>
      <c r="AP604" s="135">
        <v>120.285229202037</v>
      </c>
      <c r="AQ604">
        <v>0.31748726655347997</v>
      </c>
      <c r="AR604" s="136">
        <v>1.25636672325976</v>
      </c>
      <c r="AS604">
        <v>7.5398981324278402</v>
      </c>
      <c r="AU604"/>
      <c r="AV604"/>
      <c r="AW604"/>
      <c r="AX604"/>
    </row>
    <row r="605" spans="1:50" s="69" customFormat="1" ht="121">
      <c r="A605">
        <v>43</v>
      </c>
      <c r="B605" s="136" t="s">
        <v>170</v>
      </c>
      <c r="C605" s="136" t="s">
        <v>45</v>
      </c>
      <c r="D605" s="31">
        <f t="shared" si="51"/>
        <v>4</v>
      </c>
      <c r="E605" s="136" t="s">
        <v>80</v>
      </c>
      <c r="F605" s="31">
        <f t="shared" si="52"/>
        <v>4</v>
      </c>
      <c r="G605" s="137" t="s">
        <v>177</v>
      </c>
      <c r="H605" s="138">
        <v>112</v>
      </c>
      <c r="I605" s="92">
        <f t="shared" si="50"/>
        <v>0.37501193402091099</v>
      </c>
      <c r="J605" s="95">
        <v>2.3868041821972801E-5</v>
      </c>
      <c r="K605" s="137">
        <v>0.73571428571428599</v>
      </c>
      <c r="L605" s="137">
        <v>0.75</v>
      </c>
      <c r="M605" s="137">
        <v>0.71428571428571397</v>
      </c>
      <c r="N605" s="136">
        <v>1</v>
      </c>
      <c r="O605" s="154">
        <v>43238</v>
      </c>
      <c r="P605" s="98">
        <f t="shared" si="53"/>
        <v>0</v>
      </c>
      <c r="Q605" s="113">
        <v>5.0999999999999996</v>
      </c>
      <c r="R605" s="113">
        <v>3.3</v>
      </c>
      <c r="S605" s="113">
        <v>0</v>
      </c>
      <c r="T605" s="114" t="s">
        <v>48</v>
      </c>
      <c r="U605" s="136" t="s">
        <v>178</v>
      </c>
      <c r="V605" s="136" t="s">
        <v>179</v>
      </c>
      <c r="W605" s="69">
        <v>158</v>
      </c>
      <c r="X605" s="136">
        <v>1</v>
      </c>
      <c r="Y605" s="136">
        <v>4</v>
      </c>
      <c r="Z605"/>
      <c r="AA605" t="s">
        <v>4660</v>
      </c>
      <c r="AB605" t="s">
        <v>51</v>
      </c>
      <c r="AC605" t="s">
        <v>4530</v>
      </c>
      <c r="AD605" t="s">
        <v>4769</v>
      </c>
      <c r="AE605" t="s">
        <v>4538</v>
      </c>
      <c r="AF605" t="s">
        <v>4936</v>
      </c>
      <c r="AG605" t="s">
        <v>4515</v>
      </c>
      <c r="AH605" t="s">
        <v>4685</v>
      </c>
      <c r="AI605" t="s">
        <v>4353</v>
      </c>
      <c r="AJ605" t="s">
        <v>4506</v>
      </c>
      <c r="AK605" t="s">
        <v>4519</v>
      </c>
      <c r="AL605" t="s">
        <v>4552</v>
      </c>
      <c r="AM605" t="s">
        <v>4510</v>
      </c>
      <c r="AN605" t="s">
        <v>4634</v>
      </c>
      <c r="AO605" s="134">
        <v>105.430717863105</v>
      </c>
      <c r="AP605" s="135">
        <v>120.285229202037</v>
      </c>
      <c r="AQ605">
        <v>0.31748726655347997</v>
      </c>
      <c r="AR605" s="136">
        <v>1.25636672325976</v>
      </c>
      <c r="AS605">
        <v>7.5398981324278402</v>
      </c>
      <c r="AU605"/>
      <c r="AV605"/>
      <c r="AW605"/>
      <c r="AX605"/>
    </row>
    <row r="606" spans="1:50" s="69" customFormat="1" ht="121">
      <c r="A606" s="65">
        <v>856</v>
      </c>
      <c r="B606" s="69" t="s">
        <v>2287</v>
      </c>
      <c r="C606" s="69" t="s">
        <v>45</v>
      </c>
      <c r="D606" s="31">
        <f t="shared" si="51"/>
        <v>4</v>
      </c>
      <c r="E606" s="69" t="s">
        <v>46</v>
      </c>
      <c r="F606" s="31">
        <f t="shared" si="52"/>
        <v>6</v>
      </c>
      <c r="G606" s="188" t="s">
        <v>2327</v>
      </c>
      <c r="H606" s="138">
        <v>232</v>
      </c>
      <c r="I606" s="92">
        <f t="shared" si="50"/>
        <v>0.28174305033835817</v>
      </c>
      <c r="J606" s="95">
        <v>5.33351141029925E-13</v>
      </c>
      <c r="K606" s="137">
        <v>0.61031634740572205</v>
      </c>
      <c r="L606" s="137">
        <v>0.56348610067618299</v>
      </c>
      <c r="M606" s="137">
        <v>0.68056171750003003</v>
      </c>
      <c r="N606" s="136">
        <v>0</v>
      </c>
      <c r="O606" s="154">
        <v>43238</v>
      </c>
      <c r="P606" s="98">
        <f t="shared" si="53"/>
        <v>0</v>
      </c>
      <c r="Q606" s="111">
        <v>5.0999999999999996</v>
      </c>
      <c r="R606" s="111">
        <v>3.3</v>
      </c>
      <c r="S606" s="111">
        <v>1.87</v>
      </c>
      <c r="T606" s="112" t="s">
        <v>48</v>
      </c>
      <c r="U606" s="137" t="s">
        <v>2328</v>
      </c>
      <c r="V606" s="137" t="s">
        <v>2329</v>
      </c>
      <c r="W606" s="69">
        <v>85</v>
      </c>
      <c r="X606" s="195">
        <v>1</v>
      </c>
      <c r="Y606" s="195">
        <v>5</v>
      </c>
      <c r="AA606" t="s">
        <v>4573</v>
      </c>
      <c r="AB606" t="s">
        <v>87</v>
      </c>
      <c r="AC606" t="s">
        <v>4515</v>
      </c>
      <c r="AD606" t="s">
        <v>4676</v>
      </c>
      <c r="AE606" t="s">
        <v>223</v>
      </c>
      <c r="AF606" t="s">
        <v>4691</v>
      </c>
      <c r="AG606" t="s">
        <v>223</v>
      </c>
      <c r="AH606" t="s">
        <v>4691</v>
      </c>
      <c r="AI606" t="s">
        <v>4353</v>
      </c>
      <c r="AJ606" t="s">
        <v>4506</v>
      </c>
      <c r="AK606" t="s">
        <v>4519</v>
      </c>
      <c r="AL606" t="s">
        <v>4552</v>
      </c>
      <c r="AM606" t="s">
        <v>4528</v>
      </c>
      <c r="AN606" t="s">
        <v>4618</v>
      </c>
      <c r="AO606" s="134">
        <v>105.494983277592</v>
      </c>
      <c r="AP606" s="135">
        <v>120.285229202037</v>
      </c>
      <c r="AQ606">
        <v>0.31748726655347997</v>
      </c>
      <c r="AR606" s="136">
        <v>1.25636672325976</v>
      </c>
      <c r="AS606">
        <v>7.5398981324278402</v>
      </c>
      <c r="AU606"/>
      <c r="AV606"/>
      <c r="AW606"/>
      <c r="AX606"/>
    </row>
    <row r="607" spans="1:50" s="69" customFormat="1" ht="61">
      <c r="A607" s="65">
        <v>177</v>
      </c>
      <c r="B607" s="69" t="s">
        <v>499</v>
      </c>
      <c r="C607" s="69" t="s">
        <v>119</v>
      </c>
      <c r="D607" s="31">
        <f t="shared" si="51"/>
        <v>1</v>
      </c>
      <c r="E607" s="69" t="s">
        <v>519</v>
      </c>
      <c r="F607" s="31">
        <f t="shared" si="52"/>
        <v>5</v>
      </c>
      <c r="G607" s="189" t="s">
        <v>520</v>
      </c>
      <c r="H607" s="138">
        <v>88</v>
      </c>
      <c r="I607" s="92">
        <f t="shared" si="50"/>
        <v>0.45259824088911449</v>
      </c>
      <c r="J607" s="95">
        <v>8.0196481778228995E-2</v>
      </c>
      <c r="K607" s="137">
        <v>0.70547858340826297</v>
      </c>
      <c r="L607" s="137">
        <v>0.82499999999999996</v>
      </c>
      <c r="M607" s="137">
        <v>0.526196458520657</v>
      </c>
      <c r="N607" s="136">
        <v>1</v>
      </c>
      <c r="O607" s="154">
        <v>43237</v>
      </c>
      <c r="P607" s="98">
        <f t="shared" si="53"/>
        <v>0</v>
      </c>
      <c r="Q607" s="111">
        <v>0</v>
      </c>
      <c r="R607" s="111">
        <v>3.3</v>
      </c>
      <c r="S607" s="111">
        <v>0</v>
      </c>
      <c r="T607" s="112" t="s">
        <v>48</v>
      </c>
      <c r="U607" s="137" t="s">
        <v>550</v>
      </c>
      <c r="V607" s="137" t="s">
        <v>551</v>
      </c>
      <c r="W607" s="69">
        <v>43</v>
      </c>
      <c r="X607" s="195">
        <v>4</v>
      </c>
      <c r="Y607" s="195">
        <v>11</v>
      </c>
      <c r="Z607"/>
      <c r="AA607" t="s">
        <v>4564</v>
      </c>
      <c r="AB607" t="s">
        <v>4827</v>
      </c>
      <c r="AC607" t="s">
        <v>223</v>
      </c>
      <c r="AD607" t="s">
        <v>4779</v>
      </c>
      <c r="AE607" t="s">
        <v>223</v>
      </c>
      <c r="AF607" t="s">
        <v>4779</v>
      </c>
      <c r="AG607" t="s">
        <v>4353</v>
      </c>
      <c r="AH607" t="s">
        <v>4506</v>
      </c>
      <c r="AI607" t="s">
        <v>223</v>
      </c>
      <c r="AJ607" t="s">
        <v>4779</v>
      </c>
      <c r="AK607" t="s">
        <v>4519</v>
      </c>
      <c r="AL607" t="s">
        <v>4552</v>
      </c>
      <c r="AM607" t="s">
        <v>4715</v>
      </c>
      <c r="AN607" t="s">
        <v>4897</v>
      </c>
      <c r="AO607" s="134">
        <v>105.52428810720301</v>
      </c>
      <c r="AP607" s="135">
        <v>119.92491467576799</v>
      </c>
      <c r="AQ607">
        <v>0.31740614334471001</v>
      </c>
      <c r="AR607" s="136">
        <v>1.25767918088737</v>
      </c>
      <c r="AS607">
        <v>7.55119453924915</v>
      </c>
      <c r="AU607"/>
      <c r="AV607"/>
      <c r="AW607"/>
      <c r="AX607"/>
    </row>
    <row r="608" spans="1:50" s="69" customFormat="1" ht="91">
      <c r="A608" s="65">
        <v>517</v>
      </c>
      <c r="B608" s="69" t="s">
        <v>1222</v>
      </c>
      <c r="C608" s="69" t="s">
        <v>45</v>
      </c>
      <c r="D608" s="31">
        <f t="shared" si="51"/>
        <v>4</v>
      </c>
      <c r="E608" s="69" t="s">
        <v>80</v>
      </c>
      <c r="F608" s="31">
        <f t="shared" si="52"/>
        <v>4</v>
      </c>
      <c r="G608" s="137" t="s">
        <v>1459</v>
      </c>
      <c r="H608" s="138">
        <v>45</v>
      </c>
      <c r="I608" s="92">
        <f t="shared" si="50"/>
        <v>0.41559700552245266</v>
      </c>
      <c r="J608" s="95">
        <v>6.1940110449053599E-3</v>
      </c>
      <c r="K608" s="137">
        <v>0.75502915755524702</v>
      </c>
      <c r="L608" s="137">
        <v>0.82499999999999996</v>
      </c>
      <c r="M608" s="137">
        <v>0.65007289388811795</v>
      </c>
      <c r="N608" s="136">
        <v>1</v>
      </c>
      <c r="O608" s="155">
        <v>43237</v>
      </c>
      <c r="P608" s="98">
        <f t="shared" si="53"/>
        <v>0</v>
      </c>
      <c r="Q608" s="111">
        <v>5.0999999999999996</v>
      </c>
      <c r="R608" s="111">
        <v>0</v>
      </c>
      <c r="S608" s="111">
        <v>0</v>
      </c>
      <c r="T608" s="112" t="s">
        <v>48</v>
      </c>
      <c r="U608" s="188" t="s">
        <v>1460</v>
      </c>
      <c r="V608" s="137" t="s">
        <v>1461</v>
      </c>
      <c r="W608" s="69">
        <v>141</v>
      </c>
      <c r="X608" s="195">
        <v>3</v>
      </c>
      <c r="Y608" s="195">
        <v>6</v>
      </c>
      <c r="Z608"/>
      <c r="AA608" t="s">
        <v>4512</v>
      </c>
      <c r="AB608" t="s">
        <v>4791</v>
      </c>
      <c r="AC608" t="s">
        <v>4515</v>
      </c>
      <c r="AD608" t="s">
        <v>4617</v>
      </c>
      <c r="AE608" t="s">
        <v>223</v>
      </c>
      <c r="AF608" t="s">
        <v>4600</v>
      </c>
      <c r="AG608" t="s">
        <v>223</v>
      </c>
      <c r="AH608" t="s">
        <v>4600</v>
      </c>
      <c r="AI608" t="s">
        <v>4515</v>
      </c>
      <c r="AJ608" t="s">
        <v>4617</v>
      </c>
      <c r="AK608" t="s">
        <v>4519</v>
      </c>
      <c r="AL608" t="s">
        <v>4519</v>
      </c>
      <c r="AM608" t="s">
        <v>4520</v>
      </c>
      <c r="AN608" t="s">
        <v>4558</v>
      </c>
      <c r="AO608" s="134">
        <v>105.625838926174</v>
      </c>
      <c r="AP608" s="135">
        <v>119.92491467576799</v>
      </c>
      <c r="AQ608">
        <v>0.31740614334471001</v>
      </c>
      <c r="AR608" s="136">
        <v>1.25767918088737</v>
      </c>
      <c r="AS608">
        <v>7.55119453924915</v>
      </c>
      <c r="AU608"/>
      <c r="AV608"/>
      <c r="AW608"/>
      <c r="AX608"/>
    </row>
    <row r="609" spans="1:50" s="69" customFormat="1" ht="91">
      <c r="A609">
        <v>782</v>
      </c>
      <c r="B609" s="69" t="s">
        <v>2098</v>
      </c>
      <c r="C609" s="69" t="s">
        <v>45</v>
      </c>
      <c r="D609" s="31">
        <f t="shared" si="51"/>
        <v>4</v>
      </c>
      <c r="E609" s="69" t="s">
        <v>80</v>
      </c>
      <c r="F609" s="31">
        <f t="shared" si="52"/>
        <v>4</v>
      </c>
      <c r="G609" s="219" t="s">
        <v>2135</v>
      </c>
      <c r="H609" s="138">
        <v>96</v>
      </c>
      <c r="I609" s="92">
        <f t="shared" si="50"/>
        <v>0.41258792252612464</v>
      </c>
      <c r="J609" s="95">
        <v>1.75845052249324E-4</v>
      </c>
      <c r="K609" s="137">
        <v>0.81418779643582295</v>
      </c>
      <c r="L609" s="137">
        <v>0.82499999999999996</v>
      </c>
      <c r="M609" s="137">
        <v>0.79796949108955795</v>
      </c>
      <c r="N609" s="136">
        <v>1</v>
      </c>
      <c r="O609" s="154">
        <v>43236</v>
      </c>
      <c r="P609" s="98">
        <f t="shared" si="53"/>
        <v>1</v>
      </c>
      <c r="Q609" s="111">
        <v>5.0999999999999996</v>
      </c>
      <c r="R609" s="111">
        <v>0</v>
      </c>
      <c r="S609" s="111">
        <v>1.87</v>
      </c>
      <c r="T609" s="112" t="s">
        <v>73</v>
      </c>
      <c r="U609" s="137" t="s">
        <v>2136</v>
      </c>
      <c r="V609" s="137" t="s">
        <v>2137</v>
      </c>
      <c r="W609" s="69">
        <v>112</v>
      </c>
      <c r="X609" s="69">
        <v>1</v>
      </c>
      <c r="Y609" s="69">
        <v>2</v>
      </c>
      <c r="AA609" t="s">
        <v>4660</v>
      </c>
      <c r="AB609" t="s">
        <v>71</v>
      </c>
      <c r="AC609" t="s">
        <v>4515</v>
      </c>
      <c r="AD609" t="s">
        <v>4718</v>
      </c>
      <c r="AE609" t="s">
        <v>4515</v>
      </c>
      <c r="AF609" t="s">
        <v>4718</v>
      </c>
      <c r="AG609" t="s">
        <v>4530</v>
      </c>
      <c r="AH609" t="s">
        <v>4738</v>
      </c>
      <c r="AI609" t="s">
        <v>4353</v>
      </c>
      <c r="AJ609" t="s">
        <v>4506</v>
      </c>
      <c r="AK609" t="s">
        <v>4519</v>
      </c>
      <c r="AL609" t="s">
        <v>4552</v>
      </c>
      <c r="AM609" t="s">
        <v>4510</v>
      </c>
      <c r="AN609" t="s">
        <v>4634</v>
      </c>
      <c r="AO609" s="134">
        <v>105.685714285714</v>
      </c>
      <c r="AP609" s="135">
        <v>119.843642611684</v>
      </c>
      <c r="AQ609">
        <v>0.31958762886597902</v>
      </c>
      <c r="AR609" s="136">
        <v>1.25945017182131</v>
      </c>
      <c r="AS609">
        <v>7.5670103092783503</v>
      </c>
      <c r="AU609"/>
      <c r="AV609"/>
      <c r="AW609"/>
      <c r="AX609"/>
    </row>
    <row r="610" spans="1:50" s="69" customFormat="1" ht="166">
      <c r="A610" s="65">
        <v>89</v>
      </c>
      <c r="B610" s="69" t="s">
        <v>217</v>
      </c>
      <c r="C610" s="69" t="s">
        <v>45</v>
      </c>
      <c r="D610" s="31">
        <f t="shared" si="51"/>
        <v>4</v>
      </c>
      <c r="E610" s="69" t="s">
        <v>80</v>
      </c>
      <c r="F610" s="31">
        <f t="shared" si="52"/>
        <v>4</v>
      </c>
      <c r="G610" s="189" t="s">
        <v>314</v>
      </c>
      <c r="H610" s="138">
        <v>70</v>
      </c>
      <c r="I610" s="92">
        <f t="shared" si="50"/>
        <v>0.37500202845527641</v>
      </c>
      <c r="J610" s="95">
        <v>4.0569105528298596E-6</v>
      </c>
      <c r="K610" s="137">
        <v>0.79285714285714304</v>
      </c>
      <c r="L610" s="137">
        <v>0.75</v>
      </c>
      <c r="M610" s="137">
        <v>0.85714285714285698</v>
      </c>
      <c r="N610" s="136">
        <v>1</v>
      </c>
      <c r="O610" s="154">
        <v>43236</v>
      </c>
      <c r="P610" s="98">
        <f t="shared" si="53"/>
        <v>1</v>
      </c>
      <c r="Q610" s="111">
        <v>10.199999999999999</v>
      </c>
      <c r="R610" s="111">
        <v>0</v>
      </c>
      <c r="S610" s="111">
        <v>0</v>
      </c>
      <c r="T610" s="112" t="s">
        <v>73</v>
      </c>
      <c r="U610" s="137" t="s">
        <v>315</v>
      </c>
      <c r="V610" s="137" t="s">
        <v>316</v>
      </c>
      <c r="W610" s="69">
        <v>248</v>
      </c>
      <c r="X610" s="195">
        <v>1</v>
      </c>
      <c r="Y610" s="195">
        <v>1</v>
      </c>
      <c r="Z610"/>
      <c r="AA610" t="s">
        <v>4564</v>
      </c>
      <c r="AB610" t="s">
        <v>51</v>
      </c>
      <c r="AC610" t="s">
        <v>223</v>
      </c>
      <c r="AD610" t="s">
        <v>4955</v>
      </c>
      <c r="AE610" t="s">
        <v>4538</v>
      </c>
      <c r="AF610" t="s">
        <v>4956</v>
      </c>
      <c r="AG610" t="s">
        <v>4530</v>
      </c>
      <c r="AH610" t="s">
        <v>4547</v>
      </c>
      <c r="AI610" t="s">
        <v>4353</v>
      </c>
      <c r="AJ610" t="s">
        <v>4506</v>
      </c>
      <c r="AK610" t="s">
        <v>4519</v>
      </c>
      <c r="AL610" t="s">
        <v>4519</v>
      </c>
      <c r="AM610" t="s">
        <v>4510</v>
      </c>
      <c r="AN610" t="s">
        <v>4550</v>
      </c>
      <c r="AO610" s="134">
        <v>105.70202020201999</v>
      </c>
      <c r="AP610" s="135">
        <v>119.843642611684</v>
      </c>
      <c r="AQ610">
        <v>0.31958762886597902</v>
      </c>
      <c r="AR610" s="136">
        <v>1.25945017182131</v>
      </c>
      <c r="AS610">
        <v>7.5670103092783503</v>
      </c>
      <c r="AU610"/>
      <c r="AV610"/>
      <c r="AW610"/>
      <c r="AX610"/>
    </row>
    <row r="611" spans="1:50" s="69" customFormat="1" ht="166">
      <c r="A611" s="65">
        <v>857</v>
      </c>
      <c r="B611" s="69" t="s">
        <v>2287</v>
      </c>
      <c r="C611" s="69" t="s">
        <v>45</v>
      </c>
      <c r="D611" s="31">
        <f t="shared" si="51"/>
        <v>4</v>
      </c>
      <c r="E611" s="69" t="s">
        <v>46</v>
      </c>
      <c r="F611" s="31">
        <f t="shared" si="52"/>
        <v>6</v>
      </c>
      <c r="G611" s="169" t="s">
        <v>2330</v>
      </c>
      <c r="H611" s="138">
        <v>169</v>
      </c>
      <c r="I611" s="92">
        <f t="shared" si="50"/>
        <v>0.30991735652512931</v>
      </c>
      <c r="J611" s="95">
        <v>2.3064565812802601E-9</v>
      </c>
      <c r="K611" s="137">
        <v>0.69108862288210404</v>
      </c>
      <c r="L611" s="137">
        <v>0.61983471074380203</v>
      </c>
      <c r="M611" s="137">
        <v>0.79796949108955795</v>
      </c>
      <c r="N611" s="136">
        <v>0</v>
      </c>
      <c r="O611" s="154">
        <v>43235</v>
      </c>
      <c r="P611" s="98">
        <f t="shared" si="53"/>
        <v>0</v>
      </c>
      <c r="Q611" s="111">
        <v>0</v>
      </c>
      <c r="R611" s="111">
        <v>0</v>
      </c>
      <c r="S611" s="111">
        <v>0</v>
      </c>
      <c r="T611" s="112" t="s">
        <v>48</v>
      </c>
      <c r="U611" s="136" t="s">
        <v>2331</v>
      </c>
      <c r="V611" s="137" t="s">
        <v>2332</v>
      </c>
      <c r="W611" s="69">
        <v>234</v>
      </c>
      <c r="X611" s="69">
        <v>2</v>
      </c>
      <c r="Y611" s="69">
        <v>2</v>
      </c>
      <c r="AA611" t="s">
        <v>4556</v>
      </c>
      <c r="AB611" t="s">
        <v>51</v>
      </c>
      <c r="AC611" t="s">
        <v>4530</v>
      </c>
      <c r="AD611" t="s">
        <v>4957</v>
      </c>
      <c r="AE611" t="s">
        <v>4526</v>
      </c>
      <c r="AF611" t="s">
        <v>4958</v>
      </c>
      <c r="AG611" t="s">
        <v>4580</v>
      </c>
      <c r="AH611" t="s">
        <v>4959</v>
      </c>
      <c r="AI611" t="s">
        <v>4353</v>
      </c>
      <c r="AJ611" t="s">
        <v>4506</v>
      </c>
      <c r="AK611" t="s">
        <v>4518</v>
      </c>
      <c r="AL611" t="s">
        <v>4552</v>
      </c>
      <c r="AM611" t="s">
        <v>4592</v>
      </c>
      <c r="AN611" t="s">
        <v>4893</v>
      </c>
      <c r="AO611" s="134">
        <v>105.59527824620599</v>
      </c>
      <c r="AP611" s="135">
        <v>119.878472222222</v>
      </c>
      <c r="AQ611">
        <v>0.31944444444444398</v>
      </c>
      <c r="AR611" s="136">
        <v>1.2604166666666701</v>
      </c>
      <c r="AS611">
        <v>7.5850694444444402</v>
      </c>
      <c r="AU611"/>
      <c r="AV611"/>
      <c r="AW611"/>
      <c r="AX611"/>
    </row>
    <row r="612" spans="1:50" s="69" customFormat="1" ht="136">
      <c r="A612">
        <v>858</v>
      </c>
      <c r="B612" s="69" t="s">
        <v>2287</v>
      </c>
      <c r="C612" s="69" t="s">
        <v>45</v>
      </c>
      <c r="D612" s="31">
        <f t="shared" si="51"/>
        <v>4</v>
      </c>
      <c r="E612" s="69" t="s">
        <v>46</v>
      </c>
      <c r="F612" s="31">
        <f t="shared" si="52"/>
        <v>6</v>
      </c>
      <c r="G612" s="137" t="s">
        <v>2333</v>
      </c>
      <c r="H612" s="138">
        <v>239</v>
      </c>
      <c r="I612" s="92">
        <f t="shared" si="50"/>
        <v>0.73521949899217098</v>
      </c>
      <c r="J612" s="95">
        <v>0.85060428724054005</v>
      </c>
      <c r="K612" s="137">
        <v>0.62071503724259003</v>
      </c>
      <c r="L612" s="137">
        <v>0.61983471074380203</v>
      </c>
      <c r="M612" s="137">
        <v>0.62203552699077302</v>
      </c>
      <c r="N612" s="136">
        <v>0</v>
      </c>
      <c r="O612" s="154">
        <v>43234</v>
      </c>
      <c r="P612" s="98">
        <f t="shared" si="53"/>
        <v>1</v>
      </c>
      <c r="Q612" s="111">
        <v>0</v>
      </c>
      <c r="R612" s="111">
        <v>0</v>
      </c>
      <c r="S612" s="111">
        <v>0</v>
      </c>
      <c r="T612" s="112" t="s">
        <v>73</v>
      </c>
      <c r="U612" s="137" t="s">
        <v>2334</v>
      </c>
      <c r="V612" s="137" t="s">
        <v>2335</v>
      </c>
      <c r="W612" s="69">
        <v>77</v>
      </c>
      <c r="X612" s="69">
        <v>2</v>
      </c>
      <c r="Y612" s="69">
        <v>7</v>
      </c>
      <c r="AA612" t="s">
        <v>4564</v>
      </c>
      <c r="AB612" t="s">
        <v>87</v>
      </c>
      <c r="AC612" t="s">
        <v>4513</v>
      </c>
      <c r="AD612" t="s">
        <v>4642</v>
      </c>
      <c r="AE612" t="s">
        <v>4353</v>
      </c>
      <c r="AF612" t="s">
        <v>4506</v>
      </c>
      <c r="AG612" t="s">
        <v>4515</v>
      </c>
      <c r="AH612" t="s">
        <v>4517</v>
      </c>
      <c r="AI612" t="s">
        <v>4353</v>
      </c>
      <c r="AJ612" t="s">
        <v>4506</v>
      </c>
      <c r="AK612" t="s">
        <v>4519</v>
      </c>
      <c r="AL612" t="s">
        <v>4519</v>
      </c>
      <c r="AM612" t="s">
        <v>4510</v>
      </c>
      <c r="AN612" t="s">
        <v>4550</v>
      </c>
      <c r="AO612" s="134">
        <v>105.528716216216</v>
      </c>
      <c r="AP612" s="135">
        <v>119.911304347826</v>
      </c>
      <c r="AQ612">
        <v>0.32</v>
      </c>
      <c r="AR612" s="136">
        <v>1.26086956521739</v>
      </c>
      <c r="AS612">
        <v>7.5843478260869599</v>
      </c>
      <c r="AU612"/>
      <c r="AV612"/>
      <c r="AW612"/>
      <c r="AX612"/>
    </row>
    <row r="613" spans="1:50" s="69" customFormat="1" ht="106">
      <c r="A613">
        <v>806</v>
      </c>
      <c r="B613" s="69" t="s">
        <v>2179</v>
      </c>
      <c r="C613" s="69" t="s">
        <v>45</v>
      </c>
      <c r="D613" s="31">
        <f t="shared" si="51"/>
        <v>4</v>
      </c>
      <c r="E613" s="69" t="s">
        <v>80</v>
      </c>
      <c r="F613" s="31">
        <f t="shared" si="52"/>
        <v>4</v>
      </c>
      <c r="G613" s="147" t="s">
        <v>2202</v>
      </c>
      <c r="H613" s="138">
        <v>67</v>
      </c>
      <c r="I613" s="92">
        <f t="shared" si="50"/>
        <v>0.6301636271038985</v>
      </c>
      <c r="J613" s="95">
        <v>0.435327254207797</v>
      </c>
      <c r="K613" s="137">
        <v>0.81418779643582295</v>
      </c>
      <c r="L613" s="137">
        <v>0.82499999999999996</v>
      </c>
      <c r="M613" s="137">
        <v>0.79796949108955795</v>
      </c>
      <c r="N613" s="136">
        <v>1</v>
      </c>
      <c r="O613" s="154">
        <v>43234</v>
      </c>
      <c r="P613" s="98">
        <f t="shared" si="53"/>
        <v>0</v>
      </c>
      <c r="Q613" s="201">
        <v>2.5499999999999998</v>
      </c>
      <c r="R613" s="201">
        <v>1.65</v>
      </c>
      <c r="S613" s="201">
        <v>0</v>
      </c>
      <c r="T613" s="213" t="s">
        <v>48</v>
      </c>
      <c r="U613" s="209" t="s">
        <v>2203</v>
      </c>
      <c r="V613" s="136" t="s">
        <v>2204</v>
      </c>
      <c r="W613" s="69">
        <v>150</v>
      </c>
      <c r="X613" s="171">
        <v>0</v>
      </c>
      <c r="Y613" s="171">
        <v>2</v>
      </c>
      <c r="AA613" t="s">
        <v>4564</v>
      </c>
      <c r="AB613" t="s">
        <v>4594</v>
      </c>
      <c r="AC613" t="s">
        <v>4513</v>
      </c>
      <c r="AD613" t="s">
        <v>4614</v>
      </c>
      <c r="AE613" t="s">
        <v>4513</v>
      </c>
      <c r="AF613" t="s">
        <v>4614</v>
      </c>
      <c r="AG613" t="s">
        <v>223</v>
      </c>
      <c r="AH613" t="s">
        <v>4789</v>
      </c>
      <c r="AI613" t="s">
        <v>4353</v>
      </c>
      <c r="AJ613" t="s">
        <v>4506</v>
      </c>
      <c r="AK613" t="s">
        <v>4519</v>
      </c>
      <c r="AL613" t="s">
        <v>4519</v>
      </c>
      <c r="AM613" t="s">
        <v>4528</v>
      </c>
      <c r="AN613" t="s">
        <v>4529</v>
      </c>
      <c r="AO613" s="134">
        <v>105.593908629442</v>
      </c>
      <c r="AP613" s="135">
        <v>119.911304347826</v>
      </c>
      <c r="AQ613">
        <v>0.32</v>
      </c>
      <c r="AR613" s="136">
        <v>1.26086956521739</v>
      </c>
      <c r="AS613">
        <v>7.5843478260869599</v>
      </c>
      <c r="AU613"/>
      <c r="AV613"/>
      <c r="AW613"/>
      <c r="AX613"/>
    </row>
    <row r="614" spans="1:50" s="69" customFormat="1" ht="91">
      <c r="A614" s="65">
        <v>352</v>
      </c>
      <c r="B614" s="69" t="s">
        <v>589</v>
      </c>
      <c r="C614" s="69" t="s">
        <v>45</v>
      </c>
      <c r="D614" s="31">
        <f t="shared" si="51"/>
        <v>4</v>
      </c>
      <c r="E614" s="69" t="s">
        <v>46</v>
      </c>
      <c r="F614" s="31">
        <f t="shared" si="52"/>
        <v>6</v>
      </c>
      <c r="G614" s="147" t="s">
        <v>4384</v>
      </c>
      <c r="H614" s="138">
        <v>145</v>
      </c>
      <c r="I614" s="92">
        <f t="shared" si="50"/>
        <v>0.37554846394695957</v>
      </c>
      <c r="J614" s="95">
        <v>1.0969278939191301E-3</v>
      </c>
      <c r="K614" s="137">
        <v>0.76918779643582302</v>
      </c>
      <c r="L614" s="137">
        <v>0.75</v>
      </c>
      <c r="M614" s="137">
        <v>0.79796949108955795</v>
      </c>
      <c r="N614" s="136">
        <v>0</v>
      </c>
      <c r="O614" s="154">
        <v>43234</v>
      </c>
      <c r="P614" s="98">
        <f t="shared" si="53"/>
        <v>0</v>
      </c>
      <c r="Q614" s="111">
        <v>5.0999999999999996</v>
      </c>
      <c r="R614" s="111">
        <v>0</v>
      </c>
      <c r="S614" s="111">
        <v>0</v>
      </c>
      <c r="T614" s="112" t="s">
        <v>48</v>
      </c>
      <c r="U614" s="147" t="s">
        <v>4385</v>
      </c>
      <c r="V614" s="137" t="s">
        <v>1025</v>
      </c>
      <c r="W614" s="69">
        <v>121</v>
      </c>
      <c r="X614" s="147">
        <v>1</v>
      </c>
      <c r="Y614" s="147">
        <v>2</v>
      </c>
      <c r="Z614"/>
      <c r="AA614" t="s">
        <v>4960</v>
      </c>
      <c r="AB614" t="s">
        <v>4827</v>
      </c>
      <c r="AC614" t="s">
        <v>4515</v>
      </c>
      <c r="AD614" t="s">
        <v>4750</v>
      </c>
      <c r="AE614" t="s">
        <v>4515</v>
      </c>
      <c r="AF614" t="s">
        <v>4750</v>
      </c>
      <c r="AG614" t="s">
        <v>223</v>
      </c>
      <c r="AH614" t="s">
        <v>4681</v>
      </c>
      <c r="AI614" t="s">
        <v>4515</v>
      </c>
      <c r="AJ614" t="s">
        <v>4750</v>
      </c>
      <c r="AK614" t="s">
        <v>4519</v>
      </c>
      <c r="AL614" t="s">
        <v>4519</v>
      </c>
      <c r="AM614" t="s">
        <v>4592</v>
      </c>
      <c r="AN614" t="s">
        <v>4626</v>
      </c>
      <c r="AO614" s="134">
        <v>105.36779661016899</v>
      </c>
      <c r="AP614" s="135">
        <v>119.911304347826</v>
      </c>
      <c r="AQ614">
        <v>0.32</v>
      </c>
      <c r="AR614" s="136">
        <v>1.26086956521739</v>
      </c>
      <c r="AS614">
        <v>7.5843478260869599</v>
      </c>
      <c r="AU614"/>
      <c r="AV614"/>
      <c r="AW614"/>
      <c r="AX614"/>
    </row>
    <row r="615" spans="1:50" s="69" customFormat="1" ht="91">
      <c r="A615" s="65">
        <v>1092</v>
      </c>
      <c r="B615" s="69" t="s">
        <v>2948</v>
      </c>
      <c r="C615" s="69" t="s">
        <v>45</v>
      </c>
      <c r="D615" s="31">
        <f t="shared" si="51"/>
        <v>4</v>
      </c>
      <c r="E615" s="69" t="s">
        <v>80</v>
      </c>
      <c r="F615" s="31">
        <f t="shared" si="52"/>
        <v>4</v>
      </c>
      <c r="G615" s="139" t="s">
        <v>778</v>
      </c>
      <c r="H615" s="138">
        <v>51</v>
      </c>
      <c r="I615" s="92">
        <f t="shared" si="50"/>
        <v>0.41250233792480229</v>
      </c>
      <c r="J615" s="95">
        <v>4.6758496046184197E-6</v>
      </c>
      <c r="K615" s="137">
        <v>0.78071428571428603</v>
      </c>
      <c r="L615" s="137">
        <v>0.82499999999999996</v>
      </c>
      <c r="M615" s="137">
        <v>0.71428571428571397</v>
      </c>
      <c r="N615" s="136">
        <v>1</v>
      </c>
      <c r="O615" s="157">
        <v>43232</v>
      </c>
      <c r="P615" s="98">
        <f t="shared" si="53"/>
        <v>0</v>
      </c>
      <c r="Q615" s="113">
        <v>0</v>
      </c>
      <c r="R615" s="113">
        <v>0</v>
      </c>
      <c r="S615" s="113">
        <v>1.87</v>
      </c>
      <c r="T615" s="119" t="s">
        <v>48</v>
      </c>
      <c r="U615" s="89" t="s">
        <v>2969</v>
      </c>
      <c r="V615" s="172" t="s">
        <v>2970</v>
      </c>
      <c r="W615" s="69">
        <v>136</v>
      </c>
      <c r="X615" s="69">
        <v>1</v>
      </c>
      <c r="Y615" s="69">
        <v>4</v>
      </c>
      <c r="AA615" t="s">
        <v>4522</v>
      </c>
      <c r="AB615" t="s">
        <v>51</v>
      </c>
      <c r="AC615" t="s">
        <v>223</v>
      </c>
      <c r="AD615" t="s">
        <v>4679</v>
      </c>
      <c r="AE615" t="s">
        <v>4513</v>
      </c>
      <c r="AF615" t="s">
        <v>4779</v>
      </c>
      <c r="AG615" t="s">
        <v>223</v>
      </c>
      <c r="AH615" t="s">
        <v>4679</v>
      </c>
      <c r="AI615" t="s">
        <v>4515</v>
      </c>
      <c r="AJ615" t="s">
        <v>4674</v>
      </c>
      <c r="AK615" t="s">
        <v>4518</v>
      </c>
      <c r="AL615" t="s">
        <v>4519</v>
      </c>
      <c r="AM615" t="s">
        <v>4520</v>
      </c>
      <c r="AN615" t="s">
        <v>4521</v>
      </c>
      <c r="AO615" s="134">
        <v>105.47538200339601</v>
      </c>
      <c r="AP615" s="135">
        <v>119.911304347826</v>
      </c>
      <c r="AQ615">
        <v>0.32</v>
      </c>
      <c r="AR615" s="136">
        <v>1.26086956521739</v>
      </c>
      <c r="AS615">
        <v>7.5843478260869599</v>
      </c>
      <c r="AU615"/>
      <c r="AV615"/>
      <c r="AW615"/>
      <c r="AX615"/>
    </row>
    <row r="616" spans="1:50" s="69" customFormat="1" ht="106">
      <c r="A616">
        <v>518</v>
      </c>
      <c r="B616" s="69" t="s">
        <v>1222</v>
      </c>
      <c r="C616" s="69" t="s">
        <v>45</v>
      </c>
      <c r="D616" s="31">
        <f t="shared" si="51"/>
        <v>4</v>
      </c>
      <c r="E616" s="69" t="s">
        <v>80</v>
      </c>
      <c r="F616" s="31">
        <f t="shared" si="52"/>
        <v>4</v>
      </c>
      <c r="G616" s="169" t="s">
        <v>1462</v>
      </c>
      <c r="H616" s="138">
        <v>42</v>
      </c>
      <c r="I616" s="92">
        <f t="shared" si="50"/>
        <v>0.41250000001183107</v>
      </c>
      <c r="J616" s="95">
        <v>2.3662183323836E-11</v>
      </c>
      <c r="K616" s="137">
        <v>0.79602566813892095</v>
      </c>
      <c r="L616" s="137">
        <v>0.82499999999999996</v>
      </c>
      <c r="M616" s="137">
        <v>0.75256417034730305</v>
      </c>
      <c r="N616" s="136">
        <v>1</v>
      </c>
      <c r="O616" s="154">
        <v>43232</v>
      </c>
      <c r="P616" s="98">
        <f t="shared" si="53"/>
        <v>0</v>
      </c>
      <c r="Q616" s="111">
        <v>5.0999999999999996</v>
      </c>
      <c r="R616" s="111">
        <v>3.3</v>
      </c>
      <c r="S616" s="111">
        <v>0</v>
      </c>
      <c r="T616" s="112" t="s">
        <v>48</v>
      </c>
      <c r="U616" s="147" t="s">
        <v>1463</v>
      </c>
      <c r="V616" s="137" t="s">
        <v>1464</v>
      </c>
      <c r="W616" s="69">
        <v>151</v>
      </c>
      <c r="X616" s="147">
        <v>1</v>
      </c>
      <c r="Y616" s="147">
        <v>3</v>
      </c>
      <c r="Z616"/>
      <c r="AA616" t="s">
        <v>4522</v>
      </c>
      <c r="AB616" t="s">
        <v>4791</v>
      </c>
      <c r="AC616" t="s">
        <v>4515</v>
      </c>
      <c r="AD616" t="s">
        <v>4734</v>
      </c>
      <c r="AE616" t="s">
        <v>223</v>
      </c>
      <c r="AF616" t="s">
        <v>4633</v>
      </c>
      <c r="AG616" t="s">
        <v>223</v>
      </c>
      <c r="AH616" t="s">
        <v>4633</v>
      </c>
      <c r="AI616" t="s">
        <v>4515</v>
      </c>
      <c r="AJ616" t="s">
        <v>4734</v>
      </c>
      <c r="AK616" t="s">
        <v>4518</v>
      </c>
      <c r="AL616" t="s">
        <v>4519</v>
      </c>
      <c r="AM616" t="s">
        <v>4510</v>
      </c>
      <c r="AN616" t="s">
        <v>4523</v>
      </c>
      <c r="AO616" s="134">
        <v>105.568027210884</v>
      </c>
      <c r="AP616" s="135">
        <v>119.911304347826</v>
      </c>
      <c r="AQ616">
        <v>0.32</v>
      </c>
      <c r="AR616" s="181">
        <v>1.26086956521739</v>
      </c>
      <c r="AS616" s="66">
        <v>7.5843478260869599</v>
      </c>
      <c r="AU616"/>
      <c r="AV616"/>
      <c r="AW616"/>
      <c r="AX616"/>
    </row>
    <row r="617" spans="1:50" s="65" customFormat="1" ht="61">
      <c r="A617" s="65">
        <v>1093</v>
      </c>
      <c r="B617" s="69" t="s">
        <v>2948</v>
      </c>
      <c r="C617" s="69" t="s">
        <v>45</v>
      </c>
      <c r="D617" s="31">
        <f t="shared" si="51"/>
        <v>4</v>
      </c>
      <c r="E617" s="69" t="s">
        <v>80</v>
      </c>
      <c r="F617" s="31">
        <f t="shared" si="52"/>
        <v>4</v>
      </c>
      <c r="G617" s="139" t="s">
        <v>2971</v>
      </c>
      <c r="H617" s="138">
        <v>67</v>
      </c>
      <c r="I617" s="92">
        <f t="shared" si="50"/>
        <v>0.87337753735420143</v>
      </c>
      <c r="J617" s="95">
        <v>0.99675507470840297</v>
      </c>
      <c r="K617" s="137">
        <v>0.643968498544915</v>
      </c>
      <c r="L617" s="137">
        <v>0.75</v>
      </c>
      <c r="M617" s="137">
        <v>0.48492124636228701</v>
      </c>
      <c r="N617" s="136">
        <v>1</v>
      </c>
      <c r="O617" s="157">
        <v>43231</v>
      </c>
      <c r="P617" s="98">
        <f t="shared" si="53"/>
        <v>0</v>
      </c>
      <c r="Q617" s="113">
        <v>0</v>
      </c>
      <c r="R617" s="113">
        <v>0</v>
      </c>
      <c r="S617" s="113">
        <v>0</v>
      </c>
      <c r="T617" s="119" t="s">
        <v>48</v>
      </c>
      <c r="U617" s="89" t="s">
        <v>2972</v>
      </c>
      <c r="V617" s="172" t="s">
        <v>2973</v>
      </c>
      <c r="W617" s="69">
        <v>72</v>
      </c>
      <c r="X617" s="69">
        <v>1</v>
      </c>
      <c r="Y617" s="69">
        <v>13</v>
      </c>
      <c r="Z617" s="69"/>
      <c r="AA617" t="s">
        <v>4628</v>
      </c>
      <c r="AB617" t="s">
        <v>87</v>
      </c>
      <c r="AC617" t="s">
        <v>223</v>
      </c>
      <c r="AD617" t="s">
        <v>4685</v>
      </c>
      <c r="AE617" t="s">
        <v>4353</v>
      </c>
      <c r="AF617" t="s">
        <v>4506</v>
      </c>
      <c r="AG617" t="s">
        <v>4353</v>
      </c>
      <c r="AH617" t="s">
        <v>4506</v>
      </c>
      <c r="AI617" t="s">
        <v>4353</v>
      </c>
      <c r="AJ617" t="s">
        <v>4506</v>
      </c>
      <c r="AK617" t="s">
        <v>4519</v>
      </c>
      <c r="AL617" t="s">
        <v>4552</v>
      </c>
      <c r="AM617" t="s">
        <v>4520</v>
      </c>
      <c r="AN617" t="s">
        <v>4652</v>
      </c>
      <c r="AO617" s="132">
        <v>105.66269165247</v>
      </c>
      <c r="AP617" s="133">
        <v>119.90909090909101</v>
      </c>
      <c r="AQ617" s="65">
        <v>0.321678321678322</v>
      </c>
      <c r="AR617" s="65">
        <v>1.2622377622377601</v>
      </c>
      <c r="AS617" s="65">
        <v>7.6153846153846096</v>
      </c>
    </row>
    <row r="618" spans="1:50" s="65" customFormat="1" ht="91">
      <c r="A618" s="65">
        <v>353</v>
      </c>
      <c r="B618" s="69" t="s">
        <v>589</v>
      </c>
      <c r="C618" s="69" t="s">
        <v>45</v>
      </c>
      <c r="D618" s="31">
        <f t="shared" si="51"/>
        <v>4</v>
      </c>
      <c r="E618" s="69" t="s">
        <v>80</v>
      </c>
      <c r="F618" s="31">
        <f t="shared" si="52"/>
        <v>4</v>
      </c>
      <c r="G618" s="137" t="s">
        <v>1026</v>
      </c>
      <c r="H618" s="138">
        <v>50</v>
      </c>
      <c r="I618" s="92">
        <f t="shared" si="50"/>
        <v>0.47733038961539298</v>
      </c>
      <c r="J618" s="95">
        <v>0.20466077923078599</v>
      </c>
      <c r="K618" s="137">
        <v>0.73571428571428599</v>
      </c>
      <c r="L618" s="137">
        <v>0.75</v>
      </c>
      <c r="M618" s="137">
        <v>0.71428571428571397</v>
      </c>
      <c r="N618" s="136">
        <v>1</v>
      </c>
      <c r="O618" s="154">
        <v>43231</v>
      </c>
      <c r="P618" s="98">
        <f t="shared" si="53"/>
        <v>0</v>
      </c>
      <c r="Q618" s="111">
        <v>7.65</v>
      </c>
      <c r="R618" s="111">
        <v>0</v>
      </c>
      <c r="S618" s="111">
        <v>0</v>
      </c>
      <c r="T618" s="112" t="s">
        <v>48</v>
      </c>
      <c r="U618" s="137" t="s">
        <v>1027</v>
      </c>
      <c r="V618" s="137" t="s">
        <v>1028</v>
      </c>
      <c r="W618" s="69">
        <v>141</v>
      </c>
      <c r="X618" s="69">
        <v>1</v>
      </c>
      <c r="Y618" s="69">
        <v>4</v>
      </c>
      <c r="Z618"/>
      <c r="AA618" t="s">
        <v>4512</v>
      </c>
      <c r="AB618" t="s">
        <v>4791</v>
      </c>
      <c r="AC618" t="s">
        <v>4515</v>
      </c>
      <c r="AD618" t="s">
        <v>4617</v>
      </c>
      <c r="AE618" t="s">
        <v>223</v>
      </c>
      <c r="AF618" t="s">
        <v>4600</v>
      </c>
      <c r="AG618" t="s">
        <v>223</v>
      </c>
      <c r="AH618" t="s">
        <v>4600</v>
      </c>
      <c r="AI618" t="s">
        <v>4515</v>
      </c>
      <c r="AJ618" t="s">
        <v>4617</v>
      </c>
      <c r="AK618" t="s">
        <v>4518</v>
      </c>
      <c r="AL618" t="s">
        <v>4552</v>
      </c>
      <c r="AM618" t="s">
        <v>4510</v>
      </c>
      <c r="AN618" t="s">
        <v>4553</v>
      </c>
      <c r="AO618" s="132">
        <v>105.737201365188</v>
      </c>
      <c r="AP618" s="133">
        <v>119.90909090909101</v>
      </c>
      <c r="AQ618" s="65">
        <v>0.321678321678322</v>
      </c>
      <c r="AR618" s="65">
        <v>1.2622377622377601</v>
      </c>
      <c r="AS618" s="65">
        <v>7.6153846153846096</v>
      </c>
    </row>
    <row r="619" spans="1:50" s="65" customFormat="1" ht="91">
      <c r="A619">
        <v>354</v>
      </c>
      <c r="B619" s="69" t="s">
        <v>589</v>
      </c>
      <c r="C619" s="69" t="s">
        <v>45</v>
      </c>
      <c r="D619" s="31">
        <f t="shared" si="51"/>
        <v>4</v>
      </c>
      <c r="E619" s="69" t="s">
        <v>80</v>
      </c>
      <c r="F619" s="31">
        <f t="shared" si="52"/>
        <v>4</v>
      </c>
      <c r="G619" s="147" t="s">
        <v>159</v>
      </c>
      <c r="H619" s="138">
        <v>62</v>
      </c>
      <c r="I619" s="92">
        <f t="shared" si="50"/>
        <v>0.49546863160388199</v>
      </c>
      <c r="J619" s="95">
        <v>0.165937263207764</v>
      </c>
      <c r="K619" s="137">
        <v>0.78071428571428603</v>
      </c>
      <c r="L619" s="137">
        <v>0.82499999999999996</v>
      </c>
      <c r="M619" s="137">
        <v>0.71428571428571397</v>
      </c>
      <c r="N619" s="136">
        <v>1</v>
      </c>
      <c r="O619" s="155">
        <v>43231</v>
      </c>
      <c r="P619" s="98">
        <f t="shared" si="53"/>
        <v>0</v>
      </c>
      <c r="Q619" s="111">
        <v>2.5499999999999998</v>
      </c>
      <c r="R619" s="111">
        <v>4.95</v>
      </c>
      <c r="S619" s="111">
        <v>3.74</v>
      </c>
      <c r="T619" s="112" t="s">
        <v>48</v>
      </c>
      <c r="U619" s="147" t="s">
        <v>1029</v>
      </c>
      <c r="V619" s="136" t="s">
        <v>1030</v>
      </c>
      <c r="W619" s="69">
        <v>121</v>
      </c>
      <c r="X619" s="171">
        <v>1</v>
      </c>
      <c r="Y619" s="171">
        <v>4</v>
      </c>
      <c r="Z619"/>
      <c r="AA619" t="s">
        <v>4556</v>
      </c>
      <c r="AB619" t="s">
        <v>87</v>
      </c>
      <c r="AC619" t="s">
        <v>4513</v>
      </c>
      <c r="AD619" t="s">
        <v>4801</v>
      </c>
      <c r="AE619" t="s">
        <v>4515</v>
      </c>
      <c r="AF619" t="s">
        <v>4762</v>
      </c>
      <c r="AG619" t="s">
        <v>223</v>
      </c>
      <c r="AH619" t="s">
        <v>4768</v>
      </c>
      <c r="AI619" t="s">
        <v>4515</v>
      </c>
      <c r="AJ619" t="s">
        <v>4762</v>
      </c>
      <c r="AK619" t="s">
        <v>4519</v>
      </c>
      <c r="AL619" t="s">
        <v>4519</v>
      </c>
      <c r="AM619" t="s">
        <v>4528</v>
      </c>
      <c r="AN619" t="s">
        <v>4529</v>
      </c>
      <c r="AO619" s="132">
        <v>105.80341880341901</v>
      </c>
      <c r="AP619" s="133">
        <v>119.90909090909101</v>
      </c>
      <c r="AQ619" s="65">
        <v>0.321678321678322</v>
      </c>
      <c r="AR619" s="65">
        <v>1.2622377622377601</v>
      </c>
      <c r="AS619" s="65">
        <v>7.6153846153846096</v>
      </c>
    </row>
    <row r="620" spans="1:50" s="69" customFormat="1" ht="196">
      <c r="A620">
        <v>931</v>
      </c>
      <c r="B620" s="69" t="s">
        <v>2510</v>
      </c>
      <c r="C620" s="69" t="s">
        <v>45</v>
      </c>
      <c r="D620" s="31">
        <f t="shared" si="51"/>
        <v>4</v>
      </c>
      <c r="E620" s="69" t="s">
        <v>80</v>
      </c>
      <c r="F620" s="31">
        <f t="shared" si="52"/>
        <v>4</v>
      </c>
      <c r="G620" s="169" t="s">
        <v>2538</v>
      </c>
      <c r="H620" s="138">
        <v>96</v>
      </c>
      <c r="I620" s="92">
        <f t="shared" si="50"/>
        <v>0.41683362808742652</v>
      </c>
      <c r="J620" s="95">
        <v>0.21383254543105101</v>
      </c>
      <c r="K620" s="137">
        <v>0.771900826446281</v>
      </c>
      <c r="L620" s="137">
        <v>0.61983471074380203</v>
      </c>
      <c r="M620" s="137">
        <v>1</v>
      </c>
      <c r="N620" s="136">
        <v>1</v>
      </c>
      <c r="O620" s="154">
        <v>43230</v>
      </c>
      <c r="P620" s="98">
        <f t="shared" si="53"/>
        <v>0</v>
      </c>
      <c r="Q620" s="111">
        <v>7.65</v>
      </c>
      <c r="R620" s="111">
        <v>0</v>
      </c>
      <c r="S620" s="111">
        <v>0</v>
      </c>
      <c r="T620" s="112" t="s">
        <v>48</v>
      </c>
      <c r="U620" s="147" t="s">
        <v>2539</v>
      </c>
      <c r="V620" s="137" t="s">
        <v>4441</v>
      </c>
      <c r="W620" s="69">
        <v>288</v>
      </c>
      <c r="X620" s="171">
        <v>1</v>
      </c>
      <c r="Y620" s="171">
        <v>0</v>
      </c>
      <c r="AA620" t="s">
        <v>4872</v>
      </c>
      <c r="AB620" t="s">
        <v>51</v>
      </c>
      <c r="AC620" t="s">
        <v>4515</v>
      </c>
      <c r="AD620" t="s">
        <v>4774</v>
      </c>
      <c r="AE620" t="s">
        <v>4931</v>
      </c>
      <c r="AF620" t="s">
        <v>4961</v>
      </c>
      <c r="AG620" t="s">
        <v>4515</v>
      </c>
      <c r="AH620" t="s">
        <v>4774</v>
      </c>
      <c r="AI620" t="s">
        <v>4515</v>
      </c>
      <c r="AJ620" t="s">
        <v>4774</v>
      </c>
      <c r="AK620" t="s">
        <v>4518</v>
      </c>
      <c r="AL620" t="s">
        <v>4541</v>
      </c>
      <c r="AM620" t="s">
        <v>4510</v>
      </c>
      <c r="AN620" t="s">
        <v>4610</v>
      </c>
      <c r="AO620" s="134">
        <v>105.893835616438</v>
      </c>
      <c r="AP620" s="135">
        <v>118.4</v>
      </c>
      <c r="AQ620">
        <v>0.32566371681415901</v>
      </c>
      <c r="AR620" s="136">
        <v>1.26371681415929</v>
      </c>
      <c r="AS620">
        <v>7.6973451327433597</v>
      </c>
      <c r="AU620"/>
      <c r="AV620"/>
      <c r="AW620"/>
      <c r="AX620"/>
    </row>
    <row r="621" spans="1:50" s="69" customFormat="1" ht="91">
      <c r="A621">
        <v>519</v>
      </c>
      <c r="B621" s="69" t="s">
        <v>1222</v>
      </c>
      <c r="C621" s="69" t="s">
        <v>45</v>
      </c>
      <c r="D621" s="31">
        <f t="shared" si="51"/>
        <v>4</v>
      </c>
      <c r="E621" s="69" t="s">
        <v>80</v>
      </c>
      <c r="F621" s="31">
        <f t="shared" si="52"/>
        <v>4</v>
      </c>
      <c r="G621" s="196" t="s">
        <v>1465</v>
      </c>
      <c r="H621" s="138">
        <v>65</v>
      </c>
      <c r="I621" s="92">
        <f t="shared" si="50"/>
        <v>0.4648537769061315</v>
      </c>
      <c r="J621" s="95">
        <v>0.179707553812263</v>
      </c>
      <c r="K621" s="137">
        <v>0.72222468700001197</v>
      </c>
      <c r="L621" s="137">
        <v>0.75</v>
      </c>
      <c r="M621" s="137">
        <v>0.68056171750003003</v>
      </c>
      <c r="N621" s="136">
        <v>1</v>
      </c>
      <c r="O621" s="154">
        <v>43230</v>
      </c>
      <c r="P621" s="98">
        <f t="shared" si="53"/>
        <v>0</v>
      </c>
      <c r="Q621" s="111">
        <v>7.65</v>
      </c>
      <c r="R621" s="111">
        <v>1.65</v>
      </c>
      <c r="S621" s="111">
        <v>0</v>
      </c>
      <c r="T621" s="112" t="s">
        <v>48</v>
      </c>
      <c r="U621" s="147" t="s">
        <v>1466</v>
      </c>
      <c r="V621" s="137" t="s">
        <v>1467</v>
      </c>
      <c r="W621" s="69">
        <v>141</v>
      </c>
      <c r="X621" s="188">
        <v>1</v>
      </c>
      <c r="Y621" s="188">
        <v>5</v>
      </c>
      <c r="Z621"/>
      <c r="AA621" t="s">
        <v>4628</v>
      </c>
      <c r="AB621" t="s">
        <v>4791</v>
      </c>
      <c r="AC621" t="s">
        <v>4515</v>
      </c>
      <c r="AD621" t="s">
        <v>4617</v>
      </c>
      <c r="AE621" t="s">
        <v>223</v>
      </c>
      <c r="AF621" t="s">
        <v>4600</v>
      </c>
      <c r="AG621" t="s">
        <v>223</v>
      </c>
      <c r="AH621" t="s">
        <v>4600</v>
      </c>
      <c r="AI621" t="s">
        <v>4515</v>
      </c>
      <c r="AJ621" t="s">
        <v>4617</v>
      </c>
      <c r="AK621" t="s">
        <v>4518</v>
      </c>
      <c r="AL621" t="s">
        <v>4541</v>
      </c>
      <c r="AM621" t="s">
        <v>4510</v>
      </c>
      <c r="AN621" t="s">
        <v>4610</v>
      </c>
      <c r="AO621" s="134">
        <v>105.96397941681001</v>
      </c>
      <c r="AP621" s="135">
        <v>118.4</v>
      </c>
      <c r="AQ621">
        <v>0.32566371681415901</v>
      </c>
      <c r="AR621" s="136">
        <v>1.26371681415929</v>
      </c>
      <c r="AS621">
        <v>7.6973451327433597</v>
      </c>
      <c r="AU621"/>
      <c r="AV621"/>
      <c r="AW621"/>
      <c r="AX621"/>
    </row>
    <row r="622" spans="1:50" s="69" customFormat="1" ht="181">
      <c r="A622" s="65">
        <v>44</v>
      </c>
      <c r="B622" s="136" t="s">
        <v>170</v>
      </c>
      <c r="C622" s="136" t="s">
        <v>45</v>
      </c>
      <c r="D622" s="31">
        <f t="shared" si="51"/>
        <v>4</v>
      </c>
      <c r="E622" s="136" t="s">
        <v>80</v>
      </c>
      <c r="F622" s="31">
        <f t="shared" si="52"/>
        <v>4</v>
      </c>
      <c r="G622" s="196" t="s">
        <v>180</v>
      </c>
      <c r="H622" s="138">
        <v>53</v>
      </c>
      <c r="I622" s="92">
        <f t="shared" si="50"/>
        <v>0.41253500135092125</v>
      </c>
      <c r="J622" s="95">
        <v>7.0002701842541995E-5</v>
      </c>
      <c r="K622" s="137">
        <v>0.68896849854491504</v>
      </c>
      <c r="L622" s="137">
        <v>0.82499999999999996</v>
      </c>
      <c r="M622" s="137">
        <v>0.48492124636228701</v>
      </c>
      <c r="N622" s="136">
        <v>1</v>
      </c>
      <c r="O622" s="154">
        <v>43230</v>
      </c>
      <c r="P622" s="98">
        <f t="shared" si="53"/>
        <v>0</v>
      </c>
      <c r="Q622" s="113">
        <v>2.5499999999999998</v>
      </c>
      <c r="R622" s="113">
        <v>0</v>
      </c>
      <c r="S622" s="113">
        <v>0</v>
      </c>
      <c r="T622" s="114" t="s">
        <v>48</v>
      </c>
      <c r="U622" s="136" t="s">
        <v>181</v>
      </c>
      <c r="V622" s="136" t="s">
        <v>182</v>
      </c>
      <c r="W622" s="69">
        <v>254</v>
      </c>
      <c r="X622" s="189">
        <v>1</v>
      </c>
      <c r="Y622" s="189">
        <v>13</v>
      </c>
      <c r="Z622"/>
      <c r="AA622" t="s">
        <v>4522</v>
      </c>
      <c r="AB622" t="s">
        <v>51</v>
      </c>
      <c r="AC622" t="s">
        <v>4513</v>
      </c>
      <c r="AD622" t="s">
        <v>4860</v>
      </c>
      <c r="AE622" t="s">
        <v>4580</v>
      </c>
      <c r="AF622" t="s">
        <v>4962</v>
      </c>
      <c r="AG622" t="s">
        <v>4515</v>
      </c>
      <c r="AH622" t="s">
        <v>4963</v>
      </c>
      <c r="AI622" t="s">
        <v>4530</v>
      </c>
      <c r="AJ622" t="s">
        <v>4964</v>
      </c>
      <c r="AK622" t="s">
        <v>4518</v>
      </c>
      <c r="AL622" t="s">
        <v>4519</v>
      </c>
      <c r="AM622" t="s">
        <v>4510</v>
      </c>
      <c r="AN622" t="s">
        <v>4523</v>
      </c>
      <c r="AO622" s="134">
        <v>106.06529209622001</v>
      </c>
      <c r="AP622" s="135">
        <v>118.4</v>
      </c>
      <c r="AQ622">
        <v>0.32566371681415901</v>
      </c>
      <c r="AR622" s="136">
        <v>1.26371681415929</v>
      </c>
      <c r="AS622">
        <v>7.6973451327433597</v>
      </c>
      <c r="AU622"/>
      <c r="AV622"/>
      <c r="AW622"/>
      <c r="AX622"/>
    </row>
    <row r="623" spans="1:50" s="69" customFormat="1" ht="91">
      <c r="A623">
        <v>594</v>
      </c>
      <c r="B623" s="69" t="s">
        <v>1628</v>
      </c>
      <c r="C623" s="69" t="s">
        <v>45</v>
      </c>
      <c r="D623" s="31">
        <f t="shared" si="51"/>
        <v>4</v>
      </c>
      <c r="E623" s="69" t="s">
        <v>80</v>
      </c>
      <c r="F623" s="31">
        <f t="shared" si="52"/>
        <v>4</v>
      </c>
      <c r="G623" s="196" t="s">
        <v>200</v>
      </c>
      <c r="H623" s="138">
        <v>47</v>
      </c>
      <c r="I623" s="92">
        <f t="shared" si="50"/>
        <v>0.375006009908042</v>
      </c>
      <c r="J623" s="95">
        <v>1.2019816084007899E-5</v>
      </c>
      <c r="K623" s="137">
        <v>0.79285714285714304</v>
      </c>
      <c r="L623" s="137">
        <v>0.75</v>
      </c>
      <c r="M623" s="137">
        <v>0.85714285714285698</v>
      </c>
      <c r="N623" s="136">
        <v>1</v>
      </c>
      <c r="O623" s="154">
        <v>43230</v>
      </c>
      <c r="P623" s="98">
        <f t="shared" si="53"/>
        <v>0</v>
      </c>
      <c r="Q623" s="111">
        <v>2.5499999999999998</v>
      </c>
      <c r="R623" s="111">
        <v>1.65</v>
      </c>
      <c r="S623" s="111">
        <v>1.87</v>
      </c>
      <c r="T623" s="112" t="s">
        <v>48</v>
      </c>
      <c r="U623" s="137" t="s">
        <v>1660</v>
      </c>
      <c r="V623" s="137" t="s">
        <v>1661</v>
      </c>
      <c r="W623" s="69">
        <v>121</v>
      </c>
      <c r="X623" s="195">
        <v>1</v>
      </c>
      <c r="Y623" s="195">
        <v>1</v>
      </c>
      <c r="Z623"/>
      <c r="AA623" t="s">
        <v>4522</v>
      </c>
      <c r="AB623" t="s">
        <v>4827</v>
      </c>
      <c r="AC623" t="s">
        <v>4515</v>
      </c>
      <c r="AD623" t="s">
        <v>4750</v>
      </c>
      <c r="AE623" t="s">
        <v>4515</v>
      </c>
      <c r="AF623" t="s">
        <v>4750</v>
      </c>
      <c r="AG623" t="s">
        <v>223</v>
      </c>
      <c r="AH623" t="s">
        <v>4681</v>
      </c>
      <c r="AI623" t="s">
        <v>4515</v>
      </c>
      <c r="AJ623" t="s">
        <v>4750</v>
      </c>
      <c r="AK623" t="s">
        <v>4518</v>
      </c>
      <c r="AL623" t="s">
        <v>4519</v>
      </c>
      <c r="AM623" t="s">
        <v>4520</v>
      </c>
      <c r="AN623" t="s">
        <v>4521</v>
      </c>
      <c r="AO623" s="134">
        <v>106.082616179002</v>
      </c>
      <c r="AP623" s="135">
        <v>118.4</v>
      </c>
      <c r="AQ623">
        <v>0.32566371681415901</v>
      </c>
      <c r="AR623" s="136">
        <v>1.26371681415929</v>
      </c>
      <c r="AS623">
        <v>7.6973451327433597</v>
      </c>
      <c r="AU623"/>
      <c r="AV623"/>
      <c r="AW623"/>
      <c r="AX623"/>
    </row>
    <row r="624" spans="1:50" s="69" customFormat="1" ht="61">
      <c r="A624">
        <v>670</v>
      </c>
      <c r="B624" s="69" t="s">
        <v>1790</v>
      </c>
      <c r="C624" s="69" t="s">
        <v>59</v>
      </c>
      <c r="D624" s="31">
        <f t="shared" si="51"/>
        <v>5</v>
      </c>
      <c r="E624" s="69" t="s">
        <v>80</v>
      </c>
      <c r="F624" s="31">
        <f t="shared" si="52"/>
        <v>4</v>
      </c>
      <c r="G624" s="137" t="s">
        <v>1840</v>
      </c>
      <c r="H624" s="138">
        <v>57</v>
      </c>
      <c r="I624" s="92">
        <f t="shared" si="50"/>
        <v>0.51358059610489348</v>
      </c>
      <c r="J624" s="95">
        <v>0.34534301039160498</v>
      </c>
      <c r="K624" s="137">
        <v>0.66912006664615598</v>
      </c>
      <c r="L624" s="137">
        <v>0.68181818181818199</v>
      </c>
      <c r="M624" s="137">
        <v>0.65007289388811795</v>
      </c>
      <c r="N624" s="136">
        <v>1</v>
      </c>
      <c r="O624" s="154">
        <v>43229</v>
      </c>
      <c r="P624" s="98">
        <f t="shared" si="53"/>
        <v>1</v>
      </c>
      <c r="Q624" s="111">
        <v>0</v>
      </c>
      <c r="R624" s="111">
        <v>0</v>
      </c>
      <c r="S624" s="111">
        <v>1.87</v>
      </c>
      <c r="T624" s="112" t="s">
        <v>73</v>
      </c>
      <c r="U624" s="147" t="s">
        <v>1841</v>
      </c>
      <c r="V624" s="137" t="s">
        <v>1842</v>
      </c>
      <c r="W624" s="69">
        <v>78</v>
      </c>
      <c r="X624" s="147">
        <v>3</v>
      </c>
      <c r="Y624" s="147">
        <v>6</v>
      </c>
      <c r="AA624" t="s">
        <v>4564</v>
      </c>
      <c r="AB624" t="s">
        <v>51</v>
      </c>
      <c r="AC624" t="s">
        <v>223</v>
      </c>
      <c r="AD624" t="s">
        <v>4635</v>
      </c>
      <c r="AE624" t="s">
        <v>4515</v>
      </c>
      <c r="AF624" t="s">
        <v>4813</v>
      </c>
      <c r="AG624" t="s">
        <v>223</v>
      </c>
      <c r="AH624" t="s">
        <v>4635</v>
      </c>
      <c r="AI624" t="s">
        <v>4353</v>
      </c>
      <c r="AJ624" t="s">
        <v>4506</v>
      </c>
      <c r="AK624" t="s">
        <v>4519</v>
      </c>
      <c r="AL624" t="s">
        <v>4519</v>
      </c>
      <c r="AM624" t="s">
        <v>4528</v>
      </c>
      <c r="AN624" t="s">
        <v>4529</v>
      </c>
      <c r="AO624" s="134">
        <v>106.05689655172399</v>
      </c>
      <c r="AP624" s="135">
        <v>118.51063829787201</v>
      </c>
      <c r="AQ624">
        <v>0.32446808510638298</v>
      </c>
      <c r="AR624" s="136">
        <v>1.2641843971631199</v>
      </c>
      <c r="AS624">
        <v>7.6790780141843999</v>
      </c>
      <c r="AU624"/>
      <c r="AV624"/>
      <c r="AW624"/>
      <c r="AX624"/>
    </row>
    <row r="625" spans="1:50" s="69" customFormat="1" ht="286">
      <c r="A625" s="65">
        <v>520</v>
      </c>
      <c r="B625" s="69" t="s">
        <v>1222</v>
      </c>
      <c r="C625" s="69" t="s">
        <v>45</v>
      </c>
      <c r="D625" s="31">
        <f t="shared" si="51"/>
        <v>4</v>
      </c>
      <c r="E625" s="69" t="s">
        <v>46</v>
      </c>
      <c r="F625" s="31">
        <f t="shared" si="52"/>
        <v>6</v>
      </c>
      <c r="G625" s="137" t="s">
        <v>1468</v>
      </c>
      <c r="H625" s="138">
        <v>512</v>
      </c>
      <c r="I625" s="92">
        <f t="shared" si="50"/>
        <v>0.39664404723316349</v>
      </c>
      <c r="J625" s="95">
        <v>0.22980199379014399</v>
      </c>
      <c r="K625" s="137">
        <v>0.65727945684153299</v>
      </c>
      <c r="L625" s="137">
        <v>0.56348610067618299</v>
      </c>
      <c r="M625" s="137">
        <v>0.79796949108955795</v>
      </c>
      <c r="N625" s="136">
        <v>1</v>
      </c>
      <c r="O625" s="154">
        <v>43229</v>
      </c>
      <c r="P625" s="98">
        <f t="shared" si="53"/>
        <v>0</v>
      </c>
      <c r="Q625" s="111">
        <v>7.65</v>
      </c>
      <c r="R625" s="111">
        <v>1.65</v>
      </c>
      <c r="S625" s="111">
        <v>0</v>
      </c>
      <c r="T625" s="112" t="s">
        <v>48</v>
      </c>
      <c r="U625" s="136" t="s">
        <v>4395</v>
      </c>
      <c r="V625" s="137" t="s">
        <v>1470</v>
      </c>
      <c r="W625" s="69">
        <v>120</v>
      </c>
      <c r="X625" s="69">
        <v>1</v>
      </c>
      <c r="Y625" s="69">
        <v>2</v>
      </c>
      <c r="Z625"/>
      <c r="AA625" t="s">
        <v>4632</v>
      </c>
      <c r="AB625" t="s">
        <v>4827</v>
      </c>
      <c r="AC625" t="s">
        <v>4515</v>
      </c>
      <c r="AD625" t="s">
        <v>4750</v>
      </c>
      <c r="AE625" t="s">
        <v>4515</v>
      </c>
      <c r="AF625" t="s">
        <v>4750</v>
      </c>
      <c r="AG625" t="s">
        <v>223</v>
      </c>
      <c r="AH625" t="s">
        <v>4681</v>
      </c>
      <c r="AI625" t="s">
        <v>4515</v>
      </c>
      <c r="AJ625" t="s">
        <v>4750</v>
      </c>
      <c r="AK625" t="s">
        <v>4518</v>
      </c>
      <c r="AL625" t="s">
        <v>4552</v>
      </c>
      <c r="AM625" t="s">
        <v>4562</v>
      </c>
      <c r="AN625" t="s">
        <v>4855</v>
      </c>
      <c r="AO625" s="134">
        <v>105.355785837651</v>
      </c>
      <c r="AP625" s="135">
        <v>118.51063829787201</v>
      </c>
      <c r="AQ625">
        <v>0.32446808510638298</v>
      </c>
      <c r="AR625" s="136">
        <v>1.2641843971631199</v>
      </c>
      <c r="AS625">
        <v>7.6790780141843999</v>
      </c>
      <c r="AU625"/>
      <c r="AV625"/>
      <c r="AW625"/>
      <c r="AX625"/>
    </row>
    <row r="626" spans="1:50" s="69" customFormat="1" ht="196">
      <c r="A626">
        <v>934</v>
      </c>
      <c r="B626" s="69" t="s">
        <v>2510</v>
      </c>
      <c r="C626" s="69" t="s">
        <v>45</v>
      </c>
      <c r="D626" s="31">
        <f t="shared" si="51"/>
        <v>4</v>
      </c>
      <c r="E626" s="69" t="s">
        <v>80</v>
      </c>
      <c r="F626" s="31">
        <f t="shared" si="52"/>
        <v>4</v>
      </c>
      <c r="G626" s="196" t="s">
        <v>200</v>
      </c>
      <c r="H626" s="138">
        <v>47</v>
      </c>
      <c r="I626" s="92">
        <f t="shared" si="50"/>
        <v>0.39442299954844806</v>
      </c>
      <c r="J626" s="95">
        <v>3.8845999096896101E-2</v>
      </c>
      <c r="K626" s="137">
        <v>0.79285714285714304</v>
      </c>
      <c r="L626" s="137">
        <v>0.75</v>
      </c>
      <c r="M626" s="137">
        <v>0.85714285714285698</v>
      </c>
      <c r="N626" s="136">
        <v>1</v>
      </c>
      <c r="O626" s="154">
        <v>43229</v>
      </c>
      <c r="P626" s="98">
        <f t="shared" si="53"/>
        <v>0</v>
      </c>
      <c r="Q626" s="111">
        <v>0</v>
      </c>
      <c r="R626" s="111">
        <v>1.65</v>
      </c>
      <c r="S626" s="111">
        <v>0</v>
      </c>
      <c r="T626" s="112" t="s">
        <v>48</v>
      </c>
      <c r="U626" s="137" t="s">
        <v>2544</v>
      </c>
      <c r="V626" s="137" t="s">
        <v>4442</v>
      </c>
      <c r="W626" s="69">
        <v>288</v>
      </c>
      <c r="X626" s="195">
        <v>1</v>
      </c>
      <c r="Y626" s="195">
        <v>1</v>
      </c>
      <c r="AA626" t="s">
        <v>4522</v>
      </c>
      <c r="AB626" t="s">
        <v>51</v>
      </c>
      <c r="AC626" t="s">
        <v>4515</v>
      </c>
      <c r="AD626" t="s">
        <v>4774</v>
      </c>
      <c r="AE626" t="s">
        <v>4931</v>
      </c>
      <c r="AF626" t="s">
        <v>4961</v>
      </c>
      <c r="AG626" t="s">
        <v>4515</v>
      </c>
      <c r="AH626" t="s">
        <v>4774</v>
      </c>
      <c r="AI626" t="s">
        <v>4515</v>
      </c>
      <c r="AJ626" t="s">
        <v>4774</v>
      </c>
      <c r="AK626" t="s">
        <v>4518</v>
      </c>
      <c r="AL626" t="s">
        <v>4519</v>
      </c>
      <c r="AM626" t="s">
        <v>4520</v>
      </c>
      <c r="AN626" t="s">
        <v>4521</v>
      </c>
      <c r="AO626" s="134">
        <v>105.43598615917</v>
      </c>
      <c r="AP626" s="135">
        <v>118.51063829787201</v>
      </c>
      <c r="AQ626">
        <v>0.32446808510638298</v>
      </c>
      <c r="AR626" s="136">
        <v>1.2641843971631199</v>
      </c>
      <c r="AS626">
        <v>7.6790780141843999</v>
      </c>
      <c r="AU626"/>
      <c r="AV626"/>
      <c r="AW626"/>
      <c r="AX626"/>
    </row>
    <row r="627" spans="1:50" s="69" customFormat="1" ht="196">
      <c r="A627" s="65">
        <v>932</v>
      </c>
      <c r="B627" s="69" t="s">
        <v>2510</v>
      </c>
      <c r="C627" s="69" t="s">
        <v>45</v>
      </c>
      <c r="D627" s="31">
        <f t="shared" si="51"/>
        <v>4</v>
      </c>
      <c r="E627" s="69" t="s">
        <v>80</v>
      </c>
      <c r="F627" s="31">
        <f t="shared" si="52"/>
        <v>4</v>
      </c>
      <c r="G627" s="137" t="s">
        <v>2541</v>
      </c>
      <c r="H627" s="138">
        <v>105</v>
      </c>
      <c r="I627" s="92">
        <f t="shared" si="50"/>
        <v>0.37799987271902202</v>
      </c>
      <c r="J627" s="95">
        <v>5.9997454380440497E-3</v>
      </c>
      <c r="K627" s="137">
        <v>0.79285714285714304</v>
      </c>
      <c r="L627" s="137">
        <v>0.75</v>
      </c>
      <c r="M627" s="137">
        <v>0.85714285714285698</v>
      </c>
      <c r="N627" s="136">
        <v>1</v>
      </c>
      <c r="O627" s="154">
        <v>43229</v>
      </c>
      <c r="P627" s="98">
        <f t="shared" si="53"/>
        <v>0</v>
      </c>
      <c r="Q627" s="111">
        <v>2.5499999999999998</v>
      </c>
      <c r="R627" s="111">
        <v>3.3</v>
      </c>
      <c r="S627" s="111">
        <v>1.87</v>
      </c>
      <c r="T627" s="112" t="s">
        <v>48</v>
      </c>
      <c r="U627" s="188" t="s">
        <v>2542</v>
      </c>
      <c r="V627" s="137" t="s">
        <v>4441</v>
      </c>
      <c r="W627" s="69">
        <v>288</v>
      </c>
      <c r="X627" s="195">
        <v>1</v>
      </c>
      <c r="Y627" s="195">
        <v>1</v>
      </c>
      <c r="AA627" t="s">
        <v>4522</v>
      </c>
      <c r="AB627" t="s">
        <v>51</v>
      </c>
      <c r="AC627" t="s">
        <v>4515</v>
      </c>
      <c r="AD627" t="s">
        <v>4774</v>
      </c>
      <c r="AE627" t="s">
        <v>4931</v>
      </c>
      <c r="AF627" t="s">
        <v>4961</v>
      </c>
      <c r="AG627" t="s">
        <v>4515</v>
      </c>
      <c r="AH627" t="s">
        <v>4774</v>
      </c>
      <c r="AI627" t="s">
        <v>4515</v>
      </c>
      <c r="AJ627" t="s">
        <v>4774</v>
      </c>
      <c r="AK627" t="s">
        <v>4518</v>
      </c>
      <c r="AL627" t="s">
        <v>4519</v>
      </c>
      <c r="AM627" t="s">
        <v>4510</v>
      </c>
      <c r="AN627" t="s">
        <v>4523</v>
      </c>
      <c r="AO627" s="134">
        <v>105.51993067591</v>
      </c>
      <c r="AP627" s="135">
        <v>118.51063829787201</v>
      </c>
      <c r="AQ627">
        <v>0.32446808510638298</v>
      </c>
      <c r="AR627" s="136">
        <v>1.2641843971631199</v>
      </c>
      <c r="AS627">
        <v>7.6790780141843999</v>
      </c>
      <c r="AU627"/>
      <c r="AV627"/>
      <c r="AW627"/>
      <c r="AX627"/>
    </row>
    <row r="628" spans="1:50" s="69" customFormat="1" ht="91">
      <c r="A628" s="65">
        <v>521</v>
      </c>
      <c r="B628" s="69" t="s">
        <v>1222</v>
      </c>
      <c r="C628" s="69" t="s">
        <v>45</v>
      </c>
      <c r="D628" s="31">
        <f t="shared" si="51"/>
        <v>4</v>
      </c>
      <c r="E628" s="69" t="s">
        <v>80</v>
      </c>
      <c r="F628" s="31">
        <f t="shared" si="52"/>
        <v>4</v>
      </c>
      <c r="G628" s="169" t="s">
        <v>200</v>
      </c>
      <c r="H628" s="138">
        <v>59</v>
      </c>
      <c r="I628" s="92">
        <f t="shared" si="50"/>
        <v>0.37676917732911136</v>
      </c>
      <c r="J628" s="95">
        <v>3.5383546582227199E-3</v>
      </c>
      <c r="K628" s="137">
        <v>0.76918779643582302</v>
      </c>
      <c r="L628" s="137">
        <v>0.75</v>
      </c>
      <c r="M628" s="137">
        <v>0.79796949108955795</v>
      </c>
      <c r="N628" s="136">
        <v>1</v>
      </c>
      <c r="O628" s="154">
        <v>43229</v>
      </c>
      <c r="P628" s="98">
        <f t="shared" si="53"/>
        <v>0</v>
      </c>
      <c r="Q628" s="111">
        <v>5.0999999999999996</v>
      </c>
      <c r="R628" s="111">
        <v>0</v>
      </c>
      <c r="S628" s="111">
        <v>0</v>
      </c>
      <c r="T628" s="112" t="s">
        <v>48</v>
      </c>
      <c r="U628" s="147" t="s">
        <v>1471</v>
      </c>
      <c r="V628" s="137" t="s">
        <v>1470</v>
      </c>
      <c r="W628" s="69">
        <v>120</v>
      </c>
      <c r="X628" s="171">
        <v>1</v>
      </c>
      <c r="Y628" s="171">
        <v>2</v>
      </c>
      <c r="Z628"/>
      <c r="AA628" t="s">
        <v>4512</v>
      </c>
      <c r="AB628" t="s">
        <v>4827</v>
      </c>
      <c r="AC628" t="s">
        <v>4515</v>
      </c>
      <c r="AD628" t="s">
        <v>4750</v>
      </c>
      <c r="AE628" t="s">
        <v>4515</v>
      </c>
      <c r="AF628" t="s">
        <v>4750</v>
      </c>
      <c r="AG628" t="s">
        <v>223</v>
      </c>
      <c r="AH628" t="s">
        <v>4681</v>
      </c>
      <c r="AI628" t="s">
        <v>4515</v>
      </c>
      <c r="AJ628" t="s">
        <v>4750</v>
      </c>
      <c r="AK628" t="s">
        <v>4519</v>
      </c>
      <c r="AL628" t="s">
        <v>4519</v>
      </c>
      <c r="AM628" t="s">
        <v>4510</v>
      </c>
      <c r="AN628" t="s">
        <v>4550</v>
      </c>
      <c r="AO628" s="134">
        <v>105.520833333333</v>
      </c>
      <c r="AP628" s="135">
        <v>118.51063829787201</v>
      </c>
      <c r="AQ628">
        <v>0.32446808510638298</v>
      </c>
      <c r="AR628" s="136">
        <v>1.2641843971631199</v>
      </c>
      <c r="AS628">
        <v>7.6790780141843999</v>
      </c>
      <c r="AU628"/>
      <c r="AV628"/>
      <c r="AW628"/>
      <c r="AX628"/>
    </row>
    <row r="629" spans="1:50" s="69" customFormat="1" ht="196">
      <c r="A629" s="65">
        <v>933</v>
      </c>
      <c r="B629" s="69" t="s">
        <v>2510</v>
      </c>
      <c r="C629" s="69" t="s">
        <v>45</v>
      </c>
      <c r="D629" s="31">
        <f t="shared" si="51"/>
        <v>4</v>
      </c>
      <c r="E629" s="69" t="s">
        <v>80</v>
      </c>
      <c r="F629" s="31">
        <f t="shared" si="52"/>
        <v>4</v>
      </c>
      <c r="G629" s="136" t="s">
        <v>439</v>
      </c>
      <c r="H629" s="138">
        <v>35</v>
      </c>
      <c r="I629" s="92">
        <f t="shared" si="50"/>
        <v>0.37541415901944813</v>
      </c>
      <c r="J629" s="95">
        <v>8.2831803889626997E-4</v>
      </c>
      <c r="K629" s="137">
        <v>0.79285714285714304</v>
      </c>
      <c r="L629" s="137">
        <v>0.75</v>
      </c>
      <c r="M629" s="137">
        <v>0.85714285714285698</v>
      </c>
      <c r="N629" s="136">
        <v>1</v>
      </c>
      <c r="O629" s="154">
        <v>43229</v>
      </c>
      <c r="P629" s="98">
        <f t="shared" si="53"/>
        <v>0</v>
      </c>
      <c r="Q629" s="111">
        <v>0</v>
      </c>
      <c r="R629" s="111">
        <v>0</v>
      </c>
      <c r="S629" s="111">
        <v>0</v>
      </c>
      <c r="T629" s="112" t="s">
        <v>48</v>
      </c>
      <c r="U629" s="169" t="s">
        <v>2543</v>
      </c>
      <c r="V629" s="137" t="s">
        <v>4441</v>
      </c>
      <c r="W629" s="69">
        <v>288</v>
      </c>
      <c r="X629" s="69">
        <v>1</v>
      </c>
      <c r="Y629" s="69">
        <v>1</v>
      </c>
      <c r="AA629" t="s">
        <v>4564</v>
      </c>
      <c r="AB629" t="s">
        <v>51</v>
      </c>
      <c r="AC629" t="s">
        <v>4515</v>
      </c>
      <c r="AD629" t="s">
        <v>4774</v>
      </c>
      <c r="AE629" t="s">
        <v>4931</v>
      </c>
      <c r="AF629" t="s">
        <v>4961</v>
      </c>
      <c r="AG629" t="s">
        <v>4515</v>
      </c>
      <c r="AH629" t="s">
        <v>4774</v>
      </c>
      <c r="AI629" t="s">
        <v>4515</v>
      </c>
      <c r="AJ629" t="s">
        <v>4774</v>
      </c>
      <c r="AK629" t="s">
        <v>4519</v>
      </c>
      <c r="AL629" t="s">
        <v>4519</v>
      </c>
      <c r="AM629" t="s">
        <v>4510</v>
      </c>
      <c r="AN629" t="s">
        <v>4550</v>
      </c>
      <c r="AO629" s="134">
        <v>105.64347826087</v>
      </c>
      <c r="AP629" s="135">
        <v>118.51063829787201</v>
      </c>
      <c r="AQ629">
        <v>0.32446808510638298</v>
      </c>
      <c r="AR629" s="136">
        <v>1.2641843971631199</v>
      </c>
      <c r="AS629">
        <v>7.6790780141843999</v>
      </c>
      <c r="AU629"/>
      <c r="AV629"/>
      <c r="AW629"/>
      <c r="AX629"/>
    </row>
    <row r="630" spans="1:50" s="69" customFormat="1" ht="91">
      <c r="A630">
        <v>90</v>
      </c>
      <c r="B630" s="69" t="s">
        <v>217</v>
      </c>
      <c r="C630" s="69" t="s">
        <v>59</v>
      </c>
      <c r="D630" s="31">
        <f t="shared" si="51"/>
        <v>5</v>
      </c>
      <c r="E630" s="69" t="s">
        <v>46</v>
      </c>
      <c r="F630" s="31">
        <f t="shared" si="52"/>
        <v>6</v>
      </c>
      <c r="G630" s="137" t="s">
        <v>317</v>
      </c>
      <c r="H630" s="138">
        <v>121</v>
      </c>
      <c r="I630" s="92">
        <f t="shared" si="50"/>
        <v>0.28209274503732013</v>
      </c>
      <c r="J630" s="95">
        <v>6.99389398457262E-4</v>
      </c>
      <c r="K630" s="137">
        <v>0.68094880326285301</v>
      </c>
      <c r="L630" s="137">
        <v>0.56348610067618299</v>
      </c>
      <c r="M630" s="137">
        <v>0.85714285714285698</v>
      </c>
      <c r="N630" s="136">
        <v>1</v>
      </c>
      <c r="O630" s="154">
        <v>43229</v>
      </c>
      <c r="P630" s="98">
        <f t="shared" si="53"/>
        <v>1</v>
      </c>
      <c r="Q630" s="111">
        <v>7.65</v>
      </c>
      <c r="R630" s="111">
        <v>0</v>
      </c>
      <c r="S630" s="111">
        <v>0</v>
      </c>
      <c r="T630" s="112" t="s">
        <v>73</v>
      </c>
      <c r="U630" s="137" t="s">
        <v>318</v>
      </c>
      <c r="V630" s="137" t="s">
        <v>319</v>
      </c>
      <c r="W630" s="69">
        <v>132</v>
      </c>
      <c r="X630" s="69">
        <v>2</v>
      </c>
      <c r="Y630" s="69">
        <v>1</v>
      </c>
      <c r="Z630"/>
      <c r="AA630" t="s">
        <v>4543</v>
      </c>
      <c r="AB630" t="s">
        <v>71</v>
      </c>
      <c r="AC630" t="s">
        <v>4353</v>
      </c>
      <c r="AD630" t="s">
        <v>4506</v>
      </c>
      <c r="AE630" t="s">
        <v>4353</v>
      </c>
      <c r="AF630" t="s">
        <v>4506</v>
      </c>
      <c r="AG630" t="s">
        <v>223</v>
      </c>
      <c r="AH630" t="s">
        <v>4675</v>
      </c>
      <c r="AI630" t="s">
        <v>4353</v>
      </c>
      <c r="AJ630" t="s">
        <v>4506</v>
      </c>
      <c r="AK630" t="s">
        <v>4519</v>
      </c>
      <c r="AL630" t="s">
        <v>4519</v>
      </c>
      <c r="AM630" t="s">
        <v>4562</v>
      </c>
      <c r="AN630" t="s">
        <v>4563</v>
      </c>
      <c r="AO630" s="134">
        <v>105.74564459930301</v>
      </c>
      <c r="AP630" s="135">
        <v>118.51063829787201</v>
      </c>
      <c r="AQ630">
        <v>0.32446808510638298</v>
      </c>
      <c r="AR630" s="136">
        <v>1.2641843971631199</v>
      </c>
      <c r="AS630">
        <v>7.6790780141843999</v>
      </c>
      <c r="AU630"/>
      <c r="AV630"/>
      <c r="AW630"/>
      <c r="AX630"/>
    </row>
    <row r="631" spans="1:50" s="69" customFormat="1" ht="196">
      <c r="A631">
        <v>935</v>
      </c>
      <c r="B631" s="69" t="s">
        <v>2510</v>
      </c>
      <c r="C631" s="69" t="s">
        <v>45</v>
      </c>
      <c r="D631" s="31">
        <f t="shared" si="51"/>
        <v>4</v>
      </c>
      <c r="E631" s="69" t="s">
        <v>80</v>
      </c>
      <c r="F631" s="31">
        <f t="shared" si="52"/>
        <v>4</v>
      </c>
      <c r="G631" s="196" t="s">
        <v>439</v>
      </c>
      <c r="H631" s="138">
        <v>51</v>
      </c>
      <c r="I631" s="92">
        <f t="shared" si="50"/>
        <v>0.34100726322892166</v>
      </c>
      <c r="J631" s="95">
        <v>1.96344639661339E-4</v>
      </c>
      <c r="K631" s="137">
        <v>0.75194805194805203</v>
      </c>
      <c r="L631" s="137">
        <v>0.68181818181818199</v>
      </c>
      <c r="M631" s="137">
        <v>0.85714285714285698</v>
      </c>
      <c r="N631" s="136">
        <v>1</v>
      </c>
      <c r="O631" s="154">
        <v>43229</v>
      </c>
      <c r="P631" s="98">
        <f t="shared" si="53"/>
        <v>0</v>
      </c>
      <c r="Q631" s="107">
        <v>2.5499999999999998</v>
      </c>
      <c r="R631" s="107">
        <v>3.3</v>
      </c>
      <c r="S631" s="107">
        <v>3.74</v>
      </c>
      <c r="T631" s="108" t="s">
        <v>48</v>
      </c>
      <c r="U631" s="188" t="s">
        <v>2546</v>
      </c>
      <c r="V631" s="137" t="s">
        <v>4443</v>
      </c>
      <c r="W631" s="69">
        <v>288</v>
      </c>
      <c r="X631" s="195">
        <v>1</v>
      </c>
      <c r="Y631" s="195">
        <v>1</v>
      </c>
      <c r="AA631" t="s">
        <v>4522</v>
      </c>
      <c r="AB631" t="s">
        <v>51</v>
      </c>
      <c r="AC631" t="s">
        <v>4515</v>
      </c>
      <c r="AD631" t="s">
        <v>4774</v>
      </c>
      <c r="AE631" t="s">
        <v>4931</v>
      </c>
      <c r="AF631" t="s">
        <v>4961</v>
      </c>
      <c r="AG631" t="s">
        <v>4515</v>
      </c>
      <c r="AH631" t="s">
        <v>4774</v>
      </c>
      <c r="AI631" t="s">
        <v>4515</v>
      </c>
      <c r="AJ631" t="s">
        <v>4774</v>
      </c>
      <c r="AK631" t="s">
        <v>4519</v>
      </c>
      <c r="AL631" t="s">
        <v>4519</v>
      </c>
      <c r="AM631" t="s">
        <v>4510</v>
      </c>
      <c r="AN631" t="s">
        <v>4550</v>
      </c>
      <c r="AO631" s="134">
        <v>105.841186736475</v>
      </c>
      <c r="AP631" s="135">
        <v>118.51063829787201</v>
      </c>
      <c r="AQ631">
        <v>0.32446808510638298</v>
      </c>
      <c r="AR631" s="136">
        <v>1.2641843971631199</v>
      </c>
      <c r="AS631">
        <v>7.6790780141843999</v>
      </c>
      <c r="AU631"/>
      <c r="AV631"/>
      <c r="AW631"/>
      <c r="AX631"/>
    </row>
    <row r="632" spans="1:50" s="69" customFormat="1" ht="91">
      <c r="A632" s="65">
        <v>732</v>
      </c>
      <c r="B632" s="69" t="s">
        <v>1989</v>
      </c>
      <c r="C632" s="69" t="s">
        <v>45</v>
      </c>
      <c r="D632" s="31">
        <f t="shared" si="51"/>
        <v>4</v>
      </c>
      <c r="E632" s="69" t="s">
        <v>46</v>
      </c>
      <c r="F632" s="31">
        <f t="shared" si="52"/>
        <v>6</v>
      </c>
      <c r="G632" s="169" t="s">
        <v>2007</v>
      </c>
      <c r="H632" s="138">
        <v>116</v>
      </c>
      <c r="I632" s="92">
        <f t="shared" si="50"/>
        <v>0.34093866885035923</v>
      </c>
      <c r="J632" s="95">
        <v>5.9155882536465699E-5</v>
      </c>
      <c r="K632" s="137">
        <v>0.72827870552673202</v>
      </c>
      <c r="L632" s="137">
        <v>0.68181818181818199</v>
      </c>
      <c r="M632" s="137">
        <v>0.79796949108955795</v>
      </c>
      <c r="N632" s="136">
        <v>0</v>
      </c>
      <c r="O632" s="194">
        <v>43228</v>
      </c>
      <c r="P632" s="98">
        <f t="shared" si="53"/>
        <v>0</v>
      </c>
      <c r="Q632" s="111">
        <v>2.5499999999999998</v>
      </c>
      <c r="R632" s="111">
        <v>4.95</v>
      </c>
      <c r="S632" s="111">
        <v>0</v>
      </c>
      <c r="T632" s="112" t="s">
        <v>48</v>
      </c>
      <c r="U632" s="147" t="s">
        <v>2008</v>
      </c>
      <c r="V632" s="137" t="s">
        <v>2009</v>
      </c>
      <c r="W632" s="69">
        <v>120</v>
      </c>
      <c r="X632" s="69">
        <v>1</v>
      </c>
      <c r="Y632" s="69">
        <v>2</v>
      </c>
      <c r="AA632" t="s">
        <v>4543</v>
      </c>
      <c r="AB632" t="s">
        <v>4827</v>
      </c>
      <c r="AC632" t="s">
        <v>4515</v>
      </c>
      <c r="AD632" t="s">
        <v>4750</v>
      </c>
      <c r="AE632" t="s">
        <v>4515</v>
      </c>
      <c r="AF632" t="s">
        <v>4750</v>
      </c>
      <c r="AG632" t="s">
        <v>223</v>
      </c>
      <c r="AH632" t="s">
        <v>4681</v>
      </c>
      <c r="AI632" t="s">
        <v>4515</v>
      </c>
      <c r="AJ632" t="s">
        <v>4750</v>
      </c>
      <c r="AK632" t="s">
        <v>4519</v>
      </c>
      <c r="AL632" t="s">
        <v>4519</v>
      </c>
      <c r="AM632" t="s">
        <v>4528</v>
      </c>
      <c r="AN632" t="s">
        <v>4529</v>
      </c>
      <c r="AO632" s="134">
        <v>105.823426573427</v>
      </c>
      <c r="AP632" s="135">
        <v>118.710714285714</v>
      </c>
      <c r="AQ632">
        <v>0.32500000000000001</v>
      </c>
      <c r="AR632" s="136">
        <v>1.2660714285714301</v>
      </c>
      <c r="AS632">
        <v>7.7107142857142899</v>
      </c>
      <c r="AU632"/>
      <c r="AV632"/>
      <c r="AW632"/>
      <c r="AX632"/>
    </row>
    <row r="633" spans="1:50" s="69" customFormat="1" ht="256">
      <c r="A633">
        <v>998</v>
      </c>
      <c r="B633" s="69" t="s">
        <v>2638</v>
      </c>
      <c r="C633" s="69" t="s">
        <v>45</v>
      </c>
      <c r="D633" s="31">
        <f t="shared" si="51"/>
        <v>4</v>
      </c>
      <c r="E633" s="69" t="s">
        <v>80</v>
      </c>
      <c r="F633" s="31">
        <f t="shared" si="52"/>
        <v>4</v>
      </c>
      <c r="G633" s="139" t="s">
        <v>2704</v>
      </c>
      <c r="H633" s="138">
        <v>146</v>
      </c>
      <c r="I633" s="92">
        <f t="shared" si="50"/>
        <v>0.37511496763327606</v>
      </c>
      <c r="J633" s="95">
        <v>2.2993526655212801E-4</v>
      </c>
      <c r="K633" s="137">
        <v>0.53701568142561895</v>
      </c>
      <c r="L633" s="137">
        <v>0.75</v>
      </c>
      <c r="M633" s="137">
        <v>0.21753920356404799</v>
      </c>
      <c r="N633" s="136">
        <v>1</v>
      </c>
      <c r="O633" s="157">
        <v>43227</v>
      </c>
      <c r="P633" s="98">
        <f t="shared" si="53"/>
        <v>2</v>
      </c>
      <c r="Q633" s="124">
        <v>0</v>
      </c>
      <c r="R633" s="124">
        <v>0</v>
      </c>
      <c r="S633" s="124">
        <v>0</v>
      </c>
      <c r="T633" s="125" t="s">
        <v>64</v>
      </c>
      <c r="U633" s="89" t="s">
        <v>2705</v>
      </c>
      <c r="V633" s="172" t="s">
        <v>4449</v>
      </c>
      <c r="W633" s="69">
        <v>384</v>
      </c>
      <c r="X633" s="69">
        <v>3</v>
      </c>
      <c r="Y633" s="69">
        <v>30</v>
      </c>
      <c r="AA633" t="s">
        <v>4564</v>
      </c>
      <c r="AB633" t="s">
        <v>51</v>
      </c>
      <c r="AC633" t="s">
        <v>223</v>
      </c>
      <c r="AD633" t="s">
        <v>4965</v>
      </c>
      <c r="AE633" t="s">
        <v>4530</v>
      </c>
      <c r="AF633" t="s">
        <v>4966</v>
      </c>
      <c r="AG633" t="s">
        <v>4513</v>
      </c>
      <c r="AH633" t="s">
        <v>4967</v>
      </c>
      <c r="AI633" t="s">
        <v>4353</v>
      </c>
      <c r="AJ633" t="s">
        <v>4506</v>
      </c>
      <c r="AK633" t="s">
        <v>4519</v>
      </c>
      <c r="AL633" t="s">
        <v>4552</v>
      </c>
      <c r="AM633" t="s">
        <v>4510</v>
      </c>
      <c r="AN633" t="s">
        <v>4634</v>
      </c>
      <c r="AO633" s="134">
        <v>105.753064798599</v>
      </c>
      <c r="AP633" s="135">
        <v>118.801075268817</v>
      </c>
      <c r="AQ633">
        <v>0.324372759856631</v>
      </c>
      <c r="AR633" s="136">
        <v>1.26702508960573</v>
      </c>
      <c r="AS633">
        <v>7.7222222222222197</v>
      </c>
      <c r="AU633"/>
      <c r="AV633"/>
      <c r="AW633"/>
      <c r="AX633"/>
    </row>
    <row r="634" spans="1:50" s="69" customFormat="1" ht="136">
      <c r="A634" s="65">
        <v>45</v>
      </c>
      <c r="B634" s="136" t="s">
        <v>170</v>
      </c>
      <c r="C634" s="136" t="s">
        <v>45</v>
      </c>
      <c r="D634" s="31">
        <f t="shared" si="51"/>
        <v>4</v>
      </c>
      <c r="E634" s="136" t="s">
        <v>80</v>
      </c>
      <c r="F634" s="31">
        <f t="shared" si="52"/>
        <v>4</v>
      </c>
      <c r="G634" s="152" t="s">
        <v>183</v>
      </c>
      <c r="H634" s="138">
        <v>239</v>
      </c>
      <c r="I634" s="92">
        <f t="shared" si="50"/>
        <v>0.46858554054704549</v>
      </c>
      <c r="J634" s="95">
        <v>0.31733637035029</v>
      </c>
      <c r="K634" s="137">
        <v>0.61027641931792698</v>
      </c>
      <c r="L634" s="137">
        <v>0.61983471074380103</v>
      </c>
      <c r="M634" s="137">
        <v>0.59593898217911601</v>
      </c>
      <c r="N634" s="136">
        <v>1</v>
      </c>
      <c r="O634" s="154">
        <v>43226</v>
      </c>
      <c r="P634" s="98">
        <f t="shared" si="53"/>
        <v>0</v>
      </c>
      <c r="Q634" s="113">
        <v>5.0999999999999996</v>
      </c>
      <c r="R634" s="113">
        <v>1.65</v>
      </c>
      <c r="S634" s="113">
        <v>0</v>
      </c>
      <c r="T634" s="114" t="s">
        <v>48</v>
      </c>
      <c r="U634" s="189" t="s">
        <v>184</v>
      </c>
      <c r="V634" s="136" t="s">
        <v>185</v>
      </c>
      <c r="W634" s="69">
        <v>101</v>
      </c>
      <c r="X634" s="189">
        <v>1</v>
      </c>
      <c r="Y634" s="189">
        <v>8</v>
      </c>
      <c r="Z634"/>
      <c r="AA634" t="s">
        <v>4968</v>
      </c>
      <c r="AB634" t="s">
        <v>51</v>
      </c>
      <c r="AC634" t="s">
        <v>4515</v>
      </c>
      <c r="AD634" t="s">
        <v>4781</v>
      </c>
      <c r="AE634" t="s">
        <v>4513</v>
      </c>
      <c r="AF634" t="s">
        <v>4724</v>
      </c>
      <c r="AG634" t="s">
        <v>223</v>
      </c>
      <c r="AH634" t="s">
        <v>4615</v>
      </c>
      <c r="AI634" t="s">
        <v>4353</v>
      </c>
      <c r="AJ634" t="s">
        <v>4506</v>
      </c>
      <c r="AK634" t="s">
        <v>4518</v>
      </c>
      <c r="AL634" t="s">
        <v>4552</v>
      </c>
      <c r="AM634" t="s">
        <v>4520</v>
      </c>
      <c r="AN634" t="s">
        <v>4621</v>
      </c>
      <c r="AO634" s="134">
        <v>105.519298245614</v>
      </c>
      <c r="AP634" s="135">
        <v>118.801075268817</v>
      </c>
      <c r="AQ634">
        <v>0.324372759856631</v>
      </c>
      <c r="AR634" s="136">
        <v>1.26702508960573</v>
      </c>
      <c r="AS634">
        <v>7.7222222222222197</v>
      </c>
      <c r="AU634"/>
      <c r="AV634"/>
      <c r="AW634"/>
      <c r="AX634"/>
    </row>
    <row r="635" spans="1:50" s="69" customFormat="1" ht="106">
      <c r="A635" s="65">
        <v>1028</v>
      </c>
      <c r="B635" s="69" t="s">
        <v>2752</v>
      </c>
      <c r="C635" s="69" t="s">
        <v>45</v>
      </c>
      <c r="D635" s="31">
        <f t="shared" si="51"/>
        <v>4</v>
      </c>
      <c r="E635" s="69" t="s">
        <v>80</v>
      </c>
      <c r="F635" s="31">
        <f t="shared" si="52"/>
        <v>4</v>
      </c>
      <c r="G635" s="191" t="s">
        <v>200</v>
      </c>
      <c r="H635" s="138">
        <v>86</v>
      </c>
      <c r="I635" s="92">
        <f t="shared" si="50"/>
        <v>0.36092741446442811</v>
      </c>
      <c r="J635" s="95">
        <v>4.0036647110674201E-2</v>
      </c>
      <c r="K635" s="137">
        <v>0.72827870552673202</v>
      </c>
      <c r="L635" s="137">
        <v>0.68181818181818199</v>
      </c>
      <c r="M635" s="137">
        <v>0.79796949108955795</v>
      </c>
      <c r="N635" s="136">
        <v>1</v>
      </c>
      <c r="O635" s="157">
        <v>43226</v>
      </c>
      <c r="P635" s="98">
        <f t="shared" si="53"/>
        <v>0</v>
      </c>
      <c r="Q635" s="113">
        <v>5.0999999999999996</v>
      </c>
      <c r="R635" s="113">
        <v>1.65</v>
      </c>
      <c r="S635" s="113">
        <v>0</v>
      </c>
      <c r="T635" s="119" t="s">
        <v>48</v>
      </c>
      <c r="U635" s="89" t="s">
        <v>2791</v>
      </c>
      <c r="V635" s="172" t="s">
        <v>2792</v>
      </c>
      <c r="W635" s="69">
        <v>138</v>
      </c>
      <c r="X635" s="171">
        <v>1</v>
      </c>
      <c r="Y635" s="171">
        <v>2</v>
      </c>
      <c r="AA635" t="s">
        <v>4522</v>
      </c>
      <c r="AB635" t="s">
        <v>87</v>
      </c>
      <c r="AC635" t="s">
        <v>4513</v>
      </c>
      <c r="AD635" t="s">
        <v>4809</v>
      </c>
      <c r="AE635" t="s">
        <v>223</v>
      </c>
      <c r="AF635" t="s">
        <v>4710</v>
      </c>
      <c r="AG635" t="s">
        <v>223</v>
      </c>
      <c r="AH635" t="s">
        <v>4710</v>
      </c>
      <c r="AI635" t="s">
        <v>4515</v>
      </c>
      <c r="AJ635" t="s">
        <v>4568</v>
      </c>
      <c r="AK635" t="s">
        <v>4518</v>
      </c>
      <c r="AL635" t="s">
        <v>4552</v>
      </c>
      <c r="AM635" t="s">
        <v>4520</v>
      </c>
      <c r="AN635" t="s">
        <v>4621</v>
      </c>
      <c r="AO635" s="134">
        <v>105.553602811951</v>
      </c>
      <c r="AP635" s="135">
        <v>118.801075268817</v>
      </c>
      <c r="AQ635">
        <v>0.324372759856631</v>
      </c>
      <c r="AR635" s="136">
        <v>1.26702508960573</v>
      </c>
      <c r="AS635">
        <v>7.7222222222222197</v>
      </c>
      <c r="AU635"/>
      <c r="AV635"/>
      <c r="AW635"/>
      <c r="AX635"/>
    </row>
    <row r="636" spans="1:50" s="69" customFormat="1" ht="91">
      <c r="A636" s="65">
        <v>1064</v>
      </c>
      <c r="B636" s="69" t="s">
        <v>2833</v>
      </c>
      <c r="C636" s="69" t="s">
        <v>45</v>
      </c>
      <c r="D636" s="31">
        <f t="shared" si="51"/>
        <v>4</v>
      </c>
      <c r="E636" s="69" t="s">
        <v>80</v>
      </c>
      <c r="F636" s="31">
        <f t="shared" si="52"/>
        <v>4</v>
      </c>
      <c r="G636" s="191" t="s">
        <v>2891</v>
      </c>
      <c r="H636" s="138">
        <v>47</v>
      </c>
      <c r="I636" s="92">
        <f t="shared" si="50"/>
        <v>0.44088592394577164</v>
      </c>
      <c r="J636" s="95">
        <v>5.6771847891543298E-2</v>
      </c>
      <c r="K636" s="137">
        <v>0.79602566813892095</v>
      </c>
      <c r="L636" s="137">
        <v>0.82499999999999996</v>
      </c>
      <c r="M636" s="137">
        <v>0.75256417034730305</v>
      </c>
      <c r="N636" s="136">
        <v>1</v>
      </c>
      <c r="O636" s="157">
        <v>43225</v>
      </c>
      <c r="P636" s="98">
        <f t="shared" si="53"/>
        <v>0</v>
      </c>
      <c r="Q636" s="113">
        <v>2.5499999999999998</v>
      </c>
      <c r="R636" s="113">
        <v>3.3</v>
      </c>
      <c r="S636" s="113">
        <v>0</v>
      </c>
      <c r="T636" s="119" t="s">
        <v>48</v>
      </c>
      <c r="U636" s="89" t="s">
        <v>2892</v>
      </c>
      <c r="V636" s="172" t="s">
        <v>2893</v>
      </c>
      <c r="W636" s="69">
        <v>116</v>
      </c>
      <c r="X636" s="171">
        <v>1</v>
      </c>
      <c r="Y636" s="171">
        <v>3</v>
      </c>
      <c r="AA636" t="s">
        <v>4653</v>
      </c>
      <c r="AB636" t="s">
        <v>87</v>
      </c>
      <c r="AC636" t="s">
        <v>4513</v>
      </c>
      <c r="AD636" t="s">
        <v>4876</v>
      </c>
      <c r="AE636" t="s">
        <v>223</v>
      </c>
      <c r="AF636" t="s">
        <v>4841</v>
      </c>
      <c r="AG636" t="s">
        <v>223</v>
      </c>
      <c r="AH636" t="s">
        <v>4841</v>
      </c>
      <c r="AI636" t="s">
        <v>4515</v>
      </c>
      <c r="AJ636" t="s">
        <v>4842</v>
      </c>
      <c r="AK636" t="s">
        <v>4518</v>
      </c>
      <c r="AL636" t="s">
        <v>4519</v>
      </c>
      <c r="AM636" t="s">
        <v>4510</v>
      </c>
      <c r="AN636" t="s">
        <v>4523</v>
      </c>
      <c r="AO636" s="134">
        <v>105.547535211268</v>
      </c>
      <c r="AP636" s="135">
        <v>118.801075268817</v>
      </c>
      <c r="AQ636">
        <v>0.324372759856631</v>
      </c>
      <c r="AR636" s="136">
        <v>1.26702508960573</v>
      </c>
      <c r="AS636">
        <v>7.7222222222222197</v>
      </c>
      <c r="AU636"/>
      <c r="AV636"/>
      <c r="AW636"/>
      <c r="AX636"/>
    </row>
    <row r="637" spans="1:50" s="69" customFormat="1" ht="76">
      <c r="A637">
        <v>91</v>
      </c>
      <c r="B637" s="69" t="s">
        <v>217</v>
      </c>
      <c r="C637" s="69" t="s">
        <v>45</v>
      </c>
      <c r="D637" s="31">
        <f t="shared" si="51"/>
        <v>4</v>
      </c>
      <c r="E637" s="69" t="s">
        <v>80</v>
      </c>
      <c r="F637" s="31">
        <f t="shared" si="52"/>
        <v>4</v>
      </c>
      <c r="G637" s="209" t="s">
        <v>320</v>
      </c>
      <c r="H637" s="138">
        <v>109</v>
      </c>
      <c r="I637" s="92">
        <f t="shared" si="50"/>
        <v>0.3750008473039399</v>
      </c>
      <c r="J637" s="95">
        <v>1.6946078797985801E-6</v>
      </c>
      <c r="K637" s="137">
        <v>0.75102566813892102</v>
      </c>
      <c r="L637" s="137">
        <v>0.75</v>
      </c>
      <c r="M637" s="137">
        <v>0.75256417034730305</v>
      </c>
      <c r="N637" s="136">
        <v>1</v>
      </c>
      <c r="O637" s="154">
        <v>43225</v>
      </c>
      <c r="P637" s="98">
        <f t="shared" si="53"/>
        <v>0</v>
      </c>
      <c r="Q637" s="111">
        <v>2.5499999999999998</v>
      </c>
      <c r="R637" s="111">
        <v>3.3</v>
      </c>
      <c r="S637" s="111">
        <v>0</v>
      </c>
      <c r="T637" s="112" t="s">
        <v>48</v>
      </c>
      <c r="U637" s="137" t="s">
        <v>321</v>
      </c>
      <c r="V637" s="137" t="s">
        <v>322</v>
      </c>
      <c r="W637" s="69">
        <v>92</v>
      </c>
      <c r="X637" s="171">
        <v>2</v>
      </c>
      <c r="Y637" s="171">
        <v>3</v>
      </c>
      <c r="Z637"/>
      <c r="AA637" t="s">
        <v>4857</v>
      </c>
      <c r="AB637" t="s">
        <v>4594</v>
      </c>
      <c r="AC637" t="s">
        <v>4515</v>
      </c>
      <c r="AD637" t="s">
        <v>4554</v>
      </c>
      <c r="AE637" t="s">
        <v>4515</v>
      </c>
      <c r="AF637" t="s">
        <v>4554</v>
      </c>
      <c r="AG637" t="s">
        <v>4353</v>
      </c>
      <c r="AH637" t="s">
        <v>4506</v>
      </c>
      <c r="AI637" t="s">
        <v>4353</v>
      </c>
      <c r="AJ637" t="s">
        <v>4506</v>
      </c>
      <c r="AK637" t="s">
        <v>4519</v>
      </c>
      <c r="AL637" t="s">
        <v>4519</v>
      </c>
      <c r="AM637" t="s">
        <v>4510</v>
      </c>
      <c r="AN637" t="s">
        <v>4550</v>
      </c>
      <c r="AO637" s="134">
        <v>105.650793650794</v>
      </c>
      <c r="AP637" s="135">
        <v>118.801075268817</v>
      </c>
      <c r="AQ637">
        <v>0.324372759856631</v>
      </c>
      <c r="AR637" s="136">
        <v>1.26702508960573</v>
      </c>
      <c r="AS637">
        <v>7.7222222222222197</v>
      </c>
      <c r="AU637"/>
      <c r="AV637"/>
      <c r="AW637"/>
      <c r="AX637"/>
    </row>
    <row r="638" spans="1:50" s="69" customFormat="1" ht="76">
      <c r="A638">
        <v>522</v>
      </c>
      <c r="B638" s="69" t="s">
        <v>1222</v>
      </c>
      <c r="C638" s="69" t="s">
        <v>45</v>
      </c>
      <c r="D638" s="31">
        <f t="shared" si="51"/>
        <v>4</v>
      </c>
      <c r="E638" s="69" t="s">
        <v>46</v>
      </c>
      <c r="F638" s="31">
        <f t="shared" si="52"/>
        <v>6</v>
      </c>
      <c r="G638" s="137" t="s">
        <v>1472</v>
      </c>
      <c r="H638" s="138">
        <v>130</v>
      </c>
      <c r="I638" s="92">
        <f t="shared" si="50"/>
        <v>0.41249999999999998</v>
      </c>
      <c r="J638" s="95">
        <v>0</v>
      </c>
      <c r="K638" s="137">
        <v>0.68896849854491504</v>
      </c>
      <c r="L638" s="137">
        <v>0.82499999999999996</v>
      </c>
      <c r="M638" s="137">
        <v>0.48492124636228701</v>
      </c>
      <c r="N638" s="136">
        <v>0</v>
      </c>
      <c r="O638" s="154">
        <v>43224</v>
      </c>
      <c r="P638" s="98">
        <f t="shared" si="53"/>
        <v>0</v>
      </c>
      <c r="Q638" s="111">
        <v>5.0999999999999996</v>
      </c>
      <c r="R638" s="111">
        <v>0</v>
      </c>
      <c r="S638" s="111">
        <v>0</v>
      </c>
      <c r="T638" s="112" t="s">
        <v>48</v>
      </c>
      <c r="U638" s="147" t="s">
        <v>1473</v>
      </c>
      <c r="V638" s="137" t="s">
        <v>1474</v>
      </c>
      <c r="W638" s="69">
        <v>90</v>
      </c>
      <c r="X638" s="171">
        <v>1</v>
      </c>
      <c r="Y638" s="171">
        <v>13</v>
      </c>
      <c r="Z638"/>
      <c r="AA638" t="s">
        <v>4524</v>
      </c>
      <c r="AB638" t="s">
        <v>51</v>
      </c>
      <c r="AC638" t="s">
        <v>223</v>
      </c>
      <c r="AD638" t="s">
        <v>4615</v>
      </c>
      <c r="AE638" t="s">
        <v>4515</v>
      </c>
      <c r="AF638" t="s">
        <v>4781</v>
      </c>
      <c r="AG638" t="s">
        <v>4353</v>
      </c>
      <c r="AH638" t="s">
        <v>4506</v>
      </c>
      <c r="AI638" t="s">
        <v>223</v>
      </c>
      <c r="AJ638" t="s">
        <v>4615</v>
      </c>
      <c r="AK638" t="s">
        <v>4519</v>
      </c>
      <c r="AL638" t="s">
        <v>4552</v>
      </c>
      <c r="AM638" t="s">
        <v>4510</v>
      </c>
      <c r="AN638" t="s">
        <v>4634</v>
      </c>
      <c r="AO638" s="134">
        <v>105.60777385159</v>
      </c>
      <c r="AP638" s="135">
        <v>118.936936936937</v>
      </c>
      <c r="AQ638">
        <v>0.322522522522523</v>
      </c>
      <c r="AR638" s="136">
        <v>1.2684684684684699</v>
      </c>
      <c r="AS638">
        <v>7.71531531531532</v>
      </c>
      <c r="AU638"/>
      <c r="AV638"/>
      <c r="AW638"/>
      <c r="AX638"/>
    </row>
    <row r="639" spans="1:50" s="69" customFormat="1" ht="60">
      <c r="A639" s="65">
        <v>1120</v>
      </c>
      <c r="B639" s="69" t="s">
        <v>3030</v>
      </c>
      <c r="C639" s="69" t="s">
        <v>45</v>
      </c>
      <c r="D639" s="31">
        <f t="shared" si="51"/>
        <v>4</v>
      </c>
      <c r="E639" s="69" t="s">
        <v>46</v>
      </c>
      <c r="F639" s="31">
        <f t="shared" si="52"/>
        <v>6</v>
      </c>
      <c r="G639" s="89" t="s">
        <v>3046</v>
      </c>
      <c r="H639" s="138">
        <v>99</v>
      </c>
      <c r="I639" s="92">
        <f t="shared" si="50"/>
        <v>0.57047833185069252</v>
      </c>
      <c r="J639" s="95">
        <v>0.31595666370138498</v>
      </c>
      <c r="K639" s="137">
        <v>0.76722468700001201</v>
      </c>
      <c r="L639" s="137">
        <v>0.82499999999999996</v>
      </c>
      <c r="M639" s="137">
        <v>0.68056171750003003</v>
      </c>
      <c r="N639" s="136">
        <v>1</v>
      </c>
      <c r="O639" s="204">
        <v>43223</v>
      </c>
      <c r="P639" s="98">
        <f t="shared" si="53"/>
        <v>0</v>
      </c>
      <c r="Q639" s="113">
        <v>0</v>
      </c>
      <c r="R639" s="113">
        <v>1.65</v>
      </c>
      <c r="S639" s="113">
        <v>0</v>
      </c>
      <c r="T639" s="119" t="s">
        <v>48</v>
      </c>
      <c r="U639" s="89" t="s">
        <v>3047</v>
      </c>
      <c r="V639" s="172" t="s">
        <v>3048</v>
      </c>
      <c r="W639" s="69">
        <v>16</v>
      </c>
      <c r="X639" s="69">
        <v>1</v>
      </c>
      <c r="Y639" s="69">
        <v>5</v>
      </c>
      <c r="AA639" t="s">
        <v>4564</v>
      </c>
      <c r="AB639" t="s">
        <v>51</v>
      </c>
      <c r="AC639" t="s">
        <v>4353</v>
      </c>
      <c r="AD639" t="s">
        <v>4506</v>
      </c>
      <c r="AE639" t="s">
        <v>223</v>
      </c>
      <c r="AF639" t="s">
        <v>4677</v>
      </c>
      <c r="AG639" t="s">
        <v>4353</v>
      </c>
      <c r="AH639" t="s">
        <v>4506</v>
      </c>
      <c r="AI639" t="s">
        <v>4353</v>
      </c>
      <c r="AJ639" t="s">
        <v>4506</v>
      </c>
      <c r="AK639" t="s">
        <v>4519</v>
      </c>
      <c r="AL639" t="s">
        <v>4519</v>
      </c>
      <c r="AM639" t="s">
        <v>4528</v>
      </c>
      <c r="AN639" t="s">
        <v>4529</v>
      </c>
      <c r="AO639" s="134">
        <v>105.64424778761099</v>
      </c>
      <c r="AP639" s="135">
        <v>118.69763205828799</v>
      </c>
      <c r="AQ639">
        <v>0.32240437158469898</v>
      </c>
      <c r="AR639" s="136">
        <v>1.2695810564662999</v>
      </c>
      <c r="AS639">
        <v>7.7632058287795997</v>
      </c>
      <c r="AU639"/>
      <c r="AV639"/>
      <c r="AW639"/>
      <c r="AX639"/>
    </row>
    <row r="640" spans="1:50" s="69" customFormat="1" ht="91">
      <c r="A640">
        <v>355</v>
      </c>
      <c r="B640" s="69" t="s">
        <v>589</v>
      </c>
      <c r="C640" s="69" t="s">
        <v>45</v>
      </c>
      <c r="D640" s="31">
        <f t="shared" si="51"/>
        <v>4</v>
      </c>
      <c r="E640" s="69" t="s">
        <v>46</v>
      </c>
      <c r="F640" s="31">
        <f t="shared" si="52"/>
        <v>6</v>
      </c>
      <c r="G640" s="137" t="s">
        <v>1031</v>
      </c>
      <c r="H640" s="138">
        <v>85</v>
      </c>
      <c r="I640" s="92">
        <f t="shared" si="50"/>
        <v>0.34174098324412649</v>
      </c>
      <c r="J640" s="95">
        <v>1.663784670071E-3</v>
      </c>
      <c r="K640" s="137">
        <v>0.603059407635824</v>
      </c>
      <c r="L640" s="137">
        <v>0.68181818181818199</v>
      </c>
      <c r="M640" s="137">
        <v>0.48492124636228701</v>
      </c>
      <c r="N640" s="136">
        <v>1</v>
      </c>
      <c r="O640" s="154">
        <v>43223</v>
      </c>
      <c r="P640" s="98">
        <f t="shared" si="53"/>
        <v>0</v>
      </c>
      <c r="Q640" s="111">
        <v>0</v>
      </c>
      <c r="R640" s="111">
        <v>0</v>
      </c>
      <c r="S640" s="111">
        <v>0</v>
      </c>
      <c r="T640" s="112" t="s">
        <v>48</v>
      </c>
      <c r="U640" s="137" t="s">
        <v>1032</v>
      </c>
      <c r="V640" s="137" t="s">
        <v>1033</v>
      </c>
      <c r="W640" s="69">
        <v>120</v>
      </c>
      <c r="X640" s="147">
        <v>1</v>
      </c>
      <c r="Y640" s="147">
        <v>13</v>
      </c>
      <c r="Z640"/>
      <c r="AA640" t="s">
        <v>4556</v>
      </c>
      <c r="AB640" t="s">
        <v>4827</v>
      </c>
      <c r="AC640" t="s">
        <v>4515</v>
      </c>
      <c r="AD640" t="s">
        <v>4750</v>
      </c>
      <c r="AE640" t="s">
        <v>4515</v>
      </c>
      <c r="AF640" t="s">
        <v>4750</v>
      </c>
      <c r="AG640" t="s">
        <v>223</v>
      </c>
      <c r="AH640" t="s">
        <v>4681</v>
      </c>
      <c r="AI640" t="s">
        <v>4515</v>
      </c>
      <c r="AJ640" t="s">
        <v>4750</v>
      </c>
      <c r="AK640" t="s">
        <v>4518</v>
      </c>
      <c r="AL640" t="s">
        <v>4519</v>
      </c>
      <c r="AM640" t="s">
        <v>4528</v>
      </c>
      <c r="AN640" t="s">
        <v>4624</v>
      </c>
      <c r="AO640" s="134">
        <v>105.75</v>
      </c>
      <c r="AP640" s="135">
        <v>118.69763205828799</v>
      </c>
      <c r="AQ640">
        <v>0.32240437158469898</v>
      </c>
      <c r="AR640" s="136">
        <v>1.2695810564662999</v>
      </c>
      <c r="AS640">
        <v>7.7632058287795997</v>
      </c>
      <c r="AU640"/>
      <c r="AV640"/>
      <c r="AW640"/>
      <c r="AX640"/>
    </row>
    <row r="641" spans="1:50" s="69" customFormat="1" ht="91">
      <c r="A641">
        <v>523</v>
      </c>
      <c r="B641" s="69" t="s">
        <v>1222</v>
      </c>
      <c r="C641" s="69" t="s">
        <v>45</v>
      </c>
      <c r="D641" s="31">
        <f t="shared" si="51"/>
        <v>4</v>
      </c>
      <c r="E641" s="69" t="s">
        <v>80</v>
      </c>
      <c r="F641" s="31">
        <f t="shared" si="52"/>
        <v>4</v>
      </c>
      <c r="G641" s="169" t="s">
        <v>159</v>
      </c>
      <c r="H641" s="138">
        <v>46</v>
      </c>
      <c r="I641" s="92">
        <f t="shared" si="50"/>
        <v>0.41258309641118684</v>
      </c>
      <c r="J641" s="95">
        <v>1.6619282237373401E-4</v>
      </c>
      <c r="K641" s="137">
        <v>0.78071428571428603</v>
      </c>
      <c r="L641" s="137">
        <v>0.82499999999999996</v>
      </c>
      <c r="M641" s="137">
        <v>0.71428571428571397</v>
      </c>
      <c r="N641" s="136">
        <v>1</v>
      </c>
      <c r="O641" s="154">
        <v>43223</v>
      </c>
      <c r="P641" s="98">
        <f t="shared" si="53"/>
        <v>0</v>
      </c>
      <c r="Q641" s="113">
        <v>7.65</v>
      </c>
      <c r="R641" s="113">
        <v>0</v>
      </c>
      <c r="S641" s="113">
        <v>0</v>
      </c>
      <c r="T641" s="114" t="s">
        <v>48</v>
      </c>
      <c r="U641" s="147" t="s">
        <v>1475</v>
      </c>
      <c r="V641" s="137" t="s">
        <v>1476</v>
      </c>
      <c r="W641" s="69">
        <v>120</v>
      </c>
      <c r="X641" s="147">
        <v>1</v>
      </c>
      <c r="Y641" s="147">
        <v>4</v>
      </c>
      <c r="Z641"/>
      <c r="AA641" t="s">
        <v>4556</v>
      </c>
      <c r="AB641" t="s">
        <v>4827</v>
      </c>
      <c r="AC641" t="s">
        <v>4515</v>
      </c>
      <c r="AD641" t="s">
        <v>4750</v>
      </c>
      <c r="AE641" t="s">
        <v>4515</v>
      </c>
      <c r="AF641" t="s">
        <v>4750</v>
      </c>
      <c r="AG641" t="s">
        <v>223</v>
      </c>
      <c r="AH641" t="s">
        <v>4681</v>
      </c>
      <c r="AI641" t="s">
        <v>4515</v>
      </c>
      <c r="AJ641" t="s">
        <v>4750</v>
      </c>
      <c r="AK641" t="s">
        <v>4519</v>
      </c>
      <c r="AL641" t="s">
        <v>4519</v>
      </c>
      <c r="AM641" t="s">
        <v>4528</v>
      </c>
      <c r="AN641" t="s">
        <v>4529</v>
      </c>
      <c r="AO641" s="134">
        <v>105.761989342806</v>
      </c>
      <c r="AP641" s="135">
        <v>118.69763205828799</v>
      </c>
      <c r="AQ641">
        <v>0.32240437158469898</v>
      </c>
      <c r="AR641" s="136">
        <v>1.2695810564662999</v>
      </c>
      <c r="AS641">
        <v>7.7632058287795997</v>
      </c>
      <c r="AU641"/>
      <c r="AV641"/>
      <c r="AW641"/>
      <c r="AX641"/>
    </row>
    <row r="642" spans="1:50" s="69" customFormat="1" ht="151">
      <c r="A642">
        <v>938</v>
      </c>
      <c r="B642" s="69" t="s">
        <v>2510</v>
      </c>
      <c r="C642" s="69" t="s">
        <v>45</v>
      </c>
      <c r="D642" s="31">
        <f t="shared" si="51"/>
        <v>4</v>
      </c>
      <c r="E642" s="69" t="s">
        <v>80</v>
      </c>
      <c r="F642" s="31">
        <f t="shared" si="52"/>
        <v>4</v>
      </c>
      <c r="G642" s="169" t="s">
        <v>159</v>
      </c>
      <c r="H642" s="138">
        <v>46</v>
      </c>
      <c r="I642" s="92">
        <f t="shared" si="50"/>
        <v>0.42737415865314171</v>
      </c>
      <c r="J642" s="95">
        <v>2.9748317306283498E-2</v>
      </c>
      <c r="K642" s="137">
        <v>0.89500000000000002</v>
      </c>
      <c r="L642" s="137">
        <v>0.82499999999999996</v>
      </c>
      <c r="M642" s="137">
        <v>1</v>
      </c>
      <c r="N642" s="136">
        <v>1</v>
      </c>
      <c r="O642" s="154">
        <v>43222</v>
      </c>
      <c r="P642" s="98">
        <f t="shared" si="53"/>
        <v>0</v>
      </c>
      <c r="Q642" s="111">
        <v>0</v>
      </c>
      <c r="R642" s="111">
        <v>1.65</v>
      </c>
      <c r="S642" s="111">
        <v>0</v>
      </c>
      <c r="T642" s="112" t="s">
        <v>48</v>
      </c>
      <c r="U642" s="137" t="s">
        <v>2552</v>
      </c>
      <c r="V642" s="137" t="s">
        <v>2553</v>
      </c>
      <c r="W642" s="69">
        <v>210</v>
      </c>
      <c r="X642" s="69">
        <v>1</v>
      </c>
      <c r="Y642" s="69">
        <v>0</v>
      </c>
      <c r="AA642" t="s">
        <v>4522</v>
      </c>
      <c r="AB642" t="s">
        <v>51</v>
      </c>
      <c r="AC642" t="s">
        <v>4515</v>
      </c>
      <c r="AD642" t="s">
        <v>4606</v>
      </c>
      <c r="AE642" t="s">
        <v>4931</v>
      </c>
      <c r="AF642" t="s">
        <v>4932</v>
      </c>
      <c r="AG642" t="s">
        <v>4515</v>
      </c>
      <c r="AH642" t="s">
        <v>4606</v>
      </c>
      <c r="AI642" t="s">
        <v>4515</v>
      </c>
      <c r="AJ642" t="s">
        <v>4606</v>
      </c>
      <c r="AK642" t="s">
        <v>4518</v>
      </c>
      <c r="AL642" t="s">
        <v>4519</v>
      </c>
      <c r="AM642" t="s">
        <v>4510</v>
      </c>
      <c r="AN642" t="s">
        <v>4523</v>
      </c>
      <c r="AO642" s="134">
        <v>105.743772241993</v>
      </c>
      <c r="AP642" s="135">
        <v>118.031135531136</v>
      </c>
      <c r="AQ642">
        <v>0.32417582417582402</v>
      </c>
      <c r="AR642" s="136">
        <v>1.2710622710622701</v>
      </c>
      <c r="AS642">
        <v>7.8058608058608101</v>
      </c>
      <c r="AU642"/>
      <c r="AV642"/>
      <c r="AW642"/>
      <c r="AX642"/>
    </row>
    <row r="643" spans="1:50" s="69" customFormat="1" ht="151">
      <c r="A643">
        <v>999</v>
      </c>
      <c r="B643" s="69" t="s">
        <v>2638</v>
      </c>
      <c r="C643" s="69" t="s">
        <v>45</v>
      </c>
      <c r="D643" s="31">
        <f t="shared" si="51"/>
        <v>4</v>
      </c>
      <c r="E643" s="69" t="s">
        <v>46</v>
      </c>
      <c r="F643" s="31">
        <f t="shared" si="52"/>
        <v>6</v>
      </c>
      <c r="G643" s="139" t="s">
        <v>2707</v>
      </c>
      <c r="H643" s="138">
        <v>198</v>
      </c>
      <c r="I643" s="92">
        <f t="shared" si="50"/>
        <v>0.2883487362402577</v>
      </c>
      <c r="J643" s="95">
        <v>1.3211371804332401E-2</v>
      </c>
      <c r="K643" s="137">
        <v>0.53206015895062497</v>
      </c>
      <c r="L643" s="137">
        <v>0.56348610067618299</v>
      </c>
      <c r="M643" s="137">
        <v>0.48492124636228701</v>
      </c>
      <c r="N643" s="136">
        <v>1</v>
      </c>
      <c r="O643" s="157">
        <v>43222</v>
      </c>
      <c r="P643" s="98">
        <f t="shared" si="53"/>
        <v>0</v>
      </c>
      <c r="Q643" s="124">
        <v>5.0999999999999996</v>
      </c>
      <c r="R643" s="124">
        <v>0</v>
      </c>
      <c r="S643" s="124">
        <v>0</v>
      </c>
      <c r="T643" s="125" t="s">
        <v>48</v>
      </c>
      <c r="U643" s="136" t="s">
        <v>4450</v>
      </c>
      <c r="V643" s="172" t="s">
        <v>2709</v>
      </c>
      <c r="W643" s="69">
        <v>67</v>
      </c>
      <c r="X643" s="69">
        <v>2</v>
      </c>
      <c r="Y643" s="69">
        <v>13</v>
      </c>
      <c r="AA643" t="s">
        <v>4757</v>
      </c>
      <c r="AB643" t="s">
        <v>4594</v>
      </c>
      <c r="AC643" t="s">
        <v>4515</v>
      </c>
      <c r="AD643" t="s">
        <v>4561</v>
      </c>
      <c r="AE643" t="s">
        <v>4515</v>
      </c>
      <c r="AF643" t="s">
        <v>4561</v>
      </c>
      <c r="AG643" t="s">
        <v>223</v>
      </c>
      <c r="AH643" t="s">
        <v>4734</v>
      </c>
      <c r="AI643" t="s">
        <v>4353</v>
      </c>
      <c r="AJ643" t="s">
        <v>4506</v>
      </c>
      <c r="AK643" t="s">
        <v>4519</v>
      </c>
      <c r="AL643" t="s">
        <v>4519</v>
      </c>
      <c r="AM643" t="s">
        <v>4528</v>
      </c>
      <c r="AN643" t="s">
        <v>4529</v>
      </c>
      <c r="AO643" s="134">
        <v>105.78966131907301</v>
      </c>
      <c r="AP643" s="135">
        <v>118.031135531136</v>
      </c>
      <c r="AQ643">
        <v>0.32417582417582402</v>
      </c>
      <c r="AR643" s="136">
        <v>1.2710622710622701</v>
      </c>
      <c r="AS643">
        <v>7.8058608058608101</v>
      </c>
      <c r="AU643"/>
      <c r="AV643"/>
      <c r="AW643"/>
      <c r="AX643"/>
    </row>
    <row r="644" spans="1:50" s="69" customFormat="1" ht="181">
      <c r="A644" s="65">
        <v>936</v>
      </c>
      <c r="B644" s="69" t="s">
        <v>2510</v>
      </c>
      <c r="C644" s="69" t="s">
        <v>45</v>
      </c>
      <c r="D644" s="31">
        <f t="shared" si="51"/>
        <v>4</v>
      </c>
      <c r="E644" s="69" t="s">
        <v>80</v>
      </c>
      <c r="F644" s="31">
        <f t="shared" si="52"/>
        <v>4</v>
      </c>
      <c r="G644" s="188" t="s">
        <v>2541</v>
      </c>
      <c r="H644" s="138">
        <v>80</v>
      </c>
      <c r="I644" s="92">
        <f t="shared" ref="I644:I707" si="54">(J644+L644)/2</f>
        <v>0.41250358578859564</v>
      </c>
      <c r="J644" s="95">
        <v>7.1715771913227704E-6</v>
      </c>
      <c r="K644" s="137">
        <v>0.89500000000000002</v>
      </c>
      <c r="L644" s="137">
        <v>0.82499999999999996</v>
      </c>
      <c r="M644" s="137">
        <v>1</v>
      </c>
      <c r="N644" s="136">
        <v>1</v>
      </c>
      <c r="O644" s="154">
        <v>43222</v>
      </c>
      <c r="P644" s="98">
        <f t="shared" si="53"/>
        <v>0</v>
      </c>
      <c r="Q644" s="111">
        <v>7.65</v>
      </c>
      <c r="R644" s="111">
        <v>0</v>
      </c>
      <c r="S644" s="111">
        <v>0</v>
      </c>
      <c r="T644" s="112" t="s">
        <v>48</v>
      </c>
      <c r="U644" s="137" t="s">
        <v>2548</v>
      </c>
      <c r="V644" s="137" t="s">
        <v>2549</v>
      </c>
      <c r="W644" s="69">
        <v>255</v>
      </c>
      <c r="X644" s="195">
        <v>1</v>
      </c>
      <c r="Y644" s="195">
        <v>0</v>
      </c>
      <c r="AA644" t="s">
        <v>4522</v>
      </c>
      <c r="AB644" t="s">
        <v>51</v>
      </c>
      <c r="AC644" t="s">
        <v>4515</v>
      </c>
      <c r="AD644" t="s">
        <v>4776</v>
      </c>
      <c r="AE644" t="s">
        <v>4931</v>
      </c>
      <c r="AF644" t="s">
        <v>4782</v>
      </c>
      <c r="AG644" t="s">
        <v>4515</v>
      </c>
      <c r="AH644" t="s">
        <v>4776</v>
      </c>
      <c r="AI644" t="s">
        <v>4515</v>
      </c>
      <c r="AJ644" t="s">
        <v>4776</v>
      </c>
      <c r="AK644" t="s">
        <v>4519</v>
      </c>
      <c r="AL644" t="s">
        <v>4519</v>
      </c>
      <c r="AM644" t="s">
        <v>4510</v>
      </c>
      <c r="AN644" t="s">
        <v>4550</v>
      </c>
      <c r="AO644" s="134">
        <v>105.6125</v>
      </c>
      <c r="AP644" s="135">
        <v>118.031135531136</v>
      </c>
      <c r="AQ644">
        <v>0.32417582417582402</v>
      </c>
      <c r="AR644" s="136">
        <v>1.2710622710622701</v>
      </c>
      <c r="AS644">
        <v>7.8058608058608101</v>
      </c>
      <c r="AU644"/>
      <c r="AV644"/>
      <c r="AW644"/>
      <c r="AX644"/>
    </row>
    <row r="645" spans="1:50" s="69" customFormat="1" ht="76">
      <c r="A645" s="65">
        <v>92</v>
      </c>
      <c r="B645" s="69" t="s">
        <v>217</v>
      </c>
      <c r="C645" s="69" t="s">
        <v>45</v>
      </c>
      <c r="D645" s="31">
        <f t="shared" si="51"/>
        <v>4</v>
      </c>
      <c r="E645" s="69" t="s">
        <v>80</v>
      </c>
      <c r="F645" s="31">
        <f t="shared" si="52"/>
        <v>4</v>
      </c>
      <c r="G645" s="137" t="s">
        <v>302</v>
      </c>
      <c r="H645" s="138">
        <v>116</v>
      </c>
      <c r="I645" s="92">
        <f t="shared" si="54"/>
        <v>0.37500000063393923</v>
      </c>
      <c r="J645" s="95">
        <v>1.26787846888021E-9</v>
      </c>
      <c r="K645" s="137">
        <v>0.72222468700001197</v>
      </c>
      <c r="L645" s="137">
        <v>0.75</v>
      </c>
      <c r="M645" s="137">
        <v>0.68056171750003003</v>
      </c>
      <c r="N645" s="136">
        <v>1</v>
      </c>
      <c r="O645" s="154">
        <v>43222</v>
      </c>
      <c r="P645" s="98">
        <f t="shared" si="53"/>
        <v>0</v>
      </c>
      <c r="Q645" s="111">
        <v>0</v>
      </c>
      <c r="R645" s="111">
        <v>1.65</v>
      </c>
      <c r="S645" s="111">
        <v>0</v>
      </c>
      <c r="T645" s="112" t="s">
        <v>48</v>
      </c>
      <c r="U645" s="137" t="s">
        <v>323</v>
      </c>
      <c r="V645" s="137" t="s">
        <v>324</v>
      </c>
      <c r="W645" s="69">
        <v>67</v>
      </c>
      <c r="X645" s="69">
        <v>2</v>
      </c>
      <c r="Y645" s="69">
        <v>5</v>
      </c>
      <c r="Z645"/>
      <c r="AA645" t="s">
        <v>4564</v>
      </c>
      <c r="AB645" t="s">
        <v>51</v>
      </c>
      <c r="AC645" t="s">
        <v>223</v>
      </c>
      <c r="AD645" t="s">
        <v>4584</v>
      </c>
      <c r="AE645" t="s">
        <v>4515</v>
      </c>
      <c r="AF645" t="s">
        <v>4517</v>
      </c>
      <c r="AG645" t="s">
        <v>4353</v>
      </c>
      <c r="AH645" t="s">
        <v>4506</v>
      </c>
      <c r="AI645" t="s">
        <v>4353</v>
      </c>
      <c r="AJ645" t="s">
        <v>4506</v>
      </c>
      <c r="AK645" t="s">
        <v>4519</v>
      </c>
      <c r="AL645" t="s">
        <v>4519</v>
      </c>
      <c r="AM645" t="s">
        <v>4510</v>
      </c>
      <c r="AN645" t="s">
        <v>4550</v>
      </c>
      <c r="AO645" s="134">
        <v>105.719141323792</v>
      </c>
      <c r="AP645" s="135">
        <v>118.031135531136</v>
      </c>
      <c r="AQ645">
        <v>0.32417582417582402</v>
      </c>
      <c r="AR645" s="136">
        <v>1.2710622710622701</v>
      </c>
      <c r="AS645">
        <v>7.8058608058608101</v>
      </c>
      <c r="AU645"/>
      <c r="AV645"/>
      <c r="AW645"/>
      <c r="AX645"/>
    </row>
    <row r="646" spans="1:50" s="69" customFormat="1" ht="181">
      <c r="A646" s="65">
        <v>937</v>
      </c>
      <c r="B646" s="69" t="s">
        <v>2510</v>
      </c>
      <c r="C646" s="69" t="s">
        <v>45</v>
      </c>
      <c r="D646" s="31">
        <f t="shared" si="51"/>
        <v>4</v>
      </c>
      <c r="E646" s="69" t="s">
        <v>80</v>
      </c>
      <c r="F646" s="31">
        <f t="shared" si="52"/>
        <v>4</v>
      </c>
      <c r="G646" s="137" t="s">
        <v>2550</v>
      </c>
      <c r="H646" s="138">
        <v>205</v>
      </c>
      <c r="I646" s="92">
        <f t="shared" si="54"/>
        <v>0.3099173555472225</v>
      </c>
      <c r="J646" s="95">
        <v>3.5064395831341198E-10</v>
      </c>
      <c r="K646" s="137">
        <v>0.771900826446281</v>
      </c>
      <c r="L646" s="137">
        <v>0.61983471074380103</v>
      </c>
      <c r="M646" s="137">
        <v>1</v>
      </c>
      <c r="N646" s="136">
        <v>1</v>
      </c>
      <c r="O646" s="154">
        <v>43222</v>
      </c>
      <c r="P646" s="98">
        <f t="shared" si="53"/>
        <v>0</v>
      </c>
      <c r="Q646" s="111">
        <v>10.199999999999999</v>
      </c>
      <c r="R646" s="111">
        <v>0</v>
      </c>
      <c r="S646" s="111">
        <v>0</v>
      </c>
      <c r="T646" s="112" t="s">
        <v>48</v>
      </c>
      <c r="U646" s="137" t="s">
        <v>2551</v>
      </c>
      <c r="V646" s="137" t="s">
        <v>2549</v>
      </c>
      <c r="W646" s="69">
        <v>255</v>
      </c>
      <c r="X646" s="69">
        <v>1</v>
      </c>
      <c r="Y646" s="69">
        <v>0</v>
      </c>
      <c r="AA646" t="s">
        <v>4564</v>
      </c>
      <c r="AB646" t="s">
        <v>51</v>
      </c>
      <c r="AC646" t="s">
        <v>4515</v>
      </c>
      <c r="AD646" t="s">
        <v>4776</v>
      </c>
      <c r="AE646" t="s">
        <v>4931</v>
      </c>
      <c r="AF646" t="s">
        <v>4782</v>
      </c>
      <c r="AG646" t="s">
        <v>4515</v>
      </c>
      <c r="AH646" t="s">
        <v>4776</v>
      </c>
      <c r="AI646" t="s">
        <v>4515</v>
      </c>
      <c r="AJ646" t="s">
        <v>4776</v>
      </c>
      <c r="AK646" t="s">
        <v>4519</v>
      </c>
      <c r="AL646" t="s">
        <v>4519</v>
      </c>
      <c r="AM646" t="s">
        <v>4510</v>
      </c>
      <c r="AN646" t="s">
        <v>4550</v>
      </c>
      <c r="AO646" s="134">
        <v>105.55376344086</v>
      </c>
      <c r="AP646" s="135">
        <v>118.031135531136</v>
      </c>
      <c r="AQ646">
        <v>0.32417582417582402</v>
      </c>
      <c r="AR646" s="136">
        <v>1.2710622710622701</v>
      </c>
      <c r="AS646">
        <v>7.8058608058608101</v>
      </c>
      <c r="AU646"/>
      <c r="AV646"/>
      <c r="AW646"/>
      <c r="AX646"/>
    </row>
    <row r="647" spans="1:50" s="69" customFormat="1" ht="91">
      <c r="A647" s="65">
        <v>524</v>
      </c>
      <c r="B647" s="69" t="s">
        <v>1222</v>
      </c>
      <c r="C647" s="69" t="s">
        <v>45</v>
      </c>
      <c r="D647" s="31">
        <f t="shared" si="51"/>
        <v>4</v>
      </c>
      <c r="E647" s="69" t="s">
        <v>80</v>
      </c>
      <c r="F647" s="31">
        <f t="shared" si="52"/>
        <v>4</v>
      </c>
      <c r="G647" s="147" t="s">
        <v>364</v>
      </c>
      <c r="H647" s="138">
        <v>43</v>
      </c>
      <c r="I647" s="92">
        <f t="shared" si="54"/>
        <v>0.41250000002080522</v>
      </c>
      <c r="J647" s="95">
        <v>4.1610492829136099E-11</v>
      </c>
      <c r="K647" s="137">
        <v>0.79602566813892095</v>
      </c>
      <c r="L647" s="137">
        <v>0.82499999999999996</v>
      </c>
      <c r="M647" s="137">
        <v>0.75256417034730305</v>
      </c>
      <c r="N647" s="136">
        <v>1</v>
      </c>
      <c r="O647" s="154">
        <v>43221</v>
      </c>
      <c r="P647" s="98">
        <f t="shared" si="53"/>
        <v>0</v>
      </c>
      <c r="Q647" s="111">
        <v>5.0999999999999996</v>
      </c>
      <c r="R647" s="111">
        <v>1.65</v>
      </c>
      <c r="S647" s="111">
        <v>0</v>
      </c>
      <c r="T647" s="112" t="s">
        <v>48</v>
      </c>
      <c r="U647" s="147" t="s">
        <v>1477</v>
      </c>
      <c r="V647" s="137" t="s">
        <v>1478</v>
      </c>
      <c r="W647" s="69">
        <v>120</v>
      </c>
      <c r="X647" s="147">
        <v>1</v>
      </c>
      <c r="Y647" s="147">
        <v>3</v>
      </c>
      <c r="Z647"/>
      <c r="AA647" t="s">
        <v>4522</v>
      </c>
      <c r="AB647" t="s">
        <v>4827</v>
      </c>
      <c r="AC647" t="s">
        <v>4515</v>
      </c>
      <c r="AD647" t="s">
        <v>4750</v>
      </c>
      <c r="AE647" t="s">
        <v>4515</v>
      </c>
      <c r="AF647" t="s">
        <v>4750</v>
      </c>
      <c r="AG647" t="s">
        <v>223</v>
      </c>
      <c r="AH647" t="s">
        <v>4681</v>
      </c>
      <c r="AI647" t="s">
        <v>4515</v>
      </c>
      <c r="AJ647" t="s">
        <v>4750</v>
      </c>
      <c r="AK647" t="s">
        <v>4518</v>
      </c>
      <c r="AL647" t="s">
        <v>4519</v>
      </c>
      <c r="AM647" t="s">
        <v>4520</v>
      </c>
      <c r="AN647" t="s">
        <v>4521</v>
      </c>
      <c r="AO647" s="134">
        <v>105.66606822262101</v>
      </c>
      <c r="AP647" s="135">
        <v>118.031135531136</v>
      </c>
      <c r="AQ647">
        <v>0.32417582417582402</v>
      </c>
      <c r="AR647" s="136">
        <v>1.2710622710622701</v>
      </c>
      <c r="AS647">
        <v>7.8058608058608101</v>
      </c>
      <c r="AU647"/>
      <c r="AV647"/>
      <c r="AW647"/>
      <c r="AX647"/>
    </row>
    <row r="648" spans="1:50" s="68" customFormat="1" ht="76">
      <c r="A648" s="68">
        <v>93</v>
      </c>
      <c r="B648" s="71" t="s">
        <v>217</v>
      </c>
      <c r="C648" s="71" t="s">
        <v>59</v>
      </c>
      <c r="D648" s="143">
        <f t="shared" si="51"/>
        <v>5</v>
      </c>
      <c r="E648" s="71" t="s">
        <v>46</v>
      </c>
      <c r="F648" s="143">
        <f t="shared" si="52"/>
        <v>6</v>
      </c>
      <c r="G648" s="220" t="s">
        <v>325</v>
      </c>
      <c r="H648" s="187">
        <v>49</v>
      </c>
      <c r="I648" s="92">
        <f t="shared" si="54"/>
        <v>0.33373078042479432</v>
      </c>
      <c r="J648" s="95">
        <v>4.76268501057866E-2</v>
      </c>
      <c r="K648" s="186">
        <v>0.67292649458520204</v>
      </c>
      <c r="L648" s="186">
        <v>0.61983471074380203</v>
      </c>
      <c r="M648" s="186">
        <v>0.75256417034730305</v>
      </c>
      <c r="N648" s="181">
        <v>1</v>
      </c>
      <c r="O648" s="192">
        <v>43220</v>
      </c>
      <c r="P648" s="98">
        <f t="shared" si="53"/>
        <v>1</v>
      </c>
      <c r="Q648" s="111">
        <v>5.0999999999999996</v>
      </c>
      <c r="R648" s="111">
        <v>0</v>
      </c>
      <c r="S648" s="111">
        <v>0</v>
      </c>
      <c r="T648" s="98" t="s">
        <v>4969</v>
      </c>
      <c r="U648" s="221" t="s">
        <v>327</v>
      </c>
      <c r="V648" s="186" t="s">
        <v>328</v>
      </c>
      <c r="W648" s="71">
        <v>98</v>
      </c>
      <c r="X648" s="222">
        <v>3</v>
      </c>
      <c r="Y648" s="222">
        <v>3</v>
      </c>
      <c r="Z648" s="66"/>
      <c r="AA648" s="66" t="s">
        <v>4543</v>
      </c>
      <c r="AB648" s="66" t="s">
        <v>4576</v>
      </c>
      <c r="AC648" s="66" t="s">
        <v>223</v>
      </c>
      <c r="AD648" s="66" t="s">
        <v>4655</v>
      </c>
      <c r="AE648" s="66" t="s">
        <v>4515</v>
      </c>
      <c r="AF648" s="66" t="s">
        <v>4654</v>
      </c>
      <c r="AG648" s="66" t="s">
        <v>4515</v>
      </c>
      <c r="AH648" s="66" t="s">
        <v>4654</v>
      </c>
      <c r="AI648" s="66" t="s">
        <v>4353</v>
      </c>
      <c r="AJ648" s="66" t="s">
        <v>4506</v>
      </c>
      <c r="AK648" s="66" t="s">
        <v>4519</v>
      </c>
      <c r="AL648" s="66" t="s">
        <v>4519</v>
      </c>
      <c r="AM648" s="66" t="s">
        <v>4519</v>
      </c>
      <c r="AN648" s="66" t="s">
        <v>4564</v>
      </c>
      <c r="AO648" s="74">
        <v>105.76798561151099</v>
      </c>
      <c r="AP648" s="197">
        <v>117.893382352941</v>
      </c>
      <c r="AQ648" s="68">
        <v>0.32536764705882398</v>
      </c>
      <c r="AR648" s="68">
        <v>1.2720588235294099</v>
      </c>
      <c r="AS648" s="68">
        <v>7.8161764705882399</v>
      </c>
    </row>
    <row r="649" spans="1:50" s="69" customFormat="1" ht="256">
      <c r="A649" s="65">
        <v>525</v>
      </c>
      <c r="B649" s="69" t="s">
        <v>1222</v>
      </c>
      <c r="C649" s="69" t="s">
        <v>45</v>
      </c>
      <c r="D649" s="31">
        <f t="shared" si="51"/>
        <v>4</v>
      </c>
      <c r="E649" s="69" t="s">
        <v>46</v>
      </c>
      <c r="F649" s="31">
        <f t="shared" si="52"/>
        <v>6</v>
      </c>
      <c r="G649" s="188" t="s">
        <v>1479</v>
      </c>
      <c r="H649" s="138">
        <v>449</v>
      </c>
      <c r="I649" s="92">
        <f t="shared" si="54"/>
        <v>0.3905605385244651</v>
      </c>
      <c r="J649" s="95">
        <v>3.1121077048930201E-2</v>
      </c>
      <c r="K649" s="137">
        <v>0.75102566813892102</v>
      </c>
      <c r="L649" s="137">
        <v>0.75</v>
      </c>
      <c r="M649" s="137">
        <v>0.75256417034730305</v>
      </c>
      <c r="N649" s="136">
        <v>1</v>
      </c>
      <c r="O649" s="154">
        <v>43220</v>
      </c>
      <c r="P649" s="98">
        <f t="shared" si="53"/>
        <v>0</v>
      </c>
      <c r="Q649" s="111">
        <v>7.65</v>
      </c>
      <c r="R649" s="111">
        <v>1.65</v>
      </c>
      <c r="S649" s="111">
        <v>0</v>
      </c>
      <c r="T649" s="112" t="s">
        <v>48</v>
      </c>
      <c r="U649" s="136" t="s">
        <v>4396</v>
      </c>
      <c r="V649" s="137" t="s">
        <v>1478</v>
      </c>
      <c r="W649" s="69">
        <v>120</v>
      </c>
      <c r="X649" s="195">
        <v>1</v>
      </c>
      <c r="Y649" s="195">
        <v>3</v>
      </c>
      <c r="Z649"/>
      <c r="AA649" t="s">
        <v>4564</v>
      </c>
      <c r="AB649" t="s">
        <v>4827</v>
      </c>
      <c r="AC649" t="s">
        <v>4515</v>
      </c>
      <c r="AD649" t="s">
        <v>4750</v>
      </c>
      <c r="AE649" t="s">
        <v>4515</v>
      </c>
      <c r="AF649" t="s">
        <v>4750</v>
      </c>
      <c r="AG649" t="s">
        <v>223</v>
      </c>
      <c r="AH649" t="s">
        <v>4681</v>
      </c>
      <c r="AI649" t="s">
        <v>4515</v>
      </c>
      <c r="AJ649" t="s">
        <v>4750</v>
      </c>
      <c r="AK649" t="s">
        <v>4519</v>
      </c>
      <c r="AL649" t="s">
        <v>4552</v>
      </c>
      <c r="AM649" t="s">
        <v>4592</v>
      </c>
      <c r="AN649" t="s">
        <v>4650</v>
      </c>
      <c r="AO649" s="134">
        <v>105.85585585585601</v>
      </c>
      <c r="AP649" s="135">
        <v>117.893382352941</v>
      </c>
      <c r="AQ649">
        <v>0.32536764705882398</v>
      </c>
      <c r="AR649" s="136">
        <v>1.2720588235294099</v>
      </c>
      <c r="AS649">
        <v>7.8161764705882399</v>
      </c>
      <c r="AU649"/>
      <c r="AV649"/>
      <c r="AW649"/>
      <c r="AX649"/>
    </row>
    <row r="650" spans="1:50" s="69" customFormat="1" ht="91">
      <c r="A650">
        <v>94</v>
      </c>
      <c r="B650" s="69" t="s">
        <v>217</v>
      </c>
      <c r="C650" s="69" t="s">
        <v>45</v>
      </c>
      <c r="D650" s="31">
        <f t="shared" si="51"/>
        <v>4</v>
      </c>
      <c r="E650" s="69" t="s">
        <v>80</v>
      </c>
      <c r="F650" s="31">
        <f t="shared" si="52"/>
        <v>4</v>
      </c>
      <c r="G650" s="137" t="s">
        <v>180</v>
      </c>
      <c r="H650" s="138">
        <v>57</v>
      </c>
      <c r="I650" s="92">
        <f t="shared" si="54"/>
        <v>0.41282935309152069</v>
      </c>
      <c r="J650" s="95">
        <v>6.5870618304142404E-4</v>
      </c>
      <c r="K650" s="137">
        <v>0.79602566813892095</v>
      </c>
      <c r="L650" s="137">
        <v>0.82499999999999996</v>
      </c>
      <c r="M650" s="137">
        <v>0.75256417034730305</v>
      </c>
      <c r="N650" s="136">
        <v>1</v>
      </c>
      <c r="O650" s="154">
        <v>43220</v>
      </c>
      <c r="P650" s="98">
        <f t="shared" si="53"/>
        <v>0</v>
      </c>
      <c r="Q650" s="111">
        <v>0</v>
      </c>
      <c r="R650" s="111">
        <v>4.95</v>
      </c>
      <c r="S650" s="111">
        <v>0</v>
      </c>
      <c r="T650" s="112" t="s">
        <v>48</v>
      </c>
      <c r="U650" s="147" t="s">
        <v>329</v>
      </c>
      <c r="V650" s="137" t="s">
        <v>330</v>
      </c>
      <c r="W650" s="69">
        <v>114</v>
      </c>
      <c r="X650" s="171">
        <v>1</v>
      </c>
      <c r="Y650" s="171">
        <v>3</v>
      </c>
      <c r="Z650"/>
      <c r="AA650" t="s">
        <v>4628</v>
      </c>
      <c r="AB650" t="s">
        <v>4594</v>
      </c>
      <c r="AC650" t="s">
        <v>4515</v>
      </c>
      <c r="AD650" t="s">
        <v>4762</v>
      </c>
      <c r="AE650" t="s">
        <v>4515</v>
      </c>
      <c r="AF650" t="s">
        <v>4762</v>
      </c>
      <c r="AG650" t="s">
        <v>223</v>
      </c>
      <c r="AH650" t="s">
        <v>4768</v>
      </c>
      <c r="AI650" t="s">
        <v>223</v>
      </c>
      <c r="AJ650" t="s">
        <v>4768</v>
      </c>
      <c r="AK650" t="s">
        <v>4518</v>
      </c>
      <c r="AL650" t="s">
        <v>4552</v>
      </c>
      <c r="AM650" t="s">
        <v>4520</v>
      </c>
      <c r="AN650" t="s">
        <v>4621</v>
      </c>
      <c r="AO650" s="134">
        <v>105.236462093863</v>
      </c>
      <c r="AP650" s="135">
        <v>117.893382352941</v>
      </c>
      <c r="AQ650">
        <v>0.32536764705882398</v>
      </c>
      <c r="AR650" s="136">
        <v>1.2720588235294099</v>
      </c>
      <c r="AS650">
        <v>7.8161764705882399</v>
      </c>
      <c r="AU650"/>
      <c r="AV650"/>
      <c r="AW650"/>
      <c r="AX650"/>
    </row>
    <row r="651" spans="1:50" s="69" customFormat="1" ht="76">
      <c r="A651">
        <v>795</v>
      </c>
      <c r="B651" s="69" t="s">
        <v>2147</v>
      </c>
      <c r="C651" s="69" t="s">
        <v>45</v>
      </c>
      <c r="D651" s="31">
        <f t="shared" ref="D651:D714" si="55">IF(C651="投诉",4,IF(C651="建议",1,IF(C651="举报",2,IF(C651="求助",3,5))))</f>
        <v>4</v>
      </c>
      <c r="E651" s="69" t="s">
        <v>80</v>
      </c>
      <c r="F651" s="31">
        <f t="shared" ref="F651:F714" si="56">IF(E651="12345app",1,IF(E651="e福州app",2,IF(E651="qq",3,IF(E651="电话",4,IF(E651="短信",5,IF(E651="网站",6,IF(E651="微博",7,IF(E651="微信",8,9))))))))</f>
        <v>4</v>
      </c>
      <c r="G651" s="137" t="s">
        <v>2170</v>
      </c>
      <c r="H651" s="138">
        <v>106</v>
      </c>
      <c r="I651" s="92">
        <f t="shared" si="54"/>
        <v>0.37500008548281688</v>
      </c>
      <c r="J651" s="95">
        <v>1.7096563376117799E-7</v>
      </c>
      <c r="K651" s="137">
        <v>0.75102566813892102</v>
      </c>
      <c r="L651" s="137">
        <v>0.75</v>
      </c>
      <c r="M651" s="137">
        <v>0.75256417034730305</v>
      </c>
      <c r="N651" s="136">
        <v>1</v>
      </c>
      <c r="O651" s="154">
        <v>43220</v>
      </c>
      <c r="P651" s="98">
        <f t="shared" ref="P651:P714" si="57">IF(T651="利己",0,IF(T651="生态",2,1))</f>
        <v>0</v>
      </c>
      <c r="Q651" s="111">
        <v>2.5499999999999998</v>
      </c>
      <c r="R651" s="111">
        <v>0</v>
      </c>
      <c r="S651" s="111">
        <v>0</v>
      </c>
      <c r="T651" s="112" t="s">
        <v>48</v>
      </c>
      <c r="U651" s="137" t="s">
        <v>2171</v>
      </c>
      <c r="V651" s="137" t="s">
        <v>2172</v>
      </c>
      <c r="W651" s="69">
        <v>83</v>
      </c>
      <c r="X651" s="69">
        <v>1</v>
      </c>
      <c r="Y651" s="69">
        <v>3</v>
      </c>
      <c r="AA651" t="s">
        <v>4512</v>
      </c>
      <c r="AB651" t="s">
        <v>51</v>
      </c>
      <c r="AC651" t="s">
        <v>223</v>
      </c>
      <c r="AD651" t="s">
        <v>4799</v>
      </c>
      <c r="AE651" t="s">
        <v>4515</v>
      </c>
      <c r="AF651" t="s">
        <v>4737</v>
      </c>
      <c r="AG651" t="s">
        <v>4353</v>
      </c>
      <c r="AH651" t="s">
        <v>4506</v>
      </c>
      <c r="AI651" t="s">
        <v>223</v>
      </c>
      <c r="AJ651" t="s">
        <v>4799</v>
      </c>
      <c r="AK651" t="s">
        <v>4518</v>
      </c>
      <c r="AL651" t="s">
        <v>4519</v>
      </c>
      <c r="AM651" t="s">
        <v>4520</v>
      </c>
      <c r="AN651" t="s">
        <v>4521</v>
      </c>
      <c r="AO651" s="134">
        <v>105.23508137432199</v>
      </c>
      <c r="AP651" s="135">
        <v>117.893382352941</v>
      </c>
      <c r="AQ651">
        <v>0.32536764705882398</v>
      </c>
      <c r="AR651" s="136">
        <v>1.2720588235294099</v>
      </c>
      <c r="AS651">
        <v>7.8161764705882399</v>
      </c>
      <c r="AU651"/>
      <c r="AV651"/>
      <c r="AW651"/>
      <c r="AX651"/>
    </row>
    <row r="652" spans="1:50" s="69" customFormat="1" ht="286">
      <c r="A652" s="65">
        <v>1000</v>
      </c>
      <c r="B652" s="69" t="s">
        <v>2638</v>
      </c>
      <c r="C652" s="69" t="s">
        <v>45</v>
      </c>
      <c r="D652" s="31">
        <f t="shared" si="55"/>
        <v>4</v>
      </c>
      <c r="E652" s="69" t="s">
        <v>46</v>
      </c>
      <c r="F652" s="31">
        <f t="shared" si="56"/>
        <v>6</v>
      </c>
      <c r="G652" s="89" t="s">
        <v>2710</v>
      </c>
      <c r="H652" s="138">
        <v>497</v>
      </c>
      <c r="I652" s="92">
        <f t="shared" si="54"/>
        <v>0.37689855601240463</v>
      </c>
      <c r="J652" s="95">
        <v>3.7971120248092602E-3</v>
      </c>
      <c r="K652" s="137">
        <v>0.73571428571428599</v>
      </c>
      <c r="L652" s="137">
        <v>0.75</v>
      </c>
      <c r="M652" s="137">
        <v>0.71428571428571397</v>
      </c>
      <c r="N652" s="136">
        <v>1</v>
      </c>
      <c r="O652" s="157">
        <v>43219</v>
      </c>
      <c r="P652" s="98">
        <f t="shared" si="57"/>
        <v>1</v>
      </c>
      <c r="Q652" s="124">
        <v>2.5499999999999998</v>
      </c>
      <c r="R652" s="124">
        <v>0</v>
      </c>
      <c r="S652" s="124">
        <v>0</v>
      </c>
      <c r="T652" s="125" t="s">
        <v>73</v>
      </c>
      <c r="U652" s="136" t="s">
        <v>4451</v>
      </c>
      <c r="V652" s="172" t="s">
        <v>2712</v>
      </c>
      <c r="W652" s="69">
        <v>298</v>
      </c>
      <c r="X652" s="69">
        <v>2</v>
      </c>
      <c r="Y652" s="69">
        <v>4</v>
      </c>
      <c r="AA652" t="s">
        <v>4564</v>
      </c>
      <c r="AB652" t="s">
        <v>71</v>
      </c>
      <c r="AC652" t="s">
        <v>223</v>
      </c>
      <c r="AD652" t="s">
        <v>4970</v>
      </c>
      <c r="AE652" t="s">
        <v>4353</v>
      </c>
      <c r="AF652" t="s">
        <v>4506</v>
      </c>
      <c r="AG652" t="s">
        <v>4515</v>
      </c>
      <c r="AH652" t="s">
        <v>4559</v>
      </c>
      <c r="AI652" t="s">
        <v>4353</v>
      </c>
      <c r="AJ652" t="s">
        <v>4506</v>
      </c>
      <c r="AK652" t="s">
        <v>4519</v>
      </c>
      <c r="AL652" t="s">
        <v>4552</v>
      </c>
      <c r="AM652" t="s">
        <v>4528</v>
      </c>
      <c r="AN652" t="s">
        <v>4618</v>
      </c>
      <c r="AO652" s="134">
        <v>105.300724637681</v>
      </c>
      <c r="AP652" s="135">
        <v>117.893382352941</v>
      </c>
      <c r="AQ652">
        <v>0.32536764705882398</v>
      </c>
      <c r="AR652" s="136">
        <v>1.2720588235294099</v>
      </c>
      <c r="AS652">
        <v>7.8161764705882399</v>
      </c>
      <c r="AU652"/>
      <c r="AV652"/>
      <c r="AW652"/>
      <c r="AX652"/>
    </row>
    <row r="653" spans="1:50" s="69" customFormat="1" ht="91">
      <c r="A653">
        <v>807</v>
      </c>
      <c r="B653" s="69" t="s">
        <v>2179</v>
      </c>
      <c r="C653" s="69" t="s">
        <v>45</v>
      </c>
      <c r="D653" s="31">
        <f t="shared" si="55"/>
        <v>4</v>
      </c>
      <c r="E653" s="69" t="s">
        <v>80</v>
      </c>
      <c r="F653" s="31">
        <f t="shared" si="56"/>
        <v>4</v>
      </c>
      <c r="G653" s="137" t="s">
        <v>2205</v>
      </c>
      <c r="H653" s="138">
        <v>69</v>
      </c>
      <c r="I653" s="92">
        <f t="shared" si="54"/>
        <v>0.41269340148026529</v>
      </c>
      <c r="J653" s="95">
        <v>3.8680296053061902E-4</v>
      </c>
      <c r="K653" s="137">
        <v>0.78071428571428603</v>
      </c>
      <c r="L653" s="137">
        <v>0.82499999999999996</v>
      </c>
      <c r="M653" s="137">
        <v>0.71428571428571397</v>
      </c>
      <c r="N653" s="136">
        <v>0</v>
      </c>
      <c r="O653" s="154">
        <v>43219</v>
      </c>
      <c r="P653" s="98">
        <f t="shared" si="57"/>
        <v>0</v>
      </c>
      <c r="Q653" s="113">
        <v>0</v>
      </c>
      <c r="R653" s="113">
        <v>0</v>
      </c>
      <c r="S653" s="113">
        <v>0</v>
      </c>
      <c r="T653" s="114" t="s">
        <v>48</v>
      </c>
      <c r="U653" s="189" t="s">
        <v>2206</v>
      </c>
      <c r="V653" s="137" t="s">
        <v>2207</v>
      </c>
      <c r="W653" s="69">
        <v>132</v>
      </c>
      <c r="X653" s="195">
        <v>0</v>
      </c>
      <c r="Y653" s="195">
        <v>4</v>
      </c>
      <c r="AA653" t="s">
        <v>4556</v>
      </c>
      <c r="AB653" t="s">
        <v>4783</v>
      </c>
      <c r="AC653" t="s">
        <v>223</v>
      </c>
      <c r="AD653" t="s">
        <v>4710</v>
      </c>
      <c r="AE653" t="s">
        <v>223</v>
      </c>
      <c r="AF653" t="s">
        <v>4710</v>
      </c>
      <c r="AG653" t="s">
        <v>223</v>
      </c>
      <c r="AH653" t="s">
        <v>4710</v>
      </c>
      <c r="AI653" t="s">
        <v>223</v>
      </c>
      <c r="AJ653" t="s">
        <v>4710</v>
      </c>
      <c r="AK653" t="s">
        <v>4519</v>
      </c>
      <c r="AL653" t="s">
        <v>4519</v>
      </c>
      <c r="AM653" t="s">
        <v>4510</v>
      </c>
      <c r="AN653" t="s">
        <v>4550</v>
      </c>
      <c r="AO653" s="134">
        <v>104.589836660617</v>
      </c>
      <c r="AP653" s="135">
        <v>117.893382352941</v>
      </c>
      <c r="AQ653">
        <v>0.32536764705882398</v>
      </c>
      <c r="AR653" s="136">
        <v>1.2720588235294099</v>
      </c>
      <c r="AS653">
        <v>7.8161764705882399</v>
      </c>
      <c r="AU653"/>
      <c r="AV653"/>
      <c r="AW653"/>
      <c r="AX653"/>
    </row>
    <row r="654" spans="1:50" s="69" customFormat="1" ht="91">
      <c r="A654">
        <v>595</v>
      </c>
      <c r="B654" s="69" t="s">
        <v>1628</v>
      </c>
      <c r="C654" s="69" t="s">
        <v>45</v>
      </c>
      <c r="D654" s="31">
        <f t="shared" si="55"/>
        <v>4</v>
      </c>
      <c r="E654" s="69" t="s">
        <v>46</v>
      </c>
      <c r="F654" s="31">
        <f t="shared" si="56"/>
        <v>6</v>
      </c>
      <c r="G654" s="147" t="s">
        <v>1662</v>
      </c>
      <c r="H654" s="138">
        <v>69</v>
      </c>
      <c r="I654" s="92">
        <f t="shared" si="54"/>
        <v>0.4358319566459955</v>
      </c>
      <c r="J654" s="95">
        <v>4.6663913291991099E-2</v>
      </c>
      <c r="K654" s="137">
        <v>0.75502915755524702</v>
      </c>
      <c r="L654" s="137">
        <v>0.82499999999999996</v>
      </c>
      <c r="M654" s="137">
        <v>0.65007289388811795</v>
      </c>
      <c r="N654" s="136">
        <v>1</v>
      </c>
      <c r="O654" s="154">
        <v>43218</v>
      </c>
      <c r="P654" s="98">
        <f t="shared" si="57"/>
        <v>1</v>
      </c>
      <c r="Q654" s="111">
        <v>0</v>
      </c>
      <c r="R654" s="111">
        <v>0</v>
      </c>
      <c r="S654" s="111">
        <v>0</v>
      </c>
      <c r="T654" s="112" t="s">
        <v>73</v>
      </c>
      <c r="U654" s="137" t="s">
        <v>1663</v>
      </c>
      <c r="V654" s="137" t="s">
        <v>1664</v>
      </c>
      <c r="W654" s="69">
        <v>116</v>
      </c>
      <c r="X654" s="171">
        <v>2</v>
      </c>
      <c r="Y654" s="171">
        <v>6</v>
      </c>
      <c r="Z654"/>
      <c r="AA654" t="s">
        <v>4603</v>
      </c>
      <c r="AB654" t="s">
        <v>51</v>
      </c>
      <c r="AC654" t="s">
        <v>4353</v>
      </c>
      <c r="AD654" t="s">
        <v>4506</v>
      </c>
      <c r="AE654" t="s">
        <v>4513</v>
      </c>
      <c r="AF654" t="s">
        <v>4737</v>
      </c>
      <c r="AG654" t="s">
        <v>4515</v>
      </c>
      <c r="AH654" t="s">
        <v>4858</v>
      </c>
      <c r="AI654" t="s">
        <v>4353</v>
      </c>
      <c r="AJ654" t="s">
        <v>4506</v>
      </c>
      <c r="AK654" t="s">
        <v>4518</v>
      </c>
      <c r="AL654" t="s">
        <v>4519</v>
      </c>
      <c r="AM654" t="s">
        <v>4510</v>
      </c>
      <c r="AN654" t="s">
        <v>4523</v>
      </c>
      <c r="AO654" s="134">
        <v>104.654545454545</v>
      </c>
      <c r="AP654" s="135">
        <v>117.939001848429</v>
      </c>
      <c r="AQ654">
        <v>0.32717190388170098</v>
      </c>
      <c r="AR654" s="136">
        <v>1.2735674676525</v>
      </c>
      <c r="AS654">
        <v>7.8077634011090602</v>
      </c>
      <c r="AU654"/>
      <c r="AV654"/>
      <c r="AW654"/>
      <c r="AX654"/>
    </row>
    <row r="655" spans="1:50" s="69" customFormat="1" ht="166">
      <c r="A655">
        <v>939</v>
      </c>
      <c r="B655" s="69" t="s">
        <v>2510</v>
      </c>
      <c r="C655" s="69" t="s">
        <v>45</v>
      </c>
      <c r="D655" s="31">
        <f t="shared" si="55"/>
        <v>4</v>
      </c>
      <c r="E655" s="69" t="s">
        <v>80</v>
      </c>
      <c r="F655" s="31">
        <f t="shared" si="56"/>
        <v>4</v>
      </c>
      <c r="G655" s="136" t="s">
        <v>180</v>
      </c>
      <c r="H655" s="138">
        <v>41</v>
      </c>
      <c r="I655" s="92">
        <f t="shared" si="54"/>
        <v>0.63026265818032501</v>
      </c>
      <c r="J655" s="95">
        <v>0.51052531636065002</v>
      </c>
      <c r="K655" s="137">
        <v>0.79285714285714304</v>
      </c>
      <c r="L655" s="137">
        <v>0.75</v>
      </c>
      <c r="M655" s="137">
        <v>0.85714285714285698</v>
      </c>
      <c r="N655" s="136">
        <v>1</v>
      </c>
      <c r="O655" s="154">
        <v>43217</v>
      </c>
      <c r="P655" s="98">
        <f t="shared" si="57"/>
        <v>0</v>
      </c>
      <c r="Q655" s="111">
        <v>7.65</v>
      </c>
      <c r="R655" s="111">
        <v>0</v>
      </c>
      <c r="S655" s="111">
        <v>0</v>
      </c>
      <c r="T655" s="112" t="s">
        <v>48</v>
      </c>
      <c r="U655" s="137" t="s">
        <v>2554</v>
      </c>
      <c r="V655" s="137" t="s">
        <v>2555</v>
      </c>
      <c r="W655" s="69">
        <v>241</v>
      </c>
      <c r="X655" s="69">
        <v>1</v>
      </c>
      <c r="Y655" s="69">
        <v>1</v>
      </c>
      <c r="AA655" t="s">
        <v>4556</v>
      </c>
      <c r="AB655" t="s">
        <v>51</v>
      </c>
      <c r="AC655" t="s">
        <v>4513</v>
      </c>
      <c r="AD655" t="s">
        <v>4971</v>
      </c>
      <c r="AE655" t="s">
        <v>4972</v>
      </c>
      <c r="AF655" t="s">
        <v>4973</v>
      </c>
      <c r="AG655" t="s">
        <v>4515</v>
      </c>
      <c r="AH655" t="s">
        <v>4841</v>
      </c>
      <c r="AI655" t="s">
        <v>4515</v>
      </c>
      <c r="AJ655" t="s">
        <v>4841</v>
      </c>
      <c r="AK655" t="s">
        <v>4519</v>
      </c>
      <c r="AL655" t="s">
        <v>4552</v>
      </c>
      <c r="AM655" t="s">
        <v>4510</v>
      </c>
      <c r="AN655" t="s">
        <v>4634</v>
      </c>
      <c r="AO655" s="134">
        <v>104.770491803279</v>
      </c>
      <c r="AP655" s="135">
        <v>117.939001848429</v>
      </c>
      <c r="AQ655">
        <v>0.32717190388170098</v>
      </c>
      <c r="AR655" s="136">
        <v>1.2735674676525</v>
      </c>
      <c r="AS655">
        <v>7.8077634011090602</v>
      </c>
      <c r="AU655"/>
      <c r="AV655"/>
      <c r="AW655"/>
      <c r="AX655"/>
    </row>
    <row r="656" spans="1:50" s="69" customFormat="1" ht="61">
      <c r="A656">
        <v>1094</v>
      </c>
      <c r="B656" s="69" t="s">
        <v>2948</v>
      </c>
      <c r="C656" s="69" t="s">
        <v>45</v>
      </c>
      <c r="D656" s="31">
        <f t="shared" si="55"/>
        <v>4</v>
      </c>
      <c r="E656" s="69" t="s">
        <v>80</v>
      </c>
      <c r="F656" s="31">
        <f t="shared" si="56"/>
        <v>4</v>
      </c>
      <c r="G656" s="139" t="s">
        <v>2704</v>
      </c>
      <c r="H656" s="138">
        <v>81</v>
      </c>
      <c r="I656" s="92">
        <f t="shared" si="54"/>
        <v>0.40915338355520364</v>
      </c>
      <c r="J656" s="95">
        <v>6.8306767110407299E-2</v>
      </c>
      <c r="K656" s="137">
        <v>0.79285714285714304</v>
      </c>
      <c r="L656" s="137">
        <v>0.75</v>
      </c>
      <c r="M656" s="137">
        <v>0.85714285714285698</v>
      </c>
      <c r="N656" s="136">
        <v>1</v>
      </c>
      <c r="O656" s="157">
        <v>43217</v>
      </c>
      <c r="P656" s="98">
        <f t="shared" si="57"/>
        <v>1</v>
      </c>
      <c r="Q656" s="113">
        <v>0</v>
      </c>
      <c r="R656" s="113">
        <v>0</v>
      </c>
      <c r="S656" s="113">
        <v>0</v>
      </c>
      <c r="T656" s="119" t="s">
        <v>73</v>
      </c>
      <c r="U656" s="136" t="s">
        <v>2974</v>
      </c>
      <c r="V656" s="172" t="s">
        <v>2975</v>
      </c>
      <c r="W656" s="69">
        <v>44</v>
      </c>
      <c r="X656" s="69">
        <v>1</v>
      </c>
      <c r="Y656" s="69">
        <v>1</v>
      </c>
      <c r="AA656" t="s">
        <v>4556</v>
      </c>
      <c r="AB656" t="s">
        <v>87</v>
      </c>
      <c r="AC656" t="s">
        <v>4515</v>
      </c>
      <c r="AD656" t="s">
        <v>4723</v>
      </c>
      <c r="AE656" t="s">
        <v>4353</v>
      </c>
      <c r="AF656" t="s">
        <v>4506</v>
      </c>
      <c r="AG656" t="s">
        <v>4353</v>
      </c>
      <c r="AH656" t="s">
        <v>4506</v>
      </c>
      <c r="AI656" t="s">
        <v>4353</v>
      </c>
      <c r="AJ656" t="s">
        <v>4506</v>
      </c>
      <c r="AK656" t="s">
        <v>4519</v>
      </c>
      <c r="AL656" t="s">
        <v>4552</v>
      </c>
      <c r="AM656" t="s">
        <v>4519</v>
      </c>
      <c r="AN656" t="s">
        <v>4659</v>
      </c>
      <c r="AO656" s="134">
        <v>104.81386861313899</v>
      </c>
      <c r="AP656" s="135">
        <v>117.939001848429</v>
      </c>
      <c r="AQ656">
        <v>0.32717190388170098</v>
      </c>
      <c r="AR656" s="136">
        <v>1.2735674676525</v>
      </c>
      <c r="AS656">
        <v>7.8077634011090602</v>
      </c>
      <c r="AU656"/>
      <c r="AV656"/>
      <c r="AW656"/>
      <c r="AX656"/>
    </row>
    <row r="657" spans="1:50" s="69" customFormat="1" ht="91">
      <c r="A657" s="65">
        <v>356</v>
      </c>
      <c r="B657" s="69" t="s">
        <v>589</v>
      </c>
      <c r="C657" s="69" t="s">
        <v>45</v>
      </c>
      <c r="D657" s="31">
        <f t="shared" si="55"/>
        <v>4</v>
      </c>
      <c r="E657" s="69" t="s">
        <v>80</v>
      </c>
      <c r="F657" s="31">
        <f t="shared" si="56"/>
        <v>4</v>
      </c>
      <c r="G657" s="147" t="s">
        <v>1034</v>
      </c>
      <c r="H657" s="138">
        <v>37</v>
      </c>
      <c r="I657" s="92">
        <f t="shared" si="54"/>
        <v>0.51679204861116701</v>
      </c>
      <c r="J657" s="95">
        <v>0.20858409722233401</v>
      </c>
      <c r="K657" s="137">
        <v>0.78071428571428603</v>
      </c>
      <c r="L657" s="137">
        <v>0.82499999999999996</v>
      </c>
      <c r="M657" s="137">
        <v>0.71428571428571397</v>
      </c>
      <c r="N657" s="136">
        <v>1</v>
      </c>
      <c r="O657" s="154">
        <v>43216</v>
      </c>
      <c r="P657" s="98">
        <f t="shared" si="57"/>
        <v>0</v>
      </c>
      <c r="Q657" s="111">
        <v>5.0999999999999996</v>
      </c>
      <c r="R657" s="111">
        <v>0</v>
      </c>
      <c r="S657" s="111">
        <v>0</v>
      </c>
      <c r="T657" s="112" t="s">
        <v>48</v>
      </c>
      <c r="U657" s="137" t="s">
        <v>1035</v>
      </c>
      <c r="V657" s="137" t="s">
        <v>1036</v>
      </c>
      <c r="W657" s="69">
        <v>139</v>
      </c>
      <c r="X657" s="147">
        <v>1</v>
      </c>
      <c r="Y657" s="147">
        <v>4</v>
      </c>
      <c r="Z657"/>
      <c r="AA657" t="s">
        <v>4556</v>
      </c>
      <c r="AB657" t="s">
        <v>4827</v>
      </c>
      <c r="AC657" t="s">
        <v>4515</v>
      </c>
      <c r="AD657" t="s">
        <v>4734</v>
      </c>
      <c r="AE657" t="s">
        <v>4515</v>
      </c>
      <c r="AF657" t="s">
        <v>4734</v>
      </c>
      <c r="AG657" t="s">
        <v>223</v>
      </c>
      <c r="AH657" t="s">
        <v>4633</v>
      </c>
      <c r="AI657" t="s">
        <v>4515</v>
      </c>
      <c r="AJ657" t="s">
        <v>4734</v>
      </c>
      <c r="AK657" t="s">
        <v>4518</v>
      </c>
      <c r="AL657" t="s">
        <v>4519</v>
      </c>
      <c r="AM657" t="s">
        <v>4510</v>
      </c>
      <c r="AN657" t="s">
        <v>4523</v>
      </c>
      <c r="AO657" s="134">
        <v>104.937842778793</v>
      </c>
      <c r="AP657" s="135">
        <v>118.151119402985</v>
      </c>
      <c r="AQ657">
        <v>0.32462686567164201</v>
      </c>
      <c r="AR657" s="136">
        <v>1.27611940298507</v>
      </c>
      <c r="AS657">
        <v>7.8246268656716396</v>
      </c>
      <c r="AU657"/>
      <c r="AV657"/>
      <c r="AW657"/>
      <c r="AX657"/>
    </row>
    <row r="658" spans="1:50" s="69" customFormat="1" ht="121">
      <c r="A658" s="65">
        <v>596</v>
      </c>
      <c r="B658" s="69" t="s">
        <v>1628</v>
      </c>
      <c r="C658" s="69" t="s">
        <v>45</v>
      </c>
      <c r="D658" s="31">
        <f t="shared" si="55"/>
        <v>4</v>
      </c>
      <c r="E658" s="69" t="s">
        <v>80</v>
      </c>
      <c r="F658" s="31">
        <f t="shared" si="56"/>
        <v>4</v>
      </c>
      <c r="G658" s="169" t="s">
        <v>159</v>
      </c>
      <c r="H658" s="138">
        <v>57</v>
      </c>
      <c r="I658" s="92">
        <f t="shared" si="54"/>
        <v>0.91142652886142295</v>
      </c>
      <c r="J658" s="95">
        <v>0.99785305772284605</v>
      </c>
      <c r="K658" s="137">
        <v>0.75502915755524702</v>
      </c>
      <c r="L658" s="137">
        <v>0.82499999999999996</v>
      </c>
      <c r="M658" s="137">
        <v>0.65007289388811795</v>
      </c>
      <c r="N658" s="136">
        <v>1</v>
      </c>
      <c r="O658" s="154">
        <v>43214</v>
      </c>
      <c r="P658" s="98">
        <f t="shared" si="57"/>
        <v>0</v>
      </c>
      <c r="Q658" s="111">
        <v>5.0999999999999996</v>
      </c>
      <c r="R658" s="111">
        <v>0</v>
      </c>
      <c r="S658" s="111">
        <v>0</v>
      </c>
      <c r="T658" s="112" t="s">
        <v>48</v>
      </c>
      <c r="U658" s="136" t="s">
        <v>1665</v>
      </c>
      <c r="V658" s="137" t="s">
        <v>1666</v>
      </c>
      <c r="W658" s="69">
        <v>172</v>
      </c>
      <c r="X658" s="69">
        <v>1</v>
      </c>
      <c r="Y658" s="69">
        <v>6</v>
      </c>
      <c r="AA658" t="s">
        <v>4512</v>
      </c>
      <c r="AB658" t="s">
        <v>4594</v>
      </c>
      <c r="AC658" t="s">
        <v>4515</v>
      </c>
      <c r="AD658" t="s">
        <v>4635</v>
      </c>
      <c r="AE658" t="s">
        <v>4515</v>
      </c>
      <c r="AF658" t="s">
        <v>4635</v>
      </c>
      <c r="AG658" t="s">
        <v>223</v>
      </c>
      <c r="AH658" t="s">
        <v>4895</v>
      </c>
      <c r="AI658" t="s">
        <v>223</v>
      </c>
      <c r="AJ658" t="s">
        <v>4895</v>
      </c>
      <c r="AK658" t="s">
        <v>4519</v>
      </c>
      <c r="AL658" t="s">
        <v>4552</v>
      </c>
      <c r="AM658" t="s">
        <v>4562</v>
      </c>
      <c r="AN658" t="s">
        <v>4742</v>
      </c>
      <c r="AO658" s="134">
        <v>105.02564102564099</v>
      </c>
      <c r="AP658" s="135">
        <v>118.151119402985</v>
      </c>
      <c r="AQ658">
        <v>0.32462686567164201</v>
      </c>
      <c r="AR658" s="136">
        <v>1.27611940298507</v>
      </c>
      <c r="AS658">
        <v>7.8246268656716396</v>
      </c>
      <c r="AU658"/>
      <c r="AV658"/>
      <c r="AW658"/>
      <c r="AX658"/>
    </row>
    <row r="659" spans="1:50" s="69" customFormat="1" ht="45">
      <c r="A659">
        <v>1139</v>
      </c>
      <c r="B659" s="69" t="s">
        <v>3082</v>
      </c>
      <c r="C659" s="69" t="s">
        <v>45</v>
      </c>
      <c r="D659" s="31">
        <f t="shared" si="55"/>
        <v>4</v>
      </c>
      <c r="E659" s="69" t="s">
        <v>80</v>
      </c>
      <c r="F659" s="31">
        <f t="shared" si="56"/>
        <v>4</v>
      </c>
      <c r="G659" s="91" t="s">
        <v>3098</v>
      </c>
      <c r="H659" s="138">
        <v>83</v>
      </c>
      <c r="I659" s="92">
        <f t="shared" si="54"/>
        <v>0.51222768714689948</v>
      </c>
      <c r="J659" s="95">
        <v>0.199455374293799</v>
      </c>
      <c r="K659" s="137">
        <v>0.59262842159261797</v>
      </c>
      <c r="L659" s="137">
        <v>0.82499999999999996</v>
      </c>
      <c r="M659" s="137">
        <v>0.24407105398154499</v>
      </c>
      <c r="N659" s="136">
        <v>1</v>
      </c>
      <c r="O659" s="157">
        <v>43214</v>
      </c>
      <c r="P659" s="98">
        <f t="shared" si="57"/>
        <v>1</v>
      </c>
      <c r="Q659" s="113">
        <v>5.0999999999999996</v>
      </c>
      <c r="R659" s="113">
        <v>1.65</v>
      </c>
      <c r="S659" s="113">
        <v>0</v>
      </c>
      <c r="T659" s="119" t="s">
        <v>73</v>
      </c>
      <c r="U659" s="89" t="s">
        <v>3099</v>
      </c>
      <c r="V659" s="172" t="s">
        <v>3100</v>
      </c>
      <c r="W659" s="69">
        <v>25</v>
      </c>
      <c r="X659" s="171">
        <v>2</v>
      </c>
      <c r="Y659" s="171">
        <v>28</v>
      </c>
      <c r="AA659" t="s">
        <v>4556</v>
      </c>
      <c r="AB659" t="s">
        <v>87</v>
      </c>
      <c r="AC659" t="s">
        <v>223</v>
      </c>
      <c r="AD659" t="s">
        <v>4812</v>
      </c>
      <c r="AE659" t="s">
        <v>4353</v>
      </c>
      <c r="AF659" t="s">
        <v>4506</v>
      </c>
      <c r="AG659" t="s">
        <v>4353</v>
      </c>
      <c r="AH659" t="s">
        <v>4506</v>
      </c>
      <c r="AI659" t="s">
        <v>4353</v>
      </c>
      <c r="AJ659" t="s">
        <v>4506</v>
      </c>
      <c r="AK659" t="s">
        <v>4519</v>
      </c>
      <c r="AL659" t="s">
        <v>4552</v>
      </c>
      <c r="AM659" t="s">
        <v>4528</v>
      </c>
      <c r="AN659" t="s">
        <v>4618</v>
      </c>
      <c r="AO659" s="134">
        <v>105.06605504587201</v>
      </c>
      <c r="AP659" s="135">
        <v>118.151119402985</v>
      </c>
      <c r="AQ659">
        <v>0.32462686567164201</v>
      </c>
      <c r="AR659" s="136">
        <v>1.27611940298507</v>
      </c>
      <c r="AS659">
        <v>7.8246268656716396</v>
      </c>
      <c r="AU659"/>
      <c r="AV659"/>
      <c r="AW659"/>
      <c r="AX659"/>
    </row>
    <row r="660" spans="1:50" s="69" customFormat="1" ht="61">
      <c r="A660" s="65">
        <v>765</v>
      </c>
      <c r="B660" s="69" t="s">
        <v>2053</v>
      </c>
      <c r="C660" s="69" t="s">
        <v>59</v>
      </c>
      <c r="D660" s="31">
        <f t="shared" si="55"/>
        <v>5</v>
      </c>
      <c r="E660" s="69" t="s">
        <v>46</v>
      </c>
      <c r="F660" s="31">
        <f t="shared" si="56"/>
        <v>6</v>
      </c>
      <c r="G660" s="147" t="s">
        <v>2086</v>
      </c>
      <c r="H660" s="138">
        <v>93</v>
      </c>
      <c r="I660" s="92">
        <f t="shared" si="54"/>
        <v>0.83778331614956092</v>
      </c>
      <c r="J660" s="95">
        <v>0.99374845048093996</v>
      </c>
      <c r="K660" s="137">
        <v>0.23766233766233799</v>
      </c>
      <c r="L660" s="137">
        <v>0.68181818181818199</v>
      </c>
      <c r="M660" s="137">
        <v>-0.42857142857142899</v>
      </c>
      <c r="N660" s="136">
        <v>1</v>
      </c>
      <c r="O660" s="154">
        <v>43213</v>
      </c>
      <c r="P660" s="98">
        <f t="shared" si="57"/>
        <v>1</v>
      </c>
      <c r="Q660" s="111">
        <v>12.75</v>
      </c>
      <c r="R660" s="111">
        <v>0</v>
      </c>
      <c r="S660" s="111">
        <v>0</v>
      </c>
      <c r="T660" s="112" t="s">
        <v>73</v>
      </c>
      <c r="U660" s="137" t="s">
        <v>2087</v>
      </c>
      <c r="V660" s="137" t="s">
        <v>2088</v>
      </c>
      <c r="W660" s="69">
        <v>18</v>
      </c>
      <c r="X660" s="171">
        <v>1</v>
      </c>
      <c r="Y660" s="171">
        <v>100</v>
      </c>
      <c r="AA660" t="s">
        <v>4551</v>
      </c>
      <c r="AB660" t="s">
        <v>51</v>
      </c>
      <c r="AC660" t="s">
        <v>4353</v>
      </c>
      <c r="AD660" t="s">
        <v>4506</v>
      </c>
      <c r="AE660" t="s">
        <v>223</v>
      </c>
      <c r="AF660" t="s">
        <v>4723</v>
      </c>
      <c r="AG660" t="s">
        <v>4353</v>
      </c>
      <c r="AH660" t="s">
        <v>4506</v>
      </c>
      <c r="AI660" t="s">
        <v>4353</v>
      </c>
      <c r="AJ660" t="s">
        <v>4506</v>
      </c>
      <c r="AK660" t="s">
        <v>4519</v>
      </c>
      <c r="AL660" t="s">
        <v>4552</v>
      </c>
      <c r="AM660" t="s">
        <v>4562</v>
      </c>
      <c r="AN660" t="s">
        <v>4742</v>
      </c>
      <c r="AO660" s="134">
        <v>105.154411764706</v>
      </c>
      <c r="AP660" s="135">
        <v>117.996261682243</v>
      </c>
      <c r="AQ660">
        <v>0.32523364485981299</v>
      </c>
      <c r="AR660" s="136">
        <v>1.27663551401869</v>
      </c>
      <c r="AS660">
        <v>7.8317757009345801</v>
      </c>
      <c r="AU660"/>
      <c r="AV660"/>
      <c r="AW660"/>
      <c r="AX660"/>
    </row>
    <row r="661" spans="1:50" s="69" customFormat="1" ht="76">
      <c r="A661" s="65">
        <v>357</v>
      </c>
      <c r="B661" s="69" t="s">
        <v>589</v>
      </c>
      <c r="C661" s="69" t="s">
        <v>45</v>
      </c>
      <c r="D661" s="31">
        <f t="shared" si="55"/>
        <v>4</v>
      </c>
      <c r="E661" s="69" t="s">
        <v>80</v>
      </c>
      <c r="F661" s="31">
        <f t="shared" si="56"/>
        <v>4</v>
      </c>
      <c r="G661" s="169" t="s">
        <v>180</v>
      </c>
      <c r="H661" s="138">
        <v>57</v>
      </c>
      <c r="I661" s="92">
        <f t="shared" si="54"/>
        <v>0.51888432674894003</v>
      </c>
      <c r="J661" s="95">
        <v>0.21276865349787999</v>
      </c>
      <c r="K661" s="137">
        <v>0.79602566813892095</v>
      </c>
      <c r="L661" s="137">
        <v>0.82499999999999996</v>
      </c>
      <c r="M661" s="137">
        <v>0.75256417034730305</v>
      </c>
      <c r="N661" s="136">
        <v>1</v>
      </c>
      <c r="O661" s="154">
        <v>43213</v>
      </c>
      <c r="P661" s="98">
        <f t="shared" si="57"/>
        <v>0</v>
      </c>
      <c r="Q661" s="111">
        <v>5.0999999999999996</v>
      </c>
      <c r="R661" s="111">
        <v>0</v>
      </c>
      <c r="S661" s="111">
        <v>0</v>
      </c>
      <c r="T661" s="112" t="s">
        <v>48</v>
      </c>
      <c r="U661" s="147" t="s">
        <v>1037</v>
      </c>
      <c r="V661" s="137" t="s">
        <v>1038</v>
      </c>
      <c r="W661" s="69">
        <v>99</v>
      </c>
      <c r="X661" s="147">
        <v>1</v>
      </c>
      <c r="Y661" s="147">
        <v>3</v>
      </c>
      <c r="Z661"/>
      <c r="AA661" t="s">
        <v>4564</v>
      </c>
      <c r="AB661" t="s">
        <v>4594</v>
      </c>
      <c r="AC661" t="s">
        <v>4515</v>
      </c>
      <c r="AD661" t="s">
        <v>4798</v>
      </c>
      <c r="AE661" t="s">
        <v>4515</v>
      </c>
      <c r="AF661" t="s">
        <v>4798</v>
      </c>
      <c r="AG661" t="s">
        <v>4353</v>
      </c>
      <c r="AH661" t="s">
        <v>4506</v>
      </c>
      <c r="AI661" t="s">
        <v>223</v>
      </c>
      <c r="AJ661" t="s">
        <v>4670</v>
      </c>
      <c r="AK661" t="s">
        <v>4519</v>
      </c>
      <c r="AL661" t="s">
        <v>4519</v>
      </c>
      <c r="AM661" t="s">
        <v>4510</v>
      </c>
      <c r="AN661" t="s">
        <v>4550</v>
      </c>
      <c r="AO661" s="134">
        <v>105.255985267035</v>
      </c>
      <c r="AP661" s="135">
        <v>117.996261682243</v>
      </c>
      <c r="AQ661">
        <v>0.32523364485981299</v>
      </c>
      <c r="AR661" s="136">
        <v>1.27663551401869</v>
      </c>
      <c r="AS661">
        <v>7.8317757009345801</v>
      </c>
      <c r="AU661"/>
      <c r="AV661"/>
      <c r="AW661"/>
      <c r="AX661"/>
    </row>
    <row r="662" spans="1:50" s="69" customFormat="1" ht="136">
      <c r="A662">
        <v>358</v>
      </c>
      <c r="B662" s="69" t="s">
        <v>589</v>
      </c>
      <c r="C662" s="69" t="s">
        <v>45</v>
      </c>
      <c r="D662" s="31">
        <f t="shared" si="55"/>
        <v>4</v>
      </c>
      <c r="E662" s="69" t="s">
        <v>80</v>
      </c>
      <c r="F662" s="31">
        <f t="shared" si="56"/>
        <v>4</v>
      </c>
      <c r="G662" s="196" t="s">
        <v>180</v>
      </c>
      <c r="H662" s="138">
        <v>50</v>
      </c>
      <c r="I662" s="92">
        <f t="shared" si="54"/>
        <v>0.50278272392116896</v>
      </c>
      <c r="J662" s="95">
        <v>0.18056544784233799</v>
      </c>
      <c r="K662" s="137">
        <v>0.79602566813892095</v>
      </c>
      <c r="L662" s="137">
        <v>0.82499999999999996</v>
      </c>
      <c r="M662" s="137">
        <v>0.75256417034730305</v>
      </c>
      <c r="N662" s="136">
        <v>1</v>
      </c>
      <c r="O662" s="154">
        <v>43213</v>
      </c>
      <c r="P662" s="98">
        <f t="shared" si="57"/>
        <v>0</v>
      </c>
      <c r="Q662" s="111">
        <v>7.65</v>
      </c>
      <c r="R662" s="111">
        <v>0</v>
      </c>
      <c r="S662" s="111">
        <v>0</v>
      </c>
      <c r="T662" s="112" t="s">
        <v>48</v>
      </c>
      <c r="U662" s="147" t="s">
        <v>1039</v>
      </c>
      <c r="V662" s="147" t="s">
        <v>1040</v>
      </c>
      <c r="W662" s="69">
        <v>198</v>
      </c>
      <c r="X662" s="195">
        <v>1</v>
      </c>
      <c r="Y662" s="195">
        <v>3</v>
      </c>
      <c r="Z662"/>
      <c r="AA662" t="s">
        <v>4556</v>
      </c>
      <c r="AB662" t="s">
        <v>4791</v>
      </c>
      <c r="AC662" t="s">
        <v>4515</v>
      </c>
      <c r="AD662" t="s">
        <v>4670</v>
      </c>
      <c r="AE662" t="s">
        <v>223</v>
      </c>
      <c r="AF662" t="s">
        <v>4825</v>
      </c>
      <c r="AG662" t="s">
        <v>223</v>
      </c>
      <c r="AH662" t="s">
        <v>4825</v>
      </c>
      <c r="AI662" t="s">
        <v>4515</v>
      </c>
      <c r="AJ662" t="s">
        <v>4670</v>
      </c>
      <c r="AK662" t="s">
        <v>4518</v>
      </c>
      <c r="AL662" t="s">
        <v>4519</v>
      </c>
      <c r="AM662" t="s">
        <v>4510</v>
      </c>
      <c r="AN662" t="s">
        <v>4523</v>
      </c>
      <c r="AO662" s="134">
        <v>105.27859778597799</v>
      </c>
      <c r="AP662" s="135">
        <v>117.996261682243</v>
      </c>
      <c r="AQ662">
        <v>0.32523364485981299</v>
      </c>
      <c r="AR662" s="136">
        <v>1.27663551401869</v>
      </c>
      <c r="AS662">
        <v>7.8317757009345801</v>
      </c>
      <c r="AU662"/>
      <c r="AV662"/>
      <c r="AW662"/>
      <c r="AX662"/>
    </row>
    <row r="663" spans="1:50" s="69" customFormat="1" ht="60">
      <c r="A663" s="65">
        <v>1140</v>
      </c>
      <c r="B663" s="69" t="s">
        <v>3082</v>
      </c>
      <c r="C663" s="69" t="s">
        <v>45</v>
      </c>
      <c r="D663" s="31">
        <f t="shared" si="55"/>
        <v>4</v>
      </c>
      <c r="E663" s="69" t="s">
        <v>80</v>
      </c>
      <c r="F663" s="31">
        <f t="shared" si="56"/>
        <v>4</v>
      </c>
      <c r="G663" s="191" t="s">
        <v>200</v>
      </c>
      <c r="H663" s="138">
        <v>98</v>
      </c>
      <c r="I663" s="92">
        <f t="shared" si="54"/>
        <v>0.31199341196308028</v>
      </c>
      <c r="J663" s="95">
        <v>4.15211318235853E-3</v>
      </c>
      <c r="K663" s="137">
        <v>0.65761511216056701</v>
      </c>
      <c r="L663" s="137">
        <v>0.61983471074380203</v>
      </c>
      <c r="M663" s="137">
        <v>0.71428571428571397</v>
      </c>
      <c r="N663" s="136">
        <v>1</v>
      </c>
      <c r="O663" s="204">
        <v>43212</v>
      </c>
      <c r="P663" s="98">
        <f t="shared" si="57"/>
        <v>0</v>
      </c>
      <c r="Q663" s="113">
        <v>0</v>
      </c>
      <c r="R663" s="113">
        <v>0</v>
      </c>
      <c r="S663" s="113">
        <v>0</v>
      </c>
      <c r="T663" s="119" t="s">
        <v>48</v>
      </c>
      <c r="U663" s="203" t="s">
        <v>3101</v>
      </c>
      <c r="V663" s="172" t="s">
        <v>3102</v>
      </c>
      <c r="W663" s="69">
        <v>38</v>
      </c>
      <c r="X663" s="195">
        <v>2</v>
      </c>
      <c r="Y663" s="195">
        <v>4</v>
      </c>
      <c r="AA663" t="s">
        <v>4653</v>
      </c>
      <c r="AB663" t="s">
        <v>51</v>
      </c>
      <c r="AC663" t="s">
        <v>223</v>
      </c>
      <c r="AD663" t="s">
        <v>4737</v>
      </c>
      <c r="AE663" t="s">
        <v>4513</v>
      </c>
      <c r="AF663" t="s">
        <v>4935</v>
      </c>
      <c r="AG663" t="s">
        <v>4353</v>
      </c>
      <c r="AH663" t="s">
        <v>4506</v>
      </c>
      <c r="AI663" t="s">
        <v>4353</v>
      </c>
      <c r="AJ663" t="s">
        <v>4506</v>
      </c>
      <c r="AK663" t="s">
        <v>4518</v>
      </c>
      <c r="AL663" t="s">
        <v>4552</v>
      </c>
      <c r="AM663" t="s">
        <v>4898</v>
      </c>
      <c r="AN663" t="s">
        <v>4974</v>
      </c>
      <c r="AO663" s="134">
        <v>105.292051756007</v>
      </c>
      <c r="AP663" s="135">
        <v>117.996261682243</v>
      </c>
      <c r="AQ663">
        <v>0.32523364485981299</v>
      </c>
      <c r="AR663" s="136">
        <v>1.27663551401869</v>
      </c>
      <c r="AS663">
        <v>7.8317757009345801</v>
      </c>
      <c r="AU663"/>
      <c r="AV663"/>
      <c r="AW663"/>
      <c r="AX663"/>
    </row>
    <row r="664" spans="1:50" s="69" customFormat="1" ht="46">
      <c r="A664" s="65">
        <v>1141</v>
      </c>
      <c r="B664" s="69" t="s">
        <v>3082</v>
      </c>
      <c r="C664" s="69" t="s">
        <v>45</v>
      </c>
      <c r="D664" s="31">
        <f t="shared" si="55"/>
        <v>4</v>
      </c>
      <c r="E664" s="69" t="s">
        <v>46</v>
      </c>
      <c r="F664" s="31">
        <f t="shared" si="56"/>
        <v>6</v>
      </c>
      <c r="G664" s="191" t="s">
        <v>3103</v>
      </c>
      <c r="H664" s="138">
        <v>85</v>
      </c>
      <c r="I664" s="92">
        <f t="shared" si="54"/>
        <v>0.83719478414625303</v>
      </c>
      <c r="J664" s="95">
        <v>0.99257138647432397</v>
      </c>
      <c r="K664" s="137">
        <v>0.566654298398379</v>
      </c>
      <c r="L664" s="137">
        <v>0.68181818181818199</v>
      </c>
      <c r="M664" s="137">
        <v>0.39390847326867401</v>
      </c>
      <c r="N664" s="136">
        <v>1</v>
      </c>
      <c r="O664" s="157">
        <v>43211</v>
      </c>
      <c r="P664" s="98">
        <f t="shared" si="57"/>
        <v>0</v>
      </c>
      <c r="Q664" s="113">
        <v>0</v>
      </c>
      <c r="R664" s="113">
        <v>0</v>
      </c>
      <c r="S664" s="113">
        <v>0</v>
      </c>
      <c r="T664" s="119" t="s">
        <v>48</v>
      </c>
      <c r="U664" s="203" t="s">
        <v>3104</v>
      </c>
      <c r="V664" s="207" t="s">
        <v>3105</v>
      </c>
      <c r="W664" s="69">
        <v>56</v>
      </c>
      <c r="X664" s="195">
        <v>2</v>
      </c>
      <c r="Y664" s="195">
        <v>18</v>
      </c>
      <c r="AA664" t="s">
        <v>4564</v>
      </c>
      <c r="AB664" t="s">
        <v>51</v>
      </c>
      <c r="AC664" t="s">
        <v>4353</v>
      </c>
      <c r="AD664" t="s">
        <v>4506</v>
      </c>
      <c r="AE664" t="s">
        <v>4515</v>
      </c>
      <c r="AF664" t="s">
        <v>4544</v>
      </c>
      <c r="AG664" t="s">
        <v>223</v>
      </c>
      <c r="AH664" t="s">
        <v>4721</v>
      </c>
      <c r="AI664" t="s">
        <v>4353</v>
      </c>
      <c r="AJ664" t="s">
        <v>4506</v>
      </c>
      <c r="AK664" t="s">
        <v>4519</v>
      </c>
      <c r="AL664" t="s">
        <v>4519</v>
      </c>
      <c r="AM664" t="s">
        <v>4528</v>
      </c>
      <c r="AN664" t="s">
        <v>4529</v>
      </c>
      <c r="AO664" s="134">
        <v>105.32962962963001</v>
      </c>
      <c r="AP664" s="135">
        <v>117.996261682243</v>
      </c>
      <c r="AQ664">
        <v>0.32523364485981299</v>
      </c>
      <c r="AR664" s="136">
        <v>1.27663551401869</v>
      </c>
      <c r="AS664">
        <v>7.8317757009345801</v>
      </c>
      <c r="AU664"/>
      <c r="AV664"/>
      <c r="AW664"/>
      <c r="AX664"/>
    </row>
    <row r="665" spans="1:50" s="69" customFormat="1" ht="45">
      <c r="A665">
        <v>1142</v>
      </c>
      <c r="B665" s="69" t="s">
        <v>3082</v>
      </c>
      <c r="C665" s="69" t="s">
        <v>45</v>
      </c>
      <c r="D665" s="31">
        <f t="shared" si="55"/>
        <v>4</v>
      </c>
      <c r="E665" s="69" t="s">
        <v>80</v>
      </c>
      <c r="F665" s="31">
        <f t="shared" si="56"/>
        <v>4</v>
      </c>
      <c r="G665" s="190" t="s">
        <v>180</v>
      </c>
      <c r="H665" s="138">
        <v>60</v>
      </c>
      <c r="I665" s="92">
        <f t="shared" si="54"/>
        <v>0.86160694132192051</v>
      </c>
      <c r="J665" s="95">
        <v>0.97321388264384101</v>
      </c>
      <c r="K665" s="137">
        <v>0.71002915755524698</v>
      </c>
      <c r="L665" s="137">
        <v>0.75</v>
      </c>
      <c r="M665" s="137">
        <v>0.65007289388811795</v>
      </c>
      <c r="N665" s="136">
        <v>1</v>
      </c>
      <c r="O665" s="157">
        <v>43210</v>
      </c>
      <c r="P665" s="98">
        <f t="shared" si="57"/>
        <v>0</v>
      </c>
      <c r="Q665" s="113">
        <v>2.5499999999999998</v>
      </c>
      <c r="R665" s="113">
        <v>0</v>
      </c>
      <c r="S665" s="113">
        <v>0</v>
      </c>
      <c r="T665" s="119" t="s">
        <v>48</v>
      </c>
      <c r="U665" s="89" t="s">
        <v>3106</v>
      </c>
      <c r="V665" s="172" t="s">
        <v>3102</v>
      </c>
      <c r="W665" s="69">
        <v>38</v>
      </c>
      <c r="X665" s="195">
        <v>2</v>
      </c>
      <c r="Y665" s="195">
        <v>6</v>
      </c>
      <c r="AA665" t="s">
        <v>4512</v>
      </c>
      <c r="AB665" t="s">
        <v>51</v>
      </c>
      <c r="AC665" t="s">
        <v>223</v>
      </c>
      <c r="AD665" t="s">
        <v>4737</v>
      </c>
      <c r="AE665" t="s">
        <v>4513</v>
      </c>
      <c r="AF665" t="s">
        <v>4935</v>
      </c>
      <c r="AG665" t="s">
        <v>4353</v>
      </c>
      <c r="AH665" t="s">
        <v>4506</v>
      </c>
      <c r="AI665" t="s">
        <v>4353</v>
      </c>
      <c r="AJ665" t="s">
        <v>4506</v>
      </c>
      <c r="AK665" t="s">
        <v>4519</v>
      </c>
      <c r="AL665" t="s">
        <v>4552</v>
      </c>
      <c r="AM665" t="s">
        <v>4510</v>
      </c>
      <c r="AN665" t="s">
        <v>4634</v>
      </c>
      <c r="AO665" s="134">
        <v>105.41372912801501</v>
      </c>
      <c r="AP665" s="135">
        <v>117.996261682243</v>
      </c>
      <c r="AQ665">
        <v>0.32523364485981299</v>
      </c>
      <c r="AR665" s="136">
        <v>1.27663551401869</v>
      </c>
      <c r="AS665">
        <v>7.8317757009345801</v>
      </c>
      <c r="AU665"/>
      <c r="AV665"/>
      <c r="AW665"/>
      <c r="AX665"/>
    </row>
    <row r="666" spans="1:50" s="69" customFormat="1" ht="136">
      <c r="A666" s="65">
        <v>808</v>
      </c>
      <c r="B666" s="69" t="s">
        <v>2179</v>
      </c>
      <c r="C666" s="69" t="s">
        <v>45</v>
      </c>
      <c r="D666" s="31">
        <f t="shared" si="55"/>
        <v>4</v>
      </c>
      <c r="E666" s="69" t="s">
        <v>80</v>
      </c>
      <c r="F666" s="31">
        <f t="shared" si="56"/>
        <v>4</v>
      </c>
      <c r="G666" s="137" t="s">
        <v>305</v>
      </c>
      <c r="H666" s="138">
        <v>87</v>
      </c>
      <c r="I666" s="92">
        <f t="shared" si="54"/>
        <v>0.41256795549093128</v>
      </c>
      <c r="J666" s="95">
        <v>1.35910981862608E-4</v>
      </c>
      <c r="K666" s="137">
        <v>0.78071428571428603</v>
      </c>
      <c r="L666" s="137">
        <v>0.82499999999999996</v>
      </c>
      <c r="M666" s="137">
        <v>0.71428571428571397</v>
      </c>
      <c r="N666" s="136">
        <v>0</v>
      </c>
      <c r="O666" s="154">
        <v>43209</v>
      </c>
      <c r="P666" s="98">
        <f t="shared" si="57"/>
        <v>0</v>
      </c>
      <c r="Q666" s="113">
        <v>0</v>
      </c>
      <c r="R666" s="113">
        <v>0</v>
      </c>
      <c r="S666" s="113">
        <v>0</v>
      </c>
      <c r="T666" s="114" t="s">
        <v>48</v>
      </c>
      <c r="U666" s="137" t="s">
        <v>2208</v>
      </c>
      <c r="V666" s="137" t="s">
        <v>2209</v>
      </c>
      <c r="W666" s="69">
        <v>201</v>
      </c>
      <c r="X666" s="69">
        <v>0</v>
      </c>
      <c r="Y666" s="69">
        <v>4</v>
      </c>
      <c r="AA666" t="s">
        <v>4512</v>
      </c>
      <c r="AB666" t="s">
        <v>87</v>
      </c>
      <c r="AC666" t="s">
        <v>4515</v>
      </c>
      <c r="AD666" t="s">
        <v>4606</v>
      </c>
      <c r="AE666" t="s">
        <v>223</v>
      </c>
      <c r="AF666" t="s">
        <v>4567</v>
      </c>
      <c r="AG666" t="s">
        <v>223</v>
      </c>
      <c r="AH666" t="s">
        <v>4567</v>
      </c>
      <c r="AI666" t="s">
        <v>223</v>
      </c>
      <c r="AJ666" t="s">
        <v>4567</v>
      </c>
      <c r="AK666" t="s">
        <v>4518</v>
      </c>
      <c r="AL666" t="s">
        <v>4552</v>
      </c>
      <c r="AM666" t="s">
        <v>4510</v>
      </c>
      <c r="AN666" t="s">
        <v>4553</v>
      </c>
      <c r="AO666" s="134">
        <v>105.447955390335</v>
      </c>
      <c r="AP666" s="135">
        <v>117.36226415094301</v>
      </c>
      <c r="AQ666">
        <v>0.32452830188679199</v>
      </c>
      <c r="AR666" s="136">
        <v>1.2754716981132099</v>
      </c>
      <c r="AS666">
        <v>7.8094339622641504</v>
      </c>
      <c r="AU666"/>
      <c r="AV666"/>
      <c r="AW666"/>
      <c r="AX666"/>
    </row>
    <row r="667" spans="1:50" s="69" customFormat="1" ht="76">
      <c r="A667" s="65">
        <v>597</v>
      </c>
      <c r="B667" s="69" t="s">
        <v>1628</v>
      </c>
      <c r="C667" s="69" t="s">
        <v>45</v>
      </c>
      <c r="D667" s="31">
        <f t="shared" si="55"/>
        <v>4</v>
      </c>
      <c r="E667" s="69" t="s">
        <v>833</v>
      </c>
      <c r="F667" s="31">
        <f t="shared" si="56"/>
        <v>3</v>
      </c>
      <c r="G667" s="137" t="s">
        <v>1667</v>
      </c>
      <c r="H667" s="138">
        <v>32</v>
      </c>
      <c r="I667" s="92">
        <f t="shared" si="54"/>
        <v>0.37679459087508765</v>
      </c>
      <c r="J667" s="95">
        <v>3.5891817501753102E-3</v>
      </c>
      <c r="K667" s="137">
        <v>0.607563389307469</v>
      </c>
      <c r="L667" s="137">
        <v>0.75</v>
      </c>
      <c r="M667" s="137">
        <v>0.39390847326867401</v>
      </c>
      <c r="N667" s="136">
        <v>1</v>
      </c>
      <c r="O667" s="154">
        <v>43206</v>
      </c>
      <c r="P667" s="98">
        <f t="shared" si="57"/>
        <v>1</v>
      </c>
      <c r="Q667" s="111">
        <v>2.5499999999999998</v>
      </c>
      <c r="R667" s="111">
        <v>1.65</v>
      </c>
      <c r="S667" s="111">
        <v>0</v>
      </c>
      <c r="T667" s="112" t="s">
        <v>73</v>
      </c>
      <c r="U667" s="188" t="s">
        <v>1668</v>
      </c>
      <c r="V667" s="137" t="s">
        <v>1669</v>
      </c>
      <c r="W667" s="69">
        <v>45</v>
      </c>
      <c r="X667" s="188">
        <v>2</v>
      </c>
      <c r="Y667" s="188">
        <v>18</v>
      </c>
      <c r="AA667" t="s">
        <v>4564</v>
      </c>
      <c r="AB667" t="s">
        <v>4597</v>
      </c>
      <c r="AC667" t="s">
        <v>223</v>
      </c>
      <c r="AD667" t="s">
        <v>4779</v>
      </c>
      <c r="AE667" t="s">
        <v>4353</v>
      </c>
      <c r="AF667" t="s">
        <v>4506</v>
      </c>
      <c r="AG667" t="s">
        <v>223</v>
      </c>
      <c r="AH667" t="s">
        <v>4779</v>
      </c>
      <c r="AI667" t="s">
        <v>4353</v>
      </c>
      <c r="AJ667" t="s">
        <v>4506</v>
      </c>
      <c r="AK667" t="s">
        <v>4519</v>
      </c>
      <c r="AL667" t="s">
        <v>4519</v>
      </c>
      <c r="AM667" t="s">
        <v>4528</v>
      </c>
      <c r="AN667" t="s">
        <v>4529</v>
      </c>
      <c r="AO667" s="134">
        <v>105.335195530726</v>
      </c>
      <c r="AP667" s="135">
        <v>117.481904761905</v>
      </c>
      <c r="AQ667">
        <v>0.32</v>
      </c>
      <c r="AR667" s="136">
        <v>1.2780952380952399</v>
      </c>
      <c r="AS667">
        <v>7.84</v>
      </c>
      <c r="AU667"/>
      <c r="AV667"/>
      <c r="AW667"/>
      <c r="AX667"/>
    </row>
    <row r="668" spans="1:50" s="69" customFormat="1" ht="121">
      <c r="A668">
        <v>26</v>
      </c>
      <c r="B668" s="136" t="s">
        <v>115</v>
      </c>
      <c r="C668" s="136" t="s">
        <v>45</v>
      </c>
      <c r="D668" s="31">
        <f t="shared" si="55"/>
        <v>4</v>
      </c>
      <c r="E668" s="136" t="s">
        <v>46</v>
      </c>
      <c r="F668" s="31">
        <f t="shared" si="56"/>
        <v>6</v>
      </c>
      <c r="G668" s="137" t="s">
        <v>126</v>
      </c>
      <c r="H668" s="138">
        <v>166</v>
      </c>
      <c r="I668" s="92">
        <f t="shared" si="54"/>
        <v>0.30991846142607032</v>
      </c>
      <c r="J668" s="95">
        <v>2.2121083396164899E-6</v>
      </c>
      <c r="K668" s="137">
        <v>0.69108862288210404</v>
      </c>
      <c r="L668" s="137">
        <v>0.61983471074380103</v>
      </c>
      <c r="M668" s="137">
        <v>0.79796949108955795</v>
      </c>
      <c r="N668" s="136">
        <v>1</v>
      </c>
      <c r="O668" s="41">
        <v>43206</v>
      </c>
      <c r="P668" s="98">
        <f t="shared" si="57"/>
        <v>0</v>
      </c>
      <c r="Q668" s="111">
        <v>12.75</v>
      </c>
      <c r="R668" s="111">
        <v>1.65</v>
      </c>
      <c r="S668" s="111">
        <v>1.87</v>
      </c>
      <c r="T668" s="112" t="s">
        <v>48</v>
      </c>
      <c r="U668" s="137" t="s">
        <v>127</v>
      </c>
      <c r="V668" s="136" t="s">
        <v>128</v>
      </c>
      <c r="W668" s="69">
        <v>169</v>
      </c>
      <c r="X668" s="136">
        <v>1</v>
      </c>
      <c r="Y668" s="136">
        <v>2</v>
      </c>
      <c r="Z668"/>
      <c r="AA668" t="s">
        <v>4975</v>
      </c>
      <c r="AB668" t="s">
        <v>51</v>
      </c>
      <c r="AC668" t="s">
        <v>4353</v>
      </c>
      <c r="AD668" t="s">
        <v>4506</v>
      </c>
      <c r="AE668" t="s">
        <v>4931</v>
      </c>
      <c r="AF668" t="s">
        <v>4976</v>
      </c>
      <c r="AG668" t="s">
        <v>4513</v>
      </c>
      <c r="AH668" t="s">
        <v>4939</v>
      </c>
      <c r="AI668" t="s">
        <v>4515</v>
      </c>
      <c r="AJ668" t="s">
        <v>4714</v>
      </c>
      <c r="AK668" t="s">
        <v>4518</v>
      </c>
      <c r="AL668" t="s">
        <v>4519</v>
      </c>
      <c r="AM668" t="s">
        <v>4510</v>
      </c>
      <c r="AN668" t="s">
        <v>4523</v>
      </c>
      <c r="AO668" s="134">
        <v>105.472014925373</v>
      </c>
      <c r="AP668" s="135">
        <v>117.481904761905</v>
      </c>
      <c r="AQ668">
        <v>0.32</v>
      </c>
      <c r="AR668" s="136">
        <v>1.2780952380952399</v>
      </c>
      <c r="AS668">
        <v>7.84</v>
      </c>
      <c r="AU668"/>
      <c r="AV668"/>
      <c r="AW668"/>
      <c r="AX668"/>
    </row>
    <row r="669" spans="1:50" s="69" customFormat="1" ht="136">
      <c r="A669">
        <v>598</v>
      </c>
      <c r="B669" s="69" t="s">
        <v>1628</v>
      </c>
      <c r="C669" s="69" t="s">
        <v>45</v>
      </c>
      <c r="D669" s="31">
        <f t="shared" si="55"/>
        <v>4</v>
      </c>
      <c r="E669" s="69" t="s">
        <v>80</v>
      </c>
      <c r="F669" s="31">
        <f t="shared" si="56"/>
        <v>4</v>
      </c>
      <c r="G669" s="137" t="s">
        <v>1670</v>
      </c>
      <c r="H669" s="138">
        <v>71</v>
      </c>
      <c r="I669" s="92">
        <f t="shared" si="54"/>
        <v>0.42002501603670728</v>
      </c>
      <c r="J669" s="95">
        <v>1.50500320734146E-2</v>
      </c>
      <c r="K669" s="137">
        <v>0.78071428571428603</v>
      </c>
      <c r="L669" s="137">
        <v>0.82499999999999996</v>
      </c>
      <c r="M669" s="137">
        <v>0.71428571428571397</v>
      </c>
      <c r="N669" s="136">
        <v>1</v>
      </c>
      <c r="O669" s="154">
        <v>43205</v>
      </c>
      <c r="P669" s="98">
        <f t="shared" si="57"/>
        <v>0</v>
      </c>
      <c r="Q669" s="111">
        <v>0</v>
      </c>
      <c r="R669" s="111">
        <v>0</v>
      </c>
      <c r="S669" s="111">
        <v>0</v>
      </c>
      <c r="T669" s="112" t="s">
        <v>48</v>
      </c>
      <c r="U669" s="137" t="s">
        <v>1671</v>
      </c>
      <c r="V669" s="137" t="s">
        <v>1672</v>
      </c>
      <c r="W669" s="69">
        <v>189</v>
      </c>
      <c r="X669" s="69">
        <v>2</v>
      </c>
      <c r="Y669" s="69">
        <v>4</v>
      </c>
      <c r="AA669" t="s">
        <v>4522</v>
      </c>
      <c r="AB669" t="s">
        <v>87</v>
      </c>
      <c r="AC669" t="s">
        <v>4513</v>
      </c>
      <c r="AD669" t="s">
        <v>4750</v>
      </c>
      <c r="AE669" t="s">
        <v>223</v>
      </c>
      <c r="AF669" t="s">
        <v>4977</v>
      </c>
      <c r="AG669" t="s">
        <v>223</v>
      </c>
      <c r="AH669" t="s">
        <v>4977</v>
      </c>
      <c r="AI669" t="s">
        <v>4515</v>
      </c>
      <c r="AJ669" t="s">
        <v>4689</v>
      </c>
      <c r="AK669" t="s">
        <v>4519</v>
      </c>
      <c r="AL669" t="s">
        <v>4519</v>
      </c>
      <c r="AM669" t="s">
        <v>4510</v>
      </c>
      <c r="AN669" t="s">
        <v>4550</v>
      </c>
      <c r="AO669" s="134">
        <v>105.536448598131</v>
      </c>
      <c r="AP669" s="135">
        <v>117.481904761905</v>
      </c>
      <c r="AQ669">
        <v>0.32</v>
      </c>
      <c r="AR669" s="136">
        <v>1.2780952380952399</v>
      </c>
      <c r="AS669">
        <v>7.84</v>
      </c>
      <c r="AU669"/>
      <c r="AV669"/>
      <c r="AW669"/>
      <c r="AX669"/>
    </row>
    <row r="670" spans="1:50" s="69" customFormat="1" ht="106">
      <c r="A670">
        <v>711</v>
      </c>
      <c r="B670" s="69" t="s">
        <v>1913</v>
      </c>
      <c r="C670" s="69" t="s">
        <v>45</v>
      </c>
      <c r="D670" s="31">
        <f t="shared" si="55"/>
        <v>4</v>
      </c>
      <c r="E670" s="69" t="s">
        <v>80</v>
      </c>
      <c r="F670" s="31">
        <f t="shared" si="56"/>
        <v>4</v>
      </c>
      <c r="G670" s="137" t="s">
        <v>1955</v>
      </c>
      <c r="H670" s="138">
        <v>151</v>
      </c>
      <c r="I670" s="92">
        <f t="shared" si="54"/>
        <v>0.30991735674047788</v>
      </c>
      <c r="J670" s="95">
        <v>2.7371547250965002E-9</v>
      </c>
      <c r="K670" s="137">
        <v>0.65761511216056701</v>
      </c>
      <c r="L670" s="137">
        <v>0.61983471074380103</v>
      </c>
      <c r="M670" s="137">
        <v>0.71428571428571397</v>
      </c>
      <c r="N670" s="136">
        <v>1</v>
      </c>
      <c r="O670" s="154">
        <v>43205</v>
      </c>
      <c r="P670" s="98">
        <f t="shared" si="57"/>
        <v>0</v>
      </c>
      <c r="Q670" s="111">
        <v>0</v>
      </c>
      <c r="R670" s="111">
        <v>1.65</v>
      </c>
      <c r="S670" s="111">
        <v>0</v>
      </c>
      <c r="T670" s="112" t="s">
        <v>48</v>
      </c>
      <c r="U670" s="137" t="s">
        <v>1956</v>
      </c>
      <c r="V670" s="137" t="s">
        <v>1957</v>
      </c>
      <c r="W670" s="69">
        <v>148</v>
      </c>
      <c r="X670" s="69">
        <v>1</v>
      </c>
      <c r="Y670" s="69">
        <v>4</v>
      </c>
      <c r="AA670" t="s">
        <v>4660</v>
      </c>
      <c r="AB670" t="s">
        <v>4827</v>
      </c>
      <c r="AC670" t="s">
        <v>4515</v>
      </c>
      <c r="AD670" t="s">
        <v>4803</v>
      </c>
      <c r="AE670" t="s">
        <v>4515</v>
      </c>
      <c r="AF670" t="s">
        <v>4803</v>
      </c>
      <c r="AG670" t="s">
        <v>223</v>
      </c>
      <c r="AH670" t="s">
        <v>4616</v>
      </c>
      <c r="AI670" t="s">
        <v>4515</v>
      </c>
      <c r="AJ670" t="s">
        <v>4803</v>
      </c>
      <c r="AK670" t="s">
        <v>4518</v>
      </c>
      <c r="AL670" t="s">
        <v>4519</v>
      </c>
      <c r="AM670" t="s">
        <v>4520</v>
      </c>
      <c r="AN670" t="s">
        <v>4521</v>
      </c>
      <c r="AO670" s="134">
        <v>105.451310861423</v>
      </c>
      <c r="AP670" s="135">
        <v>117.481904761905</v>
      </c>
      <c r="AQ670">
        <v>0.32</v>
      </c>
      <c r="AR670" s="136">
        <v>1.2780952380952399</v>
      </c>
      <c r="AS670">
        <v>7.84</v>
      </c>
      <c r="AU670"/>
      <c r="AV670"/>
      <c r="AW670"/>
      <c r="AX670"/>
    </row>
    <row r="671" spans="1:50" s="69" customFormat="1" ht="106">
      <c r="A671" s="65">
        <v>712</v>
      </c>
      <c r="B671" s="69" t="s">
        <v>1913</v>
      </c>
      <c r="C671" s="69" t="s">
        <v>45</v>
      </c>
      <c r="D671" s="31">
        <f t="shared" si="55"/>
        <v>4</v>
      </c>
      <c r="E671" s="69" t="s">
        <v>80</v>
      </c>
      <c r="F671" s="31">
        <f t="shared" si="56"/>
        <v>4</v>
      </c>
      <c r="G671" s="136" t="s">
        <v>364</v>
      </c>
      <c r="H671" s="138">
        <v>40</v>
      </c>
      <c r="I671" s="92">
        <f t="shared" si="54"/>
        <v>0.44802380272940118</v>
      </c>
      <c r="J671" s="95">
        <v>7.1047605458802399E-2</v>
      </c>
      <c r="K671" s="137">
        <v>0.76722468700001201</v>
      </c>
      <c r="L671" s="137">
        <v>0.82499999999999996</v>
      </c>
      <c r="M671" s="137">
        <v>0.68056171750003003</v>
      </c>
      <c r="N671" s="136">
        <v>1</v>
      </c>
      <c r="O671" s="194">
        <v>43204</v>
      </c>
      <c r="P671" s="98">
        <f t="shared" si="57"/>
        <v>0</v>
      </c>
      <c r="Q671" s="111">
        <v>0</v>
      </c>
      <c r="R671" s="111">
        <v>1.65</v>
      </c>
      <c r="S671" s="111">
        <v>0</v>
      </c>
      <c r="T671" s="112" t="s">
        <v>48</v>
      </c>
      <c r="U671" s="188" t="s">
        <v>1958</v>
      </c>
      <c r="V671" s="137" t="s">
        <v>1957</v>
      </c>
      <c r="W671" s="69">
        <v>148</v>
      </c>
      <c r="X671" s="195">
        <v>2</v>
      </c>
      <c r="Y671" s="195">
        <v>5</v>
      </c>
      <c r="AA671" t="s">
        <v>4564</v>
      </c>
      <c r="AB671" t="s">
        <v>4827</v>
      </c>
      <c r="AC671" t="s">
        <v>4515</v>
      </c>
      <c r="AD671" t="s">
        <v>4803</v>
      </c>
      <c r="AE671" t="s">
        <v>4515</v>
      </c>
      <c r="AF671" t="s">
        <v>4803</v>
      </c>
      <c r="AG671" t="s">
        <v>223</v>
      </c>
      <c r="AH671" t="s">
        <v>4616</v>
      </c>
      <c r="AI671" t="s">
        <v>4515</v>
      </c>
      <c r="AJ671" t="s">
        <v>4803</v>
      </c>
      <c r="AK671" t="s">
        <v>4518</v>
      </c>
      <c r="AL671" t="s">
        <v>4519</v>
      </c>
      <c r="AM671" t="s">
        <v>4510</v>
      </c>
      <c r="AN671" t="s">
        <v>4523</v>
      </c>
      <c r="AO671" s="134">
        <v>105.574108818011</v>
      </c>
      <c r="AP671" s="135">
        <v>117.481904761905</v>
      </c>
      <c r="AQ671">
        <v>0.32</v>
      </c>
      <c r="AR671" s="136">
        <v>1.2780952380952399</v>
      </c>
      <c r="AS671">
        <v>7.84</v>
      </c>
      <c r="AU671"/>
      <c r="AV671"/>
      <c r="AW671"/>
      <c r="AX671"/>
    </row>
    <row r="672" spans="1:50" s="69" customFormat="1" ht="106">
      <c r="A672">
        <v>95</v>
      </c>
      <c r="B672" s="69" t="s">
        <v>217</v>
      </c>
      <c r="C672" s="69" t="s">
        <v>45</v>
      </c>
      <c r="D672" s="31">
        <f t="shared" si="55"/>
        <v>4</v>
      </c>
      <c r="E672" s="69" t="s">
        <v>46</v>
      </c>
      <c r="F672" s="31">
        <f t="shared" si="56"/>
        <v>6</v>
      </c>
      <c r="G672" s="137" t="s">
        <v>331</v>
      </c>
      <c r="H672" s="138">
        <v>175</v>
      </c>
      <c r="I672" s="92">
        <f t="shared" si="54"/>
        <v>0.86550876175450897</v>
      </c>
      <c r="J672" s="95">
        <v>0.98101752350901805</v>
      </c>
      <c r="K672" s="137">
        <v>0.63619100647005999</v>
      </c>
      <c r="L672" s="137">
        <v>0.75</v>
      </c>
      <c r="M672" s="137">
        <v>0.46547751617515098</v>
      </c>
      <c r="N672" s="136">
        <v>1</v>
      </c>
      <c r="O672" s="161">
        <v>43202</v>
      </c>
      <c r="P672" s="98">
        <f t="shared" si="57"/>
        <v>1</v>
      </c>
      <c r="Q672" s="111">
        <v>2.5499999999999998</v>
      </c>
      <c r="R672" s="111">
        <v>0</v>
      </c>
      <c r="S672" s="111">
        <v>0</v>
      </c>
      <c r="T672" s="112" t="s">
        <v>73</v>
      </c>
      <c r="U672" s="137" t="s">
        <v>332</v>
      </c>
      <c r="V672" s="137" t="s">
        <v>333</v>
      </c>
      <c r="W672" s="69">
        <v>103</v>
      </c>
      <c r="X672" s="195">
        <v>2</v>
      </c>
      <c r="Y672" s="195">
        <v>14</v>
      </c>
      <c r="Z672"/>
      <c r="AA672" t="s">
        <v>4564</v>
      </c>
      <c r="AB672" t="s">
        <v>51</v>
      </c>
      <c r="AC672" t="s">
        <v>223</v>
      </c>
      <c r="AD672" t="s">
        <v>4649</v>
      </c>
      <c r="AE672" t="s">
        <v>4538</v>
      </c>
      <c r="AF672" t="s">
        <v>4978</v>
      </c>
      <c r="AG672" t="s">
        <v>4513</v>
      </c>
      <c r="AH672" t="s">
        <v>4656</v>
      </c>
      <c r="AI672" t="s">
        <v>4353</v>
      </c>
      <c r="AJ672" t="s">
        <v>4506</v>
      </c>
      <c r="AK672" t="s">
        <v>4519</v>
      </c>
      <c r="AL672" t="s">
        <v>4519</v>
      </c>
      <c r="AM672" t="s">
        <v>4528</v>
      </c>
      <c r="AN672" t="s">
        <v>4529</v>
      </c>
      <c r="AO672" s="134">
        <v>105.624060150376</v>
      </c>
      <c r="AP672" s="135">
        <v>117.43785850860399</v>
      </c>
      <c r="AQ672">
        <v>0.321223709369025</v>
      </c>
      <c r="AR672" s="136">
        <v>1.2772466539196901</v>
      </c>
      <c r="AS672">
        <v>7.8642447418738097</v>
      </c>
      <c r="AU672"/>
      <c r="AV672"/>
      <c r="AW672"/>
      <c r="AX672"/>
    </row>
    <row r="673" spans="1:50" s="69" customFormat="1" ht="76">
      <c r="A673">
        <v>46</v>
      </c>
      <c r="B673" s="136" t="s">
        <v>170</v>
      </c>
      <c r="C673" s="136" t="s">
        <v>59</v>
      </c>
      <c r="D673" s="31">
        <f t="shared" si="55"/>
        <v>5</v>
      </c>
      <c r="E673" s="136" t="s">
        <v>80</v>
      </c>
      <c r="F673" s="31">
        <f t="shared" si="56"/>
        <v>4</v>
      </c>
      <c r="G673" s="169" t="s">
        <v>186</v>
      </c>
      <c r="H673" s="138">
        <v>79</v>
      </c>
      <c r="I673" s="92">
        <f t="shared" si="54"/>
        <v>0.78832869801814409</v>
      </c>
      <c r="J673" s="95">
        <v>0.95682268529248704</v>
      </c>
      <c r="K673" s="137">
        <v>0.65761511216056701</v>
      </c>
      <c r="L673" s="137">
        <v>0.61983471074380103</v>
      </c>
      <c r="M673" s="137">
        <v>0.71428571428571397</v>
      </c>
      <c r="N673" s="136">
        <v>1</v>
      </c>
      <c r="O673" s="193">
        <v>43202</v>
      </c>
      <c r="P673" s="98">
        <f t="shared" si="57"/>
        <v>1</v>
      </c>
      <c r="Q673" s="113">
        <v>0</v>
      </c>
      <c r="R673" s="113">
        <v>0</v>
      </c>
      <c r="S673" s="113">
        <v>0</v>
      </c>
      <c r="T673" s="114" t="s">
        <v>73</v>
      </c>
      <c r="U673" s="209" t="s">
        <v>187</v>
      </c>
      <c r="V673" s="136" t="s">
        <v>188</v>
      </c>
      <c r="W673" s="69">
        <v>95</v>
      </c>
      <c r="X673" s="209">
        <v>2</v>
      </c>
      <c r="Y673" s="209">
        <v>4</v>
      </c>
      <c r="Z673"/>
      <c r="AA673" t="s">
        <v>4573</v>
      </c>
      <c r="AB673" t="s">
        <v>4597</v>
      </c>
      <c r="AC673" t="s">
        <v>4515</v>
      </c>
      <c r="AD673" t="s">
        <v>4602</v>
      </c>
      <c r="AE673" t="s">
        <v>223</v>
      </c>
      <c r="AF673" t="s">
        <v>4689</v>
      </c>
      <c r="AG673" t="s">
        <v>4515</v>
      </c>
      <c r="AH673" t="s">
        <v>4602</v>
      </c>
      <c r="AI673" t="s">
        <v>4353</v>
      </c>
      <c r="AJ673" t="s">
        <v>4506</v>
      </c>
      <c r="AK673" t="s">
        <v>4519</v>
      </c>
      <c r="AL673" t="s">
        <v>4519</v>
      </c>
      <c r="AM673" t="s">
        <v>4519</v>
      </c>
      <c r="AN673" t="s">
        <v>4564</v>
      </c>
      <c r="AO673" s="134">
        <v>105.49340866289999</v>
      </c>
      <c r="AP673" s="135">
        <v>117.43785850860399</v>
      </c>
      <c r="AQ673">
        <v>0.321223709369025</v>
      </c>
      <c r="AR673" s="136">
        <v>1.2772466539196901</v>
      </c>
      <c r="AS673">
        <v>7.8642447418738097</v>
      </c>
      <c r="AU673"/>
      <c r="AV673"/>
      <c r="AW673"/>
      <c r="AX673"/>
    </row>
    <row r="674" spans="1:50" s="69" customFormat="1" ht="76">
      <c r="A674" s="65">
        <v>1029</v>
      </c>
      <c r="B674" s="69" t="s">
        <v>2752</v>
      </c>
      <c r="C674" s="69" t="s">
        <v>45</v>
      </c>
      <c r="D674" s="31">
        <f t="shared" si="55"/>
        <v>4</v>
      </c>
      <c r="E674" s="69" t="s">
        <v>80</v>
      </c>
      <c r="F674" s="31">
        <f t="shared" si="56"/>
        <v>4</v>
      </c>
      <c r="G674" s="139" t="s">
        <v>305</v>
      </c>
      <c r="H674" s="138">
        <v>52</v>
      </c>
      <c r="I674" s="92">
        <f t="shared" si="54"/>
        <v>0.50984148316042344</v>
      </c>
      <c r="J674" s="95">
        <v>0.194682966320847</v>
      </c>
      <c r="K674" s="137">
        <v>0.83785714285714297</v>
      </c>
      <c r="L674" s="137">
        <v>0.82499999999999996</v>
      </c>
      <c r="M674" s="137">
        <v>0.85714285714285698</v>
      </c>
      <c r="N674" s="136">
        <v>1</v>
      </c>
      <c r="O674" s="157">
        <v>43202</v>
      </c>
      <c r="P674" s="98">
        <f t="shared" si="57"/>
        <v>0</v>
      </c>
      <c r="Q674" s="113">
        <v>5.0999999999999996</v>
      </c>
      <c r="R674" s="113">
        <v>1.65</v>
      </c>
      <c r="S674" s="113">
        <v>0</v>
      </c>
      <c r="T674" s="119" t="s">
        <v>48</v>
      </c>
      <c r="U674" s="89" t="s">
        <v>2793</v>
      </c>
      <c r="V674" s="172" t="s">
        <v>2794</v>
      </c>
      <c r="W674" s="69">
        <v>101</v>
      </c>
      <c r="X674" s="69">
        <v>1</v>
      </c>
      <c r="Y674" s="69">
        <v>1</v>
      </c>
      <c r="AA674" t="s">
        <v>4556</v>
      </c>
      <c r="AB674" t="s">
        <v>87</v>
      </c>
      <c r="AC674" t="s">
        <v>4530</v>
      </c>
      <c r="AD674" t="s">
        <v>4932</v>
      </c>
      <c r="AE674" t="s">
        <v>4515</v>
      </c>
      <c r="AF674" t="s">
        <v>4607</v>
      </c>
      <c r="AG674" t="s">
        <v>223</v>
      </c>
      <c r="AH674" t="s">
        <v>4606</v>
      </c>
      <c r="AI674" t="s">
        <v>4515</v>
      </c>
      <c r="AJ674" t="s">
        <v>4607</v>
      </c>
      <c r="AK674" t="s">
        <v>4518</v>
      </c>
      <c r="AL674" t="s">
        <v>4552</v>
      </c>
      <c r="AM674" t="s">
        <v>4510</v>
      </c>
      <c r="AN674" t="s">
        <v>4553</v>
      </c>
      <c r="AO674" s="134">
        <v>105.594339622642</v>
      </c>
      <c r="AP674" s="135">
        <v>117.43785850860399</v>
      </c>
      <c r="AQ674">
        <v>0.321223709369025</v>
      </c>
      <c r="AR674" s="136">
        <v>1.2772466539196901</v>
      </c>
      <c r="AS674">
        <v>7.8642447418738097</v>
      </c>
      <c r="AU674"/>
      <c r="AV674"/>
      <c r="AW674"/>
      <c r="AX674"/>
    </row>
    <row r="675" spans="1:50" s="69" customFormat="1" ht="121">
      <c r="A675">
        <v>1143</v>
      </c>
      <c r="B675" s="69" t="s">
        <v>3082</v>
      </c>
      <c r="C675" s="69" t="s">
        <v>45</v>
      </c>
      <c r="D675" s="31">
        <f t="shared" si="55"/>
        <v>4</v>
      </c>
      <c r="E675" s="69" t="s">
        <v>80</v>
      </c>
      <c r="F675" s="31">
        <f t="shared" si="56"/>
        <v>4</v>
      </c>
      <c r="G675" s="139" t="s">
        <v>159</v>
      </c>
      <c r="H675" s="138">
        <v>45</v>
      </c>
      <c r="I675" s="92">
        <f t="shared" si="54"/>
        <v>0.75149006716609901</v>
      </c>
      <c r="J675" s="95">
        <v>0.75298013433219801</v>
      </c>
      <c r="K675" s="137">
        <v>0.72222468700001197</v>
      </c>
      <c r="L675" s="137">
        <v>0.75</v>
      </c>
      <c r="M675" s="137">
        <v>0.68056171750003003</v>
      </c>
      <c r="N675" s="136">
        <v>1</v>
      </c>
      <c r="O675" s="157">
        <v>43201</v>
      </c>
      <c r="P675" s="98">
        <f t="shared" si="57"/>
        <v>0</v>
      </c>
      <c r="Q675" s="113">
        <v>0</v>
      </c>
      <c r="R675" s="113">
        <v>0</v>
      </c>
      <c r="S675" s="113">
        <v>0</v>
      </c>
      <c r="T675" s="119" t="s">
        <v>48</v>
      </c>
      <c r="U675" s="91" t="s">
        <v>3107</v>
      </c>
      <c r="V675" s="172" t="s">
        <v>4464</v>
      </c>
      <c r="W675" s="69">
        <v>165</v>
      </c>
      <c r="X675" s="171">
        <v>1</v>
      </c>
      <c r="Y675" s="171">
        <v>5</v>
      </c>
      <c r="AA675" t="s">
        <v>4551</v>
      </c>
      <c r="AB675" t="s">
        <v>87</v>
      </c>
      <c r="AC675" t="s">
        <v>4580</v>
      </c>
      <c r="AD675" t="s">
        <v>4979</v>
      </c>
      <c r="AE675" t="s">
        <v>4515</v>
      </c>
      <c r="AF675" t="s">
        <v>4714</v>
      </c>
      <c r="AG675" t="s">
        <v>4353</v>
      </c>
      <c r="AH675" t="s">
        <v>4506</v>
      </c>
      <c r="AI675" t="s">
        <v>223</v>
      </c>
      <c r="AJ675" t="s">
        <v>4712</v>
      </c>
      <c r="AK675" t="s">
        <v>4518</v>
      </c>
      <c r="AL675" t="s">
        <v>4541</v>
      </c>
      <c r="AM675" t="s">
        <v>4528</v>
      </c>
      <c r="AN675" t="s">
        <v>4878</v>
      </c>
      <c r="AO675" s="134">
        <v>105.563327032136</v>
      </c>
      <c r="AP675" s="135">
        <v>117.393474088292</v>
      </c>
      <c r="AQ675">
        <v>0.32245681381957803</v>
      </c>
      <c r="AR675" s="136">
        <v>1.27831094049904</v>
      </c>
      <c r="AS675">
        <v>7.8848368522072896</v>
      </c>
      <c r="AU675"/>
      <c r="AV675"/>
      <c r="AW675"/>
      <c r="AX675"/>
    </row>
    <row r="676" spans="1:50" s="69" customFormat="1" ht="76">
      <c r="A676" s="65">
        <v>96</v>
      </c>
      <c r="B676" s="69" t="s">
        <v>217</v>
      </c>
      <c r="C676" s="69" t="s">
        <v>45</v>
      </c>
      <c r="D676" s="31">
        <f t="shared" si="55"/>
        <v>4</v>
      </c>
      <c r="E676" s="69" t="s">
        <v>46</v>
      </c>
      <c r="F676" s="31">
        <f t="shared" si="56"/>
        <v>6</v>
      </c>
      <c r="G676" s="147" t="s">
        <v>334</v>
      </c>
      <c r="H676" s="138">
        <v>122</v>
      </c>
      <c r="I676" s="92">
        <f t="shared" si="54"/>
        <v>0.46945231364516898</v>
      </c>
      <c r="J676" s="95">
        <v>0.188904627290338</v>
      </c>
      <c r="K676" s="137">
        <v>0.72222468700001197</v>
      </c>
      <c r="L676" s="137">
        <v>0.75</v>
      </c>
      <c r="M676" s="137">
        <v>0.68056171750003003</v>
      </c>
      <c r="N676" s="136">
        <v>1</v>
      </c>
      <c r="O676" s="154">
        <v>43201</v>
      </c>
      <c r="P676" s="98">
        <f t="shared" si="57"/>
        <v>0</v>
      </c>
      <c r="Q676" s="111">
        <v>0</v>
      </c>
      <c r="R676" s="111">
        <v>1.65</v>
      </c>
      <c r="S676" s="111">
        <v>0</v>
      </c>
      <c r="T676" s="112" t="s">
        <v>48</v>
      </c>
      <c r="U676" s="137" t="s">
        <v>335</v>
      </c>
      <c r="V676" s="137" t="s">
        <v>336</v>
      </c>
      <c r="W676" s="69">
        <v>55</v>
      </c>
      <c r="X676" s="171">
        <v>2</v>
      </c>
      <c r="Y676" s="171">
        <v>5</v>
      </c>
      <c r="Z676"/>
      <c r="AA676" t="s">
        <v>4564</v>
      </c>
      <c r="AB676" t="s">
        <v>67</v>
      </c>
      <c r="AC676" t="s">
        <v>4353</v>
      </c>
      <c r="AD676" t="s">
        <v>4506</v>
      </c>
      <c r="AE676" t="s">
        <v>4353</v>
      </c>
      <c r="AF676" t="s">
        <v>4506</v>
      </c>
      <c r="AG676" t="s">
        <v>4353</v>
      </c>
      <c r="AH676" t="s">
        <v>4506</v>
      </c>
      <c r="AI676" t="s">
        <v>4353</v>
      </c>
      <c r="AJ676" t="s">
        <v>4506</v>
      </c>
      <c r="AK676" t="s">
        <v>4518</v>
      </c>
      <c r="AL676" t="s">
        <v>4519</v>
      </c>
      <c r="AM676" t="s">
        <v>4528</v>
      </c>
      <c r="AN676" t="s">
        <v>4624</v>
      </c>
      <c r="AO676" s="134">
        <v>105.693181818182</v>
      </c>
      <c r="AP676" s="135">
        <v>117.393474088292</v>
      </c>
      <c r="AQ676">
        <v>0.32245681381957803</v>
      </c>
      <c r="AR676" s="136">
        <v>1.27831094049904</v>
      </c>
      <c r="AS676">
        <v>7.8848368522072896</v>
      </c>
      <c r="AU676"/>
      <c r="AV676"/>
      <c r="AW676"/>
      <c r="AX676"/>
    </row>
    <row r="677" spans="1:50" s="69" customFormat="1" ht="31">
      <c r="A677">
        <v>1095</v>
      </c>
      <c r="B677" s="69" t="s">
        <v>2948</v>
      </c>
      <c r="C677" s="69" t="s">
        <v>45</v>
      </c>
      <c r="D677" s="31">
        <f t="shared" si="55"/>
        <v>4</v>
      </c>
      <c r="E677" s="69" t="s">
        <v>80</v>
      </c>
      <c r="F677" s="31">
        <f t="shared" si="56"/>
        <v>4</v>
      </c>
      <c r="G677" s="190" t="s">
        <v>2976</v>
      </c>
      <c r="H677" s="138">
        <v>37</v>
      </c>
      <c r="I677" s="92">
        <f t="shared" si="54"/>
        <v>0.342017754424283</v>
      </c>
      <c r="J677" s="95">
        <v>2.2173270303840198E-3</v>
      </c>
      <c r="K677" s="137">
        <v>0.657905119887218</v>
      </c>
      <c r="L677" s="137">
        <v>0.68181818181818199</v>
      </c>
      <c r="M677" s="137">
        <v>0.62203552699077302</v>
      </c>
      <c r="N677" s="136">
        <v>1</v>
      </c>
      <c r="O677" s="157">
        <v>43201</v>
      </c>
      <c r="P677" s="98">
        <f t="shared" si="57"/>
        <v>0</v>
      </c>
      <c r="Q677" s="113">
        <v>0</v>
      </c>
      <c r="R677" s="113">
        <v>0</v>
      </c>
      <c r="S677" s="113">
        <v>0</v>
      </c>
      <c r="T677" s="119" t="s">
        <v>48</v>
      </c>
      <c r="U677" s="89" t="s">
        <v>2977</v>
      </c>
      <c r="V677" s="172" t="s">
        <v>2978</v>
      </c>
      <c r="W677" s="69">
        <v>40</v>
      </c>
      <c r="X677" s="195">
        <v>3</v>
      </c>
      <c r="Y677" s="195">
        <v>7</v>
      </c>
      <c r="AA677" t="s">
        <v>4564</v>
      </c>
      <c r="AB677" t="s">
        <v>51</v>
      </c>
      <c r="AC677" t="s">
        <v>4515</v>
      </c>
      <c r="AD677" t="s">
        <v>4723</v>
      </c>
      <c r="AE677" t="s">
        <v>4513</v>
      </c>
      <c r="AF677" t="s">
        <v>4916</v>
      </c>
      <c r="AG677" t="s">
        <v>4353</v>
      </c>
      <c r="AH677" t="s">
        <v>4506</v>
      </c>
      <c r="AI677" t="s">
        <v>4353</v>
      </c>
      <c r="AJ677" t="s">
        <v>4506</v>
      </c>
      <c r="AK677" t="s">
        <v>4519</v>
      </c>
      <c r="AL677" t="s">
        <v>4519</v>
      </c>
      <c r="AM677" t="s">
        <v>4510</v>
      </c>
      <c r="AN677" t="s">
        <v>4550</v>
      </c>
      <c r="AO677" s="134">
        <v>105.80834914611</v>
      </c>
      <c r="AP677" s="135">
        <v>117.393474088292</v>
      </c>
      <c r="AQ677">
        <v>0.32245681381957803</v>
      </c>
      <c r="AR677" s="136">
        <v>1.27831094049904</v>
      </c>
      <c r="AS677">
        <v>7.8848368522072896</v>
      </c>
      <c r="AU677"/>
      <c r="AV677"/>
      <c r="AW677"/>
      <c r="AX677"/>
    </row>
    <row r="678" spans="1:50" s="69" customFormat="1" ht="106">
      <c r="A678" s="65">
        <v>713</v>
      </c>
      <c r="B678" s="69" t="s">
        <v>1913</v>
      </c>
      <c r="C678" s="69" t="s">
        <v>45</v>
      </c>
      <c r="D678" s="31">
        <f t="shared" si="55"/>
        <v>4</v>
      </c>
      <c r="E678" s="69" t="s">
        <v>80</v>
      </c>
      <c r="F678" s="31">
        <f t="shared" si="56"/>
        <v>4</v>
      </c>
      <c r="G678" s="169" t="s">
        <v>159</v>
      </c>
      <c r="H678" s="138">
        <v>39</v>
      </c>
      <c r="I678" s="92">
        <f t="shared" si="54"/>
        <v>0.39273128288881537</v>
      </c>
      <c r="J678" s="95">
        <v>3.5462565777630697E-2</v>
      </c>
      <c r="K678" s="137">
        <v>0.76918779643582302</v>
      </c>
      <c r="L678" s="137">
        <v>0.75</v>
      </c>
      <c r="M678" s="137">
        <v>0.79796949108955795</v>
      </c>
      <c r="N678" s="136">
        <v>1</v>
      </c>
      <c r="O678" s="154">
        <v>43200</v>
      </c>
      <c r="P678" s="98">
        <f t="shared" si="57"/>
        <v>0</v>
      </c>
      <c r="Q678" s="111">
        <v>2.5499999999999998</v>
      </c>
      <c r="R678" s="111">
        <v>0</v>
      </c>
      <c r="S678" s="111">
        <v>1.87</v>
      </c>
      <c r="T678" s="112" t="s">
        <v>48</v>
      </c>
      <c r="U678" s="137" t="s">
        <v>1959</v>
      </c>
      <c r="V678" s="137" t="s">
        <v>1960</v>
      </c>
      <c r="W678" s="69">
        <v>157</v>
      </c>
      <c r="X678" s="69">
        <v>2</v>
      </c>
      <c r="Y678" s="69">
        <v>2</v>
      </c>
      <c r="AA678" t="s">
        <v>4556</v>
      </c>
      <c r="AB678" t="s">
        <v>4827</v>
      </c>
      <c r="AC678" t="s">
        <v>4515</v>
      </c>
      <c r="AD678" t="s">
        <v>4685</v>
      </c>
      <c r="AE678" t="s">
        <v>4515</v>
      </c>
      <c r="AF678" t="s">
        <v>4685</v>
      </c>
      <c r="AG678" t="s">
        <v>223</v>
      </c>
      <c r="AH678" t="s">
        <v>4921</v>
      </c>
      <c r="AI678" t="s">
        <v>4515</v>
      </c>
      <c r="AJ678" t="s">
        <v>4685</v>
      </c>
      <c r="AK678" t="s">
        <v>4518</v>
      </c>
      <c r="AL678" t="s">
        <v>4541</v>
      </c>
      <c r="AM678" t="s">
        <v>4528</v>
      </c>
      <c r="AN678" t="s">
        <v>4878</v>
      </c>
      <c r="AO678" s="134">
        <v>105.93536121673</v>
      </c>
      <c r="AP678" s="135">
        <v>117.412331406551</v>
      </c>
      <c r="AQ678">
        <v>0.32369942196531798</v>
      </c>
      <c r="AR678" s="136">
        <v>1.27745664739884</v>
      </c>
      <c r="AS678">
        <v>7.9036608863198499</v>
      </c>
      <c r="AU678"/>
      <c r="AV678"/>
      <c r="AW678"/>
      <c r="AX678"/>
    </row>
    <row r="679" spans="1:50" s="69" customFormat="1" ht="121">
      <c r="A679">
        <v>1122</v>
      </c>
      <c r="B679" s="69" t="s">
        <v>3030</v>
      </c>
      <c r="C679" s="69" t="s">
        <v>45</v>
      </c>
      <c r="D679" s="31">
        <f t="shared" si="55"/>
        <v>4</v>
      </c>
      <c r="E679" s="69" t="s">
        <v>46</v>
      </c>
      <c r="F679" s="31">
        <f t="shared" si="56"/>
        <v>6</v>
      </c>
      <c r="G679" s="191" t="s">
        <v>3049</v>
      </c>
      <c r="H679" s="138">
        <v>92</v>
      </c>
      <c r="I679" s="92">
        <f t="shared" si="54"/>
        <v>0.23284551853854432</v>
      </c>
      <c r="J679" s="95">
        <v>4.47827226413011E-8</v>
      </c>
      <c r="K679" s="137">
        <v>0.59860239181244301</v>
      </c>
      <c r="L679" s="137">
        <v>0.465690992294366</v>
      </c>
      <c r="M679" s="137">
        <v>0.79796949108955795</v>
      </c>
      <c r="N679" s="136">
        <v>1</v>
      </c>
      <c r="O679" s="157">
        <v>43199</v>
      </c>
      <c r="P679" s="98">
        <f t="shared" si="57"/>
        <v>0</v>
      </c>
      <c r="Q679" s="113">
        <v>0</v>
      </c>
      <c r="R679" s="113">
        <v>1.65</v>
      </c>
      <c r="S679" s="113">
        <v>0</v>
      </c>
      <c r="T679" s="119" t="s">
        <v>48</v>
      </c>
      <c r="U679" s="91" t="s">
        <v>4461</v>
      </c>
      <c r="V679" s="172" t="s">
        <v>3051</v>
      </c>
      <c r="W679" s="69">
        <v>176</v>
      </c>
      <c r="X679" s="171">
        <v>1</v>
      </c>
      <c r="Y679" s="171">
        <v>2</v>
      </c>
      <c r="AA679" t="s">
        <v>4564</v>
      </c>
      <c r="AB679" t="s">
        <v>87</v>
      </c>
      <c r="AC679" t="s">
        <v>4580</v>
      </c>
      <c r="AD679" t="s">
        <v>4595</v>
      </c>
      <c r="AE679" t="s">
        <v>4515</v>
      </c>
      <c r="AF679" t="s">
        <v>4705</v>
      </c>
      <c r="AG679" t="s">
        <v>4353</v>
      </c>
      <c r="AH679" t="s">
        <v>4506</v>
      </c>
      <c r="AI679" t="s">
        <v>4353</v>
      </c>
      <c r="AJ679" t="s">
        <v>4506</v>
      </c>
      <c r="AK679" t="s">
        <v>4591</v>
      </c>
      <c r="AL679" t="s">
        <v>4519</v>
      </c>
      <c r="AM679" t="s">
        <v>4510</v>
      </c>
      <c r="AN679" t="s">
        <v>4980</v>
      </c>
      <c r="AO679" s="134">
        <v>105.961904761905</v>
      </c>
      <c r="AP679" s="135">
        <v>117.315280464217</v>
      </c>
      <c r="AQ679">
        <v>0.32495164410057997</v>
      </c>
      <c r="AR679" s="136">
        <v>1.27852998065764</v>
      </c>
      <c r="AS679">
        <v>7.9226305609284298</v>
      </c>
      <c r="AU679"/>
      <c r="AV679"/>
      <c r="AW679"/>
      <c r="AX679"/>
    </row>
    <row r="680" spans="1:50" s="69" customFormat="1" ht="136">
      <c r="A680">
        <v>1123</v>
      </c>
      <c r="B680" s="69" t="s">
        <v>3030</v>
      </c>
      <c r="C680" s="69" t="s">
        <v>45</v>
      </c>
      <c r="D680" s="31">
        <f t="shared" si="55"/>
        <v>4</v>
      </c>
      <c r="E680" s="69" t="s">
        <v>46</v>
      </c>
      <c r="F680" s="31">
        <f t="shared" si="56"/>
        <v>6</v>
      </c>
      <c r="G680" s="91" t="s">
        <v>3052</v>
      </c>
      <c r="H680" s="138">
        <v>144</v>
      </c>
      <c r="I680" s="92">
        <f t="shared" si="54"/>
        <v>0.34345111899647451</v>
      </c>
      <c r="J680" s="95">
        <v>0.174642146469146</v>
      </c>
      <c r="K680" s="137">
        <v>0.51783463832254495</v>
      </c>
      <c r="L680" s="137">
        <v>0.51226009152380303</v>
      </c>
      <c r="M680" s="137">
        <v>0.526196458520657</v>
      </c>
      <c r="N680" s="136">
        <v>1</v>
      </c>
      <c r="O680" s="157">
        <v>43198</v>
      </c>
      <c r="P680" s="98">
        <f t="shared" si="57"/>
        <v>1</v>
      </c>
      <c r="Q680" s="113">
        <v>0</v>
      </c>
      <c r="R680" s="113">
        <v>0</v>
      </c>
      <c r="S680" s="113">
        <v>1.87</v>
      </c>
      <c r="T680" s="114" t="s">
        <v>73</v>
      </c>
      <c r="U680" s="91" t="s">
        <v>4462</v>
      </c>
      <c r="V680" s="172" t="s">
        <v>3054</v>
      </c>
      <c r="W680" s="69">
        <v>187</v>
      </c>
      <c r="X680" s="171">
        <v>2</v>
      </c>
      <c r="Y680" s="171">
        <v>11</v>
      </c>
      <c r="AA680" t="s">
        <v>4981</v>
      </c>
      <c r="AB680" t="s">
        <v>51</v>
      </c>
      <c r="AC680" t="s">
        <v>223</v>
      </c>
      <c r="AD680" t="s">
        <v>4770</v>
      </c>
      <c r="AE680" t="s">
        <v>4513</v>
      </c>
      <c r="AF680" t="s">
        <v>4982</v>
      </c>
      <c r="AG680" t="s">
        <v>4353</v>
      </c>
      <c r="AH680" t="s">
        <v>4506</v>
      </c>
      <c r="AI680" t="s">
        <v>223</v>
      </c>
      <c r="AJ680" t="s">
        <v>4770</v>
      </c>
      <c r="AK680" t="s">
        <v>4518</v>
      </c>
      <c r="AL680" t="s">
        <v>4519</v>
      </c>
      <c r="AM680" t="s">
        <v>4520</v>
      </c>
      <c r="AN680" t="s">
        <v>4521</v>
      </c>
      <c r="AO680" s="134">
        <v>105.95419847328201</v>
      </c>
      <c r="AP680" s="135">
        <v>117.227184466019</v>
      </c>
      <c r="AQ680">
        <v>0.32427184466019399</v>
      </c>
      <c r="AR680" s="136">
        <v>1.2776699029126199</v>
      </c>
      <c r="AS680">
        <v>7.92815533980583</v>
      </c>
      <c r="AU680"/>
      <c r="AV680"/>
      <c r="AW680"/>
      <c r="AX680"/>
    </row>
    <row r="681" spans="1:50" s="69" customFormat="1" ht="61">
      <c r="A681">
        <v>671</v>
      </c>
      <c r="B681" s="69" t="s">
        <v>1790</v>
      </c>
      <c r="C681" s="69" t="s">
        <v>45</v>
      </c>
      <c r="D681" s="31">
        <f t="shared" si="55"/>
        <v>4</v>
      </c>
      <c r="E681" s="69" t="s">
        <v>80</v>
      </c>
      <c r="F681" s="31">
        <f t="shared" si="56"/>
        <v>4</v>
      </c>
      <c r="G681" s="196" t="s">
        <v>1843</v>
      </c>
      <c r="H681" s="138">
        <v>110</v>
      </c>
      <c r="I681" s="92">
        <f t="shared" si="54"/>
        <v>0.37505743296192456</v>
      </c>
      <c r="J681" s="95">
        <v>1.14865923849128E-4</v>
      </c>
      <c r="K681" s="137">
        <v>0.76918779643582302</v>
      </c>
      <c r="L681" s="137">
        <v>0.75</v>
      </c>
      <c r="M681" s="137">
        <v>0.79796949108955795</v>
      </c>
      <c r="N681" s="136">
        <v>1</v>
      </c>
      <c r="O681" s="154">
        <v>43198</v>
      </c>
      <c r="P681" s="98">
        <f t="shared" si="57"/>
        <v>0</v>
      </c>
      <c r="Q681" s="111">
        <v>2.5499999999999998</v>
      </c>
      <c r="R681" s="111">
        <v>0</v>
      </c>
      <c r="S681" s="111">
        <v>0</v>
      </c>
      <c r="T681" s="112" t="s">
        <v>48</v>
      </c>
      <c r="U681" s="137" t="s">
        <v>1844</v>
      </c>
      <c r="V681" s="137" t="s">
        <v>1845</v>
      </c>
      <c r="W681" s="69">
        <v>73</v>
      </c>
      <c r="X681" s="188">
        <v>1</v>
      </c>
      <c r="Y681" s="188">
        <v>2</v>
      </c>
      <c r="AA681" t="s">
        <v>4522</v>
      </c>
      <c r="AB681" t="s">
        <v>4594</v>
      </c>
      <c r="AC681" t="s">
        <v>223</v>
      </c>
      <c r="AD681" t="s">
        <v>4734</v>
      </c>
      <c r="AE681" t="s">
        <v>223</v>
      </c>
      <c r="AF681" t="s">
        <v>4734</v>
      </c>
      <c r="AG681" t="s">
        <v>4353</v>
      </c>
      <c r="AH681" t="s">
        <v>4506</v>
      </c>
      <c r="AI681" t="s">
        <v>4353</v>
      </c>
      <c r="AJ681" t="s">
        <v>4506</v>
      </c>
      <c r="AK681" t="s">
        <v>4519</v>
      </c>
      <c r="AL681" t="s">
        <v>4519</v>
      </c>
      <c r="AM681" t="s">
        <v>4510</v>
      </c>
      <c r="AN681" t="s">
        <v>4550</v>
      </c>
      <c r="AO681" s="134">
        <v>105.95984703632899</v>
      </c>
      <c r="AP681" s="135">
        <v>117.227184466019</v>
      </c>
      <c r="AQ681">
        <v>0.32427184466019399</v>
      </c>
      <c r="AR681" s="136">
        <v>1.2776699029126199</v>
      </c>
      <c r="AS681">
        <v>7.92815533980583</v>
      </c>
      <c r="AU681"/>
      <c r="AV681"/>
      <c r="AW681"/>
      <c r="AX681"/>
    </row>
    <row r="682" spans="1:50" s="69" customFormat="1" ht="76">
      <c r="A682" s="65">
        <v>809</v>
      </c>
      <c r="B682" s="69" t="s">
        <v>2179</v>
      </c>
      <c r="C682" s="69" t="s">
        <v>45</v>
      </c>
      <c r="D682" s="31">
        <f t="shared" si="55"/>
        <v>4</v>
      </c>
      <c r="E682" s="69" t="s">
        <v>46</v>
      </c>
      <c r="F682" s="31">
        <f t="shared" si="56"/>
        <v>6</v>
      </c>
      <c r="G682" s="188" t="s">
        <v>2210</v>
      </c>
      <c r="H682" s="138">
        <v>103</v>
      </c>
      <c r="I682" s="92">
        <f t="shared" si="54"/>
        <v>0.30992491305027459</v>
      </c>
      <c r="J682" s="95">
        <v>1.51153567471418E-5</v>
      </c>
      <c r="K682" s="137">
        <v>0.67292649458520204</v>
      </c>
      <c r="L682" s="137">
        <v>0.61983471074380203</v>
      </c>
      <c r="M682" s="137">
        <v>0.75256417034730305</v>
      </c>
      <c r="N682" s="136">
        <v>1</v>
      </c>
      <c r="O682" s="154">
        <v>43198</v>
      </c>
      <c r="P682" s="98">
        <f t="shared" si="57"/>
        <v>0</v>
      </c>
      <c r="Q682" s="113">
        <v>2.5499999999999998</v>
      </c>
      <c r="R682" s="113">
        <v>1.65</v>
      </c>
      <c r="S682" s="113">
        <v>0</v>
      </c>
      <c r="T682" s="114" t="s">
        <v>48</v>
      </c>
      <c r="U682" s="168" t="s">
        <v>2211</v>
      </c>
      <c r="V682" s="136" t="s">
        <v>2212</v>
      </c>
      <c r="W682" s="69">
        <v>82</v>
      </c>
      <c r="X682" s="195">
        <v>0</v>
      </c>
      <c r="Y682" s="195">
        <v>3</v>
      </c>
      <c r="AA682" t="s">
        <v>4512</v>
      </c>
      <c r="AB682" t="s">
        <v>4597</v>
      </c>
      <c r="AC682" t="s">
        <v>223</v>
      </c>
      <c r="AD682" t="s">
        <v>4799</v>
      </c>
      <c r="AE682" t="s">
        <v>4353</v>
      </c>
      <c r="AF682" t="s">
        <v>4506</v>
      </c>
      <c r="AG682" t="s">
        <v>223</v>
      </c>
      <c r="AH682" t="s">
        <v>4799</v>
      </c>
      <c r="AI682" t="s">
        <v>4353</v>
      </c>
      <c r="AJ682" t="s">
        <v>4506</v>
      </c>
      <c r="AK682" t="s">
        <v>4519</v>
      </c>
      <c r="AL682" t="s">
        <v>4552</v>
      </c>
      <c r="AM682" t="s">
        <v>4528</v>
      </c>
      <c r="AN682" t="s">
        <v>4618</v>
      </c>
      <c r="AO682" s="134">
        <v>105.88697318007701</v>
      </c>
      <c r="AP682" s="135">
        <v>117.227184466019</v>
      </c>
      <c r="AQ682">
        <v>0.32427184466019399</v>
      </c>
      <c r="AR682" s="136">
        <v>1.2776699029126199</v>
      </c>
      <c r="AS682">
        <v>7.92815533980583</v>
      </c>
      <c r="AU682"/>
      <c r="AV682"/>
      <c r="AW682"/>
      <c r="AX682"/>
    </row>
    <row r="683" spans="1:50" s="69" customFormat="1" ht="91">
      <c r="A683" s="65">
        <v>940</v>
      </c>
      <c r="B683" s="69" t="s">
        <v>2510</v>
      </c>
      <c r="C683" s="69" t="s">
        <v>45</v>
      </c>
      <c r="D683" s="31">
        <f t="shared" si="55"/>
        <v>4</v>
      </c>
      <c r="E683" s="69" t="s">
        <v>80</v>
      </c>
      <c r="F683" s="31">
        <f t="shared" si="56"/>
        <v>4</v>
      </c>
      <c r="G683" s="169" t="s">
        <v>2556</v>
      </c>
      <c r="H683" s="138">
        <v>54</v>
      </c>
      <c r="I683" s="92">
        <f t="shared" si="54"/>
        <v>0.41689556594341753</v>
      </c>
      <c r="J683" s="95">
        <v>8.7911318868351095E-3</v>
      </c>
      <c r="K683" s="137">
        <v>0.81418779643582295</v>
      </c>
      <c r="L683" s="137">
        <v>0.82499999999999996</v>
      </c>
      <c r="M683" s="137">
        <v>0.79796949108955795</v>
      </c>
      <c r="N683" s="136">
        <v>1</v>
      </c>
      <c r="O683" s="154">
        <v>43197</v>
      </c>
      <c r="P683" s="98">
        <f t="shared" si="57"/>
        <v>1</v>
      </c>
      <c r="Q683" s="111">
        <v>0</v>
      </c>
      <c r="R683" s="111">
        <v>0</v>
      </c>
      <c r="S683" s="111">
        <v>1.87</v>
      </c>
      <c r="T683" s="112" t="s">
        <v>73</v>
      </c>
      <c r="U683" s="188" t="s">
        <v>2557</v>
      </c>
      <c r="V683" s="137" t="s">
        <v>2558</v>
      </c>
      <c r="W683" s="69">
        <v>128</v>
      </c>
      <c r="X683" s="195">
        <v>1</v>
      </c>
      <c r="Y683" s="195">
        <v>2</v>
      </c>
      <c r="AA683" t="s">
        <v>4522</v>
      </c>
      <c r="AB683" t="s">
        <v>4783</v>
      </c>
      <c r="AC683" t="s">
        <v>223</v>
      </c>
      <c r="AD683" t="s">
        <v>4675</v>
      </c>
      <c r="AE683" t="s">
        <v>223</v>
      </c>
      <c r="AF683" t="s">
        <v>4675</v>
      </c>
      <c r="AG683" t="s">
        <v>223</v>
      </c>
      <c r="AH683" t="s">
        <v>4675</v>
      </c>
      <c r="AI683" t="s">
        <v>223</v>
      </c>
      <c r="AJ683" t="s">
        <v>4675</v>
      </c>
      <c r="AK683" t="s">
        <v>4519</v>
      </c>
      <c r="AL683" t="s">
        <v>4519</v>
      </c>
      <c r="AM683" t="s">
        <v>4510</v>
      </c>
      <c r="AN683" t="s">
        <v>4550</v>
      </c>
      <c r="AO683" s="134">
        <v>105.986564299424</v>
      </c>
      <c r="AP683" s="135">
        <v>117.227184466019</v>
      </c>
      <c r="AQ683">
        <v>0.32427184466019399</v>
      </c>
      <c r="AR683" s="136">
        <v>1.2776699029126199</v>
      </c>
      <c r="AS683">
        <v>7.92815533980583</v>
      </c>
      <c r="AU683"/>
      <c r="AV683"/>
      <c r="AW683"/>
      <c r="AX683"/>
    </row>
    <row r="684" spans="1:50" s="69" customFormat="1" ht="106">
      <c r="A684" s="65">
        <v>733</v>
      </c>
      <c r="B684" s="69" t="s">
        <v>1989</v>
      </c>
      <c r="C684" s="69" t="s">
        <v>45</v>
      </c>
      <c r="D684" s="31">
        <f t="shared" si="55"/>
        <v>4</v>
      </c>
      <c r="E684" s="69" t="s">
        <v>80</v>
      </c>
      <c r="F684" s="31">
        <f t="shared" si="56"/>
        <v>4</v>
      </c>
      <c r="G684" s="169" t="s">
        <v>305</v>
      </c>
      <c r="H684" s="138">
        <v>49</v>
      </c>
      <c r="I684" s="92">
        <f t="shared" si="54"/>
        <v>0.41263120483549948</v>
      </c>
      <c r="J684" s="95">
        <v>2.6240967099899802E-4</v>
      </c>
      <c r="K684" s="137">
        <v>0.78071428571428603</v>
      </c>
      <c r="L684" s="137">
        <v>0.82499999999999996</v>
      </c>
      <c r="M684" s="137">
        <v>0.71428571428571397</v>
      </c>
      <c r="N684" s="136">
        <v>1</v>
      </c>
      <c r="O684" s="154">
        <v>43196</v>
      </c>
      <c r="P684" s="98">
        <f t="shared" si="57"/>
        <v>0</v>
      </c>
      <c r="Q684" s="111">
        <v>2.5499999999999998</v>
      </c>
      <c r="R684" s="111">
        <v>3.3</v>
      </c>
      <c r="S684" s="111">
        <v>0</v>
      </c>
      <c r="T684" s="112" t="s">
        <v>48</v>
      </c>
      <c r="U684" s="147" t="s">
        <v>2010</v>
      </c>
      <c r="V684" s="137" t="s">
        <v>2011</v>
      </c>
      <c r="W684" s="69">
        <v>152</v>
      </c>
      <c r="X684" s="171">
        <v>2</v>
      </c>
      <c r="Y684" s="171">
        <v>4</v>
      </c>
      <c r="AA684" t="s">
        <v>4564</v>
      </c>
      <c r="AB684" t="s">
        <v>4827</v>
      </c>
      <c r="AC684" t="s">
        <v>4515</v>
      </c>
      <c r="AD684" t="s">
        <v>4790</v>
      </c>
      <c r="AE684" t="s">
        <v>4515</v>
      </c>
      <c r="AF684" t="s">
        <v>4790</v>
      </c>
      <c r="AG684" t="s">
        <v>223</v>
      </c>
      <c r="AH684" t="s">
        <v>4789</v>
      </c>
      <c r="AI684" t="s">
        <v>4515</v>
      </c>
      <c r="AJ684" t="s">
        <v>4790</v>
      </c>
      <c r="AK684" t="s">
        <v>4518</v>
      </c>
      <c r="AL684" t="s">
        <v>4519</v>
      </c>
      <c r="AM684" t="s">
        <v>4520</v>
      </c>
      <c r="AN684" t="s">
        <v>4521</v>
      </c>
      <c r="AO684" s="134">
        <v>106.096153846154</v>
      </c>
      <c r="AP684" s="135">
        <v>117.227184466019</v>
      </c>
      <c r="AQ684">
        <v>0.32427184466019399</v>
      </c>
      <c r="AR684" s="136">
        <v>1.2776699029126199</v>
      </c>
      <c r="AS684">
        <v>7.92815533980583</v>
      </c>
      <c r="AU684"/>
      <c r="AV684"/>
      <c r="AW684"/>
      <c r="AX684"/>
    </row>
    <row r="685" spans="1:50" s="69" customFormat="1" ht="121">
      <c r="A685">
        <v>1030</v>
      </c>
      <c r="B685" s="69" t="s">
        <v>2752</v>
      </c>
      <c r="C685" s="69" t="s">
        <v>45</v>
      </c>
      <c r="D685" s="31">
        <f t="shared" si="55"/>
        <v>4</v>
      </c>
      <c r="E685" s="69" t="s">
        <v>80</v>
      </c>
      <c r="F685" s="31">
        <f t="shared" si="56"/>
        <v>4</v>
      </c>
      <c r="G685" s="139" t="s">
        <v>159</v>
      </c>
      <c r="H685" s="138">
        <v>70</v>
      </c>
      <c r="I685" s="92">
        <f t="shared" si="54"/>
        <v>0.37529457469771094</v>
      </c>
      <c r="J685" s="95">
        <v>5.8914939542187305E-4</v>
      </c>
      <c r="K685" s="137">
        <v>0.73571428571428599</v>
      </c>
      <c r="L685" s="137">
        <v>0.75</v>
      </c>
      <c r="M685" s="137">
        <v>0.71428571428571397</v>
      </c>
      <c r="N685" s="136">
        <v>1</v>
      </c>
      <c r="O685" s="157">
        <v>43195</v>
      </c>
      <c r="P685" s="98">
        <f t="shared" si="57"/>
        <v>0</v>
      </c>
      <c r="Q685" s="113">
        <v>2.5499999999999998</v>
      </c>
      <c r="R685" s="113">
        <v>0</v>
      </c>
      <c r="S685" s="113">
        <v>1.87</v>
      </c>
      <c r="T685" s="119" t="s">
        <v>48</v>
      </c>
      <c r="U685" s="91" t="s">
        <v>2795</v>
      </c>
      <c r="V685" s="172" t="s">
        <v>2796</v>
      </c>
      <c r="W685" s="69">
        <v>157</v>
      </c>
      <c r="X685" s="171">
        <v>1</v>
      </c>
      <c r="Y685" s="171">
        <v>4</v>
      </c>
      <c r="AA685" t="s">
        <v>4522</v>
      </c>
      <c r="AB685" t="s">
        <v>4791</v>
      </c>
      <c r="AC685" t="s">
        <v>4513</v>
      </c>
      <c r="AD685" t="s">
        <v>4983</v>
      </c>
      <c r="AE685" t="s">
        <v>223</v>
      </c>
      <c r="AF685" t="s">
        <v>4787</v>
      </c>
      <c r="AG685" t="s">
        <v>223</v>
      </c>
      <c r="AH685" t="s">
        <v>4787</v>
      </c>
      <c r="AI685" t="s">
        <v>4513</v>
      </c>
      <c r="AJ685" t="s">
        <v>4983</v>
      </c>
      <c r="AK685" t="s">
        <v>4518</v>
      </c>
      <c r="AL685" t="s">
        <v>4552</v>
      </c>
      <c r="AM685" t="s">
        <v>4520</v>
      </c>
      <c r="AN685" t="s">
        <v>4621</v>
      </c>
      <c r="AO685" s="134">
        <v>106.16570327553001</v>
      </c>
      <c r="AP685" s="135">
        <v>117.227184466019</v>
      </c>
      <c r="AQ685">
        <v>0.32427184466019399</v>
      </c>
      <c r="AR685" s="136">
        <v>1.2776699029126199</v>
      </c>
      <c r="AS685">
        <v>7.92815533980583</v>
      </c>
      <c r="AU685"/>
      <c r="AV685"/>
      <c r="AW685"/>
      <c r="AX685"/>
    </row>
    <row r="686" spans="1:50" s="69" customFormat="1" ht="106">
      <c r="A686">
        <v>526</v>
      </c>
      <c r="B686" s="69" t="s">
        <v>1222</v>
      </c>
      <c r="C686" s="69" t="s">
        <v>45</v>
      </c>
      <c r="D686" s="31">
        <f t="shared" si="55"/>
        <v>4</v>
      </c>
      <c r="E686" s="69" t="s">
        <v>46</v>
      </c>
      <c r="F686" s="31">
        <f t="shared" si="56"/>
        <v>6</v>
      </c>
      <c r="G686" s="188" t="s">
        <v>1041</v>
      </c>
      <c r="H686" s="138">
        <v>78</v>
      </c>
      <c r="I686" s="92">
        <f t="shared" si="54"/>
        <v>0.38536794199737578</v>
      </c>
      <c r="J686" s="95">
        <v>2.0735883994751601E-2</v>
      </c>
      <c r="K686" s="137">
        <v>0.79285714285714304</v>
      </c>
      <c r="L686" s="137">
        <v>0.75</v>
      </c>
      <c r="M686" s="137">
        <v>0.85714285714285698</v>
      </c>
      <c r="N686" s="136">
        <v>1</v>
      </c>
      <c r="O686" s="154">
        <v>43193</v>
      </c>
      <c r="P686" s="98">
        <f t="shared" si="57"/>
        <v>0</v>
      </c>
      <c r="Q686" s="111">
        <v>5.0999999999999996</v>
      </c>
      <c r="R686" s="111">
        <v>1.65</v>
      </c>
      <c r="S686" s="111">
        <v>0</v>
      </c>
      <c r="T686" s="112" t="s">
        <v>48</v>
      </c>
      <c r="U686" s="137" t="s">
        <v>1042</v>
      </c>
      <c r="V686" s="137" t="s">
        <v>1043</v>
      </c>
      <c r="W686" s="69">
        <v>151</v>
      </c>
      <c r="X686" s="188">
        <v>1</v>
      </c>
      <c r="Y686" s="188">
        <v>1</v>
      </c>
      <c r="Z686"/>
      <c r="AA686" t="s">
        <v>4556</v>
      </c>
      <c r="AB686" t="s">
        <v>4827</v>
      </c>
      <c r="AC686" t="s">
        <v>4515</v>
      </c>
      <c r="AD686" t="s">
        <v>4532</v>
      </c>
      <c r="AE686" t="s">
        <v>4515</v>
      </c>
      <c r="AF686" t="s">
        <v>4532</v>
      </c>
      <c r="AG686" t="s">
        <v>223</v>
      </c>
      <c r="AH686" t="s">
        <v>4533</v>
      </c>
      <c r="AI686" t="s">
        <v>4515</v>
      </c>
      <c r="AJ686" t="s">
        <v>4532</v>
      </c>
      <c r="AK686" t="s">
        <v>4518</v>
      </c>
      <c r="AL686" t="s">
        <v>4552</v>
      </c>
      <c r="AM686" t="s">
        <v>4510</v>
      </c>
      <c r="AN686" t="s">
        <v>4553</v>
      </c>
      <c r="AO686" s="134">
        <v>106.245173745174</v>
      </c>
      <c r="AP686" s="135">
        <v>117.256916996047</v>
      </c>
      <c r="AQ686">
        <v>0.33003952569169998</v>
      </c>
      <c r="AR686" s="136">
        <v>1.2826086956521701</v>
      </c>
      <c r="AS686">
        <v>8.0197628458497991</v>
      </c>
      <c r="AU686"/>
      <c r="AV686"/>
      <c r="AW686"/>
      <c r="AX686"/>
    </row>
    <row r="687" spans="1:50" s="69" customFormat="1" ht="106">
      <c r="A687">
        <v>359</v>
      </c>
      <c r="B687" s="69" t="s">
        <v>589</v>
      </c>
      <c r="C687" s="69" t="s">
        <v>45</v>
      </c>
      <c r="D687" s="31">
        <f t="shared" si="55"/>
        <v>4</v>
      </c>
      <c r="E687" s="69" t="s">
        <v>80</v>
      </c>
      <c r="F687" s="31">
        <f t="shared" si="56"/>
        <v>4</v>
      </c>
      <c r="G687" s="137" t="s">
        <v>1041</v>
      </c>
      <c r="H687" s="138">
        <v>78</v>
      </c>
      <c r="I687" s="92">
        <f t="shared" si="54"/>
        <v>0.38446116160130012</v>
      </c>
      <c r="J687" s="95">
        <v>1.8922323202600198E-2</v>
      </c>
      <c r="K687" s="137">
        <v>0.79285714285714304</v>
      </c>
      <c r="L687" s="137">
        <v>0.75</v>
      </c>
      <c r="M687" s="137">
        <v>0.85714285714285698</v>
      </c>
      <c r="N687" s="136">
        <v>1</v>
      </c>
      <c r="O687" s="154">
        <v>43193</v>
      </c>
      <c r="P687" s="98">
        <f t="shared" si="57"/>
        <v>0</v>
      </c>
      <c r="Q687" s="111">
        <v>7.65</v>
      </c>
      <c r="R687" s="111">
        <v>0</v>
      </c>
      <c r="S687" s="111">
        <v>0</v>
      </c>
      <c r="T687" s="112" t="s">
        <v>48</v>
      </c>
      <c r="U687" s="137" t="s">
        <v>1042</v>
      </c>
      <c r="V687" s="137" t="s">
        <v>1043</v>
      </c>
      <c r="W687" s="69">
        <v>151</v>
      </c>
      <c r="X687" s="69">
        <v>1</v>
      </c>
      <c r="Y687" s="69">
        <v>1</v>
      </c>
      <c r="Z687"/>
      <c r="AA687" t="s">
        <v>4556</v>
      </c>
      <c r="AB687" t="s">
        <v>4827</v>
      </c>
      <c r="AC687" t="s">
        <v>4515</v>
      </c>
      <c r="AD687" t="s">
        <v>4532</v>
      </c>
      <c r="AE687" t="s">
        <v>4515</v>
      </c>
      <c r="AF687" t="s">
        <v>4532</v>
      </c>
      <c r="AG687" t="s">
        <v>223</v>
      </c>
      <c r="AH687" t="s">
        <v>4533</v>
      </c>
      <c r="AI687" t="s">
        <v>4515</v>
      </c>
      <c r="AJ687" t="s">
        <v>4532</v>
      </c>
      <c r="AK687" t="s">
        <v>4518</v>
      </c>
      <c r="AL687" t="s">
        <v>4552</v>
      </c>
      <c r="AM687" t="s">
        <v>4510</v>
      </c>
      <c r="AN687" t="s">
        <v>4553</v>
      </c>
      <c r="AO687" s="134">
        <v>106.29980657640201</v>
      </c>
      <c r="AP687" s="135">
        <v>117.256916996047</v>
      </c>
      <c r="AQ687">
        <v>0.33003952569169998</v>
      </c>
      <c r="AR687" s="136">
        <v>1.2826086956521701</v>
      </c>
      <c r="AS687">
        <v>8.0197628458497991</v>
      </c>
      <c r="AU687"/>
      <c r="AV687"/>
      <c r="AW687"/>
      <c r="AX687"/>
    </row>
    <row r="688" spans="1:50" s="69" customFormat="1" ht="106">
      <c r="A688" s="65">
        <v>360</v>
      </c>
      <c r="B688" s="69" t="s">
        <v>589</v>
      </c>
      <c r="C688" s="69" t="s">
        <v>45</v>
      </c>
      <c r="D688" s="31">
        <f t="shared" si="55"/>
        <v>4</v>
      </c>
      <c r="E688" s="69" t="s">
        <v>46</v>
      </c>
      <c r="F688" s="31">
        <f t="shared" si="56"/>
        <v>6</v>
      </c>
      <c r="G688" s="137" t="s">
        <v>1044</v>
      </c>
      <c r="H688" s="138">
        <v>55</v>
      </c>
      <c r="I688" s="92">
        <f t="shared" si="54"/>
        <v>0.41851205143319914</v>
      </c>
      <c r="J688" s="95">
        <v>1.20241028663983E-2</v>
      </c>
      <c r="K688" s="137">
        <v>0.83785714285714297</v>
      </c>
      <c r="L688" s="137">
        <v>0.82499999999999996</v>
      </c>
      <c r="M688" s="137">
        <v>0.85714285714285698</v>
      </c>
      <c r="N688" s="136">
        <v>1</v>
      </c>
      <c r="O688" s="154">
        <v>43193</v>
      </c>
      <c r="P688" s="98">
        <f t="shared" si="57"/>
        <v>0</v>
      </c>
      <c r="Q688" s="111">
        <v>7.65</v>
      </c>
      <c r="R688" s="111">
        <v>0</v>
      </c>
      <c r="S688" s="111">
        <v>0</v>
      </c>
      <c r="T688" s="112" t="s">
        <v>48</v>
      </c>
      <c r="U688" s="147" t="s">
        <v>1045</v>
      </c>
      <c r="V688" s="137" t="s">
        <v>1046</v>
      </c>
      <c r="W688" s="69">
        <v>154</v>
      </c>
      <c r="X688" s="171">
        <v>1</v>
      </c>
      <c r="Y688" s="171">
        <v>1</v>
      </c>
      <c r="Z688"/>
      <c r="AA688" t="s">
        <v>4522</v>
      </c>
      <c r="AB688" t="s">
        <v>4827</v>
      </c>
      <c r="AC688" t="s">
        <v>4515</v>
      </c>
      <c r="AD688" t="s">
        <v>4685</v>
      </c>
      <c r="AE688" t="s">
        <v>4515</v>
      </c>
      <c r="AF688" t="s">
        <v>4685</v>
      </c>
      <c r="AG688" t="s">
        <v>223</v>
      </c>
      <c r="AH688" t="s">
        <v>4921</v>
      </c>
      <c r="AI688" t="s">
        <v>4515</v>
      </c>
      <c r="AJ688" t="s">
        <v>4685</v>
      </c>
      <c r="AK688" t="s">
        <v>4518</v>
      </c>
      <c r="AL688" t="s">
        <v>4519</v>
      </c>
      <c r="AM688" t="s">
        <v>4520</v>
      </c>
      <c r="AN688" t="s">
        <v>4521</v>
      </c>
      <c r="AO688" s="134">
        <v>106.399224806202</v>
      </c>
      <c r="AP688" s="135">
        <v>117.256916996047</v>
      </c>
      <c r="AQ688">
        <v>0.33003952569169998</v>
      </c>
      <c r="AR688" s="136">
        <v>1.2826086956521701</v>
      </c>
      <c r="AS688">
        <v>8.0197628458497991</v>
      </c>
      <c r="AU688"/>
      <c r="AV688"/>
      <c r="AW688"/>
      <c r="AX688"/>
    </row>
    <row r="689" spans="1:50" s="69" customFormat="1" ht="106">
      <c r="A689" s="65">
        <v>97</v>
      </c>
      <c r="B689" s="69" t="s">
        <v>217</v>
      </c>
      <c r="C689" s="69" t="s">
        <v>45</v>
      </c>
      <c r="D689" s="31">
        <f t="shared" si="55"/>
        <v>4</v>
      </c>
      <c r="E689" s="69" t="s">
        <v>80</v>
      </c>
      <c r="F689" s="31">
        <f t="shared" si="56"/>
        <v>4</v>
      </c>
      <c r="G689" s="137" t="s">
        <v>200</v>
      </c>
      <c r="H689" s="138">
        <v>65</v>
      </c>
      <c r="I689" s="92">
        <f t="shared" si="54"/>
        <v>0.37500278914202761</v>
      </c>
      <c r="J689" s="95">
        <v>5.5782840552298702E-6</v>
      </c>
      <c r="K689" s="137">
        <v>0.72222468700001197</v>
      </c>
      <c r="L689" s="137">
        <v>0.75</v>
      </c>
      <c r="M689" s="137">
        <v>0.68056171750003003</v>
      </c>
      <c r="N689" s="136">
        <v>1</v>
      </c>
      <c r="O689" s="154">
        <v>43193</v>
      </c>
      <c r="P689" s="98">
        <f t="shared" si="57"/>
        <v>0</v>
      </c>
      <c r="Q689" s="111">
        <v>2.5499999999999998</v>
      </c>
      <c r="R689" s="111">
        <v>3.3</v>
      </c>
      <c r="S689" s="111">
        <v>1.87</v>
      </c>
      <c r="T689" s="112" t="s">
        <v>48</v>
      </c>
      <c r="U689" s="137" t="s">
        <v>337</v>
      </c>
      <c r="V689" s="137" t="s">
        <v>338</v>
      </c>
      <c r="W689" s="69">
        <v>159</v>
      </c>
      <c r="X689" s="69">
        <v>2</v>
      </c>
      <c r="Y689" s="69">
        <v>5</v>
      </c>
      <c r="Z689"/>
      <c r="AA689" t="s">
        <v>4653</v>
      </c>
      <c r="AB689" t="s">
        <v>4827</v>
      </c>
      <c r="AC689" t="s">
        <v>4515</v>
      </c>
      <c r="AD689" t="s">
        <v>4714</v>
      </c>
      <c r="AE689" t="s">
        <v>4515</v>
      </c>
      <c r="AF689" t="s">
        <v>4714</v>
      </c>
      <c r="AG689" t="s">
        <v>223</v>
      </c>
      <c r="AH689" t="s">
        <v>4712</v>
      </c>
      <c r="AI689" t="s">
        <v>4515</v>
      </c>
      <c r="AJ689" t="s">
        <v>4714</v>
      </c>
      <c r="AK689" t="s">
        <v>4518</v>
      </c>
      <c r="AL689" t="s">
        <v>4519</v>
      </c>
      <c r="AM689" t="s">
        <v>4520</v>
      </c>
      <c r="AN689" t="s">
        <v>4521</v>
      </c>
      <c r="AO689" s="134">
        <v>106.454368932039</v>
      </c>
      <c r="AP689" s="135">
        <v>117.256916996047</v>
      </c>
      <c r="AQ689">
        <v>0.33003952569169998</v>
      </c>
      <c r="AR689" s="136">
        <v>1.2826086956521701</v>
      </c>
      <c r="AS689">
        <v>8.0197628458497991</v>
      </c>
      <c r="AU689"/>
      <c r="AV689"/>
      <c r="AW689"/>
      <c r="AX689"/>
    </row>
    <row r="690" spans="1:50" s="69" customFormat="1" ht="166">
      <c r="A690">
        <v>907</v>
      </c>
      <c r="B690" s="69" t="s">
        <v>2418</v>
      </c>
      <c r="C690" s="69" t="s">
        <v>45</v>
      </c>
      <c r="D690" s="31">
        <f t="shared" si="55"/>
        <v>4</v>
      </c>
      <c r="E690" s="69" t="s">
        <v>46</v>
      </c>
      <c r="F690" s="31">
        <f t="shared" si="56"/>
        <v>6</v>
      </c>
      <c r="G690" s="137" t="s">
        <v>2476</v>
      </c>
      <c r="H690" s="138">
        <v>301</v>
      </c>
      <c r="I690" s="92">
        <f t="shared" si="54"/>
        <v>0.41250001897473393</v>
      </c>
      <c r="J690" s="95">
        <v>3.7949467901476901E-8</v>
      </c>
      <c r="K690" s="137">
        <v>0.83785714285714297</v>
      </c>
      <c r="L690" s="137">
        <v>0.82499999999999996</v>
      </c>
      <c r="M690" s="137">
        <v>0.85714285714285698</v>
      </c>
      <c r="N690" s="136">
        <v>0</v>
      </c>
      <c r="O690" s="154">
        <v>43193</v>
      </c>
      <c r="P690" s="98">
        <f t="shared" si="57"/>
        <v>0</v>
      </c>
      <c r="Q690" s="111">
        <v>0</v>
      </c>
      <c r="R690" s="111">
        <v>0</v>
      </c>
      <c r="S690" s="111">
        <v>0</v>
      </c>
      <c r="T690" s="112" t="s">
        <v>48</v>
      </c>
      <c r="U690" s="137" t="s">
        <v>2477</v>
      </c>
      <c r="V690" s="137" t="s">
        <v>2478</v>
      </c>
      <c r="W690" s="69">
        <v>167</v>
      </c>
      <c r="X690" s="69">
        <v>1</v>
      </c>
      <c r="Y690" s="69">
        <v>1</v>
      </c>
      <c r="AA690" t="s">
        <v>4564</v>
      </c>
      <c r="AB690" t="s">
        <v>51</v>
      </c>
      <c r="AC690" t="s">
        <v>4513</v>
      </c>
      <c r="AD690" t="s">
        <v>4726</v>
      </c>
      <c r="AE690" t="s">
        <v>4530</v>
      </c>
      <c r="AF690" t="s">
        <v>4984</v>
      </c>
      <c r="AG690" t="s">
        <v>4513</v>
      </c>
      <c r="AH690" t="s">
        <v>4726</v>
      </c>
      <c r="AI690" t="s">
        <v>4353</v>
      </c>
      <c r="AJ690" t="s">
        <v>4506</v>
      </c>
      <c r="AK690" t="s">
        <v>4518</v>
      </c>
      <c r="AL690" t="s">
        <v>4552</v>
      </c>
      <c r="AM690" t="s">
        <v>4592</v>
      </c>
      <c r="AN690" t="s">
        <v>4893</v>
      </c>
      <c r="AO690" s="134">
        <v>106.554474708171</v>
      </c>
      <c r="AP690" s="135">
        <v>117.256916996047</v>
      </c>
      <c r="AQ690">
        <v>0.33003952569169998</v>
      </c>
      <c r="AR690" s="136">
        <v>1.2826086956521701</v>
      </c>
      <c r="AS690">
        <v>8.0197628458497991</v>
      </c>
      <c r="AU690"/>
      <c r="AV690"/>
      <c r="AW690"/>
      <c r="AX690"/>
    </row>
    <row r="691" spans="1:50" s="69" customFormat="1" ht="106">
      <c r="A691">
        <v>527</v>
      </c>
      <c r="B691" s="69" t="s">
        <v>1222</v>
      </c>
      <c r="C691" s="69" t="s">
        <v>45</v>
      </c>
      <c r="D691" s="31">
        <f t="shared" si="55"/>
        <v>4</v>
      </c>
      <c r="E691" s="69" t="s">
        <v>46</v>
      </c>
      <c r="F691" s="31">
        <f t="shared" si="56"/>
        <v>6</v>
      </c>
      <c r="G691" s="147" t="s">
        <v>1044</v>
      </c>
      <c r="H691" s="138">
        <v>55</v>
      </c>
      <c r="I691" s="92">
        <f t="shared" si="54"/>
        <v>0.41249999999999998</v>
      </c>
      <c r="J691" s="95">
        <v>0</v>
      </c>
      <c r="K691" s="137">
        <v>0.83785714285714297</v>
      </c>
      <c r="L691" s="137">
        <v>0.82499999999999996</v>
      </c>
      <c r="M691" s="137">
        <v>0.85714285714285698</v>
      </c>
      <c r="N691" s="136">
        <v>1</v>
      </c>
      <c r="O691" s="154">
        <v>43193</v>
      </c>
      <c r="P691" s="98">
        <f t="shared" si="57"/>
        <v>0</v>
      </c>
      <c r="Q691" s="111">
        <v>0</v>
      </c>
      <c r="R691" s="111">
        <v>3.3</v>
      </c>
      <c r="S691" s="111">
        <v>0</v>
      </c>
      <c r="T691" s="112" t="s">
        <v>48</v>
      </c>
      <c r="U691" s="137" t="s">
        <v>1045</v>
      </c>
      <c r="V691" s="137" t="s">
        <v>1046</v>
      </c>
      <c r="W691" s="69">
        <v>154</v>
      </c>
      <c r="X691" s="147">
        <v>1</v>
      </c>
      <c r="Y691" s="147">
        <v>1</v>
      </c>
      <c r="Z691"/>
      <c r="AA691" t="s">
        <v>4522</v>
      </c>
      <c r="AB691" t="s">
        <v>4827</v>
      </c>
      <c r="AC691" t="s">
        <v>4515</v>
      </c>
      <c r="AD691" t="s">
        <v>4685</v>
      </c>
      <c r="AE691" t="s">
        <v>4515</v>
      </c>
      <c r="AF691" t="s">
        <v>4685</v>
      </c>
      <c r="AG691" t="s">
        <v>223</v>
      </c>
      <c r="AH691" t="s">
        <v>4921</v>
      </c>
      <c r="AI691" t="s">
        <v>4515</v>
      </c>
      <c r="AJ691" t="s">
        <v>4685</v>
      </c>
      <c r="AK691" t="s">
        <v>4518</v>
      </c>
      <c r="AL691" t="s">
        <v>4519</v>
      </c>
      <c r="AM691" t="s">
        <v>4520</v>
      </c>
      <c r="AN691" t="s">
        <v>4521</v>
      </c>
      <c r="AO691" s="134">
        <v>106.17543859649101</v>
      </c>
      <c r="AP691" s="135">
        <v>117.256916996047</v>
      </c>
      <c r="AQ691">
        <v>0.33003952569169998</v>
      </c>
      <c r="AR691" s="136">
        <v>1.2826086956521701</v>
      </c>
      <c r="AS691">
        <v>8.0197628458497991</v>
      </c>
      <c r="AU691"/>
      <c r="AV691"/>
      <c r="AW691"/>
      <c r="AX691"/>
    </row>
    <row r="692" spans="1:50" s="69" customFormat="1" ht="61">
      <c r="A692" s="65">
        <v>1121</v>
      </c>
      <c r="B692" s="69" t="s">
        <v>3030</v>
      </c>
      <c r="C692" s="69" t="s">
        <v>45</v>
      </c>
      <c r="D692" s="31">
        <f t="shared" si="55"/>
        <v>4</v>
      </c>
      <c r="E692" s="69" t="s">
        <v>80</v>
      </c>
      <c r="F692" s="31">
        <f t="shared" si="56"/>
        <v>4</v>
      </c>
      <c r="G692" s="191" t="s">
        <v>2704</v>
      </c>
      <c r="H692" s="138">
        <v>81</v>
      </c>
      <c r="I692" s="92">
        <f t="shared" si="54"/>
        <v>0.40915338355520364</v>
      </c>
      <c r="J692" s="95">
        <v>6.8306767110407299E-2</v>
      </c>
      <c r="K692" s="137">
        <v>0.55862745636612698</v>
      </c>
      <c r="L692" s="137">
        <v>0.75</v>
      </c>
      <c r="M692" s="137">
        <v>0.27156864091531702</v>
      </c>
      <c r="N692" s="136">
        <v>1</v>
      </c>
      <c r="O692" s="157">
        <v>43192</v>
      </c>
      <c r="P692" s="98">
        <f t="shared" si="57"/>
        <v>1</v>
      </c>
      <c r="Q692" s="113">
        <v>2.5499999999999998</v>
      </c>
      <c r="R692" s="113">
        <v>3.3</v>
      </c>
      <c r="S692" s="113">
        <v>0</v>
      </c>
      <c r="T692" s="114" t="s">
        <v>73</v>
      </c>
      <c r="U692" s="136" t="s">
        <v>2974</v>
      </c>
      <c r="V692" s="172" t="s">
        <v>2975</v>
      </c>
      <c r="W692" s="69">
        <v>44</v>
      </c>
      <c r="X692" s="171">
        <v>1</v>
      </c>
      <c r="Y692" s="171">
        <v>26</v>
      </c>
      <c r="AA692" t="s">
        <v>4556</v>
      </c>
      <c r="AB692" t="s">
        <v>87</v>
      </c>
      <c r="AC692" t="s">
        <v>4515</v>
      </c>
      <c r="AD692" t="s">
        <v>4723</v>
      </c>
      <c r="AE692" t="s">
        <v>4353</v>
      </c>
      <c r="AF692" t="s">
        <v>4506</v>
      </c>
      <c r="AG692" t="s">
        <v>4353</v>
      </c>
      <c r="AH692" t="s">
        <v>4506</v>
      </c>
      <c r="AI692" t="s">
        <v>4353</v>
      </c>
      <c r="AJ692" t="s">
        <v>4506</v>
      </c>
      <c r="AK692" t="s">
        <v>4519</v>
      </c>
      <c r="AL692" t="s">
        <v>4552</v>
      </c>
      <c r="AM692" t="s">
        <v>4519</v>
      </c>
      <c r="AN692" t="s">
        <v>4659</v>
      </c>
      <c r="AO692" s="134">
        <v>106.224609375</v>
      </c>
      <c r="AP692" s="135">
        <v>117.374257425743</v>
      </c>
      <c r="AQ692">
        <v>0.33069306930693099</v>
      </c>
      <c r="AR692" s="136">
        <v>1.2831683168316801</v>
      </c>
      <c r="AS692">
        <v>8.0138613861386094</v>
      </c>
      <c r="AU692"/>
      <c r="AV692"/>
      <c r="AW692"/>
      <c r="AX692"/>
    </row>
    <row r="693" spans="1:50" s="69" customFormat="1" ht="46">
      <c r="A693" s="65">
        <v>941</v>
      </c>
      <c r="B693" s="69" t="s">
        <v>2510</v>
      </c>
      <c r="C693" s="69" t="s">
        <v>45</v>
      </c>
      <c r="D693" s="31">
        <f t="shared" si="55"/>
        <v>4</v>
      </c>
      <c r="E693" s="69" t="s">
        <v>80</v>
      </c>
      <c r="F693" s="31">
        <f t="shared" si="56"/>
        <v>4</v>
      </c>
      <c r="G693" s="152" t="s">
        <v>2559</v>
      </c>
      <c r="H693" s="138">
        <v>46</v>
      </c>
      <c r="I693" s="92">
        <f t="shared" si="54"/>
        <v>0.7260851077936975</v>
      </c>
      <c r="J693" s="95">
        <v>0.62717021558739505</v>
      </c>
      <c r="K693" s="137">
        <v>0.81418779643582295</v>
      </c>
      <c r="L693" s="137">
        <v>0.82499999999999996</v>
      </c>
      <c r="M693" s="137">
        <v>0.79796949108955795</v>
      </c>
      <c r="N693" s="136">
        <v>1</v>
      </c>
      <c r="O693" s="154">
        <v>43191</v>
      </c>
      <c r="P693" s="98">
        <f t="shared" si="57"/>
        <v>0</v>
      </c>
      <c r="Q693" s="111">
        <v>0</v>
      </c>
      <c r="R693" s="111">
        <v>0</v>
      </c>
      <c r="S693" s="111">
        <v>0</v>
      </c>
      <c r="T693" s="112" t="s">
        <v>48</v>
      </c>
      <c r="U693" s="188" t="s">
        <v>2560</v>
      </c>
      <c r="V693" s="137" t="s">
        <v>2561</v>
      </c>
      <c r="W693" s="69">
        <v>53</v>
      </c>
      <c r="X693" s="195">
        <v>1</v>
      </c>
      <c r="Y693" s="195">
        <v>2</v>
      </c>
      <c r="AA693" t="s">
        <v>4556</v>
      </c>
      <c r="AB693" t="s">
        <v>4791</v>
      </c>
      <c r="AC693" t="s">
        <v>223</v>
      </c>
      <c r="AD693" t="s">
        <v>4762</v>
      </c>
      <c r="AE693" t="s">
        <v>4353</v>
      </c>
      <c r="AF693" t="s">
        <v>4506</v>
      </c>
      <c r="AG693" t="s">
        <v>4353</v>
      </c>
      <c r="AH693" t="s">
        <v>4506</v>
      </c>
      <c r="AI693" t="s">
        <v>223</v>
      </c>
      <c r="AJ693" t="s">
        <v>4762</v>
      </c>
      <c r="AK693" t="s">
        <v>4518</v>
      </c>
      <c r="AL693" t="s">
        <v>4552</v>
      </c>
      <c r="AM693" t="s">
        <v>4510</v>
      </c>
      <c r="AN693" t="s">
        <v>4553</v>
      </c>
      <c r="AO693" s="134">
        <v>106.11937377690801</v>
      </c>
      <c r="AP693" s="135">
        <v>117.374257425743</v>
      </c>
      <c r="AQ693">
        <v>0.33069306930693099</v>
      </c>
      <c r="AR693" s="136">
        <v>1.2831683168316801</v>
      </c>
      <c r="AS693">
        <v>8.0138613861386094</v>
      </c>
      <c r="AU693"/>
      <c r="AV693"/>
      <c r="AW693"/>
      <c r="AX693"/>
    </row>
    <row r="694" spans="1:50" s="69" customFormat="1" ht="46">
      <c r="A694">
        <v>942</v>
      </c>
      <c r="B694" s="69" t="s">
        <v>2510</v>
      </c>
      <c r="C694" s="69" t="s">
        <v>45</v>
      </c>
      <c r="D694" s="31">
        <f t="shared" si="55"/>
        <v>4</v>
      </c>
      <c r="E694" s="69" t="s">
        <v>80</v>
      </c>
      <c r="F694" s="31">
        <f t="shared" si="56"/>
        <v>4</v>
      </c>
      <c r="G694" s="152" t="s">
        <v>2036</v>
      </c>
      <c r="H694" s="138">
        <v>41</v>
      </c>
      <c r="I694" s="92">
        <f t="shared" si="54"/>
        <v>0.43192299954844804</v>
      </c>
      <c r="J694" s="95">
        <v>3.8845999096896101E-2</v>
      </c>
      <c r="K694" s="137">
        <v>0.81418779643582295</v>
      </c>
      <c r="L694" s="137">
        <v>0.82499999999999996</v>
      </c>
      <c r="M694" s="137">
        <v>0.79796949108955795</v>
      </c>
      <c r="N694" s="136">
        <v>1</v>
      </c>
      <c r="O694" s="154">
        <v>43191</v>
      </c>
      <c r="P694" s="98">
        <f t="shared" si="57"/>
        <v>0</v>
      </c>
      <c r="Q694" s="111">
        <v>2.5499999999999998</v>
      </c>
      <c r="R694" s="111">
        <v>0</v>
      </c>
      <c r="S694" s="111">
        <v>0</v>
      </c>
      <c r="T694" s="112" t="s">
        <v>48</v>
      </c>
      <c r="U694" s="137" t="s">
        <v>2562</v>
      </c>
      <c r="V694" s="137" t="s">
        <v>2561</v>
      </c>
      <c r="W694" s="69">
        <v>53</v>
      </c>
      <c r="X694" s="171">
        <v>1</v>
      </c>
      <c r="Y694" s="171">
        <v>2</v>
      </c>
      <c r="AA694" t="s">
        <v>4522</v>
      </c>
      <c r="AB694" t="s">
        <v>4791</v>
      </c>
      <c r="AC694" t="s">
        <v>223</v>
      </c>
      <c r="AD694" t="s">
        <v>4762</v>
      </c>
      <c r="AE694" t="s">
        <v>4353</v>
      </c>
      <c r="AF694" t="s">
        <v>4506</v>
      </c>
      <c r="AG694" t="s">
        <v>4353</v>
      </c>
      <c r="AH694" t="s">
        <v>4506</v>
      </c>
      <c r="AI694" t="s">
        <v>223</v>
      </c>
      <c r="AJ694" t="s">
        <v>4762</v>
      </c>
      <c r="AK694" t="s">
        <v>4518</v>
      </c>
      <c r="AL694" t="s">
        <v>4519</v>
      </c>
      <c r="AM694" t="s">
        <v>4510</v>
      </c>
      <c r="AN694" t="s">
        <v>4523</v>
      </c>
      <c r="AO694" s="134">
        <v>106.23725490196099</v>
      </c>
      <c r="AP694" s="135">
        <v>117.374257425743</v>
      </c>
      <c r="AQ694">
        <v>0.33069306930693099</v>
      </c>
      <c r="AR694" s="136">
        <v>1.2831683168316801</v>
      </c>
      <c r="AS694">
        <v>8.0138613861386094</v>
      </c>
      <c r="AU694"/>
      <c r="AV694"/>
      <c r="AW694"/>
      <c r="AX694"/>
    </row>
    <row r="695" spans="1:50" s="69" customFormat="1" ht="106">
      <c r="A695">
        <v>27</v>
      </c>
      <c r="B695" s="136" t="s">
        <v>115</v>
      </c>
      <c r="C695" s="136" t="s">
        <v>45</v>
      </c>
      <c r="D695" s="31">
        <f t="shared" si="55"/>
        <v>4</v>
      </c>
      <c r="E695" s="136" t="s">
        <v>46</v>
      </c>
      <c r="F695" s="31">
        <f t="shared" si="56"/>
        <v>6</v>
      </c>
      <c r="G695" s="137" t="s">
        <v>129</v>
      </c>
      <c r="H695" s="138">
        <v>160</v>
      </c>
      <c r="I695" s="92">
        <f t="shared" si="54"/>
        <v>0.19243457165602995</v>
      </c>
      <c r="J695" s="95">
        <v>5.5463902992602996E-7</v>
      </c>
      <c r="K695" s="137">
        <v>0.53194682134273896</v>
      </c>
      <c r="L695" s="137">
        <v>0.38486858867302998</v>
      </c>
      <c r="M695" s="137">
        <v>0.75256417034730305</v>
      </c>
      <c r="N695" s="136">
        <v>1</v>
      </c>
      <c r="O695" s="41">
        <v>43191</v>
      </c>
      <c r="P695" s="98">
        <f t="shared" si="57"/>
        <v>0</v>
      </c>
      <c r="Q695" s="113">
        <v>7.65</v>
      </c>
      <c r="R695" s="113">
        <v>0</v>
      </c>
      <c r="S695" s="113">
        <v>0</v>
      </c>
      <c r="T695" s="114" t="s">
        <v>48</v>
      </c>
      <c r="U695" s="136" t="s">
        <v>130</v>
      </c>
      <c r="V695" s="136" t="s">
        <v>131</v>
      </c>
      <c r="W695" s="69">
        <v>131</v>
      </c>
      <c r="X695" s="136">
        <v>1</v>
      </c>
      <c r="Y695" s="136">
        <v>3</v>
      </c>
      <c r="Z695"/>
      <c r="AA695" t="s">
        <v>4985</v>
      </c>
      <c r="AB695" t="s">
        <v>4594</v>
      </c>
      <c r="AC695" t="s">
        <v>4538</v>
      </c>
      <c r="AD695" t="s">
        <v>4986</v>
      </c>
      <c r="AE695" t="s">
        <v>4538</v>
      </c>
      <c r="AF695" t="s">
        <v>4986</v>
      </c>
      <c r="AG695" t="s">
        <v>4530</v>
      </c>
      <c r="AH695" t="s">
        <v>4565</v>
      </c>
      <c r="AI695" t="s">
        <v>4353</v>
      </c>
      <c r="AJ695" t="s">
        <v>4506</v>
      </c>
      <c r="AK695" t="s">
        <v>4518</v>
      </c>
      <c r="AL695" t="s">
        <v>4519</v>
      </c>
      <c r="AM695" t="s">
        <v>4562</v>
      </c>
      <c r="AN695" t="s">
        <v>4949</v>
      </c>
      <c r="AO695" s="134">
        <v>106.365422396857</v>
      </c>
      <c r="AP695" s="135">
        <v>117.374257425743</v>
      </c>
      <c r="AQ695">
        <v>0.33069306930693099</v>
      </c>
      <c r="AR695" s="136">
        <v>1.2831683168316801</v>
      </c>
      <c r="AS695">
        <v>8.0138613861386094</v>
      </c>
      <c r="AU695"/>
      <c r="AV695"/>
      <c r="AW695"/>
      <c r="AX695"/>
    </row>
    <row r="696" spans="1:50" s="69" customFormat="1" ht="91">
      <c r="A696" s="65">
        <v>361</v>
      </c>
      <c r="B696" s="69" t="s">
        <v>589</v>
      </c>
      <c r="C696" s="69" t="s">
        <v>45</v>
      </c>
      <c r="D696" s="31">
        <f t="shared" si="55"/>
        <v>4</v>
      </c>
      <c r="E696" s="69" t="s">
        <v>80</v>
      </c>
      <c r="F696" s="31">
        <f t="shared" si="56"/>
        <v>4</v>
      </c>
      <c r="G696" s="152" t="s">
        <v>1047</v>
      </c>
      <c r="H696" s="138">
        <v>60</v>
      </c>
      <c r="I696" s="92">
        <f t="shared" si="54"/>
        <v>0.48756719791894149</v>
      </c>
      <c r="J696" s="95">
        <v>0.15013439583788299</v>
      </c>
      <c r="K696" s="137">
        <v>0.733375592871646</v>
      </c>
      <c r="L696" s="137">
        <v>0.82499999999999996</v>
      </c>
      <c r="M696" s="137">
        <v>0.59593898217911601</v>
      </c>
      <c r="N696" s="136">
        <v>1</v>
      </c>
      <c r="O696" s="154">
        <v>43190</v>
      </c>
      <c r="P696" s="98">
        <f t="shared" si="57"/>
        <v>0</v>
      </c>
      <c r="Q696" s="111">
        <v>5.0999999999999996</v>
      </c>
      <c r="R696" s="111">
        <v>0</v>
      </c>
      <c r="S696" s="111">
        <v>0</v>
      </c>
      <c r="T696" s="112" t="s">
        <v>48</v>
      </c>
      <c r="U696" s="137" t="s">
        <v>1048</v>
      </c>
      <c r="V696" s="137" t="s">
        <v>1049</v>
      </c>
      <c r="W696" s="69">
        <v>121</v>
      </c>
      <c r="X696" s="171">
        <v>2</v>
      </c>
      <c r="Y696" s="171">
        <v>8</v>
      </c>
      <c r="Z696"/>
      <c r="AA696" t="s">
        <v>4512</v>
      </c>
      <c r="AB696" t="s">
        <v>87</v>
      </c>
      <c r="AC696" t="s">
        <v>4538</v>
      </c>
      <c r="AD696" t="s">
        <v>4577</v>
      </c>
      <c r="AE696" t="s">
        <v>4353</v>
      </c>
      <c r="AF696" t="s">
        <v>4506</v>
      </c>
      <c r="AG696" t="s">
        <v>223</v>
      </c>
      <c r="AH696" t="s">
        <v>4841</v>
      </c>
      <c r="AI696" t="s">
        <v>4353</v>
      </c>
      <c r="AJ696" t="s">
        <v>4506</v>
      </c>
      <c r="AK696" t="s">
        <v>4518</v>
      </c>
      <c r="AL696" t="s">
        <v>4519</v>
      </c>
      <c r="AM696" t="s">
        <v>4520</v>
      </c>
      <c r="AN696" t="s">
        <v>4521</v>
      </c>
      <c r="AO696" s="134">
        <v>106.45669291338599</v>
      </c>
      <c r="AP696" s="135">
        <v>117.29960317460301</v>
      </c>
      <c r="AQ696">
        <v>0.331349206349206</v>
      </c>
      <c r="AR696" s="136">
        <v>1.2817460317460301</v>
      </c>
      <c r="AS696">
        <v>8.0218253968254007</v>
      </c>
      <c r="AU696"/>
      <c r="AV696"/>
      <c r="AW696"/>
      <c r="AX696"/>
    </row>
    <row r="697" spans="1:50" s="65" customFormat="1" ht="76">
      <c r="A697">
        <v>99</v>
      </c>
      <c r="B697" s="69" t="s">
        <v>217</v>
      </c>
      <c r="C697" s="69" t="s">
        <v>45</v>
      </c>
      <c r="D697" s="31">
        <f t="shared" si="55"/>
        <v>4</v>
      </c>
      <c r="E697" s="69" t="s">
        <v>80</v>
      </c>
      <c r="F697" s="31">
        <f t="shared" si="56"/>
        <v>4</v>
      </c>
      <c r="G697" s="137" t="s">
        <v>159</v>
      </c>
      <c r="H697" s="138">
        <v>45</v>
      </c>
      <c r="I697" s="92">
        <f t="shared" si="54"/>
        <v>0.41433454682560239</v>
      </c>
      <c r="J697" s="95">
        <v>3.6690936512048201E-3</v>
      </c>
      <c r="K697" s="137">
        <v>0.81418779643582295</v>
      </c>
      <c r="L697" s="137">
        <v>0.82499999999999996</v>
      </c>
      <c r="M697" s="137">
        <v>0.79796949108955795</v>
      </c>
      <c r="N697" s="136">
        <v>1</v>
      </c>
      <c r="O697" s="154">
        <v>43186</v>
      </c>
      <c r="P697" s="98">
        <f t="shared" si="57"/>
        <v>0</v>
      </c>
      <c r="Q697" s="111">
        <v>2.5499999999999998</v>
      </c>
      <c r="R697" s="111">
        <v>1.65</v>
      </c>
      <c r="S697" s="111">
        <v>0</v>
      </c>
      <c r="T697" s="112" t="s">
        <v>48</v>
      </c>
      <c r="U697" s="137" t="s">
        <v>341</v>
      </c>
      <c r="V697" s="137" t="s">
        <v>342</v>
      </c>
      <c r="W697" s="69">
        <v>91</v>
      </c>
      <c r="X697" s="69">
        <v>2</v>
      </c>
      <c r="Y697" s="69">
        <v>2</v>
      </c>
      <c r="Z697"/>
      <c r="AA697" t="s">
        <v>4543</v>
      </c>
      <c r="AB697" t="s">
        <v>4594</v>
      </c>
      <c r="AC697" t="s">
        <v>4515</v>
      </c>
      <c r="AD697" t="s">
        <v>4629</v>
      </c>
      <c r="AE697" t="s">
        <v>4515</v>
      </c>
      <c r="AF697" t="s">
        <v>4629</v>
      </c>
      <c r="AG697" t="s">
        <v>4353</v>
      </c>
      <c r="AH697" t="s">
        <v>4506</v>
      </c>
      <c r="AI697" t="s">
        <v>223</v>
      </c>
      <c r="AJ697" t="s">
        <v>4540</v>
      </c>
      <c r="AK697" t="s">
        <v>4518</v>
      </c>
      <c r="AL697" t="s">
        <v>4519</v>
      </c>
      <c r="AM697" t="s">
        <v>4528</v>
      </c>
      <c r="AN697" t="s">
        <v>4624</v>
      </c>
      <c r="AO697" s="132">
        <v>106.473372781065</v>
      </c>
      <c r="AP697" s="133">
        <v>117.38336713995901</v>
      </c>
      <c r="AQ697" s="65">
        <v>0.33062880324543598</v>
      </c>
      <c r="AR697" s="65">
        <v>1.2738336713995899</v>
      </c>
      <c r="AS697" s="65">
        <v>8.0649087221095304</v>
      </c>
    </row>
    <row r="698" spans="1:50" s="65" customFormat="1" ht="106">
      <c r="A698" s="65">
        <v>100</v>
      </c>
      <c r="B698" s="69" t="s">
        <v>217</v>
      </c>
      <c r="C698" s="69" t="s">
        <v>45</v>
      </c>
      <c r="D698" s="31">
        <f t="shared" si="55"/>
        <v>4</v>
      </c>
      <c r="E698" s="69" t="s">
        <v>46</v>
      </c>
      <c r="F698" s="31">
        <f t="shared" si="56"/>
        <v>6</v>
      </c>
      <c r="G698" s="137" t="s">
        <v>343</v>
      </c>
      <c r="H698" s="138">
        <v>126</v>
      </c>
      <c r="I698" s="92">
        <f t="shared" si="54"/>
        <v>0.37528287160760565</v>
      </c>
      <c r="J698" s="95">
        <v>5.6574321521130099E-4</v>
      </c>
      <c r="K698" s="137">
        <v>0.76918779643582302</v>
      </c>
      <c r="L698" s="137">
        <v>0.75</v>
      </c>
      <c r="M698" s="137">
        <v>0.79796949108955795</v>
      </c>
      <c r="N698" s="136">
        <v>0</v>
      </c>
      <c r="O698" s="154">
        <v>43186</v>
      </c>
      <c r="P698" s="98">
        <f t="shared" si="57"/>
        <v>0</v>
      </c>
      <c r="Q698" s="111">
        <v>0</v>
      </c>
      <c r="R698" s="111">
        <v>1.65</v>
      </c>
      <c r="S698" s="111">
        <v>0</v>
      </c>
      <c r="T698" s="112" t="s">
        <v>48</v>
      </c>
      <c r="U698" s="147" t="s">
        <v>344</v>
      </c>
      <c r="V698" s="153" t="s">
        <v>345</v>
      </c>
      <c r="W698" s="69">
        <v>153</v>
      </c>
      <c r="X698" s="171">
        <v>2</v>
      </c>
      <c r="Y698" s="171">
        <v>2</v>
      </c>
      <c r="Z698"/>
      <c r="AA698" t="s">
        <v>4564</v>
      </c>
      <c r="AB698" t="s">
        <v>4827</v>
      </c>
      <c r="AC698" t="s">
        <v>4515</v>
      </c>
      <c r="AD698" t="s">
        <v>4560</v>
      </c>
      <c r="AE698" t="s">
        <v>4515</v>
      </c>
      <c r="AF698" t="s">
        <v>4560</v>
      </c>
      <c r="AG698" t="s">
        <v>223</v>
      </c>
      <c r="AH698" t="s">
        <v>4559</v>
      </c>
      <c r="AI698" t="s">
        <v>4515</v>
      </c>
      <c r="AJ698" t="s">
        <v>4560</v>
      </c>
      <c r="AK698" t="s">
        <v>4518</v>
      </c>
      <c r="AL698" t="s">
        <v>4552</v>
      </c>
      <c r="AM698" t="s">
        <v>4510</v>
      </c>
      <c r="AN698" t="s">
        <v>4553</v>
      </c>
      <c r="AO698" s="132">
        <v>106.594861660079</v>
      </c>
      <c r="AP698" s="133">
        <v>117.38336713995901</v>
      </c>
      <c r="AQ698" s="65">
        <v>0.33062880324543598</v>
      </c>
      <c r="AR698" s="65">
        <v>1.2738336713995899</v>
      </c>
      <c r="AS698" s="65">
        <v>8.0649087221095304</v>
      </c>
    </row>
    <row r="699" spans="1:50" s="69" customFormat="1" ht="106">
      <c r="A699">
        <v>98</v>
      </c>
      <c r="B699" s="69" t="s">
        <v>217</v>
      </c>
      <c r="C699" s="69" t="s">
        <v>45</v>
      </c>
      <c r="D699" s="31">
        <f t="shared" si="55"/>
        <v>4</v>
      </c>
      <c r="E699" s="69" t="s">
        <v>80</v>
      </c>
      <c r="F699" s="31">
        <f t="shared" si="56"/>
        <v>4</v>
      </c>
      <c r="G699" s="188" t="s">
        <v>159</v>
      </c>
      <c r="H699" s="138">
        <v>98</v>
      </c>
      <c r="I699" s="92">
        <f t="shared" si="54"/>
        <v>0.37500222142105416</v>
      </c>
      <c r="J699" s="95">
        <v>4.4428421083209102E-6</v>
      </c>
      <c r="K699" s="137">
        <v>0.73571428571428599</v>
      </c>
      <c r="L699" s="137">
        <v>0.75</v>
      </c>
      <c r="M699" s="137">
        <v>0.71428571428571397</v>
      </c>
      <c r="N699" s="136">
        <v>1</v>
      </c>
      <c r="O699" s="154">
        <v>43186</v>
      </c>
      <c r="P699" s="98">
        <f t="shared" si="57"/>
        <v>0</v>
      </c>
      <c r="Q699" s="111">
        <v>2.5499999999999998</v>
      </c>
      <c r="R699" s="111">
        <v>1.65</v>
      </c>
      <c r="S699" s="111">
        <v>1.87</v>
      </c>
      <c r="T699" s="112" t="s">
        <v>48</v>
      </c>
      <c r="U699" s="137" t="s">
        <v>339</v>
      </c>
      <c r="V699" s="137" t="s">
        <v>340</v>
      </c>
      <c r="W699" s="69">
        <v>155</v>
      </c>
      <c r="X699" s="195">
        <v>2</v>
      </c>
      <c r="Y699" s="195">
        <v>4</v>
      </c>
      <c r="Z699"/>
      <c r="AA699" t="s">
        <v>4551</v>
      </c>
      <c r="AB699" t="s">
        <v>4827</v>
      </c>
      <c r="AC699" t="s">
        <v>4515</v>
      </c>
      <c r="AD699" t="s">
        <v>4790</v>
      </c>
      <c r="AE699" t="s">
        <v>4515</v>
      </c>
      <c r="AF699" t="s">
        <v>4790</v>
      </c>
      <c r="AG699" t="s">
        <v>223</v>
      </c>
      <c r="AH699" t="s">
        <v>4789</v>
      </c>
      <c r="AI699" t="s">
        <v>4515</v>
      </c>
      <c r="AJ699" t="s">
        <v>4790</v>
      </c>
      <c r="AK699" t="s">
        <v>4518</v>
      </c>
      <c r="AL699" t="s">
        <v>4541</v>
      </c>
      <c r="AM699" t="s">
        <v>4510</v>
      </c>
      <c r="AN699" t="s">
        <v>4610</v>
      </c>
      <c r="AO699" s="134">
        <v>106.556435643564</v>
      </c>
      <c r="AP699" s="135">
        <v>117.38336713995901</v>
      </c>
      <c r="AQ699">
        <v>0.33062880324543598</v>
      </c>
      <c r="AR699" s="136">
        <v>1.2738336713995899</v>
      </c>
      <c r="AS699">
        <v>8.0649087221095304</v>
      </c>
      <c r="AU699"/>
      <c r="AV699"/>
      <c r="AW699"/>
      <c r="AX699"/>
    </row>
    <row r="700" spans="1:50" s="69" customFormat="1" ht="61">
      <c r="A700" s="65">
        <v>28</v>
      </c>
      <c r="B700" s="136" t="s">
        <v>115</v>
      </c>
      <c r="C700" s="136" t="s">
        <v>59</v>
      </c>
      <c r="D700" s="31">
        <f t="shared" si="55"/>
        <v>5</v>
      </c>
      <c r="E700" s="136" t="s">
        <v>46</v>
      </c>
      <c r="F700" s="31">
        <f t="shared" si="56"/>
        <v>6</v>
      </c>
      <c r="G700" s="137" t="s">
        <v>132</v>
      </c>
      <c r="H700" s="138">
        <v>81</v>
      </c>
      <c r="I700" s="92">
        <f t="shared" si="54"/>
        <v>0.48138441959223049</v>
      </c>
      <c r="J700" s="95">
        <v>0.280950657366279</v>
      </c>
      <c r="K700" s="137">
        <v>0.75194805194805203</v>
      </c>
      <c r="L700" s="137">
        <v>0.68181818181818199</v>
      </c>
      <c r="M700" s="137">
        <v>0.85714285714285698</v>
      </c>
      <c r="N700" s="136">
        <v>1</v>
      </c>
      <c r="O700" s="41">
        <v>43185</v>
      </c>
      <c r="P700" s="98">
        <f t="shared" si="57"/>
        <v>1</v>
      </c>
      <c r="Q700" s="111">
        <v>0</v>
      </c>
      <c r="R700" s="111">
        <v>0</v>
      </c>
      <c r="S700" s="111">
        <v>0</v>
      </c>
      <c r="T700" s="112" t="s">
        <v>73</v>
      </c>
      <c r="U700" s="137" t="s">
        <v>133</v>
      </c>
      <c r="V700" s="136" t="s">
        <v>134</v>
      </c>
      <c r="W700" s="69">
        <v>89</v>
      </c>
      <c r="X700" s="136">
        <v>1</v>
      </c>
      <c r="Y700" s="136">
        <v>1</v>
      </c>
      <c r="Z700"/>
      <c r="AA700" t="s">
        <v>4564</v>
      </c>
      <c r="AB700" t="s">
        <v>4594</v>
      </c>
      <c r="AC700" t="s">
        <v>223</v>
      </c>
      <c r="AD700" t="s">
        <v>4655</v>
      </c>
      <c r="AE700" t="s">
        <v>223</v>
      </c>
      <c r="AF700" t="s">
        <v>4655</v>
      </c>
      <c r="AG700" t="s">
        <v>4353</v>
      </c>
      <c r="AH700" t="s">
        <v>4506</v>
      </c>
      <c r="AI700" t="s">
        <v>4353</v>
      </c>
      <c r="AJ700" t="s">
        <v>4506</v>
      </c>
      <c r="AK700" t="s">
        <v>4519</v>
      </c>
      <c r="AL700" t="s">
        <v>4519</v>
      </c>
      <c r="AM700" t="s">
        <v>4519</v>
      </c>
      <c r="AN700" t="s">
        <v>4564</v>
      </c>
      <c r="AO700" s="134">
        <v>106.607142857143</v>
      </c>
      <c r="AP700" s="135">
        <v>117.493902439024</v>
      </c>
      <c r="AQ700">
        <v>0.33130081300813002</v>
      </c>
      <c r="AR700" s="136">
        <v>1.2743902439024399</v>
      </c>
      <c r="AS700">
        <v>8.0813008130081307</v>
      </c>
      <c r="AU700"/>
      <c r="AV700"/>
      <c r="AW700"/>
      <c r="AX700"/>
    </row>
    <row r="701" spans="1:50" s="69" customFormat="1" ht="46">
      <c r="A701" s="65">
        <v>672</v>
      </c>
      <c r="B701" s="69" t="s">
        <v>1790</v>
      </c>
      <c r="C701" s="69" t="s">
        <v>45</v>
      </c>
      <c r="D701" s="31">
        <f t="shared" si="55"/>
        <v>4</v>
      </c>
      <c r="E701" s="69" t="s">
        <v>80</v>
      </c>
      <c r="F701" s="31">
        <f t="shared" si="56"/>
        <v>4</v>
      </c>
      <c r="G701" s="169" t="s">
        <v>1843</v>
      </c>
      <c r="H701" s="138">
        <v>61</v>
      </c>
      <c r="I701" s="92">
        <f t="shared" si="54"/>
        <v>0.42718847382233199</v>
      </c>
      <c r="J701" s="95">
        <v>0.172558765826482</v>
      </c>
      <c r="K701" s="137">
        <v>0.80909090909090897</v>
      </c>
      <c r="L701" s="137">
        <v>0.68181818181818199</v>
      </c>
      <c r="M701" s="137">
        <v>1</v>
      </c>
      <c r="N701" s="136">
        <v>1</v>
      </c>
      <c r="O701" s="194">
        <v>43185</v>
      </c>
      <c r="P701" s="98">
        <f t="shared" si="57"/>
        <v>1</v>
      </c>
      <c r="Q701" s="111">
        <v>0</v>
      </c>
      <c r="R701" s="111">
        <v>0</v>
      </c>
      <c r="S701" s="111">
        <v>0</v>
      </c>
      <c r="T701" s="112" t="s">
        <v>73</v>
      </c>
      <c r="U701" s="137" t="s">
        <v>1846</v>
      </c>
      <c r="V701" s="137" t="s">
        <v>1847</v>
      </c>
      <c r="W701" s="69">
        <v>63</v>
      </c>
      <c r="X701" s="69">
        <v>1</v>
      </c>
      <c r="Y701" s="69">
        <v>0</v>
      </c>
      <c r="AA701" t="s">
        <v>4522</v>
      </c>
      <c r="AB701" t="s">
        <v>4594</v>
      </c>
      <c r="AC701" t="s">
        <v>223</v>
      </c>
      <c r="AD701" t="s">
        <v>4762</v>
      </c>
      <c r="AE701" t="s">
        <v>223</v>
      </c>
      <c r="AF701" t="s">
        <v>4762</v>
      </c>
      <c r="AG701" t="s">
        <v>4353</v>
      </c>
      <c r="AH701" t="s">
        <v>4506</v>
      </c>
      <c r="AI701" t="s">
        <v>4353</v>
      </c>
      <c r="AJ701" t="s">
        <v>4506</v>
      </c>
      <c r="AK701" t="s">
        <v>4519</v>
      </c>
      <c r="AL701" t="s">
        <v>4519</v>
      </c>
      <c r="AM701" t="s">
        <v>4510</v>
      </c>
      <c r="AN701" t="s">
        <v>4550</v>
      </c>
      <c r="AO701" s="134">
        <v>106.671968190855</v>
      </c>
      <c r="AP701" s="135">
        <v>117.493902439024</v>
      </c>
      <c r="AQ701">
        <v>0.33130081300813002</v>
      </c>
      <c r="AR701" s="136">
        <v>1.2743902439024399</v>
      </c>
      <c r="AS701">
        <v>8.0813008130081307</v>
      </c>
      <c r="AU701"/>
      <c r="AV701"/>
      <c r="AW701"/>
      <c r="AX701"/>
    </row>
    <row r="702" spans="1:50" s="69" customFormat="1" ht="106">
      <c r="A702" s="65">
        <v>528</v>
      </c>
      <c r="B702" s="69" t="s">
        <v>1222</v>
      </c>
      <c r="C702" s="69" t="s">
        <v>45</v>
      </c>
      <c r="D702" s="31">
        <f t="shared" si="55"/>
        <v>4</v>
      </c>
      <c r="E702" s="69" t="s">
        <v>80</v>
      </c>
      <c r="F702" s="31">
        <f t="shared" si="56"/>
        <v>4</v>
      </c>
      <c r="G702" s="169" t="s">
        <v>159</v>
      </c>
      <c r="H702" s="138">
        <v>74</v>
      </c>
      <c r="I702" s="92">
        <f t="shared" si="54"/>
        <v>0.42196116160130009</v>
      </c>
      <c r="J702" s="95">
        <v>1.8922323202600198E-2</v>
      </c>
      <c r="K702" s="137">
        <v>0.79602566813892095</v>
      </c>
      <c r="L702" s="137">
        <v>0.82499999999999996</v>
      </c>
      <c r="M702" s="137">
        <v>0.75256417034730305</v>
      </c>
      <c r="N702" s="136">
        <v>1</v>
      </c>
      <c r="O702" s="154">
        <v>43185</v>
      </c>
      <c r="P702" s="98">
        <f t="shared" si="57"/>
        <v>0</v>
      </c>
      <c r="Q702" s="113">
        <v>5.0999999999999996</v>
      </c>
      <c r="R702" s="113">
        <v>4.95</v>
      </c>
      <c r="S702" s="113">
        <v>0</v>
      </c>
      <c r="T702" s="114" t="s">
        <v>48</v>
      </c>
      <c r="U702" s="147" t="s">
        <v>1481</v>
      </c>
      <c r="V702" s="137" t="s">
        <v>1482</v>
      </c>
      <c r="W702" s="69">
        <v>146</v>
      </c>
      <c r="X702" s="147">
        <v>2</v>
      </c>
      <c r="Y702" s="147">
        <v>3</v>
      </c>
      <c r="Z702"/>
      <c r="AA702" t="s">
        <v>4522</v>
      </c>
      <c r="AB702" t="s">
        <v>4827</v>
      </c>
      <c r="AC702" t="s">
        <v>4515</v>
      </c>
      <c r="AD702" t="s">
        <v>4535</v>
      </c>
      <c r="AE702" t="s">
        <v>4515</v>
      </c>
      <c r="AF702" t="s">
        <v>4535</v>
      </c>
      <c r="AG702" t="s">
        <v>223</v>
      </c>
      <c r="AH702" t="s">
        <v>4536</v>
      </c>
      <c r="AI702" t="s">
        <v>4515</v>
      </c>
      <c r="AJ702" t="s">
        <v>4535</v>
      </c>
      <c r="AK702" t="s">
        <v>4518</v>
      </c>
      <c r="AL702" t="s">
        <v>4519</v>
      </c>
      <c r="AM702" t="s">
        <v>4520</v>
      </c>
      <c r="AN702" t="s">
        <v>4521</v>
      </c>
      <c r="AO702" s="134">
        <v>106.76294820717099</v>
      </c>
      <c r="AP702" s="135">
        <v>117.493902439024</v>
      </c>
      <c r="AQ702">
        <v>0.33130081300813002</v>
      </c>
      <c r="AR702" s="136">
        <v>1.2743902439024399</v>
      </c>
      <c r="AS702">
        <v>8.0813008130081307</v>
      </c>
      <c r="AU702"/>
      <c r="AV702"/>
      <c r="AW702"/>
      <c r="AX702"/>
    </row>
    <row r="703" spans="1:50" s="69" customFormat="1" ht="121">
      <c r="A703">
        <v>362</v>
      </c>
      <c r="B703" s="69" t="s">
        <v>589</v>
      </c>
      <c r="C703" s="69" t="s">
        <v>45</v>
      </c>
      <c r="D703" s="31">
        <f t="shared" si="55"/>
        <v>4</v>
      </c>
      <c r="E703" s="69" t="s">
        <v>80</v>
      </c>
      <c r="F703" s="31">
        <f t="shared" si="56"/>
        <v>4</v>
      </c>
      <c r="G703" s="152" t="s">
        <v>159</v>
      </c>
      <c r="H703" s="138">
        <v>51</v>
      </c>
      <c r="I703" s="92">
        <f t="shared" si="54"/>
        <v>0.57629650288868506</v>
      </c>
      <c r="J703" s="95">
        <v>0.40259300577737001</v>
      </c>
      <c r="K703" s="137">
        <v>0.73571428571428599</v>
      </c>
      <c r="L703" s="137">
        <v>0.75</v>
      </c>
      <c r="M703" s="137">
        <v>0.71428571428571397</v>
      </c>
      <c r="N703" s="136">
        <v>1</v>
      </c>
      <c r="O703" s="154">
        <v>43184</v>
      </c>
      <c r="P703" s="98">
        <f t="shared" si="57"/>
        <v>0</v>
      </c>
      <c r="Q703" s="111">
        <v>5.0999999999999996</v>
      </c>
      <c r="R703" s="111">
        <v>0</v>
      </c>
      <c r="S703" s="111">
        <v>0</v>
      </c>
      <c r="T703" s="112" t="s">
        <v>48</v>
      </c>
      <c r="U703" s="147" t="s">
        <v>1050</v>
      </c>
      <c r="V703" s="137" t="s">
        <v>1051</v>
      </c>
      <c r="W703" s="69">
        <v>168</v>
      </c>
      <c r="X703" s="171">
        <v>2</v>
      </c>
      <c r="Y703" s="171">
        <v>4</v>
      </c>
      <c r="Z703"/>
      <c r="AA703" t="s">
        <v>4551</v>
      </c>
      <c r="AB703" t="s">
        <v>4827</v>
      </c>
      <c r="AC703" t="s">
        <v>4515</v>
      </c>
      <c r="AD703" t="s">
        <v>4705</v>
      </c>
      <c r="AE703" t="s">
        <v>4515</v>
      </c>
      <c r="AF703" t="s">
        <v>4705</v>
      </c>
      <c r="AG703" t="s">
        <v>223</v>
      </c>
      <c r="AH703" t="s">
        <v>4637</v>
      </c>
      <c r="AI703" t="s">
        <v>4515</v>
      </c>
      <c r="AJ703" t="s">
        <v>4705</v>
      </c>
      <c r="AK703" t="s">
        <v>4518</v>
      </c>
      <c r="AL703" t="s">
        <v>4541</v>
      </c>
      <c r="AM703" t="s">
        <v>4528</v>
      </c>
      <c r="AN703" t="s">
        <v>4878</v>
      </c>
      <c r="AO703" s="134">
        <v>106.874251497006</v>
      </c>
      <c r="AP703" s="135">
        <v>117.493902439024</v>
      </c>
      <c r="AQ703">
        <v>0.33130081300813002</v>
      </c>
      <c r="AR703" s="136">
        <v>1.2743902439024399</v>
      </c>
      <c r="AS703">
        <v>8.0813008130081307</v>
      </c>
      <c r="AU703"/>
      <c r="AV703"/>
      <c r="AW703"/>
      <c r="AX703"/>
    </row>
    <row r="704" spans="1:50" s="69" customFormat="1" ht="106">
      <c r="A704" s="65">
        <v>529</v>
      </c>
      <c r="B704" s="69" t="s">
        <v>1222</v>
      </c>
      <c r="C704" s="69" t="s">
        <v>45</v>
      </c>
      <c r="D704" s="31">
        <f t="shared" si="55"/>
        <v>4</v>
      </c>
      <c r="E704" s="69" t="s">
        <v>80</v>
      </c>
      <c r="F704" s="31">
        <f t="shared" si="56"/>
        <v>4</v>
      </c>
      <c r="G704" s="169" t="s">
        <v>1483</v>
      </c>
      <c r="H704" s="138">
        <v>48</v>
      </c>
      <c r="I704" s="92">
        <f t="shared" si="54"/>
        <v>0.38101205143319916</v>
      </c>
      <c r="J704" s="95">
        <v>1.20241028663983E-2</v>
      </c>
      <c r="K704" s="137">
        <v>0.73571428571428599</v>
      </c>
      <c r="L704" s="137">
        <v>0.75</v>
      </c>
      <c r="M704" s="137">
        <v>0.71428571428571397</v>
      </c>
      <c r="N704" s="136">
        <v>1</v>
      </c>
      <c r="O704" s="154">
        <v>43184</v>
      </c>
      <c r="P704" s="98">
        <f t="shared" si="57"/>
        <v>0</v>
      </c>
      <c r="Q704" s="111">
        <v>0</v>
      </c>
      <c r="R704" s="111">
        <v>0</v>
      </c>
      <c r="S704" s="111">
        <v>0</v>
      </c>
      <c r="T704" s="112" t="s">
        <v>48</v>
      </c>
      <c r="U704" s="147" t="s">
        <v>1484</v>
      </c>
      <c r="V704" s="137" t="s">
        <v>1485</v>
      </c>
      <c r="W704" s="69">
        <v>155</v>
      </c>
      <c r="X704" s="147">
        <v>2</v>
      </c>
      <c r="Y704" s="147">
        <v>4</v>
      </c>
      <c r="Z704"/>
      <c r="AA704" t="s">
        <v>4564</v>
      </c>
      <c r="AB704" t="s">
        <v>4827</v>
      </c>
      <c r="AC704" t="s">
        <v>4515</v>
      </c>
      <c r="AD704" t="s">
        <v>4631</v>
      </c>
      <c r="AE704" t="s">
        <v>4515</v>
      </c>
      <c r="AF704" t="s">
        <v>4631</v>
      </c>
      <c r="AG704" t="s">
        <v>223</v>
      </c>
      <c r="AH704" t="s">
        <v>4787</v>
      </c>
      <c r="AI704" t="s">
        <v>4515</v>
      </c>
      <c r="AJ704" t="s">
        <v>4631</v>
      </c>
      <c r="AK704" t="s">
        <v>4518</v>
      </c>
      <c r="AL704" t="s">
        <v>4519</v>
      </c>
      <c r="AM704" t="s">
        <v>4520</v>
      </c>
      <c r="AN704" t="s">
        <v>4521</v>
      </c>
      <c r="AO704" s="134">
        <v>106.992</v>
      </c>
      <c r="AP704" s="135">
        <v>117.493902439024</v>
      </c>
      <c r="AQ704">
        <v>0.33130081300813002</v>
      </c>
      <c r="AR704" s="136">
        <v>1.2743902439024399</v>
      </c>
      <c r="AS704">
        <v>8.0813008130081307</v>
      </c>
      <c r="AU704"/>
      <c r="AV704"/>
      <c r="AW704"/>
      <c r="AX704"/>
    </row>
    <row r="705" spans="1:50" s="69" customFormat="1" ht="106">
      <c r="A705" s="65">
        <v>101</v>
      </c>
      <c r="B705" s="69" t="s">
        <v>217</v>
      </c>
      <c r="C705" s="69" t="s">
        <v>45</v>
      </c>
      <c r="D705" s="31">
        <f t="shared" si="55"/>
        <v>4</v>
      </c>
      <c r="E705" s="69" t="s">
        <v>80</v>
      </c>
      <c r="F705" s="31">
        <f t="shared" si="56"/>
        <v>4</v>
      </c>
      <c r="G705" s="188" t="s">
        <v>305</v>
      </c>
      <c r="H705" s="138">
        <v>157</v>
      </c>
      <c r="I705" s="92">
        <f t="shared" si="54"/>
        <v>0.41250000098530026</v>
      </c>
      <c r="J705" s="95">
        <v>1.9706005716102498E-9</v>
      </c>
      <c r="K705" s="137">
        <v>0.76722468700001201</v>
      </c>
      <c r="L705" s="137">
        <v>0.82499999999999996</v>
      </c>
      <c r="M705" s="137">
        <v>0.68056171750003003</v>
      </c>
      <c r="N705" s="136">
        <v>1</v>
      </c>
      <c r="O705" s="154">
        <v>43183</v>
      </c>
      <c r="P705" s="98">
        <f t="shared" si="57"/>
        <v>0</v>
      </c>
      <c r="Q705" s="111">
        <v>10.199999999999999</v>
      </c>
      <c r="R705" s="111">
        <v>0</v>
      </c>
      <c r="S705" s="111">
        <v>0</v>
      </c>
      <c r="T705" s="112" t="s">
        <v>48</v>
      </c>
      <c r="U705" s="137" t="s">
        <v>346</v>
      </c>
      <c r="V705" s="136" t="s">
        <v>346</v>
      </c>
      <c r="W705" s="69">
        <v>157</v>
      </c>
      <c r="X705" s="195">
        <v>2</v>
      </c>
      <c r="Y705" s="195">
        <v>5</v>
      </c>
      <c r="Z705"/>
      <c r="AA705" t="s">
        <v>4512</v>
      </c>
      <c r="AB705" t="s">
        <v>4827</v>
      </c>
      <c r="AC705" t="s">
        <v>4515</v>
      </c>
      <c r="AD705" t="s">
        <v>4631</v>
      </c>
      <c r="AE705" t="s">
        <v>4515</v>
      </c>
      <c r="AF705" t="s">
        <v>4631</v>
      </c>
      <c r="AG705" t="s">
        <v>223</v>
      </c>
      <c r="AH705" t="s">
        <v>4787</v>
      </c>
      <c r="AI705" t="s">
        <v>4515</v>
      </c>
      <c r="AJ705" t="s">
        <v>4631</v>
      </c>
      <c r="AK705" t="s">
        <v>4518</v>
      </c>
      <c r="AL705" t="s">
        <v>4519</v>
      </c>
      <c r="AM705" t="s">
        <v>4520</v>
      </c>
      <c r="AN705" t="s">
        <v>4521</v>
      </c>
      <c r="AO705" s="134">
        <v>106.891783567134</v>
      </c>
      <c r="AP705" s="135">
        <v>117.493902439024</v>
      </c>
      <c r="AQ705">
        <v>0.33130081300813002</v>
      </c>
      <c r="AR705" s="136">
        <v>1.2743902439024399</v>
      </c>
      <c r="AS705">
        <v>8.0813008130081307</v>
      </c>
      <c r="AU705"/>
      <c r="AV705"/>
      <c r="AW705"/>
      <c r="AX705"/>
    </row>
    <row r="706" spans="1:50" s="69" customFormat="1" ht="181">
      <c r="A706" s="65">
        <v>1124</v>
      </c>
      <c r="B706" s="69" t="s">
        <v>3030</v>
      </c>
      <c r="C706" s="69" t="s">
        <v>45</v>
      </c>
      <c r="D706" s="31">
        <f t="shared" si="55"/>
        <v>4</v>
      </c>
      <c r="E706" s="69" t="s">
        <v>46</v>
      </c>
      <c r="F706" s="31">
        <f t="shared" si="56"/>
        <v>6</v>
      </c>
      <c r="G706" s="139" t="s">
        <v>3055</v>
      </c>
      <c r="H706" s="138">
        <v>187</v>
      </c>
      <c r="I706" s="92">
        <f t="shared" si="54"/>
        <v>0.78174194377292805</v>
      </c>
      <c r="J706" s="95">
        <v>0.999997786869673</v>
      </c>
      <c r="K706" s="137">
        <v>0.44116866482247402</v>
      </c>
      <c r="L706" s="137">
        <v>0.56348610067618299</v>
      </c>
      <c r="M706" s="137">
        <v>0.25769251104190999</v>
      </c>
      <c r="N706" s="136">
        <v>1</v>
      </c>
      <c r="O706" s="157">
        <v>43182</v>
      </c>
      <c r="P706" s="98">
        <f t="shared" si="57"/>
        <v>2</v>
      </c>
      <c r="Q706" s="113">
        <v>5.0999999999999996</v>
      </c>
      <c r="R706" s="113">
        <v>0</v>
      </c>
      <c r="S706" s="113">
        <v>0</v>
      </c>
      <c r="T706" s="119" t="s">
        <v>64</v>
      </c>
      <c r="U706" s="89" t="s">
        <v>3056</v>
      </c>
      <c r="V706" s="172" t="s">
        <v>3057</v>
      </c>
      <c r="W706" s="69">
        <v>254</v>
      </c>
      <c r="X706" s="69">
        <v>2</v>
      </c>
      <c r="Y706" s="69">
        <v>27</v>
      </c>
      <c r="AA706" t="s">
        <v>4663</v>
      </c>
      <c r="AB706" t="s">
        <v>71</v>
      </c>
      <c r="AC706" t="s">
        <v>4515</v>
      </c>
      <c r="AD706" t="s">
        <v>4574</v>
      </c>
      <c r="AE706" t="s">
        <v>4515</v>
      </c>
      <c r="AF706" t="s">
        <v>4574</v>
      </c>
      <c r="AG706" t="s">
        <v>4513</v>
      </c>
      <c r="AH706" t="s">
        <v>4987</v>
      </c>
      <c r="AI706" t="s">
        <v>4515</v>
      </c>
      <c r="AJ706" t="s">
        <v>4574</v>
      </c>
      <c r="AK706" t="s">
        <v>4578</v>
      </c>
      <c r="AL706" t="s">
        <v>4509</v>
      </c>
      <c r="AM706" t="s">
        <v>4528</v>
      </c>
      <c r="AN706" t="s">
        <v>4988</v>
      </c>
      <c r="AO706" s="134">
        <v>107.012048192771</v>
      </c>
      <c r="AP706" s="135">
        <v>117.511247443763</v>
      </c>
      <c r="AQ706">
        <v>0.32310838445807799</v>
      </c>
      <c r="AR706" s="136">
        <v>1.2760736196319</v>
      </c>
      <c r="AS706">
        <v>8.1042944785276099</v>
      </c>
      <c r="AU706"/>
      <c r="AV706"/>
      <c r="AW706"/>
      <c r="AX706"/>
    </row>
    <row r="707" spans="1:50" s="69" customFormat="1" ht="61">
      <c r="A707">
        <v>943</v>
      </c>
      <c r="B707" s="69" t="s">
        <v>2510</v>
      </c>
      <c r="C707" s="69" t="s">
        <v>45</v>
      </c>
      <c r="D707" s="31">
        <f t="shared" si="55"/>
        <v>4</v>
      </c>
      <c r="E707" s="69" t="s">
        <v>80</v>
      </c>
      <c r="F707" s="31">
        <f t="shared" si="56"/>
        <v>4</v>
      </c>
      <c r="G707" s="137" t="s">
        <v>2563</v>
      </c>
      <c r="H707" s="138">
        <v>47</v>
      </c>
      <c r="I707" s="92">
        <f t="shared" si="54"/>
        <v>0.50107727179399852</v>
      </c>
      <c r="J707" s="95">
        <v>0.25215454358799699</v>
      </c>
      <c r="K707" s="137">
        <v>0.73571428571428599</v>
      </c>
      <c r="L707" s="137">
        <v>0.75</v>
      </c>
      <c r="M707" s="137">
        <v>0.71428571428571397</v>
      </c>
      <c r="N707" s="136">
        <v>1</v>
      </c>
      <c r="O707" s="154">
        <v>43182</v>
      </c>
      <c r="P707" s="98">
        <f t="shared" si="57"/>
        <v>0</v>
      </c>
      <c r="Q707" s="111">
        <v>0</v>
      </c>
      <c r="R707" s="111">
        <v>0</v>
      </c>
      <c r="S707" s="111">
        <v>0</v>
      </c>
      <c r="T707" s="112" t="s">
        <v>48</v>
      </c>
      <c r="U707" s="137" t="s">
        <v>2564</v>
      </c>
      <c r="V707" s="137" t="s">
        <v>2565</v>
      </c>
      <c r="W707" s="69">
        <v>80</v>
      </c>
      <c r="X707" s="69">
        <v>1</v>
      </c>
      <c r="Y707" s="69">
        <v>4</v>
      </c>
      <c r="AA707" t="s">
        <v>4653</v>
      </c>
      <c r="AB707" t="s">
        <v>358</v>
      </c>
      <c r="AC707" t="s">
        <v>4353</v>
      </c>
      <c r="AD707" t="s">
        <v>4506</v>
      </c>
      <c r="AE707" t="s">
        <v>4353</v>
      </c>
      <c r="AF707" t="s">
        <v>4506</v>
      </c>
      <c r="AG707" t="s">
        <v>4353</v>
      </c>
      <c r="AH707" t="s">
        <v>4506</v>
      </c>
      <c r="AI707" t="s">
        <v>4515</v>
      </c>
      <c r="AJ707" t="s">
        <v>4779</v>
      </c>
      <c r="AK707" t="s">
        <v>4519</v>
      </c>
      <c r="AL707" t="s">
        <v>4519</v>
      </c>
      <c r="AM707" t="s">
        <v>4510</v>
      </c>
      <c r="AN707" t="s">
        <v>4550</v>
      </c>
      <c r="AO707" s="134">
        <v>106.851106639839</v>
      </c>
      <c r="AP707" s="135">
        <v>117.511247443763</v>
      </c>
      <c r="AQ707">
        <v>0.32310838445807799</v>
      </c>
      <c r="AR707" s="136">
        <v>1.2760736196319</v>
      </c>
      <c r="AS707">
        <v>8.1042944785276099</v>
      </c>
      <c r="AU707"/>
      <c r="AV707"/>
      <c r="AW707"/>
      <c r="AX707"/>
    </row>
    <row r="708" spans="1:50" s="69" customFormat="1" ht="46">
      <c r="A708" s="65">
        <v>1200</v>
      </c>
      <c r="B708" s="69" t="s">
        <v>3209</v>
      </c>
      <c r="C708" s="69" t="s">
        <v>45</v>
      </c>
      <c r="D708" s="31">
        <f t="shared" si="55"/>
        <v>4</v>
      </c>
      <c r="E708" s="69" t="s">
        <v>46</v>
      </c>
      <c r="F708" s="31">
        <f t="shared" si="56"/>
        <v>6</v>
      </c>
      <c r="G708" s="137" t="s">
        <v>3223</v>
      </c>
      <c r="H708" s="138">
        <v>71</v>
      </c>
      <c r="I708" s="92">
        <f t="shared" ref="I708:I771" si="58">(J708+L708)/2</f>
        <v>0.34471105617345754</v>
      </c>
      <c r="J708" s="95">
        <v>7.6039305287330904E-3</v>
      </c>
      <c r="K708" s="137">
        <v>0.61956949249917204</v>
      </c>
      <c r="L708" s="137">
        <v>0.68181818181818199</v>
      </c>
      <c r="M708" s="137">
        <v>0.526196458520657</v>
      </c>
      <c r="N708" s="136">
        <v>0</v>
      </c>
      <c r="O708" s="154">
        <v>43181</v>
      </c>
      <c r="P708" s="98">
        <f t="shared" si="57"/>
        <v>0</v>
      </c>
      <c r="Q708" s="111">
        <v>5.0999999999999996</v>
      </c>
      <c r="R708" s="111">
        <v>0</v>
      </c>
      <c r="S708" s="111">
        <v>0</v>
      </c>
      <c r="T708" s="112" t="s">
        <v>48</v>
      </c>
      <c r="U708" s="147" t="s">
        <v>3224</v>
      </c>
      <c r="V708" s="137" t="s">
        <v>3225</v>
      </c>
      <c r="W708" s="69">
        <v>58</v>
      </c>
      <c r="X708" s="147">
        <v>1</v>
      </c>
      <c r="Y708" s="147">
        <v>11</v>
      </c>
      <c r="AA708" t="s">
        <v>4628</v>
      </c>
      <c r="AB708" t="s">
        <v>51</v>
      </c>
      <c r="AC708" t="s">
        <v>4515</v>
      </c>
      <c r="AD708" t="s">
        <v>4609</v>
      </c>
      <c r="AE708" t="s">
        <v>4530</v>
      </c>
      <c r="AF708" t="s">
        <v>4989</v>
      </c>
      <c r="AG708" t="s">
        <v>223</v>
      </c>
      <c r="AH708" t="s">
        <v>4759</v>
      </c>
      <c r="AI708" t="s">
        <v>4353</v>
      </c>
      <c r="AJ708" t="s">
        <v>4506</v>
      </c>
      <c r="AK708" t="s">
        <v>4519</v>
      </c>
      <c r="AL708" t="s">
        <v>4928</v>
      </c>
      <c r="AM708" t="s">
        <v>4510</v>
      </c>
      <c r="AN708" t="s">
        <v>4990</v>
      </c>
      <c r="AO708" s="134">
        <v>106.554435483871</v>
      </c>
      <c r="AP708" s="135">
        <v>117.70696721311501</v>
      </c>
      <c r="AQ708">
        <v>0.32377049180327899</v>
      </c>
      <c r="AR708" s="136">
        <v>1.2766393442622901</v>
      </c>
      <c r="AS708">
        <v>8.1147540983606596</v>
      </c>
      <c r="AU708"/>
      <c r="AV708"/>
      <c r="AW708"/>
      <c r="AX708"/>
    </row>
    <row r="709" spans="1:50" s="69" customFormat="1" ht="136">
      <c r="A709">
        <v>102</v>
      </c>
      <c r="B709" s="69" t="s">
        <v>217</v>
      </c>
      <c r="C709" s="69" t="s">
        <v>45</v>
      </c>
      <c r="D709" s="31">
        <f t="shared" si="55"/>
        <v>4</v>
      </c>
      <c r="E709" s="69" t="s">
        <v>46</v>
      </c>
      <c r="F709" s="31">
        <f t="shared" si="56"/>
        <v>6</v>
      </c>
      <c r="G709" s="137" t="s">
        <v>347</v>
      </c>
      <c r="H709" s="138">
        <v>254</v>
      </c>
      <c r="I709" s="92">
        <f t="shared" si="58"/>
        <v>0.37500000005173928</v>
      </c>
      <c r="J709" s="95">
        <v>1.03478559054793E-10</v>
      </c>
      <c r="K709" s="137">
        <v>0.643968498544915</v>
      </c>
      <c r="L709" s="137">
        <v>0.75</v>
      </c>
      <c r="M709" s="137">
        <v>0.48492124636228701</v>
      </c>
      <c r="N709" s="136">
        <v>1</v>
      </c>
      <c r="O709" s="154">
        <v>43181</v>
      </c>
      <c r="P709" s="98">
        <f t="shared" si="57"/>
        <v>0</v>
      </c>
      <c r="Q709" s="111">
        <v>0</v>
      </c>
      <c r="R709" s="111">
        <v>3.3</v>
      </c>
      <c r="S709" s="111">
        <v>0</v>
      </c>
      <c r="T709" s="112" t="s">
        <v>48</v>
      </c>
      <c r="U709" s="137" t="s">
        <v>4355</v>
      </c>
      <c r="V709" s="137" t="s">
        <v>349</v>
      </c>
      <c r="W709" s="69">
        <v>26</v>
      </c>
      <c r="X709" s="69">
        <v>1</v>
      </c>
      <c r="Y709" s="69">
        <v>13</v>
      </c>
      <c r="Z709"/>
      <c r="AA709" t="s">
        <v>4543</v>
      </c>
      <c r="AB709" t="s">
        <v>4732</v>
      </c>
      <c r="AC709" t="s">
        <v>223</v>
      </c>
      <c r="AD709" t="s">
        <v>4763</v>
      </c>
      <c r="AE709" t="s">
        <v>223</v>
      </c>
      <c r="AF709" t="s">
        <v>4763</v>
      </c>
      <c r="AG709" t="s">
        <v>223</v>
      </c>
      <c r="AH709" t="s">
        <v>4763</v>
      </c>
      <c r="AI709" t="s">
        <v>4353</v>
      </c>
      <c r="AJ709" t="s">
        <v>4506</v>
      </c>
      <c r="AK709" t="s">
        <v>4508</v>
      </c>
      <c r="AL709" t="s">
        <v>4519</v>
      </c>
      <c r="AM709" t="s">
        <v>4528</v>
      </c>
      <c r="AN709" t="s">
        <v>4638</v>
      </c>
      <c r="AO709" s="134">
        <v>106.626262626263</v>
      </c>
      <c r="AP709" s="135">
        <v>117.70696721311501</v>
      </c>
      <c r="AQ709">
        <v>0.32377049180327899</v>
      </c>
      <c r="AR709" s="136">
        <v>1.2766393442622901</v>
      </c>
      <c r="AS709">
        <v>8.1147540983606596</v>
      </c>
      <c r="AU709"/>
      <c r="AV709"/>
      <c r="AW709"/>
      <c r="AX709"/>
    </row>
    <row r="710" spans="1:50" s="69" customFormat="1" ht="91">
      <c r="A710">
        <v>714</v>
      </c>
      <c r="B710" s="69" t="s">
        <v>1913</v>
      </c>
      <c r="C710" s="69" t="s">
        <v>45</v>
      </c>
      <c r="D710" s="31">
        <f t="shared" si="55"/>
        <v>4</v>
      </c>
      <c r="E710" s="69" t="s">
        <v>80</v>
      </c>
      <c r="F710" s="31">
        <f t="shared" si="56"/>
        <v>4</v>
      </c>
      <c r="G710" s="137" t="s">
        <v>1961</v>
      </c>
      <c r="H710" s="138">
        <v>159</v>
      </c>
      <c r="I710" s="92">
        <f t="shared" si="58"/>
        <v>0.78174305030047897</v>
      </c>
      <c r="J710" s="95">
        <v>0.99999999992477495</v>
      </c>
      <c r="K710" s="137">
        <v>0.63911732854463099</v>
      </c>
      <c r="L710" s="137">
        <v>0.56348610067618299</v>
      </c>
      <c r="M710" s="137">
        <v>0.75256417034730305</v>
      </c>
      <c r="N710" s="136">
        <v>1</v>
      </c>
      <c r="O710" s="154">
        <v>43179</v>
      </c>
      <c r="P710" s="98">
        <f t="shared" si="57"/>
        <v>1</v>
      </c>
      <c r="Q710" s="111">
        <v>0</v>
      </c>
      <c r="R710" s="111">
        <v>0</v>
      </c>
      <c r="S710" s="111">
        <v>0</v>
      </c>
      <c r="T710" s="112" t="s">
        <v>73</v>
      </c>
      <c r="U710" s="137" t="s">
        <v>1962</v>
      </c>
      <c r="V710" s="137" t="s">
        <v>1963</v>
      </c>
      <c r="W710" s="69">
        <v>77</v>
      </c>
      <c r="X710" s="69">
        <v>2</v>
      </c>
      <c r="Y710" s="69">
        <v>3</v>
      </c>
      <c r="AA710" t="s">
        <v>4564</v>
      </c>
      <c r="AB710" t="s">
        <v>4597</v>
      </c>
      <c r="AC710" t="s">
        <v>4515</v>
      </c>
      <c r="AD710" t="s">
        <v>4534</v>
      </c>
      <c r="AE710" t="s">
        <v>4353</v>
      </c>
      <c r="AF710" t="s">
        <v>4506</v>
      </c>
      <c r="AG710" t="s">
        <v>4515</v>
      </c>
      <c r="AH710" t="s">
        <v>4534</v>
      </c>
      <c r="AI710" t="s">
        <v>4353</v>
      </c>
      <c r="AJ710" t="s">
        <v>4506</v>
      </c>
      <c r="AK710" t="s">
        <v>4519</v>
      </c>
      <c r="AL710" t="s">
        <v>4519</v>
      </c>
      <c r="AM710" t="s">
        <v>4510</v>
      </c>
      <c r="AN710" t="s">
        <v>4550</v>
      </c>
      <c r="AO710" s="134">
        <v>106.623481781377</v>
      </c>
      <c r="AP710" s="135">
        <v>117.872164948454</v>
      </c>
      <c r="AQ710">
        <v>0.321649484536082</v>
      </c>
      <c r="AR710" s="136">
        <v>1.2762886597938099</v>
      </c>
      <c r="AS710">
        <v>8.1381443298969103</v>
      </c>
      <c r="AU710"/>
      <c r="AV710"/>
      <c r="AW710"/>
      <c r="AX710"/>
    </row>
    <row r="711" spans="1:50" s="69" customFormat="1" ht="61">
      <c r="A711">
        <v>103</v>
      </c>
      <c r="B711" s="69" t="s">
        <v>217</v>
      </c>
      <c r="C711" s="69" t="s">
        <v>45</v>
      </c>
      <c r="D711" s="31">
        <f t="shared" si="55"/>
        <v>4</v>
      </c>
      <c r="E711" s="69" t="s">
        <v>46</v>
      </c>
      <c r="F711" s="31">
        <f t="shared" si="56"/>
        <v>6</v>
      </c>
      <c r="G711" s="137" t="s">
        <v>350</v>
      </c>
      <c r="H711" s="138">
        <v>108</v>
      </c>
      <c r="I711" s="92">
        <f t="shared" si="58"/>
        <v>0.61838644980905655</v>
      </c>
      <c r="J711" s="95">
        <v>0.48677289961811299</v>
      </c>
      <c r="K711" s="137">
        <v>0.75102566813892102</v>
      </c>
      <c r="L711" s="137">
        <v>0.75</v>
      </c>
      <c r="M711" s="137">
        <v>0.75256417034730305</v>
      </c>
      <c r="N711" s="136">
        <v>0</v>
      </c>
      <c r="O711" s="154">
        <v>43179</v>
      </c>
      <c r="P711" s="98">
        <f t="shared" si="57"/>
        <v>0</v>
      </c>
      <c r="Q711" s="111">
        <v>2.5499999999999998</v>
      </c>
      <c r="R711" s="111">
        <v>1.65</v>
      </c>
      <c r="S711" s="111">
        <v>0</v>
      </c>
      <c r="T711" s="112" t="s">
        <v>48</v>
      </c>
      <c r="U711" s="137" t="s">
        <v>351</v>
      </c>
      <c r="V711" s="137" t="s">
        <v>352</v>
      </c>
      <c r="W711" s="69">
        <v>78</v>
      </c>
      <c r="X711" s="69">
        <v>2</v>
      </c>
      <c r="Y711" s="69">
        <v>3</v>
      </c>
      <c r="Z711"/>
      <c r="AA711" t="s">
        <v>4564</v>
      </c>
      <c r="AB711" t="s">
        <v>67</v>
      </c>
      <c r="AC711" t="s">
        <v>4353</v>
      </c>
      <c r="AD711" t="s">
        <v>4506</v>
      </c>
      <c r="AE711" t="s">
        <v>4353</v>
      </c>
      <c r="AF711" t="s">
        <v>4506</v>
      </c>
      <c r="AG711" t="s">
        <v>4353</v>
      </c>
      <c r="AH711" t="s">
        <v>4506</v>
      </c>
      <c r="AI711" t="s">
        <v>4353</v>
      </c>
      <c r="AJ711" t="s">
        <v>4506</v>
      </c>
      <c r="AK711" t="s">
        <v>4518</v>
      </c>
      <c r="AL711" t="s">
        <v>4519</v>
      </c>
      <c r="AM711" t="s">
        <v>4528</v>
      </c>
      <c r="AN711" t="s">
        <v>4624</v>
      </c>
      <c r="AO711" s="134">
        <v>106.51724137930999</v>
      </c>
      <c r="AP711" s="135">
        <v>117.872164948454</v>
      </c>
      <c r="AQ711">
        <v>0.321649484536082</v>
      </c>
      <c r="AR711" s="136">
        <v>1.2762886597938099</v>
      </c>
      <c r="AS711">
        <v>8.1381443298969103</v>
      </c>
      <c r="AU711"/>
      <c r="AV711"/>
      <c r="AW711"/>
      <c r="AX711"/>
    </row>
    <row r="712" spans="1:50" s="69" customFormat="1" ht="91">
      <c r="A712">
        <v>363</v>
      </c>
      <c r="B712" s="69" t="s">
        <v>589</v>
      </c>
      <c r="C712" s="69" t="s">
        <v>119</v>
      </c>
      <c r="D712" s="31">
        <f t="shared" si="55"/>
        <v>1</v>
      </c>
      <c r="E712" s="69" t="s">
        <v>46</v>
      </c>
      <c r="F712" s="31">
        <f t="shared" si="56"/>
        <v>6</v>
      </c>
      <c r="G712" s="137" t="s">
        <v>1052</v>
      </c>
      <c r="H712" s="138">
        <v>160</v>
      </c>
      <c r="I712" s="92">
        <f t="shared" si="58"/>
        <v>0.87083155235025655</v>
      </c>
      <c r="J712" s="95">
        <v>0.991663104700513</v>
      </c>
      <c r="K712" s="137">
        <v>0.66929841941894996</v>
      </c>
      <c r="L712" s="137">
        <v>0.75</v>
      </c>
      <c r="M712" s="137">
        <v>0.54824604854737402</v>
      </c>
      <c r="N712" s="136">
        <v>0</v>
      </c>
      <c r="O712" s="154">
        <v>43178</v>
      </c>
      <c r="P712" s="98">
        <f t="shared" si="57"/>
        <v>0</v>
      </c>
      <c r="Q712" s="111">
        <v>5.0999999999999996</v>
      </c>
      <c r="R712" s="111">
        <v>0</v>
      </c>
      <c r="S712" s="111">
        <v>0</v>
      </c>
      <c r="T712" s="112" t="s">
        <v>48</v>
      </c>
      <c r="U712" s="137" t="s">
        <v>1053</v>
      </c>
      <c r="V712" s="137" t="s">
        <v>1054</v>
      </c>
      <c r="W712" s="69">
        <v>41</v>
      </c>
      <c r="X712" s="69">
        <v>3</v>
      </c>
      <c r="Y712" s="69">
        <v>10</v>
      </c>
      <c r="Z712"/>
      <c r="AA712" t="s">
        <v>4564</v>
      </c>
      <c r="AB712" t="s">
        <v>4597</v>
      </c>
      <c r="AC712" t="s">
        <v>223</v>
      </c>
      <c r="AD712" t="s">
        <v>4537</v>
      </c>
      <c r="AE712" t="s">
        <v>4353</v>
      </c>
      <c r="AF712" t="s">
        <v>4506</v>
      </c>
      <c r="AG712" t="s">
        <v>223</v>
      </c>
      <c r="AH712" t="s">
        <v>4537</v>
      </c>
      <c r="AI712" t="s">
        <v>4353</v>
      </c>
      <c r="AJ712" t="s">
        <v>4506</v>
      </c>
      <c r="AK712" t="s">
        <v>4519</v>
      </c>
      <c r="AL712" t="s">
        <v>4541</v>
      </c>
      <c r="AM712" t="s">
        <v>4592</v>
      </c>
      <c r="AN712" t="s">
        <v>4690</v>
      </c>
      <c r="AO712" s="134">
        <v>106.40853658536599</v>
      </c>
      <c r="AP712" s="135">
        <v>117.636363636364</v>
      </c>
      <c r="AQ712">
        <v>0.32231404958677701</v>
      </c>
      <c r="AR712" s="136">
        <v>1.27479338842975</v>
      </c>
      <c r="AS712">
        <v>8.1404958677685908</v>
      </c>
      <c r="AU712"/>
      <c r="AV712"/>
      <c r="AW712"/>
      <c r="AX712"/>
    </row>
    <row r="713" spans="1:50" s="69" customFormat="1" ht="91">
      <c r="A713" s="65">
        <v>632</v>
      </c>
      <c r="B713" s="69" t="s">
        <v>1707</v>
      </c>
      <c r="C713" s="69" t="s">
        <v>45</v>
      </c>
      <c r="D713" s="31">
        <f t="shared" si="55"/>
        <v>4</v>
      </c>
      <c r="E713" s="69" t="s">
        <v>46</v>
      </c>
      <c r="F713" s="31">
        <f t="shared" si="56"/>
        <v>6</v>
      </c>
      <c r="G713" s="137" t="s">
        <v>1747</v>
      </c>
      <c r="H713" s="138">
        <v>95</v>
      </c>
      <c r="I713" s="92">
        <f t="shared" si="58"/>
        <v>0.72160272130215897</v>
      </c>
      <c r="J713" s="95">
        <v>0.97751445030995199</v>
      </c>
      <c r="K713" s="137">
        <v>0.58044026351554101</v>
      </c>
      <c r="L713" s="137">
        <v>0.465690992294366</v>
      </c>
      <c r="M713" s="137">
        <v>0.75256417034730305</v>
      </c>
      <c r="N713" s="136">
        <v>1</v>
      </c>
      <c r="O713" s="225">
        <v>43178</v>
      </c>
      <c r="P713" s="98">
        <f t="shared" si="57"/>
        <v>1</v>
      </c>
      <c r="Q713" s="111">
        <v>0</v>
      </c>
      <c r="R713" s="111">
        <v>1.65</v>
      </c>
      <c r="S713" s="111">
        <v>0</v>
      </c>
      <c r="T713" s="112" t="s">
        <v>73</v>
      </c>
      <c r="U713" s="137" t="s">
        <v>1748</v>
      </c>
      <c r="V713" s="169" t="s">
        <v>1749</v>
      </c>
      <c r="W713" s="69">
        <v>22</v>
      </c>
      <c r="X713" s="69">
        <v>1</v>
      </c>
      <c r="Y713" s="69">
        <v>3</v>
      </c>
      <c r="AA713" t="s">
        <v>4599</v>
      </c>
      <c r="AB713" t="s">
        <v>51</v>
      </c>
      <c r="AC713" t="s">
        <v>4353</v>
      </c>
      <c r="AD713" t="s">
        <v>4506</v>
      </c>
      <c r="AE713" t="s">
        <v>223</v>
      </c>
      <c r="AF713" t="s">
        <v>4577</v>
      </c>
      <c r="AG713" t="s">
        <v>4353</v>
      </c>
      <c r="AH713" t="s">
        <v>4506</v>
      </c>
      <c r="AI713" t="s">
        <v>4353</v>
      </c>
      <c r="AJ713" t="s">
        <v>4506</v>
      </c>
      <c r="AK713" t="s">
        <v>4519</v>
      </c>
      <c r="AL713" t="s">
        <v>4519</v>
      </c>
      <c r="AM713" t="s">
        <v>4562</v>
      </c>
      <c r="AN713" t="s">
        <v>4563</v>
      </c>
      <c r="AO713" s="134">
        <v>106.431771894094</v>
      </c>
      <c r="AP713" s="135">
        <v>117.636363636364</v>
      </c>
      <c r="AQ713">
        <v>0.32231404958677701</v>
      </c>
      <c r="AR713" s="136">
        <v>1.27479338842975</v>
      </c>
      <c r="AS713">
        <v>8.1404958677685908</v>
      </c>
      <c r="AU713"/>
      <c r="AV713"/>
      <c r="AW713"/>
      <c r="AX713"/>
    </row>
    <row r="714" spans="1:50" s="69" customFormat="1" ht="91">
      <c r="A714">
        <v>810</v>
      </c>
      <c r="B714" s="69" t="s">
        <v>2179</v>
      </c>
      <c r="C714" s="69" t="s">
        <v>45</v>
      </c>
      <c r="D714" s="31">
        <f t="shared" si="55"/>
        <v>4</v>
      </c>
      <c r="E714" s="69" t="s">
        <v>46</v>
      </c>
      <c r="F714" s="31">
        <f t="shared" si="56"/>
        <v>6</v>
      </c>
      <c r="G714" s="152" t="s">
        <v>1483</v>
      </c>
      <c r="H714" s="138">
        <v>160</v>
      </c>
      <c r="I714" s="92">
        <f t="shared" si="58"/>
        <v>0.82461761891889607</v>
      </c>
      <c r="J714" s="95">
        <v>0.89923523783779202</v>
      </c>
      <c r="K714" s="137">
        <v>0.76918779643582302</v>
      </c>
      <c r="L714" s="137">
        <v>0.75</v>
      </c>
      <c r="M714" s="137">
        <v>0.79796949108955795</v>
      </c>
      <c r="N714" s="136">
        <v>1</v>
      </c>
      <c r="O714" s="154">
        <v>43178</v>
      </c>
      <c r="P714" s="98">
        <f t="shared" si="57"/>
        <v>0</v>
      </c>
      <c r="Q714" s="113">
        <v>2.5499999999999998</v>
      </c>
      <c r="R714" s="113">
        <v>1.65</v>
      </c>
      <c r="S714" s="113">
        <v>0</v>
      </c>
      <c r="T714" s="114" t="s">
        <v>48</v>
      </c>
      <c r="U714" s="136" t="s">
        <v>2213</v>
      </c>
      <c r="V714" s="136" t="s">
        <v>2214</v>
      </c>
      <c r="W714" s="69">
        <v>56</v>
      </c>
      <c r="X714" s="171">
        <v>0</v>
      </c>
      <c r="Y714" s="171">
        <v>2</v>
      </c>
      <c r="AA714" t="s">
        <v>4543</v>
      </c>
      <c r="AB714" t="s">
        <v>4791</v>
      </c>
      <c r="AC714" t="s">
        <v>223</v>
      </c>
      <c r="AD714" t="s">
        <v>4750</v>
      </c>
      <c r="AE714" t="s">
        <v>4353</v>
      </c>
      <c r="AF714" t="s">
        <v>4506</v>
      </c>
      <c r="AG714" t="s">
        <v>4353</v>
      </c>
      <c r="AH714" t="s">
        <v>4506</v>
      </c>
      <c r="AI714" t="s">
        <v>223</v>
      </c>
      <c r="AJ714" t="s">
        <v>4750</v>
      </c>
      <c r="AK714" t="s">
        <v>4519</v>
      </c>
      <c r="AL714" t="s">
        <v>4519</v>
      </c>
      <c r="AM714" t="s">
        <v>4510</v>
      </c>
      <c r="AN714" t="s">
        <v>4550</v>
      </c>
      <c r="AO714" s="134">
        <v>106.322448979592</v>
      </c>
      <c r="AP714" s="135">
        <v>117.636363636364</v>
      </c>
      <c r="AQ714">
        <v>0.32231404958677701</v>
      </c>
      <c r="AR714" s="136">
        <v>1.27479338842975</v>
      </c>
      <c r="AS714">
        <v>8.1404958677685908</v>
      </c>
      <c r="AU714"/>
      <c r="AV714"/>
      <c r="AW714"/>
      <c r="AX714"/>
    </row>
    <row r="715" spans="1:50" s="69" customFormat="1" ht="106">
      <c r="A715" s="65">
        <v>908</v>
      </c>
      <c r="B715" s="69" t="s">
        <v>2418</v>
      </c>
      <c r="C715" s="69" t="s">
        <v>45</v>
      </c>
      <c r="D715" s="31">
        <f t="shared" ref="D715:D735" si="59">IF(C715="投诉",4,IF(C715="建议",1,IF(C715="举报",2,IF(C715="求助",3,5))))</f>
        <v>4</v>
      </c>
      <c r="E715" s="69" t="s">
        <v>46</v>
      </c>
      <c r="F715" s="31">
        <f t="shared" ref="F715:F735" si="60">IF(E715="12345app",1,IF(E715="e福州app",2,IF(E715="qq",3,IF(E715="电话",4,IF(E715="短信",5,IF(E715="网站",6,IF(E715="微博",7,IF(E715="微信",8,9))))))))</f>
        <v>6</v>
      </c>
      <c r="G715" s="137" t="s">
        <v>2479</v>
      </c>
      <c r="H715" s="138">
        <v>60</v>
      </c>
      <c r="I715" s="92">
        <f t="shared" si="58"/>
        <v>0.43713180975101351</v>
      </c>
      <c r="J715" s="95">
        <v>0.124263619502027</v>
      </c>
      <c r="K715" s="137">
        <v>0.76918779643582302</v>
      </c>
      <c r="L715" s="137">
        <v>0.75</v>
      </c>
      <c r="M715" s="137">
        <v>0.79796949108955795</v>
      </c>
      <c r="N715" s="136">
        <v>1</v>
      </c>
      <c r="O715" s="154">
        <v>43178</v>
      </c>
      <c r="P715" s="98">
        <f t="shared" ref="P715:P735" si="61">IF(T715="利己",0,IF(T715="生态",2,1))</f>
        <v>1</v>
      </c>
      <c r="Q715" s="111">
        <v>0</v>
      </c>
      <c r="R715" s="111">
        <v>1.65</v>
      </c>
      <c r="S715" s="111">
        <v>0</v>
      </c>
      <c r="T715" s="112" t="s">
        <v>73</v>
      </c>
      <c r="U715" s="137" t="s">
        <v>2480</v>
      </c>
      <c r="V715" s="137" t="s">
        <v>2481</v>
      </c>
      <c r="W715" s="69">
        <v>122</v>
      </c>
      <c r="X715" s="69">
        <v>2</v>
      </c>
      <c r="Y715" s="69">
        <v>2</v>
      </c>
      <c r="AA715" t="s">
        <v>4603</v>
      </c>
      <c r="AB715" t="s">
        <v>87</v>
      </c>
      <c r="AC715" t="s">
        <v>4538</v>
      </c>
      <c r="AD715" t="s">
        <v>4703</v>
      </c>
      <c r="AE715" t="s">
        <v>4515</v>
      </c>
      <c r="AF715" t="s">
        <v>4858</v>
      </c>
      <c r="AG715" t="s">
        <v>223</v>
      </c>
      <c r="AH715" t="s">
        <v>4702</v>
      </c>
      <c r="AI715" t="s">
        <v>4353</v>
      </c>
      <c r="AJ715" t="s">
        <v>4506</v>
      </c>
      <c r="AK715" t="s">
        <v>4519</v>
      </c>
      <c r="AL715" t="s">
        <v>4519</v>
      </c>
      <c r="AM715" t="s">
        <v>4528</v>
      </c>
      <c r="AN715" t="s">
        <v>4529</v>
      </c>
      <c r="AO715" s="134">
        <v>106.41717791411</v>
      </c>
      <c r="AP715" s="135">
        <v>117.636363636364</v>
      </c>
      <c r="AQ715">
        <v>0.32231404958677701</v>
      </c>
      <c r="AR715" s="136">
        <v>1.27479338842975</v>
      </c>
      <c r="AS715">
        <v>8.1404958677685908</v>
      </c>
      <c r="AU715"/>
      <c r="AV715"/>
      <c r="AW715"/>
      <c r="AX715"/>
    </row>
    <row r="716" spans="1:50" s="69" customFormat="1" ht="136">
      <c r="A716">
        <v>178</v>
      </c>
      <c r="B716" s="69" t="s">
        <v>499</v>
      </c>
      <c r="C716" s="69" t="s">
        <v>45</v>
      </c>
      <c r="D716" s="31">
        <f t="shared" si="59"/>
        <v>4</v>
      </c>
      <c r="E716" s="69" t="s">
        <v>519</v>
      </c>
      <c r="F716" s="31">
        <f t="shared" si="60"/>
        <v>5</v>
      </c>
      <c r="G716" s="137" t="s">
        <v>520</v>
      </c>
      <c r="H716" s="138">
        <v>173</v>
      </c>
      <c r="I716" s="92">
        <f t="shared" si="58"/>
        <v>0.2385445003060235</v>
      </c>
      <c r="J716" s="95">
        <v>1.1398008317681001E-2</v>
      </c>
      <c r="K716" s="137">
        <v>0.528228806172929</v>
      </c>
      <c r="L716" s="137">
        <v>0.465690992294366</v>
      </c>
      <c r="M716" s="137">
        <v>0.62203552699077302</v>
      </c>
      <c r="N716" s="136">
        <v>1</v>
      </c>
      <c r="O716" s="167">
        <v>43175</v>
      </c>
      <c r="P716" s="98">
        <f t="shared" si="61"/>
        <v>1</v>
      </c>
      <c r="Q716" s="111">
        <v>0</v>
      </c>
      <c r="R716" s="111">
        <v>0</v>
      </c>
      <c r="S716" s="111">
        <v>0</v>
      </c>
      <c r="T716" s="112" t="s">
        <v>73</v>
      </c>
      <c r="U716" s="137" t="s">
        <v>552</v>
      </c>
      <c r="V716" s="137" t="s">
        <v>553</v>
      </c>
      <c r="W716" s="69">
        <v>189</v>
      </c>
      <c r="X716" s="69">
        <v>4</v>
      </c>
      <c r="Y716" s="69">
        <v>7</v>
      </c>
      <c r="Z716"/>
      <c r="AA716" t="s">
        <v>4819</v>
      </c>
      <c r="AB716" t="s">
        <v>51</v>
      </c>
      <c r="AC716" t="s">
        <v>223</v>
      </c>
      <c r="AD716" t="s">
        <v>4567</v>
      </c>
      <c r="AE716" t="s">
        <v>4513</v>
      </c>
      <c r="AF716" t="s">
        <v>4568</v>
      </c>
      <c r="AG716" t="s">
        <v>223</v>
      </c>
      <c r="AH716" t="s">
        <v>4567</v>
      </c>
      <c r="AI716" t="s">
        <v>4353</v>
      </c>
      <c r="AJ716" t="s">
        <v>4506</v>
      </c>
      <c r="AK716" t="s">
        <v>4519</v>
      </c>
      <c r="AL716" t="s">
        <v>4541</v>
      </c>
      <c r="AM716" t="s">
        <v>4528</v>
      </c>
      <c r="AN716" t="s">
        <v>4542</v>
      </c>
      <c r="AO716" s="134">
        <v>106.280737704918</v>
      </c>
      <c r="AP716" s="135">
        <v>117.78467908902699</v>
      </c>
      <c r="AQ716">
        <v>0.322981366459627</v>
      </c>
      <c r="AR716" s="136">
        <v>1.27536231884058</v>
      </c>
      <c r="AS716">
        <v>8.1532091097308506</v>
      </c>
      <c r="AU716"/>
      <c r="AV716"/>
      <c r="AW716"/>
      <c r="AX716"/>
    </row>
    <row r="717" spans="1:50" s="69" customFormat="1" ht="61">
      <c r="A717">
        <v>1150</v>
      </c>
      <c r="B717" s="69" t="s">
        <v>3117</v>
      </c>
      <c r="C717" s="69" t="s">
        <v>45</v>
      </c>
      <c r="D717" s="31">
        <f t="shared" si="59"/>
        <v>4</v>
      </c>
      <c r="E717" s="69" t="s">
        <v>46</v>
      </c>
      <c r="F717" s="31">
        <f t="shared" si="60"/>
        <v>6</v>
      </c>
      <c r="G717" s="139" t="s">
        <v>3127</v>
      </c>
      <c r="H717" s="138">
        <v>107</v>
      </c>
      <c r="I717" s="92">
        <f t="shared" si="58"/>
        <v>0.3415735894664122</v>
      </c>
      <c r="J717" s="95">
        <v>1.3289971146423999E-3</v>
      </c>
      <c r="K717" s="137">
        <v>0.61114224536875195</v>
      </c>
      <c r="L717" s="137">
        <v>0.68181818181818199</v>
      </c>
      <c r="M717" s="137">
        <v>0.50512834069460699</v>
      </c>
      <c r="N717" s="136">
        <v>1</v>
      </c>
      <c r="O717" s="157">
        <v>43175</v>
      </c>
      <c r="P717" s="98">
        <f t="shared" si="61"/>
        <v>1</v>
      </c>
      <c r="Q717" s="113">
        <v>0</v>
      </c>
      <c r="R717" s="113">
        <v>1.65</v>
      </c>
      <c r="S717" s="113">
        <v>0</v>
      </c>
      <c r="T717" s="119" t="s">
        <v>73</v>
      </c>
      <c r="U717" s="91" t="s">
        <v>3128</v>
      </c>
      <c r="V717" s="172" t="s">
        <v>3129</v>
      </c>
      <c r="W717" s="69">
        <v>75</v>
      </c>
      <c r="X717" s="171">
        <v>2</v>
      </c>
      <c r="Y717" s="171">
        <v>12</v>
      </c>
      <c r="AA717" t="s">
        <v>4556</v>
      </c>
      <c r="AB717" t="s">
        <v>4576</v>
      </c>
      <c r="AC717" t="s">
        <v>4353</v>
      </c>
      <c r="AD717" t="s">
        <v>4506</v>
      </c>
      <c r="AE717" t="s">
        <v>223</v>
      </c>
      <c r="AF717" t="s">
        <v>4734</v>
      </c>
      <c r="AG717" t="s">
        <v>223</v>
      </c>
      <c r="AH717" t="s">
        <v>4734</v>
      </c>
      <c r="AI717" t="s">
        <v>4353</v>
      </c>
      <c r="AJ717" t="s">
        <v>4506</v>
      </c>
      <c r="AK717" t="s">
        <v>4740</v>
      </c>
      <c r="AL717" t="s">
        <v>4509</v>
      </c>
      <c r="AM717" t="s">
        <v>4520</v>
      </c>
      <c r="AN717" t="s">
        <v>4991</v>
      </c>
      <c r="AO717" s="134">
        <v>106.279260780287</v>
      </c>
      <c r="AP717" s="135">
        <v>117.78467908902699</v>
      </c>
      <c r="AQ717">
        <v>0.322981366459627</v>
      </c>
      <c r="AR717" s="136">
        <v>1.27536231884058</v>
      </c>
      <c r="AS717">
        <v>8.1532091097308506</v>
      </c>
      <c r="AU717"/>
      <c r="AV717"/>
      <c r="AW717"/>
      <c r="AX717"/>
    </row>
    <row r="718" spans="1:50" s="69" customFormat="1" ht="61">
      <c r="A718" s="65">
        <v>944</v>
      </c>
      <c r="B718" s="69" t="s">
        <v>2510</v>
      </c>
      <c r="C718" s="69" t="s">
        <v>45</v>
      </c>
      <c r="D718" s="31">
        <f t="shared" si="59"/>
        <v>4</v>
      </c>
      <c r="E718" s="69" t="s">
        <v>80</v>
      </c>
      <c r="F718" s="31">
        <f t="shared" si="60"/>
        <v>4</v>
      </c>
      <c r="G718" s="169" t="s">
        <v>159</v>
      </c>
      <c r="H718" s="138">
        <v>47</v>
      </c>
      <c r="I718" s="92">
        <f t="shared" si="58"/>
        <v>0.41306584007413827</v>
      </c>
      <c r="J718" s="95">
        <v>1.13168014827658E-3</v>
      </c>
      <c r="K718" s="137">
        <v>0.83785714285714297</v>
      </c>
      <c r="L718" s="137">
        <v>0.82499999999999996</v>
      </c>
      <c r="M718" s="137">
        <v>0.85714285714285698</v>
      </c>
      <c r="N718" s="136">
        <v>1</v>
      </c>
      <c r="O718" s="154">
        <v>43173</v>
      </c>
      <c r="P718" s="98">
        <f t="shared" si="61"/>
        <v>0</v>
      </c>
      <c r="Q718" s="111">
        <v>2.5499999999999998</v>
      </c>
      <c r="R718" s="111">
        <v>0</v>
      </c>
      <c r="S718" s="111">
        <v>0</v>
      </c>
      <c r="T718" s="112" t="s">
        <v>48</v>
      </c>
      <c r="U718" s="137" t="s">
        <v>2566</v>
      </c>
      <c r="V718" s="137" t="s">
        <v>2567</v>
      </c>
      <c r="W718" s="69">
        <v>74</v>
      </c>
      <c r="X718" s="69">
        <v>1</v>
      </c>
      <c r="Y718" s="69">
        <v>1</v>
      </c>
      <c r="AA718" t="s">
        <v>4522</v>
      </c>
      <c r="AB718" t="s">
        <v>4992</v>
      </c>
      <c r="AC718" t="s">
        <v>4353</v>
      </c>
      <c r="AD718" t="s">
        <v>4506</v>
      </c>
      <c r="AE718" t="s">
        <v>4353</v>
      </c>
      <c r="AF718" t="s">
        <v>4506</v>
      </c>
      <c r="AG718" t="s">
        <v>223</v>
      </c>
      <c r="AH718" t="s">
        <v>4535</v>
      </c>
      <c r="AI718" t="s">
        <v>223</v>
      </c>
      <c r="AJ718" t="s">
        <v>4535</v>
      </c>
      <c r="AK718" t="s">
        <v>4519</v>
      </c>
      <c r="AL718" t="s">
        <v>4519</v>
      </c>
      <c r="AM718" t="s">
        <v>4510</v>
      </c>
      <c r="AN718" t="s">
        <v>4550</v>
      </c>
      <c r="AO718" s="134">
        <v>106.401234567901</v>
      </c>
      <c r="AP718" s="135">
        <v>118.125260960334</v>
      </c>
      <c r="AQ718">
        <v>0.32359081419624203</v>
      </c>
      <c r="AR718" s="136">
        <v>1.2713987473904</v>
      </c>
      <c r="AS718">
        <v>8.2004175365344505</v>
      </c>
      <c r="AU718"/>
      <c r="AV718"/>
      <c r="AW718"/>
      <c r="AX718"/>
    </row>
    <row r="719" spans="1:50" s="69" customFormat="1" ht="46">
      <c r="A719" s="65">
        <v>1201</v>
      </c>
      <c r="B719" s="69" t="s">
        <v>3209</v>
      </c>
      <c r="C719" s="69" t="s">
        <v>45</v>
      </c>
      <c r="D719" s="31">
        <f t="shared" si="59"/>
        <v>4</v>
      </c>
      <c r="E719" s="69" t="s">
        <v>46</v>
      </c>
      <c r="F719" s="31">
        <f t="shared" si="60"/>
        <v>6</v>
      </c>
      <c r="G719" s="137" t="s">
        <v>3226</v>
      </c>
      <c r="H719" s="138">
        <v>40</v>
      </c>
      <c r="I719" s="92">
        <f t="shared" si="58"/>
        <v>0.41278310602153223</v>
      </c>
      <c r="J719" s="95">
        <v>5.66212043064507E-4</v>
      </c>
      <c r="K719" s="137">
        <v>0.81418779643582295</v>
      </c>
      <c r="L719" s="137">
        <v>0.82499999999999996</v>
      </c>
      <c r="M719" s="137">
        <v>0.79796949108955795</v>
      </c>
      <c r="N719" s="136">
        <v>1</v>
      </c>
      <c r="O719" s="154">
        <v>43173</v>
      </c>
      <c r="P719" s="98">
        <f t="shared" si="61"/>
        <v>0</v>
      </c>
      <c r="Q719" s="111">
        <v>0</v>
      </c>
      <c r="R719" s="111">
        <v>3.3</v>
      </c>
      <c r="S719" s="111">
        <v>0</v>
      </c>
      <c r="T719" s="112" t="s">
        <v>48</v>
      </c>
      <c r="U719" s="137" t="s">
        <v>3227</v>
      </c>
      <c r="V719" s="137" t="s">
        <v>3228</v>
      </c>
      <c r="W719" s="69">
        <v>46</v>
      </c>
      <c r="X719" s="69">
        <v>1</v>
      </c>
      <c r="Y719" s="69">
        <v>2</v>
      </c>
      <c r="AA719" t="s">
        <v>4564</v>
      </c>
      <c r="AB719" t="s">
        <v>51</v>
      </c>
      <c r="AC719" t="s">
        <v>4515</v>
      </c>
      <c r="AD719" t="s">
        <v>4880</v>
      </c>
      <c r="AE719" t="s">
        <v>4513</v>
      </c>
      <c r="AF719" t="s">
        <v>4835</v>
      </c>
      <c r="AG719" t="s">
        <v>4353</v>
      </c>
      <c r="AH719" t="s">
        <v>4506</v>
      </c>
      <c r="AI719" t="s">
        <v>4353</v>
      </c>
      <c r="AJ719" t="s">
        <v>4506</v>
      </c>
      <c r="AK719" t="s">
        <v>4519</v>
      </c>
      <c r="AL719" t="s">
        <v>4552</v>
      </c>
      <c r="AM719" t="s">
        <v>4528</v>
      </c>
      <c r="AN719" t="s">
        <v>4618</v>
      </c>
      <c r="AO719" s="134">
        <v>106.53814432989699</v>
      </c>
      <c r="AP719" s="135">
        <v>118.125260960334</v>
      </c>
      <c r="AQ719">
        <v>0.32359081419624203</v>
      </c>
      <c r="AR719" s="136">
        <v>1.2713987473904</v>
      </c>
      <c r="AS719">
        <v>8.2004175365344505</v>
      </c>
      <c r="AU719"/>
      <c r="AV719"/>
      <c r="AW719"/>
      <c r="AX719"/>
    </row>
    <row r="720" spans="1:50" s="69" customFormat="1" ht="76">
      <c r="A720">
        <v>179</v>
      </c>
      <c r="B720" s="69" t="s">
        <v>499</v>
      </c>
      <c r="C720" s="69" t="s">
        <v>45</v>
      </c>
      <c r="D720" s="31">
        <f t="shared" si="59"/>
        <v>4</v>
      </c>
      <c r="E720" s="69" t="s">
        <v>519</v>
      </c>
      <c r="F720" s="31">
        <f t="shared" si="60"/>
        <v>5</v>
      </c>
      <c r="G720" s="137" t="s">
        <v>520</v>
      </c>
      <c r="H720" s="138">
        <v>129</v>
      </c>
      <c r="I720" s="92">
        <f t="shared" si="58"/>
        <v>0.28174403116077101</v>
      </c>
      <c r="J720" s="95">
        <v>1.9616453590387601E-6</v>
      </c>
      <c r="K720" s="137">
        <v>0.68094880326285301</v>
      </c>
      <c r="L720" s="137">
        <v>0.56348610067618299</v>
      </c>
      <c r="M720" s="137">
        <v>0.85714285714285698</v>
      </c>
      <c r="N720" s="136">
        <v>1</v>
      </c>
      <c r="O720" s="161">
        <v>43172</v>
      </c>
      <c r="P720" s="98">
        <f t="shared" si="61"/>
        <v>0</v>
      </c>
      <c r="Q720" s="111">
        <v>0</v>
      </c>
      <c r="R720" s="111">
        <v>0</v>
      </c>
      <c r="S720" s="111">
        <v>0</v>
      </c>
      <c r="T720" s="112" t="s">
        <v>48</v>
      </c>
      <c r="U720" s="137" t="s">
        <v>554</v>
      </c>
      <c r="V720" s="137" t="s">
        <v>555</v>
      </c>
      <c r="W720" s="69">
        <v>102</v>
      </c>
      <c r="X720" s="69">
        <v>4</v>
      </c>
      <c r="Y720" s="69">
        <v>1</v>
      </c>
      <c r="Z720"/>
      <c r="AA720" t="s">
        <v>4993</v>
      </c>
      <c r="AB720" t="s">
        <v>87</v>
      </c>
      <c r="AC720" t="s">
        <v>4530</v>
      </c>
      <c r="AD720" t="s">
        <v>4994</v>
      </c>
      <c r="AE720" t="s">
        <v>4515</v>
      </c>
      <c r="AF720" t="s">
        <v>4849</v>
      </c>
      <c r="AG720" t="s">
        <v>4353</v>
      </c>
      <c r="AH720" t="s">
        <v>4506</v>
      </c>
      <c r="AI720" t="s">
        <v>4353</v>
      </c>
      <c r="AJ720" t="s">
        <v>4506</v>
      </c>
      <c r="AK720" t="s">
        <v>4519</v>
      </c>
      <c r="AL720" t="s">
        <v>4552</v>
      </c>
      <c r="AM720" t="s">
        <v>4528</v>
      </c>
      <c r="AN720" t="s">
        <v>4618</v>
      </c>
      <c r="AO720" s="134">
        <v>106.49173553719</v>
      </c>
      <c r="AP720" s="135">
        <v>118.361344537815</v>
      </c>
      <c r="AQ720">
        <v>0.32563025210084001</v>
      </c>
      <c r="AR720" s="136">
        <v>1.27100840336134</v>
      </c>
      <c r="AS720">
        <v>8.2310924369747909</v>
      </c>
      <c r="AU720"/>
      <c r="AV720"/>
      <c r="AW720"/>
      <c r="AX720"/>
    </row>
    <row r="721" spans="1:50" s="69" customFormat="1" ht="166">
      <c r="A721">
        <v>602</v>
      </c>
      <c r="B721" s="69" t="s">
        <v>1628</v>
      </c>
      <c r="C721" s="69" t="s">
        <v>45</v>
      </c>
      <c r="D721" s="31">
        <f t="shared" si="59"/>
        <v>4</v>
      </c>
      <c r="E721" s="69" t="s">
        <v>80</v>
      </c>
      <c r="F721" s="31">
        <f t="shared" si="60"/>
        <v>4</v>
      </c>
      <c r="G721" s="196" t="s">
        <v>159</v>
      </c>
      <c r="H721" s="138">
        <v>63</v>
      </c>
      <c r="I721" s="92">
        <f t="shared" si="58"/>
        <v>0.41262803575266904</v>
      </c>
      <c r="J721" s="95">
        <v>2.56071505338129E-4</v>
      </c>
      <c r="K721" s="137">
        <v>0.74381421079630905</v>
      </c>
      <c r="L721" s="137">
        <v>0.82499999999999996</v>
      </c>
      <c r="M721" s="137">
        <v>0.62203552699077302</v>
      </c>
      <c r="N721" s="136">
        <v>1</v>
      </c>
      <c r="O721" s="154">
        <v>43171</v>
      </c>
      <c r="P721" s="98">
        <f t="shared" si="61"/>
        <v>0</v>
      </c>
      <c r="Q721" s="111">
        <v>0</v>
      </c>
      <c r="R721" s="111">
        <v>3.3</v>
      </c>
      <c r="S721" s="111">
        <v>1.87</v>
      </c>
      <c r="T721" s="112" t="s">
        <v>48</v>
      </c>
      <c r="U721" s="137" t="s">
        <v>1673</v>
      </c>
      <c r="V721" s="137" t="s">
        <v>1674</v>
      </c>
      <c r="W721" s="69">
        <v>232</v>
      </c>
      <c r="X721" s="195">
        <v>2</v>
      </c>
      <c r="Y721" s="195">
        <v>7</v>
      </c>
      <c r="AA721" t="s">
        <v>4524</v>
      </c>
      <c r="AB721" t="s">
        <v>71</v>
      </c>
      <c r="AC721" t="s">
        <v>223</v>
      </c>
      <c r="AD721" t="s">
        <v>4995</v>
      </c>
      <c r="AE721" t="s">
        <v>4513</v>
      </c>
      <c r="AF721" t="s">
        <v>4685</v>
      </c>
      <c r="AG721" t="s">
        <v>4530</v>
      </c>
      <c r="AH721" t="s">
        <v>4996</v>
      </c>
      <c r="AI721" t="s">
        <v>4353</v>
      </c>
      <c r="AJ721" t="s">
        <v>4506</v>
      </c>
      <c r="AK721" t="s">
        <v>4519</v>
      </c>
      <c r="AL721" t="s">
        <v>4552</v>
      </c>
      <c r="AM721" t="s">
        <v>4510</v>
      </c>
      <c r="AN721" t="s">
        <v>4634</v>
      </c>
      <c r="AO721" s="134">
        <v>106.581780538302</v>
      </c>
      <c r="AP721" s="135">
        <v>118.501052631579</v>
      </c>
      <c r="AQ721">
        <v>0.326315789473684</v>
      </c>
      <c r="AR721" s="136">
        <v>1.27157894736842</v>
      </c>
      <c r="AS721">
        <v>8.24</v>
      </c>
      <c r="AU721"/>
      <c r="AV721"/>
      <c r="AW721"/>
      <c r="AX721"/>
    </row>
    <row r="722" spans="1:50" s="69" customFormat="1" ht="76">
      <c r="A722" s="65">
        <v>945</v>
      </c>
      <c r="B722" s="69" t="s">
        <v>2510</v>
      </c>
      <c r="C722" s="69" t="s">
        <v>45</v>
      </c>
      <c r="D722" s="31">
        <f t="shared" si="59"/>
        <v>4</v>
      </c>
      <c r="E722" s="69" t="s">
        <v>80</v>
      </c>
      <c r="F722" s="31">
        <f t="shared" si="60"/>
        <v>4</v>
      </c>
      <c r="G722" s="152" t="s">
        <v>2568</v>
      </c>
      <c r="H722" s="138">
        <v>84</v>
      </c>
      <c r="I722" s="92">
        <f t="shared" si="58"/>
        <v>0.41258990761081049</v>
      </c>
      <c r="J722" s="95">
        <v>1.79815221621027E-4</v>
      </c>
      <c r="K722" s="137">
        <v>0.72357142857142898</v>
      </c>
      <c r="L722" s="137">
        <v>0.82499999999999996</v>
      </c>
      <c r="M722" s="137">
        <v>0.57142857142857095</v>
      </c>
      <c r="N722" s="136">
        <v>1</v>
      </c>
      <c r="O722" s="154">
        <v>43171</v>
      </c>
      <c r="P722" s="98">
        <f t="shared" si="61"/>
        <v>0</v>
      </c>
      <c r="Q722" s="111">
        <v>0</v>
      </c>
      <c r="R722" s="111">
        <v>0</v>
      </c>
      <c r="S722" s="111">
        <v>0</v>
      </c>
      <c r="T722" s="112" t="s">
        <v>48</v>
      </c>
      <c r="U722" s="137" t="s">
        <v>2569</v>
      </c>
      <c r="V722" s="137" t="s">
        <v>2570</v>
      </c>
      <c r="W722" s="69">
        <v>95</v>
      </c>
      <c r="X722" s="171">
        <v>3</v>
      </c>
      <c r="Y722" s="171">
        <v>9</v>
      </c>
      <c r="AA722" t="s">
        <v>4522</v>
      </c>
      <c r="AB722" t="s">
        <v>4576</v>
      </c>
      <c r="AC722" t="s">
        <v>4353</v>
      </c>
      <c r="AD722" t="s">
        <v>4506</v>
      </c>
      <c r="AE722" t="s">
        <v>4530</v>
      </c>
      <c r="AF722" t="s">
        <v>4910</v>
      </c>
      <c r="AG722" t="s">
        <v>4530</v>
      </c>
      <c r="AH722" t="s">
        <v>4910</v>
      </c>
      <c r="AI722" t="s">
        <v>4353</v>
      </c>
      <c r="AJ722" t="s">
        <v>4506</v>
      </c>
      <c r="AK722" t="s">
        <v>4519</v>
      </c>
      <c r="AL722" t="s">
        <v>4519</v>
      </c>
      <c r="AM722" t="s">
        <v>4510</v>
      </c>
      <c r="AN722" t="s">
        <v>4550</v>
      </c>
      <c r="AO722" s="134">
        <v>106.628630705394</v>
      </c>
      <c r="AP722" s="135">
        <v>118.501052631579</v>
      </c>
      <c r="AQ722">
        <v>0.326315789473684</v>
      </c>
      <c r="AR722" s="136">
        <v>1.27157894736842</v>
      </c>
      <c r="AS722">
        <v>8.24</v>
      </c>
      <c r="AU722"/>
      <c r="AV722"/>
      <c r="AW722"/>
      <c r="AX722"/>
    </row>
    <row r="723" spans="1:50" s="69" customFormat="1" ht="61">
      <c r="A723">
        <v>47</v>
      </c>
      <c r="B723" s="136" t="s">
        <v>170</v>
      </c>
      <c r="C723" s="136" t="s">
        <v>59</v>
      </c>
      <c r="D723" s="31">
        <f t="shared" si="59"/>
        <v>5</v>
      </c>
      <c r="E723" s="136" t="s">
        <v>80</v>
      </c>
      <c r="F723" s="31">
        <f t="shared" si="60"/>
        <v>4</v>
      </c>
      <c r="G723" s="136" t="s">
        <v>189</v>
      </c>
      <c r="H723" s="138">
        <v>85</v>
      </c>
      <c r="I723" s="92">
        <f t="shared" si="58"/>
        <v>0.78153209623502806</v>
      </c>
      <c r="J723" s="95">
        <v>0.99957809179387302</v>
      </c>
      <c r="K723" s="137">
        <v>0.63911732854463099</v>
      </c>
      <c r="L723" s="137">
        <v>0.56348610067618299</v>
      </c>
      <c r="M723" s="137">
        <v>0.75256417034730305</v>
      </c>
      <c r="N723" s="136">
        <v>1</v>
      </c>
      <c r="O723" s="32">
        <v>43170</v>
      </c>
      <c r="P723" s="98">
        <f t="shared" si="61"/>
        <v>1</v>
      </c>
      <c r="Q723" s="113">
        <v>0</v>
      </c>
      <c r="R723" s="113">
        <v>1.65</v>
      </c>
      <c r="S723" s="113">
        <v>0</v>
      </c>
      <c r="T723" s="114" t="s">
        <v>73</v>
      </c>
      <c r="U723" s="209" t="s">
        <v>190</v>
      </c>
      <c r="V723" s="136" t="s">
        <v>191</v>
      </c>
      <c r="W723" s="69">
        <v>93</v>
      </c>
      <c r="X723" s="209">
        <v>1</v>
      </c>
      <c r="Y723" s="209">
        <v>3</v>
      </c>
      <c r="Z723"/>
      <c r="AA723" t="s">
        <v>4843</v>
      </c>
      <c r="AB723" t="s">
        <v>87</v>
      </c>
      <c r="AC723" t="s">
        <v>4513</v>
      </c>
      <c r="AD723" t="s">
        <v>4751</v>
      </c>
      <c r="AE723" t="s">
        <v>223</v>
      </c>
      <c r="AF723" t="s">
        <v>4689</v>
      </c>
      <c r="AG723" t="s">
        <v>223</v>
      </c>
      <c r="AH723" t="s">
        <v>4689</v>
      </c>
      <c r="AI723" t="s">
        <v>4353</v>
      </c>
      <c r="AJ723" t="s">
        <v>4506</v>
      </c>
      <c r="AK723" t="s">
        <v>4519</v>
      </c>
      <c r="AL723" t="s">
        <v>4519</v>
      </c>
      <c r="AM723" t="s">
        <v>4528</v>
      </c>
      <c r="AN723" t="s">
        <v>4529</v>
      </c>
      <c r="AO723" s="134">
        <v>106.673596673597</v>
      </c>
      <c r="AP723" s="135">
        <v>118.501052631579</v>
      </c>
      <c r="AQ723">
        <v>0.326315789473684</v>
      </c>
      <c r="AR723" s="136">
        <v>1.27157894736842</v>
      </c>
      <c r="AS723">
        <v>8.24</v>
      </c>
      <c r="AU723"/>
      <c r="AV723"/>
      <c r="AW723"/>
      <c r="AX723"/>
    </row>
    <row r="724" spans="1:50" s="69" customFormat="1" ht="46">
      <c r="A724">
        <v>946</v>
      </c>
      <c r="B724" s="69" t="s">
        <v>2510</v>
      </c>
      <c r="C724" s="69" t="s">
        <v>45</v>
      </c>
      <c r="D724" s="31">
        <f t="shared" si="59"/>
        <v>4</v>
      </c>
      <c r="E724" s="69" t="s">
        <v>80</v>
      </c>
      <c r="F724" s="31">
        <f t="shared" si="60"/>
        <v>4</v>
      </c>
      <c r="G724" s="137" t="s">
        <v>2563</v>
      </c>
      <c r="H724" s="138">
        <v>52</v>
      </c>
      <c r="I724" s="92">
        <f t="shared" si="58"/>
        <v>0.66010272682050553</v>
      </c>
      <c r="J724" s="95">
        <v>0.57020545364101105</v>
      </c>
      <c r="K724" s="137">
        <v>0.76918779643582302</v>
      </c>
      <c r="L724" s="137">
        <v>0.75</v>
      </c>
      <c r="M724" s="137">
        <v>0.79796949108955795</v>
      </c>
      <c r="N724" s="136">
        <v>1</v>
      </c>
      <c r="O724" s="154">
        <v>43170</v>
      </c>
      <c r="P724" s="98">
        <f t="shared" si="61"/>
        <v>0</v>
      </c>
      <c r="Q724" s="111">
        <v>2.5499999999999998</v>
      </c>
      <c r="R724" s="111">
        <v>1.65</v>
      </c>
      <c r="S724" s="111">
        <v>1.87</v>
      </c>
      <c r="T724" s="112" t="s">
        <v>48</v>
      </c>
      <c r="U724" s="147" t="s">
        <v>2571</v>
      </c>
      <c r="V724" s="137" t="s">
        <v>2572</v>
      </c>
      <c r="W724" s="69">
        <v>54</v>
      </c>
      <c r="X724" s="171">
        <v>1</v>
      </c>
      <c r="Y724" s="171">
        <v>2</v>
      </c>
      <c r="AA724" t="s">
        <v>4543</v>
      </c>
      <c r="AB724" t="s">
        <v>4791</v>
      </c>
      <c r="AC724" t="s">
        <v>223</v>
      </c>
      <c r="AD724" t="s">
        <v>4721</v>
      </c>
      <c r="AE724" t="s">
        <v>4353</v>
      </c>
      <c r="AF724" t="s">
        <v>4506</v>
      </c>
      <c r="AG724" t="s">
        <v>4353</v>
      </c>
      <c r="AH724" t="s">
        <v>4506</v>
      </c>
      <c r="AI724" t="s">
        <v>223</v>
      </c>
      <c r="AJ724" t="s">
        <v>4721</v>
      </c>
      <c r="AK724" t="s">
        <v>4519</v>
      </c>
      <c r="AL724" t="s">
        <v>4541</v>
      </c>
      <c r="AM724" t="s">
        <v>4528</v>
      </c>
      <c r="AN724" t="s">
        <v>4542</v>
      </c>
      <c r="AO724" s="134">
        <v>106.78749999999999</v>
      </c>
      <c r="AP724" s="135">
        <v>118.501052631579</v>
      </c>
      <c r="AQ724">
        <v>0.326315789473684</v>
      </c>
      <c r="AR724" s="136">
        <v>1.27157894736842</v>
      </c>
      <c r="AS724">
        <v>8.24</v>
      </c>
      <c r="AU724"/>
      <c r="AV724"/>
      <c r="AW724"/>
      <c r="AX724"/>
    </row>
    <row r="725" spans="1:50" s="69" customFormat="1" ht="31">
      <c r="A725">
        <v>966</v>
      </c>
      <c r="B725" s="69" t="s">
        <v>2618</v>
      </c>
      <c r="C725" s="69" t="s">
        <v>45</v>
      </c>
      <c r="D725" s="31">
        <f t="shared" si="59"/>
        <v>4</v>
      </c>
      <c r="E725" s="69" t="s">
        <v>80</v>
      </c>
      <c r="F725" s="31">
        <f t="shared" si="60"/>
        <v>4</v>
      </c>
      <c r="G725" s="152" t="s">
        <v>359</v>
      </c>
      <c r="H725" s="138">
        <v>38</v>
      </c>
      <c r="I725" s="92">
        <f t="shared" si="58"/>
        <v>0.42121870405155687</v>
      </c>
      <c r="J725" s="95">
        <v>9.2437408103113697E-2</v>
      </c>
      <c r="K725" s="137">
        <v>0.76918779643582302</v>
      </c>
      <c r="L725" s="137">
        <v>0.75</v>
      </c>
      <c r="M725" s="137">
        <v>0.79796949108955795</v>
      </c>
      <c r="N725" s="136">
        <v>1</v>
      </c>
      <c r="O725" s="154">
        <v>43170</v>
      </c>
      <c r="P725" s="98">
        <f t="shared" si="61"/>
        <v>0</v>
      </c>
      <c r="Q725" s="111">
        <v>2.5499999999999998</v>
      </c>
      <c r="R725" s="111">
        <v>3.3</v>
      </c>
      <c r="S725" s="111">
        <v>0</v>
      </c>
      <c r="T725" s="112" t="s">
        <v>48</v>
      </c>
      <c r="U725" s="152" t="s">
        <v>2619</v>
      </c>
      <c r="V725" s="137" t="s">
        <v>2620</v>
      </c>
      <c r="W725" s="69">
        <v>47</v>
      </c>
      <c r="X725" s="171">
        <v>1</v>
      </c>
      <c r="Y725" s="171">
        <v>2</v>
      </c>
      <c r="AA725" t="s">
        <v>4564</v>
      </c>
      <c r="AB725" t="s">
        <v>358</v>
      </c>
      <c r="AC725" t="s">
        <v>4353</v>
      </c>
      <c r="AD725" t="s">
        <v>4506</v>
      </c>
      <c r="AE725" t="s">
        <v>4353</v>
      </c>
      <c r="AF725" t="s">
        <v>4506</v>
      </c>
      <c r="AG725" t="s">
        <v>4353</v>
      </c>
      <c r="AH725" t="s">
        <v>4506</v>
      </c>
      <c r="AI725" t="s">
        <v>223</v>
      </c>
      <c r="AJ725" t="s">
        <v>4614</v>
      </c>
      <c r="AK725" t="s">
        <v>4519</v>
      </c>
      <c r="AL725" t="s">
        <v>4519</v>
      </c>
      <c r="AM725" t="s">
        <v>4510</v>
      </c>
      <c r="AN725" t="s">
        <v>4550</v>
      </c>
      <c r="AO725" s="134">
        <v>106.93110647181599</v>
      </c>
      <c r="AP725" s="135">
        <v>118.501052631579</v>
      </c>
      <c r="AQ725">
        <v>0.326315789473684</v>
      </c>
      <c r="AR725" s="136">
        <v>1.27157894736842</v>
      </c>
      <c r="AS725">
        <v>8.24</v>
      </c>
      <c r="AU725"/>
      <c r="AV725"/>
      <c r="AW725"/>
      <c r="AX725"/>
    </row>
    <row r="726" spans="1:50" s="69" customFormat="1" ht="106">
      <c r="A726">
        <v>530</v>
      </c>
      <c r="B726" s="69" t="s">
        <v>1222</v>
      </c>
      <c r="C726" s="69" t="s">
        <v>45</v>
      </c>
      <c r="D726" s="31">
        <f t="shared" si="59"/>
        <v>4</v>
      </c>
      <c r="E726" s="69" t="s">
        <v>46</v>
      </c>
      <c r="F726" s="31">
        <f t="shared" si="60"/>
        <v>6</v>
      </c>
      <c r="G726" s="137" t="s">
        <v>1486</v>
      </c>
      <c r="H726" s="138">
        <v>174</v>
      </c>
      <c r="I726" s="92">
        <f t="shared" si="58"/>
        <v>0.31042682471393052</v>
      </c>
      <c r="J726" s="95">
        <v>1.0189386840600001E-3</v>
      </c>
      <c r="K726" s="137">
        <v>0.64412551344629299</v>
      </c>
      <c r="L726" s="137">
        <v>0.61983471074380103</v>
      </c>
      <c r="M726" s="137">
        <v>0.68056171750003003</v>
      </c>
      <c r="N726" s="136">
        <v>1</v>
      </c>
      <c r="O726" s="155">
        <v>43168</v>
      </c>
      <c r="P726" s="98">
        <f t="shared" si="61"/>
        <v>2</v>
      </c>
      <c r="Q726" s="111">
        <v>7.65</v>
      </c>
      <c r="R726" s="111">
        <v>3.3</v>
      </c>
      <c r="S726" s="111">
        <v>0</v>
      </c>
      <c r="T726" s="112" t="s">
        <v>64</v>
      </c>
      <c r="U726" s="137" t="s">
        <v>1487</v>
      </c>
      <c r="V726" s="137" t="s">
        <v>1488</v>
      </c>
      <c r="W726" s="69">
        <v>39</v>
      </c>
      <c r="X726" s="69">
        <v>2</v>
      </c>
      <c r="Y726" s="69">
        <v>5</v>
      </c>
      <c r="Z726"/>
      <c r="AA726" t="s">
        <v>4564</v>
      </c>
      <c r="AB726" t="s">
        <v>51</v>
      </c>
      <c r="AC726" t="s">
        <v>4353</v>
      </c>
      <c r="AD726" t="s">
        <v>4506</v>
      </c>
      <c r="AE726" t="s">
        <v>223</v>
      </c>
      <c r="AF726" t="s">
        <v>4531</v>
      </c>
      <c r="AG726" t="s">
        <v>4353</v>
      </c>
      <c r="AH726" t="s">
        <v>4506</v>
      </c>
      <c r="AI726" t="s">
        <v>4353</v>
      </c>
      <c r="AJ726" t="s">
        <v>4506</v>
      </c>
      <c r="AK726" t="s">
        <v>4519</v>
      </c>
      <c r="AL726" t="s">
        <v>4519</v>
      </c>
      <c r="AM726" t="s">
        <v>4562</v>
      </c>
      <c r="AN726" t="s">
        <v>4563</v>
      </c>
      <c r="AO726" s="134">
        <v>106.790794979079</v>
      </c>
      <c r="AP726" s="135">
        <v>118.501052631579</v>
      </c>
      <c r="AQ726">
        <v>0.326315789473684</v>
      </c>
      <c r="AR726" s="136">
        <v>1.27157894736842</v>
      </c>
      <c r="AS726">
        <v>8.24</v>
      </c>
      <c r="AU726"/>
      <c r="AV726"/>
      <c r="AW726"/>
      <c r="AX726"/>
    </row>
    <row r="727" spans="1:50" s="65" customFormat="1" ht="46">
      <c r="A727">
        <v>947</v>
      </c>
      <c r="B727" s="69" t="s">
        <v>2510</v>
      </c>
      <c r="C727" s="69" t="s">
        <v>45</v>
      </c>
      <c r="D727" s="31">
        <f t="shared" si="59"/>
        <v>4</v>
      </c>
      <c r="E727" s="69" t="s">
        <v>80</v>
      </c>
      <c r="F727" s="31">
        <f t="shared" si="60"/>
        <v>4</v>
      </c>
      <c r="G727" s="137" t="s">
        <v>2563</v>
      </c>
      <c r="H727" s="138">
        <v>43</v>
      </c>
      <c r="I727" s="92">
        <f t="shared" si="58"/>
        <v>0.49144853944881395</v>
      </c>
      <c r="J727" s="95">
        <v>0.157897078897628</v>
      </c>
      <c r="K727" s="137">
        <v>0.78071428571428603</v>
      </c>
      <c r="L727" s="137">
        <v>0.82499999999999996</v>
      </c>
      <c r="M727" s="137">
        <v>0.71428571428571397</v>
      </c>
      <c r="N727" s="136">
        <v>1</v>
      </c>
      <c r="O727" s="154">
        <v>43167</v>
      </c>
      <c r="P727" s="98">
        <f t="shared" si="61"/>
        <v>0</v>
      </c>
      <c r="Q727" s="111">
        <v>10.199999999999999</v>
      </c>
      <c r="R727" s="111">
        <v>0</v>
      </c>
      <c r="S727" s="111">
        <v>1.87</v>
      </c>
      <c r="T727" s="112" t="s">
        <v>48</v>
      </c>
      <c r="U727" s="137" t="s">
        <v>2573</v>
      </c>
      <c r="V727" s="137" t="s">
        <v>2574</v>
      </c>
      <c r="W727" s="69">
        <v>52</v>
      </c>
      <c r="X727" s="69">
        <v>1</v>
      </c>
      <c r="Y727" s="69">
        <v>4</v>
      </c>
      <c r="Z727" s="69"/>
      <c r="AA727" t="s">
        <v>4564</v>
      </c>
      <c r="AB727" t="s">
        <v>87</v>
      </c>
      <c r="AC727" t="s">
        <v>4515</v>
      </c>
      <c r="AD727" t="s">
        <v>4595</v>
      </c>
      <c r="AE727" t="s">
        <v>4353</v>
      </c>
      <c r="AF727" t="s">
        <v>4506</v>
      </c>
      <c r="AG727" t="s">
        <v>4353</v>
      </c>
      <c r="AH727" t="s">
        <v>4506</v>
      </c>
      <c r="AI727" t="s">
        <v>223</v>
      </c>
      <c r="AJ727" t="s">
        <v>4590</v>
      </c>
      <c r="AK727" t="s">
        <v>4518</v>
      </c>
      <c r="AL727" t="s">
        <v>4519</v>
      </c>
      <c r="AM727" t="s">
        <v>4520</v>
      </c>
      <c r="AN727" t="s">
        <v>4521</v>
      </c>
      <c r="AO727" s="132">
        <v>106.64779874213799</v>
      </c>
      <c r="AP727" s="133">
        <v>118.550632911392</v>
      </c>
      <c r="AQ727" s="65">
        <v>0.32700421940928298</v>
      </c>
      <c r="AR727" s="65">
        <v>1.27215189873418</v>
      </c>
      <c r="AS727" s="65">
        <v>8.2531645569620196</v>
      </c>
    </row>
    <row r="728" spans="1:50" s="65" customFormat="1" ht="121">
      <c r="A728">
        <v>531</v>
      </c>
      <c r="B728" s="69" t="s">
        <v>1222</v>
      </c>
      <c r="C728" s="69" t="s">
        <v>45</v>
      </c>
      <c r="D728" s="31">
        <f t="shared" si="59"/>
        <v>4</v>
      </c>
      <c r="E728" s="69" t="s">
        <v>46</v>
      </c>
      <c r="F728" s="31">
        <f t="shared" si="60"/>
        <v>6</v>
      </c>
      <c r="G728" s="137" t="s">
        <v>1489</v>
      </c>
      <c r="H728" s="138">
        <v>175</v>
      </c>
      <c r="I728" s="92">
        <f t="shared" si="58"/>
        <v>9.4986419731265898E-2</v>
      </c>
      <c r="J728" s="95">
        <v>1.0428802435659801E-2</v>
      </c>
      <c r="K728" s="137">
        <v>0.252175796216148</v>
      </c>
      <c r="L728" s="137">
        <v>0.17954403702687199</v>
      </c>
      <c r="M728" s="137">
        <v>0.36112343500006</v>
      </c>
      <c r="N728" s="136">
        <v>1</v>
      </c>
      <c r="O728" s="154">
        <v>43167</v>
      </c>
      <c r="P728" s="98">
        <f t="shared" si="61"/>
        <v>1</v>
      </c>
      <c r="Q728" s="111">
        <v>5.0999999999999996</v>
      </c>
      <c r="R728" s="111">
        <v>0</v>
      </c>
      <c r="S728" s="111">
        <v>0</v>
      </c>
      <c r="T728" s="112" t="s">
        <v>73</v>
      </c>
      <c r="U728" s="136" t="s">
        <v>1490</v>
      </c>
      <c r="V728" s="137" t="s">
        <v>1491</v>
      </c>
      <c r="W728" s="69">
        <v>94</v>
      </c>
      <c r="X728" s="69">
        <v>3</v>
      </c>
      <c r="Y728" s="69">
        <v>20</v>
      </c>
      <c r="Z728"/>
      <c r="AA728" t="s">
        <v>4997</v>
      </c>
      <c r="AB728" t="s">
        <v>4732</v>
      </c>
      <c r="AC728" t="s">
        <v>223</v>
      </c>
      <c r="AD728" t="s">
        <v>4693</v>
      </c>
      <c r="AE728" t="s">
        <v>223</v>
      </c>
      <c r="AF728" t="s">
        <v>4693</v>
      </c>
      <c r="AG728" t="s">
        <v>223</v>
      </c>
      <c r="AH728" t="s">
        <v>4693</v>
      </c>
      <c r="AI728" t="s">
        <v>4353</v>
      </c>
      <c r="AJ728" t="s">
        <v>4506</v>
      </c>
      <c r="AK728" t="s">
        <v>4519</v>
      </c>
      <c r="AL728" t="s">
        <v>4519</v>
      </c>
      <c r="AM728" t="s">
        <v>4510</v>
      </c>
      <c r="AN728" t="s">
        <v>4550</v>
      </c>
      <c r="AO728" s="132">
        <v>106.781512605042</v>
      </c>
      <c r="AP728" s="133">
        <v>118.550632911392</v>
      </c>
      <c r="AQ728" s="65">
        <v>0.32700421940928298</v>
      </c>
      <c r="AR728" s="65">
        <v>1.27215189873418</v>
      </c>
      <c r="AS728" s="65">
        <v>8.2531645569620196</v>
      </c>
    </row>
    <row r="729" spans="1:50" s="69" customFormat="1" ht="106">
      <c r="A729" s="65">
        <v>104</v>
      </c>
      <c r="B729" s="69" t="s">
        <v>217</v>
      </c>
      <c r="C729" s="69" t="s">
        <v>45</v>
      </c>
      <c r="D729" s="31">
        <f t="shared" si="59"/>
        <v>4</v>
      </c>
      <c r="E729" s="69" t="s">
        <v>46</v>
      </c>
      <c r="F729" s="31">
        <f t="shared" si="60"/>
        <v>6</v>
      </c>
      <c r="G729" s="147" t="s">
        <v>353</v>
      </c>
      <c r="H729" s="138">
        <v>189</v>
      </c>
      <c r="I729" s="92">
        <f t="shared" si="58"/>
        <v>0.55956929376669806</v>
      </c>
      <c r="J729" s="95">
        <v>0.55565248685721302</v>
      </c>
      <c r="K729" s="137">
        <v>0.59812081796095695</v>
      </c>
      <c r="L729" s="137">
        <v>0.56348610067618299</v>
      </c>
      <c r="M729" s="137">
        <v>0.65007289388811795</v>
      </c>
      <c r="N729" s="136">
        <v>1</v>
      </c>
      <c r="O729" s="154">
        <v>43166</v>
      </c>
      <c r="P729" s="98">
        <f t="shared" si="61"/>
        <v>0</v>
      </c>
      <c r="Q729" s="111">
        <v>10.199999999999999</v>
      </c>
      <c r="R729" s="111">
        <v>0</v>
      </c>
      <c r="S729" s="111">
        <v>0</v>
      </c>
      <c r="T729" s="112" t="s">
        <v>48</v>
      </c>
      <c r="U729" s="137" t="s">
        <v>4356</v>
      </c>
      <c r="V729" s="137" t="s">
        <v>355</v>
      </c>
      <c r="W729" s="69">
        <v>141</v>
      </c>
      <c r="X729" s="171">
        <v>2</v>
      </c>
      <c r="Y729" s="171">
        <v>6</v>
      </c>
      <c r="Z729"/>
      <c r="AA729" t="s">
        <v>4998</v>
      </c>
      <c r="AB729" t="s">
        <v>4791</v>
      </c>
      <c r="AC729" t="s">
        <v>4515</v>
      </c>
      <c r="AD729" t="s">
        <v>4617</v>
      </c>
      <c r="AE729" t="s">
        <v>223</v>
      </c>
      <c r="AF729" t="s">
        <v>4600</v>
      </c>
      <c r="AG729" t="s">
        <v>223</v>
      </c>
      <c r="AH729" t="s">
        <v>4600</v>
      </c>
      <c r="AI729" t="s">
        <v>4515</v>
      </c>
      <c r="AJ729" t="s">
        <v>4617</v>
      </c>
      <c r="AK729" t="s">
        <v>4740</v>
      </c>
      <c r="AL729" t="s">
        <v>4552</v>
      </c>
      <c r="AM729" t="s">
        <v>4510</v>
      </c>
      <c r="AN729" t="s">
        <v>4805</v>
      </c>
      <c r="AO729" s="134">
        <v>106.608421052632</v>
      </c>
      <c r="AP729" s="135">
        <v>118.79872881355899</v>
      </c>
      <c r="AQ729">
        <v>0.32627118644067798</v>
      </c>
      <c r="AR729" s="136">
        <v>1.2733050847457601</v>
      </c>
      <c r="AS729">
        <v>8.2584745762711904</v>
      </c>
      <c r="AU729"/>
      <c r="AV729"/>
      <c r="AW729"/>
      <c r="AX729"/>
    </row>
    <row r="730" spans="1:50" s="69" customFormat="1" ht="76">
      <c r="A730">
        <v>811</v>
      </c>
      <c r="B730" s="69" t="s">
        <v>2179</v>
      </c>
      <c r="C730" s="69" t="s">
        <v>45</v>
      </c>
      <c r="D730" s="31">
        <f t="shared" si="59"/>
        <v>4</v>
      </c>
      <c r="E730" s="69" t="s">
        <v>46</v>
      </c>
      <c r="F730" s="31">
        <f t="shared" si="60"/>
        <v>6</v>
      </c>
      <c r="G730" s="169" t="s">
        <v>2154</v>
      </c>
      <c r="H730" s="138">
        <v>62</v>
      </c>
      <c r="I730" s="92">
        <f t="shared" si="58"/>
        <v>0.34355331659616412</v>
      </c>
      <c r="J730" s="95">
        <v>5.2884513741462396E-3</v>
      </c>
      <c r="K730" s="137">
        <v>0.72827870552673202</v>
      </c>
      <c r="L730" s="137">
        <v>0.68181818181818199</v>
      </c>
      <c r="M730" s="137">
        <v>0.79796949108955795</v>
      </c>
      <c r="N730" s="136">
        <v>1</v>
      </c>
      <c r="O730" s="154">
        <v>43165</v>
      </c>
      <c r="P730" s="98">
        <f t="shared" si="61"/>
        <v>0</v>
      </c>
      <c r="Q730" s="111">
        <v>0</v>
      </c>
      <c r="R730" s="111">
        <v>0</v>
      </c>
      <c r="S730" s="111">
        <v>1.87</v>
      </c>
      <c r="T730" s="112" t="s">
        <v>48</v>
      </c>
      <c r="U730" s="209" t="s">
        <v>2215</v>
      </c>
      <c r="V730" s="209" t="s">
        <v>2216</v>
      </c>
      <c r="W730" s="69">
        <v>95</v>
      </c>
      <c r="X730" s="171">
        <v>0</v>
      </c>
      <c r="Y730" s="171">
        <v>2</v>
      </c>
      <c r="AA730" t="s">
        <v>4564</v>
      </c>
      <c r="AB730" t="s">
        <v>4566</v>
      </c>
      <c r="AC730" t="s">
        <v>4353</v>
      </c>
      <c r="AD730" t="s">
        <v>4506</v>
      </c>
      <c r="AE730" t="s">
        <v>223</v>
      </c>
      <c r="AF730" t="s">
        <v>4615</v>
      </c>
      <c r="AG730" t="s">
        <v>4353</v>
      </c>
      <c r="AH730" t="s">
        <v>4506</v>
      </c>
      <c r="AI730" t="s">
        <v>223</v>
      </c>
      <c r="AJ730" t="s">
        <v>4615</v>
      </c>
      <c r="AK730" t="s">
        <v>4518</v>
      </c>
      <c r="AL730" t="s">
        <v>4519</v>
      </c>
      <c r="AM730" t="s">
        <v>4528</v>
      </c>
      <c r="AN730" t="s">
        <v>4624</v>
      </c>
      <c r="AO730" s="134">
        <v>106.70253164557001</v>
      </c>
      <c r="AP730" s="135">
        <v>118.799573560768</v>
      </c>
      <c r="AQ730">
        <v>0.32409381663113002</v>
      </c>
      <c r="AR730" s="136">
        <v>1.27505330490405</v>
      </c>
      <c r="AS730">
        <v>8.2729211087420005</v>
      </c>
      <c r="AU730"/>
      <c r="AV730"/>
      <c r="AW730"/>
      <c r="AX730"/>
    </row>
    <row r="731" spans="1:50" s="69" customFormat="1" ht="76">
      <c r="A731" s="65">
        <v>948</v>
      </c>
      <c r="B731" s="69" t="s">
        <v>2510</v>
      </c>
      <c r="C731" s="69" t="s">
        <v>45</v>
      </c>
      <c r="D731" s="31">
        <f t="shared" si="59"/>
        <v>4</v>
      </c>
      <c r="E731" s="69" t="s">
        <v>80</v>
      </c>
      <c r="F731" s="31">
        <f t="shared" si="60"/>
        <v>4</v>
      </c>
      <c r="G731" s="169" t="s">
        <v>159</v>
      </c>
      <c r="H731" s="138">
        <v>39</v>
      </c>
      <c r="I731" s="92">
        <f t="shared" si="58"/>
        <v>0.38123234917342541</v>
      </c>
      <c r="J731" s="95">
        <v>1.24646983468508E-2</v>
      </c>
      <c r="K731" s="137">
        <v>0.79285714285714304</v>
      </c>
      <c r="L731" s="137">
        <v>0.75</v>
      </c>
      <c r="M731" s="137">
        <v>0.85714285714285698</v>
      </c>
      <c r="N731" s="136">
        <v>1</v>
      </c>
      <c r="O731" s="154">
        <v>43164</v>
      </c>
      <c r="P731" s="98">
        <f t="shared" si="61"/>
        <v>0</v>
      </c>
      <c r="Q731" s="111">
        <v>0</v>
      </c>
      <c r="R731" s="111">
        <v>0</v>
      </c>
      <c r="S731" s="111">
        <v>0</v>
      </c>
      <c r="T731" s="112" t="s">
        <v>48</v>
      </c>
      <c r="U731" s="188" t="s">
        <v>2575</v>
      </c>
      <c r="V731" s="137" t="s">
        <v>2576</v>
      </c>
      <c r="W731" s="69">
        <v>106</v>
      </c>
      <c r="X731" s="195">
        <v>1</v>
      </c>
      <c r="Y731" s="195">
        <v>1</v>
      </c>
      <c r="AA731" t="s">
        <v>4551</v>
      </c>
      <c r="AB731" t="s">
        <v>4827</v>
      </c>
      <c r="AC731" t="s">
        <v>223</v>
      </c>
      <c r="AD731" t="s">
        <v>4768</v>
      </c>
      <c r="AE731" t="s">
        <v>223</v>
      </c>
      <c r="AF731" t="s">
        <v>4768</v>
      </c>
      <c r="AG731" t="s">
        <v>4353</v>
      </c>
      <c r="AH731" t="s">
        <v>4506</v>
      </c>
      <c r="AI731" t="s">
        <v>223</v>
      </c>
      <c r="AJ731" t="s">
        <v>4768</v>
      </c>
      <c r="AK731" t="s">
        <v>4518</v>
      </c>
      <c r="AL731" t="s">
        <v>4541</v>
      </c>
      <c r="AM731" t="s">
        <v>4528</v>
      </c>
      <c r="AN731" t="s">
        <v>4878</v>
      </c>
      <c r="AO731" s="134">
        <v>106.845665961945</v>
      </c>
      <c r="AP731" s="135">
        <v>118.799573560768</v>
      </c>
      <c r="AQ731">
        <v>0.32409381663113002</v>
      </c>
      <c r="AR731" s="136">
        <v>1.27505330490405</v>
      </c>
      <c r="AS731">
        <v>8.2729211087420005</v>
      </c>
      <c r="AU731"/>
      <c r="AV731"/>
      <c r="AW731"/>
      <c r="AX731"/>
    </row>
    <row r="732" spans="1:50" s="69" customFormat="1" ht="45">
      <c r="A732">
        <v>1031</v>
      </c>
      <c r="B732" s="69" t="s">
        <v>2752</v>
      </c>
      <c r="C732" s="69" t="s">
        <v>59</v>
      </c>
      <c r="D732" s="31">
        <f t="shared" si="59"/>
        <v>5</v>
      </c>
      <c r="E732" s="69" t="s">
        <v>46</v>
      </c>
      <c r="F732" s="31">
        <f t="shared" si="60"/>
        <v>6</v>
      </c>
      <c r="G732" s="139" t="s">
        <v>2797</v>
      </c>
      <c r="H732" s="138">
        <v>63</v>
      </c>
      <c r="I732" s="92">
        <f t="shared" si="58"/>
        <v>0.83628017657376952</v>
      </c>
      <c r="J732" s="95">
        <v>0.99074217132935705</v>
      </c>
      <c r="K732" s="137">
        <v>0.71011657722983001</v>
      </c>
      <c r="L732" s="137">
        <v>0.68181818181818199</v>
      </c>
      <c r="M732" s="137">
        <v>0.75256417034730305</v>
      </c>
      <c r="N732" s="136">
        <v>1</v>
      </c>
      <c r="O732" s="157">
        <v>43163</v>
      </c>
      <c r="P732" s="98">
        <f t="shared" si="61"/>
        <v>1</v>
      </c>
      <c r="Q732" s="113">
        <v>5.0999999999999996</v>
      </c>
      <c r="R732" s="113">
        <v>3.3</v>
      </c>
      <c r="S732" s="113">
        <v>0</v>
      </c>
      <c r="T732" s="119" t="s">
        <v>73</v>
      </c>
      <c r="U732" s="203" t="s">
        <v>2798</v>
      </c>
      <c r="V732" s="207" t="s">
        <v>2799</v>
      </c>
      <c r="W732" s="69">
        <v>42</v>
      </c>
      <c r="X732" s="195">
        <v>2</v>
      </c>
      <c r="Y732" s="195">
        <v>3</v>
      </c>
      <c r="AA732" t="s">
        <v>4603</v>
      </c>
      <c r="AB732" t="s">
        <v>71</v>
      </c>
      <c r="AC732" t="s">
        <v>4353</v>
      </c>
      <c r="AD732" t="s">
        <v>4506</v>
      </c>
      <c r="AE732" t="s">
        <v>4353</v>
      </c>
      <c r="AF732" t="s">
        <v>4506</v>
      </c>
      <c r="AG732" t="s">
        <v>223</v>
      </c>
      <c r="AH732" t="s">
        <v>4737</v>
      </c>
      <c r="AI732" t="s">
        <v>4353</v>
      </c>
      <c r="AJ732" t="s">
        <v>4506</v>
      </c>
      <c r="AK732" t="s">
        <v>4519</v>
      </c>
      <c r="AL732" t="s">
        <v>4519</v>
      </c>
      <c r="AM732" t="s">
        <v>4528</v>
      </c>
      <c r="AN732" t="s">
        <v>4529</v>
      </c>
      <c r="AO732" s="134">
        <v>106.938559322034</v>
      </c>
      <c r="AP732" s="135">
        <v>118.799573560768</v>
      </c>
      <c r="AQ732">
        <v>0.32409381663113002</v>
      </c>
      <c r="AR732" s="136">
        <v>1.27505330490405</v>
      </c>
      <c r="AS732">
        <v>8.2729211087420005</v>
      </c>
      <c r="AU732"/>
      <c r="AV732"/>
      <c r="AW732"/>
      <c r="AX732"/>
    </row>
    <row r="733" spans="1:50" s="69" customFormat="1" ht="136">
      <c r="A733" s="65">
        <v>29</v>
      </c>
      <c r="B733" s="136" t="s">
        <v>115</v>
      </c>
      <c r="C733" s="136" t="s">
        <v>45</v>
      </c>
      <c r="D733" s="31">
        <f t="shared" si="59"/>
        <v>4</v>
      </c>
      <c r="E733" s="136" t="s">
        <v>46</v>
      </c>
      <c r="F733" s="31">
        <f t="shared" si="60"/>
        <v>6</v>
      </c>
      <c r="G733" s="147" t="s">
        <v>135</v>
      </c>
      <c r="H733" s="138">
        <v>242</v>
      </c>
      <c r="I733" s="92">
        <f t="shared" si="58"/>
        <v>0.63287224999624003</v>
      </c>
      <c r="J733" s="95">
        <v>0.80005350769811401</v>
      </c>
      <c r="K733" s="137">
        <v>0.58044026351554101</v>
      </c>
      <c r="L733" s="137">
        <v>0.465690992294366</v>
      </c>
      <c r="M733" s="137">
        <v>0.75256417034730305</v>
      </c>
      <c r="N733" s="136">
        <v>1</v>
      </c>
      <c r="O733" s="53">
        <v>43158</v>
      </c>
      <c r="P733" s="98">
        <f t="shared" si="61"/>
        <v>1</v>
      </c>
      <c r="Q733" s="113">
        <v>5.0999999999999996</v>
      </c>
      <c r="R733" s="113">
        <v>9.9</v>
      </c>
      <c r="S733" s="113">
        <v>1.87</v>
      </c>
      <c r="T733" s="114" t="s">
        <v>73</v>
      </c>
      <c r="U733" s="189" t="s">
        <v>136</v>
      </c>
      <c r="V733" s="136" t="s">
        <v>137</v>
      </c>
      <c r="W733" s="69">
        <v>116</v>
      </c>
      <c r="X733" s="209">
        <v>2</v>
      </c>
      <c r="Y733" s="209">
        <v>3</v>
      </c>
      <c r="Z733"/>
      <c r="AA733" t="s">
        <v>4636</v>
      </c>
      <c r="AB733" t="s">
        <v>51</v>
      </c>
      <c r="AC733" t="s">
        <v>4513</v>
      </c>
      <c r="AD733" t="s">
        <v>4876</v>
      </c>
      <c r="AE733" t="s">
        <v>4530</v>
      </c>
      <c r="AF733" t="s">
        <v>4937</v>
      </c>
      <c r="AG733" t="s">
        <v>4515</v>
      </c>
      <c r="AH733" t="s">
        <v>4842</v>
      </c>
      <c r="AI733" t="s">
        <v>4353</v>
      </c>
      <c r="AJ733" t="s">
        <v>4506</v>
      </c>
      <c r="AK733" t="s">
        <v>4578</v>
      </c>
      <c r="AL733" t="s">
        <v>4552</v>
      </c>
      <c r="AM733" t="s">
        <v>4528</v>
      </c>
      <c r="AN733" t="s">
        <v>4999</v>
      </c>
      <c r="AO733" s="134">
        <v>106.65180467091299</v>
      </c>
      <c r="AP733" s="135">
        <v>118.792291220557</v>
      </c>
      <c r="AQ733">
        <v>0.32334047109207698</v>
      </c>
      <c r="AR733" s="136">
        <v>1.2762312633833</v>
      </c>
      <c r="AS733">
        <v>8.2955032119914307</v>
      </c>
      <c r="AU733"/>
      <c r="AV733"/>
      <c r="AW733"/>
      <c r="AX733"/>
    </row>
    <row r="734" spans="1:50" s="69" customFormat="1" ht="121">
      <c r="A734" s="65">
        <v>532</v>
      </c>
      <c r="B734" s="69" t="s">
        <v>1222</v>
      </c>
      <c r="C734" s="69" t="s">
        <v>59</v>
      </c>
      <c r="D734" s="31">
        <f t="shared" si="59"/>
        <v>5</v>
      </c>
      <c r="E734" s="69" t="s">
        <v>46</v>
      </c>
      <c r="F734" s="31">
        <f t="shared" si="60"/>
        <v>6</v>
      </c>
      <c r="G734" s="137" t="s">
        <v>1492</v>
      </c>
      <c r="H734" s="138">
        <v>221</v>
      </c>
      <c r="I734" s="92">
        <f t="shared" si="58"/>
        <v>0.34090909272642606</v>
      </c>
      <c r="J734" s="95">
        <v>3.63467012043373E-9</v>
      </c>
      <c r="K734" s="137">
        <v>0.71011657722983001</v>
      </c>
      <c r="L734" s="137">
        <v>0.68181818181818199</v>
      </c>
      <c r="M734" s="137">
        <v>0.75256417034730305</v>
      </c>
      <c r="N734" s="136">
        <v>1</v>
      </c>
      <c r="O734" s="154">
        <v>43158</v>
      </c>
      <c r="P734" s="98">
        <f t="shared" si="61"/>
        <v>0</v>
      </c>
      <c r="Q734" s="111">
        <v>12.75</v>
      </c>
      <c r="R734" s="111">
        <v>0</v>
      </c>
      <c r="S734" s="111">
        <v>0</v>
      </c>
      <c r="T734" s="112" t="s">
        <v>48</v>
      </c>
      <c r="U734" s="137" t="s">
        <v>1493</v>
      </c>
      <c r="V734" s="137" t="s">
        <v>1494</v>
      </c>
      <c r="W734" s="69">
        <v>125</v>
      </c>
      <c r="X734" s="69">
        <v>2</v>
      </c>
      <c r="Y734" s="69">
        <v>3</v>
      </c>
      <c r="Z734"/>
      <c r="AA734" t="s">
        <v>4564</v>
      </c>
      <c r="AB734" t="s">
        <v>71</v>
      </c>
      <c r="AC734" t="s">
        <v>223</v>
      </c>
      <c r="AD734" t="s">
        <v>4668</v>
      </c>
      <c r="AE734" t="s">
        <v>4353</v>
      </c>
      <c r="AF734" t="s">
        <v>4506</v>
      </c>
      <c r="AG734" t="s">
        <v>4513</v>
      </c>
      <c r="AH734" t="s">
        <v>4531</v>
      </c>
      <c r="AI734" t="s">
        <v>4353</v>
      </c>
      <c r="AJ734" t="s">
        <v>4506</v>
      </c>
      <c r="AK734" t="s">
        <v>4519</v>
      </c>
      <c r="AL734" t="s">
        <v>4552</v>
      </c>
      <c r="AM734" t="s">
        <v>4528</v>
      </c>
      <c r="AN734" t="s">
        <v>4618</v>
      </c>
      <c r="AO734" s="134">
        <v>106.408510638298</v>
      </c>
      <c r="AP734" s="135">
        <v>118.792291220557</v>
      </c>
      <c r="AQ734">
        <v>0.32334047109207698</v>
      </c>
      <c r="AR734" s="136">
        <v>1.2762312633833</v>
      </c>
      <c r="AS734">
        <v>8.2955032119914307</v>
      </c>
      <c r="AU734"/>
      <c r="AV734"/>
      <c r="AW734"/>
      <c r="AX734"/>
    </row>
    <row r="735" spans="1:50" s="69" customFormat="1" ht="121">
      <c r="A735" s="65">
        <v>533</v>
      </c>
      <c r="B735" s="69" t="s">
        <v>1222</v>
      </c>
      <c r="C735" s="69" t="s">
        <v>45</v>
      </c>
      <c r="D735" s="31">
        <f t="shared" si="59"/>
        <v>4</v>
      </c>
      <c r="E735" s="69" t="s">
        <v>46</v>
      </c>
      <c r="F735" s="31">
        <f t="shared" si="60"/>
        <v>6</v>
      </c>
      <c r="G735" s="137" t="s">
        <v>1495</v>
      </c>
      <c r="H735" s="138">
        <v>215</v>
      </c>
      <c r="I735" s="92">
        <f t="shared" si="58"/>
        <v>0.3750000000000232</v>
      </c>
      <c r="J735" s="95">
        <v>4.6407322429331499E-14</v>
      </c>
      <c r="K735" s="137">
        <v>0.68837559287164596</v>
      </c>
      <c r="L735" s="137">
        <v>0.75</v>
      </c>
      <c r="M735" s="137">
        <v>0.59593898217911601</v>
      </c>
      <c r="N735" s="136">
        <v>1</v>
      </c>
      <c r="O735" s="154">
        <v>43157</v>
      </c>
      <c r="P735" s="98">
        <f t="shared" si="61"/>
        <v>1</v>
      </c>
      <c r="Q735" s="111">
        <v>2.5499999999999998</v>
      </c>
      <c r="R735" s="111">
        <v>3.3</v>
      </c>
      <c r="S735" s="111">
        <v>0</v>
      </c>
      <c r="T735" s="112" t="s">
        <v>73</v>
      </c>
      <c r="U735" s="137" t="s">
        <v>1496</v>
      </c>
      <c r="V735" s="137" t="s">
        <v>1494</v>
      </c>
      <c r="W735" s="69">
        <v>125</v>
      </c>
      <c r="X735" s="69">
        <v>2</v>
      </c>
      <c r="Y735" s="69">
        <v>8</v>
      </c>
      <c r="Z735"/>
      <c r="AA735" t="s">
        <v>4872</v>
      </c>
      <c r="AB735" t="s">
        <v>71</v>
      </c>
      <c r="AC735" t="s">
        <v>223</v>
      </c>
      <c r="AD735" t="s">
        <v>4668</v>
      </c>
      <c r="AE735" t="s">
        <v>4353</v>
      </c>
      <c r="AF735" t="s">
        <v>4506</v>
      </c>
      <c r="AG735" t="s">
        <v>4513</v>
      </c>
      <c r="AH735" t="s">
        <v>4531</v>
      </c>
      <c r="AI735" t="s">
        <v>4353</v>
      </c>
      <c r="AJ735" t="s">
        <v>4506</v>
      </c>
      <c r="AK735" t="s">
        <v>4519</v>
      </c>
      <c r="AL735" t="s">
        <v>4552</v>
      </c>
      <c r="AM735" t="s">
        <v>4528</v>
      </c>
      <c r="AN735" t="s">
        <v>4618</v>
      </c>
      <c r="AO735" s="134">
        <v>106.17697228145001</v>
      </c>
      <c r="AP735" s="135">
        <v>118.792291220557</v>
      </c>
      <c r="AQ735">
        <v>0.32334047109207698</v>
      </c>
      <c r="AR735" s="136">
        <v>1.2762312633833</v>
      </c>
      <c r="AS735">
        <v>8.2955032119914307</v>
      </c>
      <c r="AU735"/>
      <c r="AV735"/>
      <c r="AW735"/>
      <c r="AX735"/>
    </row>
    <row r="736" spans="1:50" s="67" customFormat="1" ht="40" customHeight="1">
      <c r="B736" s="70" t="s">
        <v>1222</v>
      </c>
      <c r="C736" s="70" t="s">
        <v>45</v>
      </c>
      <c r="D736" s="149">
        <v>4</v>
      </c>
      <c r="E736" s="70" t="s">
        <v>46</v>
      </c>
      <c r="F736" s="149">
        <v>6</v>
      </c>
      <c r="G736" s="223" t="s">
        <v>3237</v>
      </c>
      <c r="H736" s="224">
        <v>215</v>
      </c>
      <c r="I736" s="92">
        <f t="shared" si="58"/>
        <v>0.87403856615696807</v>
      </c>
      <c r="J736" s="95">
        <v>0.99807713231393602</v>
      </c>
      <c r="K736" s="226">
        <v>0.67857142857142805</v>
      </c>
      <c r="L736" s="226">
        <v>0.75</v>
      </c>
      <c r="M736" s="226">
        <v>0.57142857142857095</v>
      </c>
      <c r="N736" s="184">
        <v>0</v>
      </c>
      <c r="O736" s="165">
        <v>43156</v>
      </c>
      <c r="P736" s="98">
        <v>1</v>
      </c>
      <c r="Q736" s="227"/>
      <c r="R736" s="227"/>
      <c r="S736" s="227"/>
      <c r="T736" s="228"/>
      <c r="U736" s="229" t="s">
        <v>1496</v>
      </c>
      <c r="V736" s="223" t="s">
        <v>1494</v>
      </c>
      <c r="W736" s="70">
        <v>125</v>
      </c>
      <c r="X736" s="230">
        <v>1</v>
      </c>
      <c r="Y736" s="230">
        <v>2</v>
      </c>
      <c r="AO736" s="182">
        <v>105.944444444444</v>
      </c>
      <c r="AP736" s="183">
        <v>118.792291220557</v>
      </c>
      <c r="AQ736" s="67">
        <v>0.32334047109207698</v>
      </c>
      <c r="AR736" s="67">
        <v>1.2762312633833</v>
      </c>
      <c r="AS736" s="67">
        <v>8.2955032119914307</v>
      </c>
    </row>
    <row r="737" spans="1:50" s="65" customFormat="1" ht="61">
      <c r="A737" s="65">
        <v>180</v>
      </c>
      <c r="B737" s="69" t="s">
        <v>499</v>
      </c>
      <c r="C737" s="69" t="s">
        <v>59</v>
      </c>
      <c r="D737" s="31">
        <f t="shared" ref="D737:D800" si="62">IF(C737="投诉",4,IF(C737="建议",1,IF(C737="举报",2,IF(C737="求助",3,5))))</f>
        <v>5</v>
      </c>
      <c r="E737" s="69" t="s">
        <v>46</v>
      </c>
      <c r="F737" s="31">
        <f t="shared" ref="F737:F800" si="63">IF(E737="12345app",1,IF(E737="e福州app",2,IF(E737="qq",3,IF(E737="电话",4,IF(E737="短信",5,IF(E737="网站",6,IF(E737="微博",7,IF(E737="微信",8,9))))))))</f>
        <v>6</v>
      </c>
      <c r="G737" s="147" t="s">
        <v>556</v>
      </c>
      <c r="H737" s="138">
        <v>91</v>
      </c>
      <c r="I737" s="92">
        <f t="shared" si="58"/>
        <v>0.87499282882546148</v>
      </c>
      <c r="J737" s="95">
        <v>0.99998565765092295</v>
      </c>
      <c r="K737" s="137">
        <v>0.66047858340826304</v>
      </c>
      <c r="L737" s="137">
        <v>0.75</v>
      </c>
      <c r="M737" s="137">
        <v>0.526196458520657</v>
      </c>
      <c r="N737" s="136">
        <v>1</v>
      </c>
      <c r="O737" s="154">
        <v>43155</v>
      </c>
      <c r="P737" s="98">
        <f t="shared" ref="P737:P800" si="64">IF(T737="利己",0,IF(T737="生态",2,1))</f>
        <v>1</v>
      </c>
      <c r="Q737" s="111">
        <v>0</v>
      </c>
      <c r="R737" s="111">
        <v>0</v>
      </c>
      <c r="S737" s="111">
        <v>0</v>
      </c>
      <c r="T737" s="112" t="s">
        <v>73</v>
      </c>
      <c r="U737" s="137" t="s">
        <v>557</v>
      </c>
      <c r="V737" s="137" t="s">
        <v>558</v>
      </c>
      <c r="W737" s="69">
        <v>78</v>
      </c>
      <c r="X737" s="147">
        <v>1</v>
      </c>
      <c r="Y737" s="147">
        <v>11</v>
      </c>
      <c r="Z737"/>
      <c r="AA737" t="s">
        <v>4564</v>
      </c>
      <c r="AB737" t="s">
        <v>4732</v>
      </c>
      <c r="AC737" t="s">
        <v>223</v>
      </c>
      <c r="AD737" t="s">
        <v>4691</v>
      </c>
      <c r="AE737" t="s">
        <v>223</v>
      </c>
      <c r="AF737" t="s">
        <v>4691</v>
      </c>
      <c r="AG737" t="s">
        <v>223</v>
      </c>
      <c r="AH737" t="s">
        <v>4691</v>
      </c>
      <c r="AI737" t="s">
        <v>4353</v>
      </c>
      <c r="AJ737" t="s">
        <v>4506</v>
      </c>
      <c r="AK737" t="s">
        <v>4519</v>
      </c>
      <c r="AL737" t="s">
        <v>4509</v>
      </c>
      <c r="AM737" t="s">
        <v>4528</v>
      </c>
      <c r="AN737" t="s">
        <v>4688</v>
      </c>
      <c r="AO737" s="132">
        <v>105.976445396146</v>
      </c>
      <c r="AP737" s="133">
        <v>118.792291220557</v>
      </c>
      <c r="AQ737" s="65">
        <v>0.32334047109207698</v>
      </c>
      <c r="AR737" s="65">
        <v>1.2762312633833</v>
      </c>
      <c r="AS737" s="65">
        <v>8.2955032119914307</v>
      </c>
    </row>
    <row r="738" spans="1:50" s="65" customFormat="1" ht="46">
      <c r="A738" s="65">
        <v>692</v>
      </c>
      <c r="B738" s="69" t="s">
        <v>1871</v>
      </c>
      <c r="C738" s="69" t="s">
        <v>45</v>
      </c>
      <c r="D738" s="31">
        <f t="shared" si="62"/>
        <v>4</v>
      </c>
      <c r="E738" s="69" t="s">
        <v>46</v>
      </c>
      <c r="F738" s="31">
        <f t="shared" si="63"/>
        <v>6</v>
      </c>
      <c r="G738" s="137" t="s">
        <v>1901</v>
      </c>
      <c r="H738" s="138">
        <v>82</v>
      </c>
      <c r="I738" s="92">
        <f t="shared" si="58"/>
        <v>0.86755961406621251</v>
      </c>
      <c r="J738" s="95">
        <v>0.91011922813242496</v>
      </c>
      <c r="K738" s="137">
        <v>0.76722468700001201</v>
      </c>
      <c r="L738" s="137">
        <v>0.82499999999999996</v>
      </c>
      <c r="M738" s="137">
        <v>0.68056171750003003</v>
      </c>
      <c r="N738" s="136">
        <v>1</v>
      </c>
      <c r="O738" s="154">
        <v>43137</v>
      </c>
      <c r="P738" s="98">
        <f t="shared" si="64"/>
        <v>0</v>
      </c>
      <c r="Q738" s="111">
        <v>2.5499999999999998</v>
      </c>
      <c r="R738" s="111">
        <v>0</v>
      </c>
      <c r="S738" s="111">
        <v>0</v>
      </c>
      <c r="T738" s="112" t="s">
        <v>48</v>
      </c>
      <c r="U738" s="147" t="s">
        <v>1902</v>
      </c>
      <c r="V738" s="137" t="s">
        <v>1903</v>
      </c>
      <c r="W738" s="69">
        <v>38</v>
      </c>
      <c r="X738" s="152">
        <v>2</v>
      </c>
      <c r="Y738" s="152">
        <v>5</v>
      </c>
      <c r="Z738" s="69"/>
      <c r="AA738" t="s">
        <v>4556</v>
      </c>
      <c r="AB738" t="s">
        <v>4594</v>
      </c>
      <c r="AC738" t="s">
        <v>223</v>
      </c>
      <c r="AD738" t="s">
        <v>4537</v>
      </c>
      <c r="AE738" t="s">
        <v>223</v>
      </c>
      <c r="AF738" t="s">
        <v>4537</v>
      </c>
      <c r="AG738" t="s">
        <v>4353</v>
      </c>
      <c r="AH738" t="s">
        <v>4506</v>
      </c>
      <c r="AI738" t="s">
        <v>4353</v>
      </c>
      <c r="AJ738" t="s">
        <v>4506</v>
      </c>
      <c r="AK738" t="s">
        <v>4519</v>
      </c>
      <c r="AL738" t="s">
        <v>4519</v>
      </c>
      <c r="AM738" t="s">
        <v>4510</v>
      </c>
      <c r="AN738" t="s">
        <v>4550</v>
      </c>
      <c r="AO738" s="132">
        <v>106.02789699570801</v>
      </c>
      <c r="AP738" s="133">
        <v>118.812095032397</v>
      </c>
      <c r="AQ738" s="65">
        <v>0.31317494600432</v>
      </c>
      <c r="AR738" s="65">
        <v>1.27429805615551</v>
      </c>
      <c r="AS738" s="65">
        <v>8.3369330453563695</v>
      </c>
    </row>
    <row r="739" spans="1:50" s="65" customFormat="1" ht="136">
      <c r="A739" s="65">
        <v>48</v>
      </c>
      <c r="B739" s="136" t="s">
        <v>170</v>
      </c>
      <c r="C739" s="136" t="s">
        <v>45</v>
      </c>
      <c r="D739" s="31">
        <f t="shared" si="62"/>
        <v>4</v>
      </c>
      <c r="E739" s="136" t="s">
        <v>46</v>
      </c>
      <c r="F739" s="31">
        <f t="shared" si="63"/>
        <v>6</v>
      </c>
      <c r="G739" s="136" t="s">
        <v>192</v>
      </c>
      <c r="H739" s="138">
        <v>81</v>
      </c>
      <c r="I739" s="92">
        <f t="shared" si="58"/>
        <v>0.10862414522152369</v>
      </c>
      <c r="J739" s="95">
        <v>5.6405313753060698E-9</v>
      </c>
      <c r="K739" s="137">
        <v>0.47320611373865201</v>
      </c>
      <c r="L739" s="137">
        <v>0.21724828480251601</v>
      </c>
      <c r="M739" s="137">
        <v>0.85714285714285698</v>
      </c>
      <c r="N739" s="136">
        <v>1</v>
      </c>
      <c r="O739" s="194">
        <v>43136</v>
      </c>
      <c r="P739" s="98">
        <f t="shared" si="64"/>
        <v>0</v>
      </c>
      <c r="Q739" s="113">
        <v>2.5499999999999998</v>
      </c>
      <c r="R739" s="113">
        <v>0</v>
      </c>
      <c r="S739" s="113">
        <v>1.87</v>
      </c>
      <c r="T739" s="114" t="s">
        <v>48</v>
      </c>
      <c r="U739" s="136" t="s">
        <v>193</v>
      </c>
      <c r="V739" s="136" t="s">
        <v>194</v>
      </c>
      <c r="W739" s="69">
        <v>106</v>
      </c>
      <c r="X739" s="136">
        <v>2</v>
      </c>
      <c r="Y739" s="136">
        <v>1</v>
      </c>
      <c r="Z739"/>
      <c r="AA739" t="s">
        <v>5000</v>
      </c>
      <c r="AB739" t="s">
        <v>71</v>
      </c>
      <c r="AC739" t="s">
        <v>4513</v>
      </c>
      <c r="AD739" t="s">
        <v>4724</v>
      </c>
      <c r="AE739" t="s">
        <v>223</v>
      </c>
      <c r="AF739" t="s">
        <v>4615</v>
      </c>
      <c r="AG739" t="s">
        <v>4530</v>
      </c>
      <c r="AH739" t="s">
        <v>4719</v>
      </c>
      <c r="AI739" t="s">
        <v>4353</v>
      </c>
      <c r="AJ739" t="s">
        <v>4506</v>
      </c>
      <c r="AK739" t="s">
        <v>4519</v>
      </c>
      <c r="AL739" t="s">
        <v>4519</v>
      </c>
      <c r="AM739" t="s">
        <v>4510</v>
      </c>
      <c r="AN739" t="s">
        <v>4550</v>
      </c>
      <c r="AO739" s="132">
        <v>106.08172043010801</v>
      </c>
      <c r="AP739" s="133">
        <v>118.863636363636</v>
      </c>
      <c r="AQ739" s="65">
        <v>0.31385281385281399</v>
      </c>
      <c r="AR739" s="65">
        <v>1.2748917748917701</v>
      </c>
      <c r="AS739" s="65">
        <v>8.3246753246753205</v>
      </c>
    </row>
    <row r="740" spans="1:50" s="65" customFormat="1" ht="106">
      <c r="A740" s="65">
        <v>1065</v>
      </c>
      <c r="B740" s="69" t="s">
        <v>2833</v>
      </c>
      <c r="C740" s="69" t="s">
        <v>45</v>
      </c>
      <c r="D740" s="31">
        <f t="shared" si="62"/>
        <v>4</v>
      </c>
      <c r="E740" s="69" t="s">
        <v>46</v>
      </c>
      <c r="F740" s="31">
        <f t="shared" si="63"/>
        <v>6</v>
      </c>
      <c r="G740" s="191" t="s">
        <v>2894</v>
      </c>
      <c r="H740" s="138">
        <v>46</v>
      </c>
      <c r="I740" s="92">
        <f t="shared" si="58"/>
        <v>0.31265591228135936</v>
      </c>
      <c r="J740" s="95">
        <v>5.4771138189166901E-3</v>
      </c>
      <c r="K740" s="137">
        <v>0.65761511216056701</v>
      </c>
      <c r="L740" s="137">
        <v>0.61983471074380203</v>
      </c>
      <c r="M740" s="137">
        <v>0.71428571428571397</v>
      </c>
      <c r="N740" s="136">
        <v>0</v>
      </c>
      <c r="O740" s="157">
        <v>43135</v>
      </c>
      <c r="P740" s="98">
        <f t="shared" si="64"/>
        <v>1</v>
      </c>
      <c r="Q740" s="113">
        <v>2.5499999999999998</v>
      </c>
      <c r="R740" s="113">
        <v>0</v>
      </c>
      <c r="S740" s="113">
        <v>0</v>
      </c>
      <c r="T740" s="119" t="s">
        <v>73</v>
      </c>
      <c r="U740" s="91" t="s">
        <v>2895</v>
      </c>
      <c r="V740" s="172" t="s">
        <v>2896</v>
      </c>
      <c r="W740" s="69">
        <v>145</v>
      </c>
      <c r="X740" s="171">
        <v>2</v>
      </c>
      <c r="Y740" s="171">
        <v>4</v>
      </c>
      <c r="Z740" s="69"/>
      <c r="AA740" t="s">
        <v>4543</v>
      </c>
      <c r="AB740" t="s">
        <v>4594</v>
      </c>
      <c r="AC740" t="s">
        <v>4513</v>
      </c>
      <c r="AD740" t="s">
        <v>4922</v>
      </c>
      <c r="AE740" t="s">
        <v>4513</v>
      </c>
      <c r="AF740" t="s">
        <v>4922</v>
      </c>
      <c r="AG740" t="s">
        <v>223</v>
      </c>
      <c r="AH740" t="s">
        <v>4921</v>
      </c>
      <c r="AI740" t="s">
        <v>4353</v>
      </c>
      <c r="AJ740" t="s">
        <v>4506</v>
      </c>
      <c r="AK740" t="s">
        <v>4519</v>
      </c>
      <c r="AL740" t="s">
        <v>4519</v>
      </c>
      <c r="AM740" t="s">
        <v>4562</v>
      </c>
      <c r="AN740" t="s">
        <v>4563</v>
      </c>
      <c r="AO740" s="132">
        <v>106.198275862069</v>
      </c>
      <c r="AP740" s="133">
        <v>118.863636363636</v>
      </c>
      <c r="AQ740" s="65">
        <v>0.31385281385281399</v>
      </c>
      <c r="AR740" s="65">
        <v>1.2748917748917701</v>
      </c>
      <c r="AS740" s="65">
        <v>8.3246753246753205</v>
      </c>
    </row>
    <row r="741" spans="1:50" s="65" customFormat="1" ht="136">
      <c r="A741" s="65">
        <v>909</v>
      </c>
      <c r="B741" s="69" t="s">
        <v>2418</v>
      </c>
      <c r="C741" s="69" t="s">
        <v>45</v>
      </c>
      <c r="D741" s="31">
        <f t="shared" si="62"/>
        <v>4</v>
      </c>
      <c r="E741" s="69" t="s">
        <v>80</v>
      </c>
      <c r="F741" s="31">
        <f t="shared" si="63"/>
        <v>4</v>
      </c>
      <c r="G741" s="137" t="s">
        <v>1459</v>
      </c>
      <c r="H741" s="138">
        <v>52</v>
      </c>
      <c r="I741" s="92">
        <f t="shared" si="58"/>
        <v>0.41252745467045132</v>
      </c>
      <c r="J741" s="95">
        <v>5.4909340902686802E-5</v>
      </c>
      <c r="K741" s="137">
        <v>0.78071428571428603</v>
      </c>
      <c r="L741" s="137">
        <v>0.82499999999999996</v>
      </c>
      <c r="M741" s="137">
        <v>0.71428571428571397</v>
      </c>
      <c r="N741" s="136">
        <v>1</v>
      </c>
      <c r="O741" s="154">
        <v>43135</v>
      </c>
      <c r="P741" s="98">
        <f t="shared" si="64"/>
        <v>2</v>
      </c>
      <c r="Q741" s="111">
        <v>0</v>
      </c>
      <c r="R741" s="111">
        <v>1.65</v>
      </c>
      <c r="S741" s="111">
        <v>0</v>
      </c>
      <c r="T741" s="112" t="s">
        <v>64</v>
      </c>
      <c r="U741" s="137" t="s">
        <v>2482</v>
      </c>
      <c r="V741" s="137" t="s">
        <v>2483</v>
      </c>
      <c r="W741" s="69">
        <v>177</v>
      </c>
      <c r="X741" s="69">
        <v>5</v>
      </c>
      <c r="Y741" s="69">
        <v>4</v>
      </c>
      <c r="Z741" s="69"/>
      <c r="AA741" t="s">
        <v>4522</v>
      </c>
      <c r="AB741" t="s">
        <v>51</v>
      </c>
      <c r="AC741" t="s">
        <v>4353</v>
      </c>
      <c r="AD741" t="s">
        <v>4506</v>
      </c>
      <c r="AE741" t="s">
        <v>4513</v>
      </c>
      <c r="AF741" t="s">
        <v>5001</v>
      </c>
      <c r="AG741" t="s">
        <v>223</v>
      </c>
      <c r="AH741" t="s">
        <v>4571</v>
      </c>
      <c r="AI741" t="s">
        <v>4353</v>
      </c>
      <c r="AJ741" t="s">
        <v>4506</v>
      </c>
      <c r="AK741" t="s">
        <v>4519</v>
      </c>
      <c r="AL741" t="s">
        <v>4519</v>
      </c>
      <c r="AM741" t="s">
        <v>4510</v>
      </c>
      <c r="AN741" t="s">
        <v>4550</v>
      </c>
      <c r="AO741" s="132">
        <v>106.328293736501</v>
      </c>
      <c r="AP741" s="133">
        <v>118.863636363636</v>
      </c>
      <c r="AQ741" s="65">
        <v>0.31385281385281399</v>
      </c>
      <c r="AR741" s="65">
        <v>1.2748917748917701</v>
      </c>
      <c r="AS741" s="65">
        <v>8.3246753246753205</v>
      </c>
    </row>
    <row r="742" spans="1:50" s="65" customFormat="1" ht="46">
      <c r="A742" s="65">
        <v>105</v>
      </c>
      <c r="B742" s="69" t="s">
        <v>217</v>
      </c>
      <c r="C742" s="69" t="s">
        <v>45</v>
      </c>
      <c r="D742" s="31">
        <f t="shared" si="62"/>
        <v>4</v>
      </c>
      <c r="E742" s="69" t="s">
        <v>80</v>
      </c>
      <c r="F742" s="31">
        <f t="shared" si="63"/>
        <v>4</v>
      </c>
      <c r="G742" s="147" t="s">
        <v>180</v>
      </c>
      <c r="H742" s="138">
        <v>53</v>
      </c>
      <c r="I742" s="92">
        <f t="shared" si="58"/>
        <v>0.44094110343499954</v>
      </c>
      <c r="J742" s="95">
        <v>5.6882206869999098E-2</v>
      </c>
      <c r="K742" s="137">
        <v>0.76722468700001201</v>
      </c>
      <c r="L742" s="137">
        <v>0.82499999999999996</v>
      </c>
      <c r="M742" s="137">
        <v>0.68056171750003003</v>
      </c>
      <c r="N742" s="136">
        <v>0</v>
      </c>
      <c r="O742" s="154">
        <v>43125</v>
      </c>
      <c r="P742" s="98">
        <f t="shared" si="64"/>
        <v>0</v>
      </c>
      <c r="Q742" s="111">
        <v>10.199999999999999</v>
      </c>
      <c r="R742" s="111">
        <v>1.65</v>
      </c>
      <c r="S742" s="111">
        <v>0</v>
      </c>
      <c r="T742" s="112" t="s">
        <v>48</v>
      </c>
      <c r="U742" s="137" t="s">
        <v>356</v>
      </c>
      <c r="V742" s="137" t="s">
        <v>357</v>
      </c>
      <c r="W742" s="69">
        <v>54</v>
      </c>
      <c r="X742" s="171">
        <v>1</v>
      </c>
      <c r="Y742" s="171">
        <v>5</v>
      </c>
      <c r="Z742"/>
      <c r="AA742" t="s">
        <v>4543</v>
      </c>
      <c r="AB742" t="s">
        <v>358</v>
      </c>
      <c r="AC742" t="s">
        <v>4353</v>
      </c>
      <c r="AD742" t="s">
        <v>4506</v>
      </c>
      <c r="AE742" t="s">
        <v>4353</v>
      </c>
      <c r="AF742" t="s">
        <v>4506</v>
      </c>
      <c r="AG742" t="s">
        <v>4353</v>
      </c>
      <c r="AH742" t="s">
        <v>4506</v>
      </c>
      <c r="AI742" t="s">
        <v>223</v>
      </c>
      <c r="AJ742" t="s">
        <v>4759</v>
      </c>
      <c r="AK742" t="s">
        <v>4519</v>
      </c>
      <c r="AL742" t="s">
        <v>4519</v>
      </c>
      <c r="AM742" t="s">
        <v>4528</v>
      </c>
      <c r="AN742" t="s">
        <v>4529</v>
      </c>
      <c r="AO742" s="132">
        <v>106.443722943723</v>
      </c>
      <c r="AP742" s="133">
        <v>119.385964912281</v>
      </c>
      <c r="AQ742" s="65">
        <v>0.31359649122806998</v>
      </c>
      <c r="AR742" s="65">
        <v>1.2763157894736801</v>
      </c>
      <c r="AS742" s="65">
        <v>8.29385964912281</v>
      </c>
    </row>
    <row r="743" spans="1:50" s="65" customFormat="1" ht="136">
      <c r="A743">
        <v>910</v>
      </c>
      <c r="B743" s="69" t="s">
        <v>2418</v>
      </c>
      <c r="C743" s="69" t="s">
        <v>119</v>
      </c>
      <c r="D743" s="31">
        <f t="shared" si="62"/>
        <v>1</v>
      </c>
      <c r="E743" s="69" t="s">
        <v>46</v>
      </c>
      <c r="F743" s="31">
        <f t="shared" si="63"/>
        <v>6</v>
      </c>
      <c r="G743" s="137" t="s">
        <v>2484</v>
      </c>
      <c r="H743" s="138">
        <v>41</v>
      </c>
      <c r="I743" s="92">
        <f t="shared" si="58"/>
        <v>0.50885985763452501</v>
      </c>
      <c r="J743" s="95">
        <v>0.33590153345086798</v>
      </c>
      <c r="K743" s="137">
        <v>0.66912006664615598</v>
      </c>
      <c r="L743" s="137">
        <v>0.68181818181818199</v>
      </c>
      <c r="M743" s="137">
        <v>0.65007289388811795</v>
      </c>
      <c r="N743" s="136">
        <v>1</v>
      </c>
      <c r="O743" s="154">
        <v>43124</v>
      </c>
      <c r="P743" s="98">
        <f t="shared" si="64"/>
        <v>1</v>
      </c>
      <c r="Q743" s="111">
        <v>0</v>
      </c>
      <c r="R743" s="111">
        <v>0</v>
      </c>
      <c r="S743" s="111">
        <v>0</v>
      </c>
      <c r="T743" s="112" t="s">
        <v>73</v>
      </c>
      <c r="U743" s="147" t="s">
        <v>2484</v>
      </c>
      <c r="V743" s="137" t="s">
        <v>2485</v>
      </c>
      <c r="W743" s="69">
        <v>53</v>
      </c>
      <c r="X743" s="171">
        <v>1</v>
      </c>
      <c r="Y743" s="171">
        <v>6</v>
      </c>
      <c r="Z743" s="69"/>
      <c r="AA743" t="s">
        <v>4564</v>
      </c>
      <c r="AB743" t="s">
        <v>87</v>
      </c>
      <c r="AC743" t="s">
        <v>223</v>
      </c>
      <c r="AD743" t="s">
        <v>4759</v>
      </c>
      <c r="AE743" t="s">
        <v>4353</v>
      </c>
      <c r="AF743" t="s">
        <v>4506</v>
      </c>
      <c r="AG743" t="s">
        <v>4353</v>
      </c>
      <c r="AH743" t="s">
        <v>4506</v>
      </c>
      <c r="AI743" t="s">
        <v>4353</v>
      </c>
      <c r="AJ743" t="s">
        <v>4506</v>
      </c>
      <c r="AK743" t="s">
        <v>4519</v>
      </c>
      <c r="AL743" t="s">
        <v>4519</v>
      </c>
      <c r="AM743" t="s">
        <v>4562</v>
      </c>
      <c r="AN743" t="s">
        <v>4563</v>
      </c>
      <c r="AO743" s="132">
        <v>106.58568329718</v>
      </c>
      <c r="AP743" s="133">
        <v>119.35384615384601</v>
      </c>
      <c r="AQ743" s="65">
        <v>0.314285714285714</v>
      </c>
      <c r="AR743" s="65">
        <v>1.2769230769230799</v>
      </c>
      <c r="AS743" s="65">
        <v>8.3010989010989</v>
      </c>
    </row>
    <row r="744" spans="1:50" s="65" customFormat="1" ht="76">
      <c r="A744" s="65">
        <v>1077</v>
      </c>
      <c r="B744" s="69" t="s">
        <v>2916</v>
      </c>
      <c r="C744" s="69" t="s">
        <v>45</v>
      </c>
      <c r="D744" s="31">
        <f t="shared" si="62"/>
        <v>4</v>
      </c>
      <c r="E744" s="69" t="s">
        <v>46</v>
      </c>
      <c r="F744" s="31">
        <f t="shared" si="63"/>
        <v>6</v>
      </c>
      <c r="G744" s="139" t="s">
        <v>2926</v>
      </c>
      <c r="H744" s="138">
        <v>77</v>
      </c>
      <c r="I744" s="92">
        <f t="shared" si="58"/>
        <v>0.7866419970905465</v>
      </c>
      <c r="J744" s="95">
        <v>0.891465812362911</v>
      </c>
      <c r="K744" s="137">
        <v>0.64746650196255495</v>
      </c>
      <c r="L744" s="137">
        <v>0.68181818181818199</v>
      </c>
      <c r="M744" s="137">
        <v>0.59593898217911601</v>
      </c>
      <c r="N744" s="136">
        <v>1</v>
      </c>
      <c r="O744" s="157">
        <v>43123</v>
      </c>
      <c r="P744" s="98">
        <f t="shared" si="64"/>
        <v>1</v>
      </c>
      <c r="Q744" s="201">
        <v>2.5499999999999998</v>
      </c>
      <c r="R744" s="201">
        <v>0</v>
      </c>
      <c r="S744" s="201">
        <v>0</v>
      </c>
      <c r="T744" s="202" t="s">
        <v>73</v>
      </c>
      <c r="U744" s="89" t="s">
        <v>2927</v>
      </c>
      <c r="V744" s="172" t="s">
        <v>2928</v>
      </c>
      <c r="W744" s="69">
        <v>94</v>
      </c>
      <c r="X744" s="69">
        <v>2</v>
      </c>
      <c r="Y744" s="69">
        <v>8</v>
      </c>
      <c r="Z744" s="69"/>
      <c r="AA744" t="s">
        <v>4551</v>
      </c>
      <c r="AB744" t="s">
        <v>51</v>
      </c>
      <c r="AC744" t="s">
        <v>4515</v>
      </c>
      <c r="AD744" t="s">
        <v>4607</v>
      </c>
      <c r="AE744" t="s">
        <v>4580</v>
      </c>
      <c r="AF744" t="s">
        <v>4856</v>
      </c>
      <c r="AG744" t="s">
        <v>4353</v>
      </c>
      <c r="AH744" t="s">
        <v>4506</v>
      </c>
      <c r="AI744" t="s">
        <v>4353</v>
      </c>
      <c r="AJ744" t="s">
        <v>4506</v>
      </c>
      <c r="AK744" t="s">
        <v>4519</v>
      </c>
      <c r="AL744" t="s">
        <v>4552</v>
      </c>
      <c r="AM744" t="s">
        <v>4562</v>
      </c>
      <c r="AN744" t="s">
        <v>4742</v>
      </c>
      <c r="AO744" s="132">
        <v>106.517391304348</v>
      </c>
      <c r="AP744" s="133">
        <v>119.394273127753</v>
      </c>
      <c r="AQ744" s="65">
        <v>0.31277533039647598</v>
      </c>
      <c r="AR744" s="65">
        <v>1.2775330396475799</v>
      </c>
      <c r="AS744" s="65">
        <v>8.3083700440528592</v>
      </c>
    </row>
    <row r="745" spans="1:50" s="65" customFormat="1" ht="76">
      <c r="A745" s="65">
        <v>1001</v>
      </c>
      <c r="B745" s="69" t="s">
        <v>2638</v>
      </c>
      <c r="C745" s="69" t="s">
        <v>45</v>
      </c>
      <c r="D745" s="31">
        <f t="shared" si="62"/>
        <v>4</v>
      </c>
      <c r="E745" s="69" t="s">
        <v>46</v>
      </c>
      <c r="F745" s="31">
        <f t="shared" si="63"/>
        <v>6</v>
      </c>
      <c r="G745" s="139" t="s">
        <v>2713</v>
      </c>
      <c r="H745" s="138">
        <v>138</v>
      </c>
      <c r="I745" s="92">
        <f t="shared" si="58"/>
        <v>0.50535052022116056</v>
      </c>
      <c r="J745" s="95">
        <v>0.39086632969851898</v>
      </c>
      <c r="K745" s="137">
        <v>0.61027641931792698</v>
      </c>
      <c r="L745" s="137">
        <v>0.61983471074380203</v>
      </c>
      <c r="M745" s="137">
        <v>0.59593898217911601</v>
      </c>
      <c r="N745" s="136">
        <v>1</v>
      </c>
      <c r="O745" s="157">
        <v>43123</v>
      </c>
      <c r="P745" s="98">
        <f t="shared" si="64"/>
        <v>0</v>
      </c>
      <c r="Q745" s="124">
        <v>0</v>
      </c>
      <c r="R745" s="124">
        <v>0</v>
      </c>
      <c r="S745" s="124">
        <v>0</v>
      </c>
      <c r="T745" s="170" t="s">
        <v>48</v>
      </c>
      <c r="U745" s="207" t="s">
        <v>2714</v>
      </c>
      <c r="V745" s="172" t="s">
        <v>2715</v>
      </c>
      <c r="W745" s="69">
        <v>95</v>
      </c>
      <c r="X745" s="171">
        <v>2</v>
      </c>
      <c r="Y745" s="171">
        <v>8</v>
      </c>
      <c r="Z745" s="69"/>
      <c r="AA745" t="s">
        <v>4522</v>
      </c>
      <c r="AB745" t="s">
        <v>4732</v>
      </c>
      <c r="AC745" t="s">
        <v>223</v>
      </c>
      <c r="AD745" t="s">
        <v>4606</v>
      </c>
      <c r="AE745" t="s">
        <v>223</v>
      </c>
      <c r="AF745" t="s">
        <v>4606</v>
      </c>
      <c r="AG745" t="s">
        <v>223</v>
      </c>
      <c r="AH745" t="s">
        <v>4606</v>
      </c>
      <c r="AI745" t="s">
        <v>4353</v>
      </c>
      <c r="AJ745" t="s">
        <v>4506</v>
      </c>
      <c r="AK745" t="s">
        <v>4519</v>
      </c>
      <c r="AL745" t="s">
        <v>4519</v>
      </c>
      <c r="AM745" t="s">
        <v>4528</v>
      </c>
      <c r="AN745" t="s">
        <v>4529</v>
      </c>
      <c r="AO745" s="132">
        <v>106.581699346405</v>
      </c>
      <c r="AP745" s="133">
        <v>119.472406181015</v>
      </c>
      <c r="AQ745" s="65">
        <v>0.31277533039647598</v>
      </c>
      <c r="AR745" s="65">
        <v>1.2775330396475799</v>
      </c>
      <c r="AS745" s="65">
        <v>8.3083700440528592</v>
      </c>
    </row>
    <row r="746" spans="1:50" s="65" customFormat="1" ht="76">
      <c r="A746">
        <v>783</v>
      </c>
      <c r="B746" s="69" t="s">
        <v>2098</v>
      </c>
      <c r="C746" s="69" t="s">
        <v>45</v>
      </c>
      <c r="D746" s="31">
        <f t="shared" si="62"/>
        <v>4</v>
      </c>
      <c r="E746" s="69" t="s">
        <v>46</v>
      </c>
      <c r="F746" s="31">
        <f t="shared" si="63"/>
        <v>6</v>
      </c>
      <c r="G746" s="152" t="s">
        <v>2138</v>
      </c>
      <c r="H746" s="138">
        <v>48</v>
      </c>
      <c r="I746" s="92">
        <f t="shared" si="58"/>
        <v>0.37500003224313089</v>
      </c>
      <c r="J746" s="95">
        <v>6.4486261774909805E-8</v>
      </c>
      <c r="K746" s="137">
        <v>0.63619100647005999</v>
      </c>
      <c r="L746" s="137">
        <v>0.75</v>
      </c>
      <c r="M746" s="137">
        <v>0.46547751617515098</v>
      </c>
      <c r="N746" s="136">
        <v>1</v>
      </c>
      <c r="O746" s="154">
        <v>43122</v>
      </c>
      <c r="P746" s="98">
        <f t="shared" si="64"/>
        <v>1</v>
      </c>
      <c r="Q746" s="111">
        <v>2.5499999999999998</v>
      </c>
      <c r="R746" s="111">
        <v>0</v>
      </c>
      <c r="S746" s="111">
        <v>0</v>
      </c>
      <c r="T746" s="112" t="s">
        <v>73</v>
      </c>
      <c r="U746" s="136" t="s">
        <v>2139</v>
      </c>
      <c r="V746" s="147" t="s">
        <v>2140</v>
      </c>
      <c r="W746" s="69">
        <v>95</v>
      </c>
      <c r="X746" s="171">
        <v>1</v>
      </c>
      <c r="Y746" s="171">
        <v>14</v>
      </c>
      <c r="Z746" s="69"/>
      <c r="AA746" t="s">
        <v>4564</v>
      </c>
      <c r="AB746" t="s">
        <v>358</v>
      </c>
      <c r="AC746" t="s">
        <v>4353</v>
      </c>
      <c r="AD746" t="s">
        <v>4506</v>
      </c>
      <c r="AE746" t="s">
        <v>223</v>
      </c>
      <c r="AF746" t="s">
        <v>4670</v>
      </c>
      <c r="AG746" t="s">
        <v>223</v>
      </c>
      <c r="AH746" t="s">
        <v>4670</v>
      </c>
      <c r="AI746" t="s">
        <v>4513</v>
      </c>
      <c r="AJ746" t="s">
        <v>4669</v>
      </c>
      <c r="AK746" t="s">
        <v>4519</v>
      </c>
      <c r="AL746" t="s">
        <v>4519</v>
      </c>
      <c r="AM746" t="s">
        <v>4528</v>
      </c>
      <c r="AN746" t="s">
        <v>4529</v>
      </c>
      <c r="AO746" s="132">
        <v>106.7096069869</v>
      </c>
      <c r="AP746" s="133">
        <v>119.472406181015</v>
      </c>
      <c r="AQ746" s="65">
        <v>0.31346578366445899</v>
      </c>
      <c r="AR746" s="65">
        <v>1.2781456953642401</v>
      </c>
      <c r="AS746" s="65">
        <v>8.3178807947019902</v>
      </c>
    </row>
    <row r="747" spans="1:50" s="65" customFormat="1" ht="46">
      <c r="A747">
        <v>911</v>
      </c>
      <c r="B747" s="69" t="s">
        <v>2418</v>
      </c>
      <c r="C747" s="69" t="s">
        <v>45</v>
      </c>
      <c r="D747" s="31">
        <f t="shared" si="62"/>
        <v>4</v>
      </c>
      <c r="E747" s="69" t="s">
        <v>80</v>
      </c>
      <c r="F747" s="31">
        <f t="shared" si="63"/>
        <v>4</v>
      </c>
      <c r="G747" s="137" t="s">
        <v>2486</v>
      </c>
      <c r="H747" s="138">
        <v>59</v>
      </c>
      <c r="I747" s="92">
        <f t="shared" si="58"/>
        <v>0.61078342160820254</v>
      </c>
      <c r="J747" s="95">
        <v>0.47156684321640502</v>
      </c>
      <c r="K747" s="137">
        <v>0.65205133627784295</v>
      </c>
      <c r="L747" s="137">
        <v>0.75</v>
      </c>
      <c r="M747" s="137">
        <v>0.50512834069460699</v>
      </c>
      <c r="N747" s="136">
        <v>1</v>
      </c>
      <c r="O747" s="154">
        <v>43120</v>
      </c>
      <c r="P747" s="98">
        <f t="shared" si="64"/>
        <v>2</v>
      </c>
      <c r="Q747" s="111">
        <v>0</v>
      </c>
      <c r="R747" s="111">
        <v>3.3</v>
      </c>
      <c r="S747" s="111">
        <v>0</v>
      </c>
      <c r="T747" s="112" t="s">
        <v>64</v>
      </c>
      <c r="U747" s="137" t="s">
        <v>2487</v>
      </c>
      <c r="V747" s="137" t="s">
        <v>2488</v>
      </c>
      <c r="W747" s="69">
        <v>45</v>
      </c>
      <c r="X747" s="69">
        <v>1</v>
      </c>
      <c r="Y747" s="69">
        <v>12</v>
      </c>
      <c r="Z747" s="69"/>
      <c r="AA747" t="s">
        <v>4522</v>
      </c>
      <c r="AB747" t="s">
        <v>4576</v>
      </c>
      <c r="AC747" t="s">
        <v>4353</v>
      </c>
      <c r="AD747" t="s">
        <v>4506</v>
      </c>
      <c r="AE747" t="s">
        <v>223</v>
      </c>
      <c r="AF747" t="s">
        <v>4779</v>
      </c>
      <c r="AG747" t="s">
        <v>223</v>
      </c>
      <c r="AH747" t="s">
        <v>4779</v>
      </c>
      <c r="AI747" t="s">
        <v>4353</v>
      </c>
      <c r="AJ747" t="s">
        <v>4506</v>
      </c>
      <c r="AK747" t="s">
        <v>4519</v>
      </c>
      <c r="AL747" t="s">
        <v>4552</v>
      </c>
      <c r="AM747" t="s">
        <v>4510</v>
      </c>
      <c r="AN747" t="s">
        <v>4634</v>
      </c>
      <c r="AO747" s="132">
        <v>106.814004376368</v>
      </c>
      <c r="AP747" s="133">
        <v>119.472406181015</v>
      </c>
      <c r="AQ747" s="65">
        <v>0.31346578366445899</v>
      </c>
      <c r="AR747" s="65">
        <v>1.2781456953642401</v>
      </c>
      <c r="AS747" s="65">
        <v>8.3178807947019902</v>
      </c>
    </row>
    <row r="748" spans="1:50" s="69" customFormat="1" ht="91">
      <c r="A748">
        <v>106</v>
      </c>
      <c r="B748" s="69" t="s">
        <v>217</v>
      </c>
      <c r="C748" s="69" t="s">
        <v>45</v>
      </c>
      <c r="D748" s="31">
        <f t="shared" si="62"/>
        <v>4</v>
      </c>
      <c r="E748" s="69" t="s">
        <v>80</v>
      </c>
      <c r="F748" s="31">
        <f t="shared" si="63"/>
        <v>4</v>
      </c>
      <c r="G748" s="137" t="s">
        <v>359</v>
      </c>
      <c r="H748" s="138">
        <v>91</v>
      </c>
      <c r="I748" s="92">
        <f t="shared" si="58"/>
        <v>0.37909028932250372</v>
      </c>
      <c r="J748" s="95">
        <v>8.1805786450074303E-3</v>
      </c>
      <c r="K748" s="137">
        <v>0.72222468700001197</v>
      </c>
      <c r="L748" s="137">
        <v>0.75</v>
      </c>
      <c r="M748" s="137">
        <v>0.68056171750003003</v>
      </c>
      <c r="N748" s="136">
        <v>0</v>
      </c>
      <c r="O748" s="154">
        <v>43119</v>
      </c>
      <c r="P748" s="98">
        <f t="shared" si="64"/>
        <v>0</v>
      </c>
      <c r="Q748" s="111">
        <v>7.65</v>
      </c>
      <c r="R748" s="111">
        <v>0</v>
      </c>
      <c r="S748" s="111">
        <v>0</v>
      </c>
      <c r="T748" s="112" t="s">
        <v>48</v>
      </c>
      <c r="U748" s="147" t="s">
        <v>360</v>
      </c>
      <c r="V748" s="137" t="s">
        <v>361</v>
      </c>
      <c r="W748" s="69">
        <v>134</v>
      </c>
      <c r="X748" s="171">
        <v>1</v>
      </c>
      <c r="Y748" s="171">
        <v>5</v>
      </c>
      <c r="Z748"/>
      <c r="AA748" t="s">
        <v>4564</v>
      </c>
      <c r="AB748" t="s">
        <v>4827</v>
      </c>
      <c r="AC748" t="s">
        <v>4515</v>
      </c>
      <c r="AD748" t="s">
        <v>4674</v>
      </c>
      <c r="AE748" t="s">
        <v>4515</v>
      </c>
      <c r="AF748" t="s">
        <v>4674</v>
      </c>
      <c r="AG748" t="s">
        <v>223</v>
      </c>
      <c r="AH748" t="s">
        <v>4679</v>
      </c>
      <c r="AI748" t="s">
        <v>4515</v>
      </c>
      <c r="AJ748" t="s">
        <v>4674</v>
      </c>
      <c r="AK748" t="s">
        <v>4519</v>
      </c>
      <c r="AL748" t="s">
        <v>4519</v>
      </c>
      <c r="AM748" t="s">
        <v>4510</v>
      </c>
      <c r="AN748" t="s">
        <v>4550</v>
      </c>
      <c r="AO748" s="134">
        <v>106.848684210526</v>
      </c>
      <c r="AP748" s="135">
        <v>119.472406181015</v>
      </c>
      <c r="AQ748">
        <v>0.31346578366445899</v>
      </c>
      <c r="AR748" s="136">
        <v>1.2781456953642401</v>
      </c>
      <c r="AS748">
        <v>8.3178807947019902</v>
      </c>
      <c r="AU748"/>
      <c r="AV748"/>
      <c r="AW748"/>
      <c r="AX748"/>
    </row>
    <row r="749" spans="1:50" s="69" customFormat="1" ht="76">
      <c r="A749">
        <v>534</v>
      </c>
      <c r="B749" s="69" t="s">
        <v>1222</v>
      </c>
      <c r="C749" s="69" t="s">
        <v>45</v>
      </c>
      <c r="D749" s="31">
        <f t="shared" si="62"/>
        <v>4</v>
      </c>
      <c r="E749" s="69" t="s">
        <v>80</v>
      </c>
      <c r="F749" s="31">
        <f t="shared" si="63"/>
        <v>4</v>
      </c>
      <c r="G749" s="196" t="s">
        <v>159</v>
      </c>
      <c r="H749" s="138">
        <v>62</v>
      </c>
      <c r="I749" s="92">
        <f t="shared" si="58"/>
        <v>0.41285869570826195</v>
      </c>
      <c r="J749" s="95">
        <v>7.1739141652393801E-4</v>
      </c>
      <c r="K749" s="137">
        <v>0.76722468700001201</v>
      </c>
      <c r="L749" s="137">
        <v>0.82499999999999996</v>
      </c>
      <c r="M749" s="137">
        <v>0.68056171750003003</v>
      </c>
      <c r="N749" s="136">
        <v>1</v>
      </c>
      <c r="O749" s="154">
        <v>43118</v>
      </c>
      <c r="P749" s="98">
        <f t="shared" si="64"/>
        <v>0</v>
      </c>
      <c r="Q749" s="113">
        <v>2.5499999999999998</v>
      </c>
      <c r="R749" s="113">
        <v>0</v>
      </c>
      <c r="S749" s="113">
        <v>0</v>
      </c>
      <c r="T749" s="114" t="s">
        <v>48</v>
      </c>
      <c r="U749" s="137" t="s">
        <v>1497</v>
      </c>
      <c r="V749" s="136" t="s">
        <v>1498</v>
      </c>
      <c r="W749" s="69">
        <v>101</v>
      </c>
      <c r="X749" s="195">
        <v>2</v>
      </c>
      <c r="Y749" s="195">
        <v>5</v>
      </c>
      <c r="Z749"/>
      <c r="AA749" t="s">
        <v>4512</v>
      </c>
      <c r="AB749" t="s">
        <v>71</v>
      </c>
      <c r="AC749" t="s">
        <v>223</v>
      </c>
      <c r="AD749" t="s">
        <v>4613</v>
      </c>
      <c r="AE749" t="s">
        <v>4515</v>
      </c>
      <c r="AF749" t="s">
        <v>4614</v>
      </c>
      <c r="AG749" t="s">
        <v>4513</v>
      </c>
      <c r="AH749" t="s">
        <v>4811</v>
      </c>
      <c r="AI749" t="s">
        <v>4353</v>
      </c>
      <c r="AJ749" t="s">
        <v>4506</v>
      </c>
      <c r="AK749" t="s">
        <v>4519</v>
      </c>
      <c r="AL749" t="s">
        <v>4519</v>
      </c>
      <c r="AM749" t="s">
        <v>4510</v>
      </c>
      <c r="AN749" t="s">
        <v>4550</v>
      </c>
      <c r="AO749" s="134">
        <v>107.01758241758201</v>
      </c>
      <c r="AP749" s="135">
        <v>119.60176991150399</v>
      </c>
      <c r="AQ749">
        <v>0.31194690265486702</v>
      </c>
      <c r="AR749" s="136">
        <v>1.2787610619469001</v>
      </c>
      <c r="AS749">
        <v>8.3053097345132691</v>
      </c>
      <c r="AU749"/>
      <c r="AV749"/>
      <c r="AW749"/>
      <c r="AX749"/>
    </row>
    <row r="750" spans="1:50" s="69" customFormat="1" ht="61">
      <c r="A750">
        <v>30</v>
      </c>
      <c r="B750" s="136" t="s">
        <v>115</v>
      </c>
      <c r="C750" s="136" t="s">
        <v>59</v>
      </c>
      <c r="D750" s="31">
        <f t="shared" si="62"/>
        <v>5</v>
      </c>
      <c r="E750" s="136" t="s">
        <v>46</v>
      </c>
      <c r="F750" s="31">
        <f t="shared" si="63"/>
        <v>6</v>
      </c>
      <c r="G750" s="189" t="s">
        <v>138</v>
      </c>
      <c r="H750" s="138">
        <v>30</v>
      </c>
      <c r="I750" s="92">
        <f t="shared" si="58"/>
        <v>0.28177182423481978</v>
      </c>
      <c r="J750" s="95">
        <v>5.7547793456569399E-5</v>
      </c>
      <c r="K750" s="137">
        <v>0.62380594611999596</v>
      </c>
      <c r="L750" s="137">
        <v>0.56348610067618299</v>
      </c>
      <c r="M750" s="137">
        <v>0.71428571428571397</v>
      </c>
      <c r="N750" s="136">
        <v>1</v>
      </c>
      <c r="O750" s="41">
        <v>43118</v>
      </c>
      <c r="P750" s="98">
        <f t="shared" si="64"/>
        <v>1</v>
      </c>
      <c r="Q750" s="113">
        <v>0</v>
      </c>
      <c r="R750" s="113">
        <v>3.3</v>
      </c>
      <c r="S750" s="113">
        <v>0</v>
      </c>
      <c r="T750" s="114" t="s">
        <v>73</v>
      </c>
      <c r="U750" s="136" t="s">
        <v>139</v>
      </c>
      <c r="V750" s="136" t="s">
        <v>140</v>
      </c>
      <c r="W750" s="69">
        <v>84</v>
      </c>
      <c r="X750" s="189">
        <v>1</v>
      </c>
      <c r="Y750" s="189">
        <v>4</v>
      </c>
      <c r="Z750"/>
      <c r="AA750" t="s">
        <v>4573</v>
      </c>
      <c r="AB750" t="s">
        <v>87</v>
      </c>
      <c r="AC750" t="s">
        <v>4513</v>
      </c>
      <c r="AD750" t="s">
        <v>4837</v>
      </c>
      <c r="AE750" t="s">
        <v>4515</v>
      </c>
      <c r="AF750" t="s">
        <v>4729</v>
      </c>
      <c r="AG750" t="s">
        <v>4515</v>
      </c>
      <c r="AH750" t="s">
        <v>4729</v>
      </c>
      <c r="AI750" t="s">
        <v>4353</v>
      </c>
      <c r="AJ750" t="s">
        <v>4506</v>
      </c>
      <c r="AK750" t="s">
        <v>4519</v>
      </c>
      <c r="AL750" t="s">
        <v>4519</v>
      </c>
      <c r="AM750" t="s">
        <v>4562</v>
      </c>
      <c r="AN750" t="s">
        <v>4563</v>
      </c>
      <c r="AO750" s="134">
        <v>107.116740088106</v>
      </c>
      <c r="AP750" s="135">
        <v>119.60176991150399</v>
      </c>
      <c r="AQ750">
        <v>0.31194690265486702</v>
      </c>
      <c r="AR750" s="136">
        <v>1.2787610619469001</v>
      </c>
      <c r="AS750">
        <v>8.3053097345132691</v>
      </c>
      <c r="AU750"/>
      <c r="AV750"/>
      <c r="AW750"/>
      <c r="AX750"/>
    </row>
    <row r="751" spans="1:50" s="69" customFormat="1" ht="106">
      <c r="A751" s="65">
        <v>49</v>
      </c>
      <c r="B751" s="136" t="s">
        <v>170</v>
      </c>
      <c r="C751" s="136" t="s">
        <v>45</v>
      </c>
      <c r="D751" s="31">
        <f t="shared" si="62"/>
        <v>4</v>
      </c>
      <c r="E751" s="136" t="s">
        <v>80</v>
      </c>
      <c r="F751" s="31">
        <f t="shared" si="63"/>
        <v>4</v>
      </c>
      <c r="G751" s="169" t="s">
        <v>195</v>
      </c>
      <c r="H751" s="138">
        <v>69</v>
      </c>
      <c r="I751" s="92">
        <f t="shared" si="58"/>
        <v>0.38901488648864785</v>
      </c>
      <c r="J751" s="95">
        <v>2.8029772977295701E-2</v>
      </c>
      <c r="K751" s="137">
        <v>0.79285714285714304</v>
      </c>
      <c r="L751" s="137">
        <v>0.75</v>
      </c>
      <c r="M751" s="137">
        <v>0.85714285714285698</v>
      </c>
      <c r="N751" s="136">
        <v>1</v>
      </c>
      <c r="O751" s="154">
        <v>43116</v>
      </c>
      <c r="P751" s="98">
        <f t="shared" si="64"/>
        <v>0</v>
      </c>
      <c r="Q751" s="111">
        <v>0</v>
      </c>
      <c r="R751" s="111">
        <v>0</v>
      </c>
      <c r="S751" s="111">
        <v>0</v>
      </c>
      <c r="T751" s="112" t="s">
        <v>48</v>
      </c>
      <c r="U751" s="147" t="s">
        <v>196</v>
      </c>
      <c r="V751" s="136" t="s">
        <v>4350</v>
      </c>
      <c r="W751" s="69">
        <v>140</v>
      </c>
      <c r="X751" s="209">
        <v>1</v>
      </c>
      <c r="Y751" s="209">
        <v>1</v>
      </c>
      <c r="Z751"/>
      <c r="AA751" t="s">
        <v>4556</v>
      </c>
      <c r="AB751" t="s">
        <v>51</v>
      </c>
      <c r="AC751" t="s">
        <v>4515</v>
      </c>
      <c r="AD751" t="s">
        <v>4948</v>
      </c>
      <c r="AE751" t="s">
        <v>4530</v>
      </c>
      <c r="AF751" t="s">
        <v>5002</v>
      </c>
      <c r="AG751" t="s">
        <v>223</v>
      </c>
      <c r="AH751" t="s">
        <v>4800</v>
      </c>
      <c r="AI751" t="s">
        <v>4353</v>
      </c>
      <c r="AJ751" t="s">
        <v>4506</v>
      </c>
      <c r="AK751" t="s">
        <v>4519</v>
      </c>
      <c r="AL751" t="s">
        <v>4552</v>
      </c>
      <c r="AM751" t="s">
        <v>4528</v>
      </c>
      <c r="AN751" t="s">
        <v>4618</v>
      </c>
      <c r="AO751" s="134">
        <v>107.200883002208</v>
      </c>
      <c r="AP751" s="135">
        <v>119.637777777778</v>
      </c>
      <c r="AQ751">
        <v>0.31111111111111101</v>
      </c>
      <c r="AR751" s="136">
        <v>1.28</v>
      </c>
      <c r="AS751">
        <v>8.3355555555555494</v>
      </c>
      <c r="AU751"/>
      <c r="AV751"/>
      <c r="AW751"/>
      <c r="AX751"/>
    </row>
    <row r="752" spans="1:50" s="69" customFormat="1" ht="91">
      <c r="A752">
        <v>31</v>
      </c>
      <c r="B752" s="136" t="s">
        <v>115</v>
      </c>
      <c r="C752" s="136" t="s">
        <v>119</v>
      </c>
      <c r="D752" s="31">
        <f t="shared" si="62"/>
        <v>1</v>
      </c>
      <c r="E752" s="136" t="s">
        <v>46</v>
      </c>
      <c r="F752" s="31">
        <f t="shared" si="63"/>
        <v>6</v>
      </c>
      <c r="G752" s="137" t="s">
        <v>141</v>
      </c>
      <c r="H752" s="138">
        <v>168</v>
      </c>
      <c r="I752" s="92">
        <f t="shared" si="58"/>
        <v>0.31007815878809969</v>
      </c>
      <c r="J752" s="95">
        <v>3.2160683239834702E-4</v>
      </c>
      <c r="K752" s="137">
        <v>0.69108862288210404</v>
      </c>
      <c r="L752" s="137">
        <v>0.61983471074380103</v>
      </c>
      <c r="M752" s="137">
        <v>0.79796949108955795</v>
      </c>
      <c r="N752" s="136">
        <v>1</v>
      </c>
      <c r="O752" s="41">
        <v>43114</v>
      </c>
      <c r="P752" s="98">
        <f t="shared" si="64"/>
        <v>1</v>
      </c>
      <c r="Q752" s="111">
        <v>0</v>
      </c>
      <c r="R752" s="111">
        <v>8.25</v>
      </c>
      <c r="S752" s="111">
        <v>0</v>
      </c>
      <c r="T752" s="112" t="s">
        <v>73</v>
      </c>
      <c r="U752" s="137" t="s">
        <v>142</v>
      </c>
      <c r="V752" s="137" t="s">
        <v>143</v>
      </c>
      <c r="W752" s="69">
        <v>83</v>
      </c>
      <c r="X752" s="136">
        <v>2</v>
      </c>
      <c r="Y752" s="136">
        <v>2</v>
      </c>
      <c r="Z752"/>
      <c r="AA752" t="s">
        <v>4757</v>
      </c>
      <c r="AB752" t="s">
        <v>4594</v>
      </c>
      <c r="AC752" t="s">
        <v>4515</v>
      </c>
      <c r="AD752" t="s">
        <v>4798</v>
      </c>
      <c r="AE752" t="s">
        <v>4515</v>
      </c>
      <c r="AF752" t="s">
        <v>4798</v>
      </c>
      <c r="AG752" t="s">
        <v>223</v>
      </c>
      <c r="AH752" t="s">
        <v>4670</v>
      </c>
      <c r="AI752" t="s">
        <v>4353</v>
      </c>
      <c r="AJ752" t="s">
        <v>4506</v>
      </c>
      <c r="AK752" t="s">
        <v>4518</v>
      </c>
      <c r="AL752" t="s">
        <v>4519</v>
      </c>
      <c r="AM752" t="s">
        <v>4528</v>
      </c>
      <c r="AN752" t="s">
        <v>4624</v>
      </c>
      <c r="AO752" s="134">
        <v>107.066371681416</v>
      </c>
      <c r="AP752" s="135">
        <v>119.84855233853</v>
      </c>
      <c r="AQ752">
        <v>0.30957683741648101</v>
      </c>
      <c r="AR752" s="136">
        <v>1.2806236080178199</v>
      </c>
      <c r="AS752">
        <v>8.3340757238307308</v>
      </c>
      <c r="AU752"/>
      <c r="AV752"/>
      <c r="AW752"/>
      <c r="AX752"/>
    </row>
    <row r="753" spans="1:50" s="69" customFormat="1" ht="31">
      <c r="A753" s="65">
        <v>1096</v>
      </c>
      <c r="B753" s="69" t="s">
        <v>2948</v>
      </c>
      <c r="C753" s="69" t="s">
        <v>45</v>
      </c>
      <c r="D753" s="31">
        <f t="shared" si="62"/>
        <v>4</v>
      </c>
      <c r="E753" s="69" t="s">
        <v>80</v>
      </c>
      <c r="F753" s="31">
        <f t="shared" si="63"/>
        <v>4</v>
      </c>
      <c r="G753" s="139" t="s">
        <v>2979</v>
      </c>
      <c r="H753" s="138">
        <v>56</v>
      </c>
      <c r="I753" s="92">
        <f t="shared" si="58"/>
        <v>0.45730916614230421</v>
      </c>
      <c r="J753" s="95">
        <v>7.1183322846084503E-3</v>
      </c>
      <c r="K753" s="137">
        <v>0.77307142857142896</v>
      </c>
      <c r="L753" s="137">
        <v>0.90749999999999997</v>
      </c>
      <c r="M753" s="137">
        <v>0.57142857142857095</v>
      </c>
      <c r="N753" s="136">
        <v>1</v>
      </c>
      <c r="O753" s="157">
        <v>43106</v>
      </c>
      <c r="P753" s="98">
        <f t="shared" si="64"/>
        <v>0</v>
      </c>
      <c r="Q753" s="113">
        <v>0</v>
      </c>
      <c r="R753" s="113">
        <v>1.65</v>
      </c>
      <c r="S753" s="113">
        <v>0</v>
      </c>
      <c r="T753" s="114" t="s">
        <v>48</v>
      </c>
      <c r="U753" s="89" t="s">
        <v>2980</v>
      </c>
      <c r="V753" s="172" t="s">
        <v>2981</v>
      </c>
      <c r="W753" s="69">
        <v>25</v>
      </c>
      <c r="X753" s="69">
        <v>2</v>
      </c>
      <c r="Y753" s="69">
        <v>9</v>
      </c>
      <c r="AA753" t="s">
        <v>4543</v>
      </c>
      <c r="AB753" t="s">
        <v>87</v>
      </c>
      <c r="AC753" t="s">
        <v>4515</v>
      </c>
      <c r="AD753" t="s">
        <v>5003</v>
      </c>
      <c r="AE753" t="s">
        <v>4353</v>
      </c>
      <c r="AF753" t="s">
        <v>4506</v>
      </c>
      <c r="AG753" t="s">
        <v>4353</v>
      </c>
      <c r="AH753" t="s">
        <v>4506</v>
      </c>
      <c r="AI753" t="s">
        <v>4353</v>
      </c>
      <c r="AJ753" t="s">
        <v>4506</v>
      </c>
      <c r="AK753" t="s">
        <v>4578</v>
      </c>
      <c r="AL753" t="s">
        <v>4519</v>
      </c>
      <c r="AM753" t="s">
        <v>4510</v>
      </c>
      <c r="AN753" t="s">
        <v>4579</v>
      </c>
      <c r="AO753" s="134">
        <v>107.179600886918</v>
      </c>
      <c r="AP753" s="135">
        <v>120.19047619047601</v>
      </c>
      <c r="AQ753">
        <v>0.312925170068027</v>
      </c>
      <c r="AR753" s="136">
        <v>1.28571428571429</v>
      </c>
      <c r="AS753">
        <v>8.3492063492063497</v>
      </c>
      <c r="AU753"/>
      <c r="AV753"/>
      <c r="AW753"/>
      <c r="AX753"/>
    </row>
    <row r="754" spans="1:50" s="65" customFormat="1" ht="91">
      <c r="A754">
        <v>535</v>
      </c>
      <c r="B754" s="69" t="s">
        <v>1222</v>
      </c>
      <c r="C754" s="69" t="s">
        <v>45</v>
      </c>
      <c r="D754" s="31">
        <f t="shared" si="62"/>
        <v>4</v>
      </c>
      <c r="E754" s="69" t="s">
        <v>46</v>
      </c>
      <c r="F754" s="31">
        <f t="shared" si="63"/>
        <v>6</v>
      </c>
      <c r="G754" s="137" t="s">
        <v>1499</v>
      </c>
      <c r="H754" s="138">
        <v>150</v>
      </c>
      <c r="I754" s="92">
        <f t="shared" si="58"/>
        <v>0.83994765706605901</v>
      </c>
      <c r="J754" s="95">
        <v>0.99807713231393602</v>
      </c>
      <c r="K754" s="137">
        <v>0.69480519480519498</v>
      </c>
      <c r="L754" s="137">
        <v>0.68181818181818199</v>
      </c>
      <c r="M754" s="137">
        <v>0.71428571428571397</v>
      </c>
      <c r="N754" s="136">
        <v>1</v>
      </c>
      <c r="O754" s="154">
        <v>43104</v>
      </c>
      <c r="P754" s="98">
        <f t="shared" si="64"/>
        <v>1</v>
      </c>
      <c r="Q754" s="111">
        <v>5.0999999999999996</v>
      </c>
      <c r="R754" s="111">
        <v>1.65</v>
      </c>
      <c r="S754" s="111">
        <v>0</v>
      </c>
      <c r="T754" s="112" t="s">
        <v>73</v>
      </c>
      <c r="U754" s="137" t="s">
        <v>1500</v>
      </c>
      <c r="V754" s="137" t="s">
        <v>1501</v>
      </c>
      <c r="W754" s="69">
        <v>58</v>
      </c>
      <c r="X754" s="69">
        <v>1</v>
      </c>
      <c r="Y754" s="69">
        <v>4</v>
      </c>
      <c r="Z754"/>
      <c r="AA754" t="s">
        <v>4543</v>
      </c>
      <c r="AB754" t="s">
        <v>4594</v>
      </c>
      <c r="AC754" t="s">
        <v>4515</v>
      </c>
      <c r="AD754" t="s">
        <v>4544</v>
      </c>
      <c r="AE754" t="s">
        <v>4515</v>
      </c>
      <c r="AF754" t="s">
        <v>4544</v>
      </c>
      <c r="AG754" t="s">
        <v>4353</v>
      </c>
      <c r="AH754" t="s">
        <v>4506</v>
      </c>
      <c r="AI754" t="s">
        <v>4353</v>
      </c>
      <c r="AJ754" t="s">
        <v>4506</v>
      </c>
      <c r="AK754" t="s">
        <v>4519</v>
      </c>
      <c r="AL754" t="s">
        <v>4519</v>
      </c>
      <c r="AM754" t="s">
        <v>4562</v>
      </c>
      <c r="AN754" t="s">
        <v>4563</v>
      </c>
      <c r="AO754" s="132">
        <v>107.084444444444</v>
      </c>
      <c r="AP754" s="133">
        <v>120.470319634703</v>
      </c>
      <c r="AQ754" s="65">
        <v>0.31050228310502298</v>
      </c>
      <c r="AR754" s="65">
        <v>1.2853881278538799</v>
      </c>
      <c r="AS754" s="65">
        <v>8.3333333333333304</v>
      </c>
    </row>
    <row r="755" spans="1:50" s="65" customFormat="1" ht="166">
      <c r="A755" s="65">
        <v>536</v>
      </c>
      <c r="B755" s="69" t="s">
        <v>1222</v>
      </c>
      <c r="C755" s="69" t="s">
        <v>45</v>
      </c>
      <c r="D755" s="31">
        <f t="shared" si="62"/>
        <v>4</v>
      </c>
      <c r="E755" s="69" t="s">
        <v>46</v>
      </c>
      <c r="F755" s="31">
        <f t="shared" si="63"/>
        <v>6</v>
      </c>
      <c r="G755" s="137" t="s">
        <v>1502</v>
      </c>
      <c r="H755" s="138">
        <v>311</v>
      </c>
      <c r="I755" s="92">
        <f t="shared" si="58"/>
        <v>0.63047377846248998</v>
      </c>
      <c r="J755" s="95">
        <v>0.99807713231393602</v>
      </c>
      <c r="K755" s="137">
        <v>0.44343654048091202</v>
      </c>
      <c r="L755" s="137">
        <v>0.26287042461104398</v>
      </c>
      <c r="M755" s="137">
        <v>0.71428571428571397</v>
      </c>
      <c r="N755" s="136">
        <v>1</v>
      </c>
      <c r="O755" s="154">
        <v>43104</v>
      </c>
      <c r="P755" s="98">
        <f t="shared" si="64"/>
        <v>0</v>
      </c>
      <c r="Q755" s="111">
        <v>7.65</v>
      </c>
      <c r="R755" s="111">
        <v>3.3</v>
      </c>
      <c r="S755" s="111">
        <v>0</v>
      </c>
      <c r="T755" s="112" t="s">
        <v>48</v>
      </c>
      <c r="U755" s="137" t="s">
        <v>4397</v>
      </c>
      <c r="V755" s="137" t="s">
        <v>1504</v>
      </c>
      <c r="W755" s="69">
        <v>72</v>
      </c>
      <c r="X755" s="171">
        <v>1</v>
      </c>
      <c r="Y755" s="171">
        <v>4</v>
      </c>
      <c r="Z755"/>
      <c r="AA755" t="s">
        <v>5004</v>
      </c>
      <c r="AB755" t="s">
        <v>51</v>
      </c>
      <c r="AC755" t="s">
        <v>223</v>
      </c>
      <c r="AD755" t="s">
        <v>4635</v>
      </c>
      <c r="AE755" t="s">
        <v>4515</v>
      </c>
      <c r="AF755" t="s">
        <v>4813</v>
      </c>
      <c r="AG755" t="s">
        <v>4353</v>
      </c>
      <c r="AH755" t="s">
        <v>4506</v>
      </c>
      <c r="AI755" t="s">
        <v>223</v>
      </c>
      <c r="AJ755" t="s">
        <v>4635</v>
      </c>
      <c r="AK755" t="s">
        <v>4519</v>
      </c>
      <c r="AL755" t="s">
        <v>4519</v>
      </c>
      <c r="AM755" t="s">
        <v>4510</v>
      </c>
      <c r="AN755" t="s">
        <v>4550</v>
      </c>
      <c r="AO755" s="132">
        <v>106.630289532294</v>
      </c>
      <c r="AP755" s="133">
        <v>120.470319634703</v>
      </c>
      <c r="AQ755" s="65">
        <v>0.31050228310502298</v>
      </c>
      <c r="AR755" s="65">
        <v>1.2853881278538799</v>
      </c>
      <c r="AS755" s="65">
        <v>8.3333333333333304</v>
      </c>
    </row>
    <row r="756" spans="1:50" s="69" customFormat="1" ht="91">
      <c r="A756" s="65">
        <v>784</v>
      </c>
      <c r="B756" s="69" t="s">
        <v>2098</v>
      </c>
      <c r="C756" s="69" t="s">
        <v>59</v>
      </c>
      <c r="D756" s="31">
        <f t="shared" si="62"/>
        <v>5</v>
      </c>
      <c r="E756" s="69" t="s">
        <v>46</v>
      </c>
      <c r="F756" s="31">
        <f t="shared" si="63"/>
        <v>6</v>
      </c>
      <c r="G756" s="137" t="s">
        <v>1499</v>
      </c>
      <c r="H756" s="138">
        <v>150</v>
      </c>
      <c r="I756" s="92">
        <f t="shared" si="58"/>
        <v>0.75554610043161907</v>
      </c>
      <c r="J756" s="95">
        <v>0.82927401904505604</v>
      </c>
      <c r="K756" s="137">
        <v>0.69480519480519498</v>
      </c>
      <c r="L756" s="137">
        <v>0.68181818181818199</v>
      </c>
      <c r="M756" s="137">
        <v>0.71428571428571397</v>
      </c>
      <c r="N756" s="136">
        <v>1</v>
      </c>
      <c r="O756" s="154">
        <v>43104</v>
      </c>
      <c r="P756" s="98">
        <f t="shared" si="64"/>
        <v>1</v>
      </c>
      <c r="Q756" s="111">
        <v>0</v>
      </c>
      <c r="R756" s="111">
        <v>0</v>
      </c>
      <c r="S756" s="111">
        <v>0</v>
      </c>
      <c r="T756" s="112" t="s">
        <v>73</v>
      </c>
      <c r="U756" s="137" t="s">
        <v>1500</v>
      </c>
      <c r="V756" s="137" t="s">
        <v>1501</v>
      </c>
      <c r="W756" s="69">
        <v>58</v>
      </c>
      <c r="X756" s="69">
        <v>1</v>
      </c>
      <c r="Y756" s="69">
        <v>4</v>
      </c>
      <c r="AA756" t="s">
        <v>4543</v>
      </c>
      <c r="AB756" t="s">
        <v>4594</v>
      </c>
      <c r="AC756" t="s">
        <v>4515</v>
      </c>
      <c r="AD756" t="s">
        <v>4544</v>
      </c>
      <c r="AE756" t="s">
        <v>4515</v>
      </c>
      <c r="AF756" t="s">
        <v>4544</v>
      </c>
      <c r="AG756" t="s">
        <v>4353</v>
      </c>
      <c r="AH756" t="s">
        <v>4506</v>
      </c>
      <c r="AI756" t="s">
        <v>4353</v>
      </c>
      <c r="AJ756" t="s">
        <v>4506</v>
      </c>
      <c r="AK756" t="s">
        <v>4519</v>
      </c>
      <c r="AL756" t="s">
        <v>4519</v>
      </c>
      <c r="AM756" t="s">
        <v>4562</v>
      </c>
      <c r="AN756" t="s">
        <v>4563</v>
      </c>
      <c r="AO756" s="134">
        <v>106.533482142857</v>
      </c>
      <c r="AP756" s="135">
        <v>120.470319634703</v>
      </c>
      <c r="AQ756">
        <v>0.31050228310502298</v>
      </c>
      <c r="AR756" s="136">
        <v>1.2853881278538799</v>
      </c>
      <c r="AS756">
        <v>8.3333333333333304</v>
      </c>
      <c r="AU756"/>
      <c r="AV756"/>
      <c r="AW756"/>
      <c r="AX756"/>
    </row>
    <row r="757" spans="1:50" s="69" customFormat="1" ht="75">
      <c r="A757">
        <v>1002</v>
      </c>
      <c r="B757" s="69" t="s">
        <v>2638</v>
      </c>
      <c r="C757" s="69" t="s">
        <v>45</v>
      </c>
      <c r="D757" s="31">
        <f t="shared" si="62"/>
        <v>4</v>
      </c>
      <c r="E757" s="69" t="s">
        <v>80</v>
      </c>
      <c r="F757" s="31">
        <f t="shared" si="63"/>
        <v>4</v>
      </c>
      <c r="G757" s="91" t="s">
        <v>2716</v>
      </c>
      <c r="H757" s="138">
        <v>126</v>
      </c>
      <c r="I757" s="92">
        <f t="shared" si="58"/>
        <v>0.67634964537563858</v>
      </c>
      <c r="J757" s="95">
        <v>0.73286458000747601</v>
      </c>
      <c r="K757" s="137">
        <v>0.55809183291634101</v>
      </c>
      <c r="L757" s="137">
        <v>0.61983471074380103</v>
      </c>
      <c r="M757" s="137">
        <v>0.46547751617515098</v>
      </c>
      <c r="N757" s="136">
        <v>1</v>
      </c>
      <c r="O757" s="157">
        <v>43104</v>
      </c>
      <c r="P757" s="98">
        <f t="shared" si="64"/>
        <v>0</v>
      </c>
      <c r="Q757" s="124">
        <v>5.0999999999999996</v>
      </c>
      <c r="R757" s="124">
        <v>0</v>
      </c>
      <c r="S757" s="124">
        <v>0</v>
      </c>
      <c r="T757" s="170" t="s">
        <v>48</v>
      </c>
      <c r="U757" s="89" t="s">
        <v>2717</v>
      </c>
      <c r="V757" s="172" t="s">
        <v>2718</v>
      </c>
      <c r="W757" s="69">
        <v>61</v>
      </c>
      <c r="X757" s="171">
        <v>2</v>
      </c>
      <c r="Y757" s="171">
        <v>14</v>
      </c>
      <c r="AA757" t="s">
        <v>4697</v>
      </c>
      <c r="AB757" t="s">
        <v>51</v>
      </c>
      <c r="AC757" t="s">
        <v>223</v>
      </c>
      <c r="AD757" t="s">
        <v>4684</v>
      </c>
      <c r="AE757" t="s">
        <v>4513</v>
      </c>
      <c r="AF757" t="s">
        <v>4723</v>
      </c>
      <c r="AG757" t="s">
        <v>4353</v>
      </c>
      <c r="AH757" t="s">
        <v>4506</v>
      </c>
      <c r="AI757" t="s">
        <v>4353</v>
      </c>
      <c r="AJ757" t="s">
        <v>4506</v>
      </c>
      <c r="AK757" t="s">
        <v>4519</v>
      </c>
      <c r="AL757" t="s">
        <v>4519</v>
      </c>
      <c r="AM757" t="s">
        <v>4528</v>
      </c>
      <c r="AN757" t="s">
        <v>4529</v>
      </c>
      <c r="AO757" s="134">
        <v>106.489932885906</v>
      </c>
      <c r="AP757" s="135">
        <v>120.470319634703</v>
      </c>
      <c r="AQ757">
        <v>0.31050228310502298</v>
      </c>
      <c r="AR757" s="136">
        <v>1.2853881278538799</v>
      </c>
      <c r="AS757">
        <v>8.3333333333333304</v>
      </c>
      <c r="AU757"/>
      <c r="AV757"/>
      <c r="AW757"/>
      <c r="AX757"/>
    </row>
    <row r="758" spans="1:50" s="69" customFormat="1" ht="91">
      <c r="A758">
        <v>1066</v>
      </c>
      <c r="B758" s="69" t="s">
        <v>2833</v>
      </c>
      <c r="C758" s="69" t="s">
        <v>45</v>
      </c>
      <c r="D758" s="31">
        <f t="shared" si="62"/>
        <v>4</v>
      </c>
      <c r="E758" s="69" t="s">
        <v>46</v>
      </c>
      <c r="F758" s="31">
        <f t="shared" si="63"/>
        <v>6</v>
      </c>
      <c r="G758" s="89" t="s">
        <v>2897</v>
      </c>
      <c r="H758" s="138">
        <v>87</v>
      </c>
      <c r="I758" s="92">
        <f t="shared" si="58"/>
        <v>0.2820956273641077</v>
      </c>
      <c r="J758" s="95">
        <v>7.0515405203241998E-4</v>
      </c>
      <c r="K758" s="137">
        <v>0.45237737469142397</v>
      </c>
      <c r="L758" s="137">
        <v>0.56348610067618299</v>
      </c>
      <c r="M758" s="137">
        <v>0.28571428571428598</v>
      </c>
      <c r="N758" s="136">
        <v>0</v>
      </c>
      <c r="O758" s="157">
        <v>43104</v>
      </c>
      <c r="P758" s="98">
        <f t="shared" si="64"/>
        <v>1</v>
      </c>
      <c r="Q758" s="113">
        <v>0</v>
      </c>
      <c r="R758" s="113">
        <v>4.95</v>
      </c>
      <c r="S758" s="113">
        <v>0</v>
      </c>
      <c r="T758" s="119" t="s">
        <v>73</v>
      </c>
      <c r="U758" s="136" t="s">
        <v>2898</v>
      </c>
      <c r="V758" s="172" t="s">
        <v>2899</v>
      </c>
      <c r="W758" s="69">
        <v>134</v>
      </c>
      <c r="X758" s="171">
        <v>2</v>
      </c>
      <c r="Y758" s="171">
        <v>25</v>
      </c>
      <c r="AA758" t="s">
        <v>4564</v>
      </c>
      <c r="AB758" t="s">
        <v>51</v>
      </c>
      <c r="AC758" t="s">
        <v>4515</v>
      </c>
      <c r="AD758" t="s">
        <v>4584</v>
      </c>
      <c r="AE758" t="s">
        <v>4513</v>
      </c>
      <c r="AF758" t="s">
        <v>4755</v>
      </c>
      <c r="AG758" t="s">
        <v>223</v>
      </c>
      <c r="AH758" t="s">
        <v>4583</v>
      </c>
      <c r="AI758" t="s">
        <v>4353</v>
      </c>
      <c r="AJ758" t="s">
        <v>4506</v>
      </c>
      <c r="AK758" t="s">
        <v>4519</v>
      </c>
      <c r="AL758" t="s">
        <v>4519</v>
      </c>
      <c r="AM758" t="s">
        <v>4528</v>
      </c>
      <c r="AN758" t="s">
        <v>4529</v>
      </c>
      <c r="AO758" s="134">
        <v>106.533632286996</v>
      </c>
      <c r="AP758" s="135">
        <v>120.470319634703</v>
      </c>
      <c r="AQ758">
        <v>0.31050228310502298</v>
      </c>
      <c r="AR758" s="136">
        <v>1.2853881278538799</v>
      </c>
      <c r="AS758">
        <v>8.3333333333333304</v>
      </c>
      <c r="AU758"/>
      <c r="AV758"/>
      <c r="AW758"/>
      <c r="AX758"/>
    </row>
    <row r="759" spans="1:50" s="69" customFormat="1" ht="106">
      <c r="A759" s="65">
        <v>32</v>
      </c>
      <c r="B759" s="136" t="s">
        <v>115</v>
      </c>
      <c r="C759" s="136" t="s">
        <v>45</v>
      </c>
      <c r="D759" s="31">
        <f t="shared" si="62"/>
        <v>4</v>
      </c>
      <c r="E759" s="136" t="s">
        <v>46</v>
      </c>
      <c r="F759" s="31">
        <f t="shared" si="63"/>
        <v>6</v>
      </c>
      <c r="G759" s="137" t="s">
        <v>144</v>
      </c>
      <c r="H759" s="138">
        <v>152</v>
      </c>
      <c r="I759" s="92">
        <f t="shared" si="58"/>
        <v>0.27313532833858406</v>
      </c>
      <c r="J759" s="95">
        <v>3.4010565153365098E-2</v>
      </c>
      <c r="K759" s="137">
        <v>0.57958074191429398</v>
      </c>
      <c r="L759" s="137">
        <v>0.51226009152380303</v>
      </c>
      <c r="M759" s="137">
        <v>0.68056171750003003</v>
      </c>
      <c r="N759" s="136">
        <v>1</v>
      </c>
      <c r="O759" s="41">
        <v>43103</v>
      </c>
      <c r="P759" s="98">
        <f t="shared" si="64"/>
        <v>1</v>
      </c>
      <c r="Q759" s="113">
        <v>2.5499999999999998</v>
      </c>
      <c r="R759" s="113">
        <v>6.6</v>
      </c>
      <c r="S759" s="113">
        <v>1.87</v>
      </c>
      <c r="T759" s="114" t="s">
        <v>73</v>
      </c>
      <c r="U759" s="136" t="s">
        <v>145</v>
      </c>
      <c r="V759" s="136" t="s">
        <v>146</v>
      </c>
      <c r="W759" s="69">
        <v>139</v>
      </c>
      <c r="X759" s="136">
        <v>1</v>
      </c>
      <c r="Y759" s="136">
        <v>5</v>
      </c>
      <c r="Z759"/>
      <c r="AA759" t="s">
        <v>4830</v>
      </c>
      <c r="AB759" t="s">
        <v>87</v>
      </c>
      <c r="AC759" t="s">
        <v>4530</v>
      </c>
      <c r="AD759" t="s">
        <v>4517</v>
      </c>
      <c r="AE759" t="s">
        <v>223</v>
      </c>
      <c r="AF759" t="s">
        <v>4583</v>
      </c>
      <c r="AG759" t="s">
        <v>4515</v>
      </c>
      <c r="AH759" t="s">
        <v>4584</v>
      </c>
      <c r="AI759" t="s">
        <v>4353</v>
      </c>
      <c r="AJ759" t="s">
        <v>4506</v>
      </c>
      <c r="AK759" t="s">
        <v>4519</v>
      </c>
      <c r="AL759" t="s">
        <v>4552</v>
      </c>
      <c r="AM759" t="s">
        <v>4592</v>
      </c>
      <c r="AN759" t="s">
        <v>4650</v>
      </c>
      <c r="AO759" s="134">
        <v>106.43146067415699</v>
      </c>
      <c r="AP759" s="135">
        <v>120.52173913043499</v>
      </c>
      <c r="AQ759">
        <v>0.31121281464530898</v>
      </c>
      <c r="AR759" s="136">
        <v>1.28604118993135</v>
      </c>
      <c r="AS759">
        <v>8.3432494279176197</v>
      </c>
      <c r="AU759"/>
      <c r="AV759"/>
      <c r="AW759"/>
      <c r="AX759"/>
    </row>
    <row r="760" spans="1:50" s="69" customFormat="1" ht="121">
      <c r="A760" s="65">
        <v>1125</v>
      </c>
      <c r="B760" s="69" t="s">
        <v>3030</v>
      </c>
      <c r="C760" s="69" t="s">
        <v>45</v>
      </c>
      <c r="D760" s="31">
        <f t="shared" si="62"/>
        <v>4</v>
      </c>
      <c r="E760" s="69" t="s">
        <v>46</v>
      </c>
      <c r="F760" s="31">
        <f t="shared" si="63"/>
        <v>6</v>
      </c>
      <c r="G760" s="191" t="s">
        <v>3058</v>
      </c>
      <c r="H760" s="138">
        <v>108</v>
      </c>
      <c r="I760" s="92">
        <f t="shared" si="58"/>
        <v>0.41320947266694058</v>
      </c>
      <c r="J760" s="95">
        <v>1.41894533388121E-3</v>
      </c>
      <c r="K760" s="137">
        <v>0.76722468700001201</v>
      </c>
      <c r="L760" s="137">
        <v>0.82499999999999996</v>
      </c>
      <c r="M760" s="137">
        <v>0.68056171750003003</v>
      </c>
      <c r="N760" s="136">
        <v>1</v>
      </c>
      <c r="O760" s="157">
        <v>43103</v>
      </c>
      <c r="P760" s="98">
        <f t="shared" si="64"/>
        <v>0</v>
      </c>
      <c r="Q760" s="113">
        <v>0</v>
      </c>
      <c r="R760" s="113">
        <v>0</v>
      </c>
      <c r="S760" s="113">
        <v>0</v>
      </c>
      <c r="T760" s="119" t="s">
        <v>48</v>
      </c>
      <c r="U760" s="89" t="s">
        <v>3059</v>
      </c>
      <c r="V760" s="172" t="s">
        <v>3060</v>
      </c>
      <c r="W760" s="69">
        <v>169</v>
      </c>
      <c r="X760" s="171">
        <v>1</v>
      </c>
      <c r="Y760" s="171">
        <v>5</v>
      </c>
      <c r="AA760" t="s">
        <v>4524</v>
      </c>
      <c r="AB760" t="s">
        <v>87</v>
      </c>
      <c r="AC760" t="s">
        <v>4580</v>
      </c>
      <c r="AD760" t="s">
        <v>4979</v>
      </c>
      <c r="AE760" t="s">
        <v>4515</v>
      </c>
      <c r="AF760" t="s">
        <v>4714</v>
      </c>
      <c r="AG760" t="s">
        <v>4353</v>
      </c>
      <c r="AH760" t="s">
        <v>4506</v>
      </c>
      <c r="AI760" t="s">
        <v>4353</v>
      </c>
      <c r="AJ760" t="s">
        <v>4506</v>
      </c>
      <c r="AK760" t="s">
        <v>4519</v>
      </c>
      <c r="AL760" t="s">
        <v>4519</v>
      </c>
      <c r="AM760" t="s">
        <v>4510</v>
      </c>
      <c r="AN760" t="s">
        <v>4550</v>
      </c>
      <c r="AO760" s="134">
        <v>106.427927927928</v>
      </c>
      <c r="AP760" s="135">
        <v>120.52173913043499</v>
      </c>
      <c r="AQ760">
        <v>0.31121281464530898</v>
      </c>
      <c r="AR760" s="136">
        <v>1.28604118993135</v>
      </c>
      <c r="AS760">
        <v>8.3432494279176197</v>
      </c>
      <c r="AU760"/>
      <c r="AV760"/>
      <c r="AW760"/>
      <c r="AX760"/>
    </row>
    <row r="761" spans="1:50" s="69" customFormat="1" ht="106">
      <c r="A761" s="65">
        <v>33</v>
      </c>
      <c r="B761" s="136" t="s">
        <v>115</v>
      </c>
      <c r="C761" s="136" t="s">
        <v>59</v>
      </c>
      <c r="D761" s="31">
        <f t="shared" si="62"/>
        <v>5</v>
      </c>
      <c r="E761" s="136" t="s">
        <v>46</v>
      </c>
      <c r="F761" s="31">
        <f t="shared" si="63"/>
        <v>6</v>
      </c>
      <c r="G761" s="188" t="s">
        <v>147</v>
      </c>
      <c r="H761" s="138">
        <v>140</v>
      </c>
      <c r="I761" s="92">
        <f t="shared" si="58"/>
        <v>0.37649728028835694</v>
      </c>
      <c r="J761" s="95">
        <v>7.1176378758531902E-2</v>
      </c>
      <c r="K761" s="137">
        <v>0.72827870552673202</v>
      </c>
      <c r="L761" s="137">
        <v>0.68181818181818199</v>
      </c>
      <c r="M761" s="137">
        <v>0.79796949108955795</v>
      </c>
      <c r="N761" s="136">
        <v>1</v>
      </c>
      <c r="O761" s="41">
        <v>43102</v>
      </c>
      <c r="P761" s="98">
        <f t="shared" si="64"/>
        <v>1</v>
      </c>
      <c r="Q761" s="113">
        <v>0</v>
      </c>
      <c r="R761" s="113">
        <v>3.3</v>
      </c>
      <c r="S761" s="113">
        <v>0</v>
      </c>
      <c r="T761" s="114" t="s">
        <v>73</v>
      </c>
      <c r="U761" s="209" t="s">
        <v>148</v>
      </c>
      <c r="V761" s="136" t="s">
        <v>149</v>
      </c>
      <c r="W761" s="69">
        <v>98</v>
      </c>
      <c r="X761" s="189">
        <v>1</v>
      </c>
      <c r="Y761" s="189">
        <v>2</v>
      </c>
      <c r="Z761"/>
      <c r="AA761" t="s">
        <v>4733</v>
      </c>
      <c r="AB761" t="s">
        <v>4594</v>
      </c>
      <c r="AC761" t="s">
        <v>4513</v>
      </c>
      <c r="AD761" t="s">
        <v>4620</v>
      </c>
      <c r="AE761" t="s">
        <v>4513</v>
      </c>
      <c r="AF761" t="s">
        <v>4620</v>
      </c>
      <c r="AG761" t="s">
        <v>4515</v>
      </c>
      <c r="AH761" t="s">
        <v>4607</v>
      </c>
      <c r="AI761" t="s">
        <v>4353</v>
      </c>
      <c r="AJ761" t="s">
        <v>4506</v>
      </c>
      <c r="AK761" t="s">
        <v>4518</v>
      </c>
      <c r="AL761" t="s">
        <v>4519</v>
      </c>
      <c r="AM761" t="s">
        <v>4562</v>
      </c>
      <c r="AN761" t="s">
        <v>4949</v>
      </c>
      <c r="AO761" s="134">
        <v>106.352144469526</v>
      </c>
      <c r="AP761" s="135">
        <v>120.52173913043499</v>
      </c>
      <c r="AQ761">
        <v>0.31121281464530898</v>
      </c>
      <c r="AR761" s="136">
        <v>1.28604118993135</v>
      </c>
      <c r="AS761">
        <v>8.3432494279176197</v>
      </c>
      <c r="AU761"/>
      <c r="AV761"/>
      <c r="AW761"/>
      <c r="AX761"/>
    </row>
    <row r="762" spans="1:50" s="69" customFormat="1" ht="90">
      <c r="A762" s="65">
        <v>1097</v>
      </c>
      <c r="B762" s="69" t="s">
        <v>2948</v>
      </c>
      <c r="C762" s="69" t="s">
        <v>45</v>
      </c>
      <c r="D762" s="31">
        <f t="shared" si="62"/>
        <v>4</v>
      </c>
      <c r="E762" s="69" t="s">
        <v>46</v>
      </c>
      <c r="F762" s="31">
        <f t="shared" si="63"/>
        <v>6</v>
      </c>
      <c r="G762" s="139" t="s">
        <v>2948</v>
      </c>
      <c r="H762" s="138">
        <v>146</v>
      </c>
      <c r="I762" s="92">
        <f t="shared" si="58"/>
        <v>0.41982359205654252</v>
      </c>
      <c r="J762" s="95">
        <v>1.4647184113085099E-2</v>
      </c>
      <c r="K762" s="137">
        <v>0.72357142857142898</v>
      </c>
      <c r="L762" s="137">
        <v>0.82499999999999996</v>
      </c>
      <c r="M762" s="137">
        <v>0.57142857142857095</v>
      </c>
      <c r="N762" s="136">
        <v>0</v>
      </c>
      <c r="O762" s="157">
        <v>43102</v>
      </c>
      <c r="P762" s="98">
        <f t="shared" si="64"/>
        <v>0</v>
      </c>
      <c r="Q762" s="113">
        <v>2.5499999999999998</v>
      </c>
      <c r="R762" s="113">
        <v>0</v>
      </c>
      <c r="S762" s="113">
        <v>0</v>
      </c>
      <c r="T762" s="119" t="s">
        <v>48</v>
      </c>
      <c r="U762" s="89" t="s">
        <v>2982</v>
      </c>
      <c r="V762" s="172" t="s">
        <v>2983</v>
      </c>
      <c r="W762" s="69">
        <v>23</v>
      </c>
      <c r="X762" s="69">
        <v>2</v>
      </c>
      <c r="Y762" s="69">
        <v>9</v>
      </c>
      <c r="AA762" t="s">
        <v>4522</v>
      </c>
      <c r="AB762" t="s">
        <v>87</v>
      </c>
      <c r="AC762" t="s">
        <v>4515</v>
      </c>
      <c r="AD762" t="s">
        <v>4933</v>
      </c>
      <c r="AE762" t="s">
        <v>4353</v>
      </c>
      <c r="AF762" t="s">
        <v>4506</v>
      </c>
      <c r="AG762" t="s">
        <v>4353</v>
      </c>
      <c r="AH762" t="s">
        <v>4506</v>
      </c>
      <c r="AI762" t="s">
        <v>4353</v>
      </c>
      <c r="AJ762" t="s">
        <v>4506</v>
      </c>
      <c r="AK762" t="s">
        <v>4519</v>
      </c>
      <c r="AL762" t="s">
        <v>4552</v>
      </c>
      <c r="AM762" t="s">
        <v>4562</v>
      </c>
      <c r="AN762" t="s">
        <v>4742</v>
      </c>
      <c r="AO762" s="134">
        <v>106.262443438914</v>
      </c>
      <c r="AP762" s="135">
        <v>120.52173913043499</v>
      </c>
      <c r="AQ762">
        <v>0.31121281464530898</v>
      </c>
      <c r="AR762" s="136">
        <v>1.28604118993135</v>
      </c>
      <c r="AS762">
        <v>8.3432494279176197</v>
      </c>
      <c r="AU762"/>
      <c r="AV762"/>
      <c r="AW762"/>
      <c r="AX762"/>
    </row>
    <row r="763" spans="1:50" s="69" customFormat="1" ht="76">
      <c r="A763" s="65">
        <v>949</v>
      </c>
      <c r="B763" s="69" t="s">
        <v>2510</v>
      </c>
      <c r="C763" s="69" t="s">
        <v>45</v>
      </c>
      <c r="D763" s="31">
        <f t="shared" si="62"/>
        <v>4</v>
      </c>
      <c r="E763" s="69" t="s">
        <v>80</v>
      </c>
      <c r="F763" s="31">
        <f t="shared" si="63"/>
        <v>4</v>
      </c>
      <c r="G763" s="137" t="s">
        <v>2577</v>
      </c>
      <c r="H763" s="138">
        <v>57</v>
      </c>
      <c r="I763" s="92">
        <f t="shared" si="58"/>
        <v>0.41285533597519503</v>
      </c>
      <c r="J763" s="95">
        <v>7.1067195039009601E-4</v>
      </c>
      <c r="K763" s="137">
        <v>0.78071428571428603</v>
      </c>
      <c r="L763" s="137">
        <v>0.82499999999999996</v>
      </c>
      <c r="M763" s="137">
        <v>0.71428571428571397</v>
      </c>
      <c r="N763" s="136">
        <v>1</v>
      </c>
      <c r="O763" s="154">
        <v>43100</v>
      </c>
      <c r="P763" s="98">
        <f t="shared" si="64"/>
        <v>0</v>
      </c>
      <c r="Q763" s="111">
        <v>0</v>
      </c>
      <c r="R763" s="111">
        <v>1.65</v>
      </c>
      <c r="S763" s="111">
        <v>0</v>
      </c>
      <c r="T763" s="112" t="s">
        <v>48</v>
      </c>
      <c r="U763" s="188" t="s">
        <v>2578</v>
      </c>
      <c r="V763" s="137" t="s">
        <v>2579</v>
      </c>
      <c r="W763" s="69">
        <v>106</v>
      </c>
      <c r="X763" s="195">
        <v>3</v>
      </c>
      <c r="Y763" s="195">
        <v>4</v>
      </c>
      <c r="AA763" t="s">
        <v>4564</v>
      </c>
      <c r="AB763" t="s">
        <v>51</v>
      </c>
      <c r="AC763" t="s">
        <v>223</v>
      </c>
      <c r="AD763" t="s">
        <v>4717</v>
      </c>
      <c r="AE763" t="s">
        <v>4530</v>
      </c>
      <c r="AF763" t="s">
        <v>4738</v>
      </c>
      <c r="AG763" t="s">
        <v>4353</v>
      </c>
      <c r="AH763" t="s">
        <v>4506</v>
      </c>
      <c r="AI763" t="s">
        <v>4353</v>
      </c>
      <c r="AJ763" t="s">
        <v>4506</v>
      </c>
      <c r="AK763" t="s">
        <v>4519</v>
      </c>
      <c r="AL763" t="s">
        <v>4519</v>
      </c>
      <c r="AM763" t="s">
        <v>4520</v>
      </c>
      <c r="AN763" t="s">
        <v>4558</v>
      </c>
      <c r="AO763" s="134">
        <v>106.374149659864</v>
      </c>
      <c r="AP763" s="135">
        <v>120.52173913043499</v>
      </c>
      <c r="AQ763">
        <v>0.31121281464530898</v>
      </c>
      <c r="AR763" s="136">
        <v>1.28604118993135</v>
      </c>
      <c r="AS763">
        <v>8.3432494279176197</v>
      </c>
      <c r="AU763"/>
      <c r="AV763"/>
      <c r="AW763"/>
      <c r="AX763"/>
    </row>
    <row r="764" spans="1:50" s="69" customFormat="1" ht="91">
      <c r="A764">
        <v>1202</v>
      </c>
      <c r="B764" s="69" t="s">
        <v>3209</v>
      </c>
      <c r="C764" s="69" t="s">
        <v>45</v>
      </c>
      <c r="D764" s="31">
        <f t="shared" si="62"/>
        <v>4</v>
      </c>
      <c r="E764" s="69" t="s">
        <v>46</v>
      </c>
      <c r="F764" s="31">
        <f t="shared" si="63"/>
        <v>6</v>
      </c>
      <c r="G764" s="147" t="s">
        <v>3229</v>
      </c>
      <c r="H764" s="138">
        <v>112</v>
      </c>
      <c r="I764" s="92">
        <f t="shared" si="58"/>
        <v>0.75613000293983856</v>
      </c>
      <c r="J764" s="95">
        <v>0.99999991435587399</v>
      </c>
      <c r="K764" s="137">
        <v>0.59307034062856701</v>
      </c>
      <c r="L764" s="137">
        <v>0.51226009152380303</v>
      </c>
      <c r="M764" s="137">
        <v>0.71428571428571397</v>
      </c>
      <c r="N764" s="136">
        <v>1</v>
      </c>
      <c r="O764" s="154">
        <v>43099</v>
      </c>
      <c r="P764" s="98">
        <f t="shared" si="64"/>
        <v>0</v>
      </c>
      <c r="Q764" s="111">
        <v>0</v>
      </c>
      <c r="R764" s="111">
        <v>1.65</v>
      </c>
      <c r="S764" s="111">
        <v>1.87</v>
      </c>
      <c r="T764" s="112" t="s">
        <v>48</v>
      </c>
      <c r="U764" s="147" t="s">
        <v>4477</v>
      </c>
      <c r="V764" s="137" t="s">
        <v>3231</v>
      </c>
      <c r="W764" s="69">
        <v>98</v>
      </c>
      <c r="X764" s="147">
        <v>1</v>
      </c>
      <c r="Y764" s="147">
        <v>4</v>
      </c>
      <c r="AA764" t="s">
        <v>4757</v>
      </c>
      <c r="AB764" t="s">
        <v>51</v>
      </c>
      <c r="AC764" t="s">
        <v>223</v>
      </c>
      <c r="AD764" t="s">
        <v>4613</v>
      </c>
      <c r="AE764" t="s">
        <v>4530</v>
      </c>
      <c r="AF764" t="s">
        <v>4749</v>
      </c>
      <c r="AG764" t="s">
        <v>4353</v>
      </c>
      <c r="AH764" t="s">
        <v>4506</v>
      </c>
      <c r="AI764" t="s">
        <v>4353</v>
      </c>
      <c r="AJ764" t="s">
        <v>4506</v>
      </c>
      <c r="AK764" t="s">
        <v>4519</v>
      </c>
      <c r="AL764" t="s">
        <v>4519</v>
      </c>
      <c r="AM764" t="s">
        <v>4528</v>
      </c>
      <c r="AN764" t="s">
        <v>4529</v>
      </c>
      <c r="AO764" s="134">
        <v>106.361363636364</v>
      </c>
      <c r="AP764" s="135">
        <v>120.52173913043499</v>
      </c>
      <c r="AQ764">
        <v>0.31121281464530898</v>
      </c>
      <c r="AR764" s="136">
        <v>1.28604118993135</v>
      </c>
      <c r="AS764">
        <v>8.3432494279176197</v>
      </c>
      <c r="AU764"/>
      <c r="AV764"/>
      <c r="AW764"/>
      <c r="AX764"/>
    </row>
    <row r="765" spans="1:50" s="69" customFormat="1" ht="196">
      <c r="A765">
        <v>766</v>
      </c>
      <c r="B765" s="69" t="s">
        <v>2053</v>
      </c>
      <c r="C765" s="69" t="s">
        <v>59</v>
      </c>
      <c r="D765" s="31">
        <f t="shared" si="62"/>
        <v>5</v>
      </c>
      <c r="E765" s="69" t="s">
        <v>46</v>
      </c>
      <c r="F765" s="31">
        <f t="shared" si="63"/>
        <v>6</v>
      </c>
      <c r="G765" s="147" t="s">
        <v>2089</v>
      </c>
      <c r="H765" s="138">
        <v>282</v>
      </c>
      <c r="I765" s="92">
        <f t="shared" si="58"/>
        <v>0.28329710579345641</v>
      </c>
      <c r="J765" s="95">
        <v>3.10811091072982E-3</v>
      </c>
      <c r="K765" s="137">
        <v>0.68094880326285301</v>
      </c>
      <c r="L765" s="137">
        <v>0.56348610067618299</v>
      </c>
      <c r="M765" s="137">
        <v>0.85714285714285698</v>
      </c>
      <c r="N765" s="136">
        <v>1</v>
      </c>
      <c r="O765" s="154">
        <v>43096</v>
      </c>
      <c r="P765" s="98">
        <f t="shared" si="64"/>
        <v>1</v>
      </c>
      <c r="Q765" s="111">
        <v>7.65</v>
      </c>
      <c r="R765" s="111">
        <v>0</v>
      </c>
      <c r="S765" s="111">
        <v>0</v>
      </c>
      <c r="T765" s="112" t="s">
        <v>73</v>
      </c>
      <c r="U765" s="136" t="s">
        <v>2090</v>
      </c>
      <c r="V765" s="147" t="s">
        <v>2091</v>
      </c>
      <c r="W765" s="69">
        <v>132</v>
      </c>
      <c r="X765" s="147">
        <v>4</v>
      </c>
      <c r="Y765" s="147">
        <v>1</v>
      </c>
      <c r="AA765" t="s">
        <v>5005</v>
      </c>
      <c r="AB765" t="s">
        <v>51</v>
      </c>
      <c r="AC765" t="s">
        <v>223</v>
      </c>
      <c r="AD765" t="s">
        <v>4815</v>
      </c>
      <c r="AE765" t="s">
        <v>4513</v>
      </c>
      <c r="AF765" t="s">
        <v>4814</v>
      </c>
      <c r="AG765" t="s">
        <v>4353</v>
      </c>
      <c r="AH765" t="s">
        <v>4506</v>
      </c>
      <c r="AI765" t="s">
        <v>223</v>
      </c>
      <c r="AJ765" t="s">
        <v>4815</v>
      </c>
      <c r="AK765" t="s">
        <v>4519</v>
      </c>
      <c r="AL765" t="s">
        <v>4519</v>
      </c>
      <c r="AM765" t="s">
        <v>4528</v>
      </c>
      <c r="AN765" t="s">
        <v>4529</v>
      </c>
      <c r="AO765" s="134">
        <v>106.451025056948</v>
      </c>
      <c r="AP765" s="135">
        <v>120.427906976744</v>
      </c>
      <c r="AQ765">
        <v>0.31627906976744202</v>
      </c>
      <c r="AR765" s="136">
        <v>1.2837209302325601</v>
      </c>
      <c r="AS765">
        <v>8.4465116279069807</v>
      </c>
      <c r="AU765"/>
      <c r="AV765"/>
      <c r="AW765"/>
      <c r="AX765"/>
    </row>
    <row r="766" spans="1:50" s="69" customFormat="1" ht="106">
      <c r="A766">
        <v>107</v>
      </c>
      <c r="B766" s="69" t="s">
        <v>217</v>
      </c>
      <c r="C766" s="69" t="s">
        <v>45</v>
      </c>
      <c r="D766" s="31">
        <f t="shared" si="62"/>
        <v>4</v>
      </c>
      <c r="E766" s="69" t="s">
        <v>80</v>
      </c>
      <c r="F766" s="31">
        <f t="shared" si="63"/>
        <v>4</v>
      </c>
      <c r="G766" s="136" t="s">
        <v>359</v>
      </c>
      <c r="H766" s="138">
        <v>67</v>
      </c>
      <c r="I766" s="92">
        <f t="shared" si="58"/>
        <v>0.41253267453261849</v>
      </c>
      <c r="J766" s="95">
        <v>6.5349065237030297E-5</v>
      </c>
      <c r="K766" s="137">
        <v>0.81418779643582295</v>
      </c>
      <c r="L766" s="137">
        <v>0.82499999999999996</v>
      </c>
      <c r="M766" s="137">
        <v>0.79796949108955795</v>
      </c>
      <c r="N766" s="136">
        <v>1</v>
      </c>
      <c r="O766" s="154">
        <v>43096</v>
      </c>
      <c r="P766" s="98">
        <f t="shared" si="64"/>
        <v>0</v>
      </c>
      <c r="Q766" s="111">
        <v>5.0999999999999996</v>
      </c>
      <c r="R766" s="111">
        <v>1.65</v>
      </c>
      <c r="S766" s="111">
        <v>0</v>
      </c>
      <c r="T766" s="112" t="s">
        <v>48</v>
      </c>
      <c r="U766" s="137" t="s">
        <v>362</v>
      </c>
      <c r="V766" s="137" t="s">
        <v>363</v>
      </c>
      <c r="W766" s="69">
        <v>160</v>
      </c>
      <c r="X766" s="69">
        <v>1</v>
      </c>
      <c r="Y766" s="69">
        <v>2</v>
      </c>
      <c r="Z766"/>
      <c r="AA766" t="s">
        <v>4543</v>
      </c>
      <c r="AB766" t="s">
        <v>51</v>
      </c>
      <c r="AC766" t="s">
        <v>4515</v>
      </c>
      <c r="AD766" t="s">
        <v>4631</v>
      </c>
      <c r="AE766" t="s">
        <v>4513</v>
      </c>
      <c r="AF766" t="s">
        <v>4983</v>
      </c>
      <c r="AG766" t="s">
        <v>223</v>
      </c>
      <c r="AH766" t="s">
        <v>4787</v>
      </c>
      <c r="AI766" t="s">
        <v>4515</v>
      </c>
      <c r="AJ766" t="s">
        <v>4631</v>
      </c>
      <c r="AK766" t="s">
        <v>4518</v>
      </c>
      <c r="AL766" t="s">
        <v>4519</v>
      </c>
      <c r="AM766" t="s">
        <v>4510</v>
      </c>
      <c r="AN766" t="s">
        <v>4523</v>
      </c>
      <c r="AO766" s="134">
        <v>106.05022831050201</v>
      </c>
      <c r="AP766" s="135">
        <v>120.427906976744</v>
      </c>
      <c r="AQ766">
        <v>0.31627906976744202</v>
      </c>
      <c r="AR766" s="136">
        <v>1.2837209302325601</v>
      </c>
      <c r="AS766">
        <v>8.4465116279069807</v>
      </c>
      <c r="AU766"/>
      <c r="AV766"/>
      <c r="AW766"/>
      <c r="AX766"/>
    </row>
    <row r="767" spans="1:50" s="69" customFormat="1" ht="136">
      <c r="A767">
        <v>1126</v>
      </c>
      <c r="B767" s="69" t="s">
        <v>3030</v>
      </c>
      <c r="C767" s="69" t="s">
        <v>45</v>
      </c>
      <c r="D767" s="31">
        <f t="shared" si="62"/>
        <v>4</v>
      </c>
      <c r="E767" s="69" t="s">
        <v>76</v>
      </c>
      <c r="F767" s="31">
        <f t="shared" si="63"/>
        <v>7</v>
      </c>
      <c r="G767" s="190" t="s">
        <v>3061</v>
      </c>
      <c r="H767" s="138">
        <v>77</v>
      </c>
      <c r="I767" s="92">
        <f t="shared" si="58"/>
        <v>0.37501900101451119</v>
      </c>
      <c r="J767" s="95">
        <v>3.8002029022376997E-5</v>
      </c>
      <c r="K767" s="137">
        <v>0.76918779643582302</v>
      </c>
      <c r="L767" s="137">
        <v>0.75</v>
      </c>
      <c r="M767" s="137">
        <v>0.79796949108955795</v>
      </c>
      <c r="N767" s="136">
        <v>1</v>
      </c>
      <c r="O767" s="157">
        <v>43096</v>
      </c>
      <c r="P767" s="98">
        <f t="shared" si="64"/>
        <v>0</v>
      </c>
      <c r="Q767" s="113">
        <v>0</v>
      </c>
      <c r="R767" s="113">
        <v>0</v>
      </c>
      <c r="S767" s="113">
        <v>0</v>
      </c>
      <c r="T767" s="119" t="s">
        <v>48</v>
      </c>
      <c r="U767" s="89" t="s">
        <v>3062</v>
      </c>
      <c r="V767" s="172" t="s">
        <v>3063</v>
      </c>
      <c r="W767" s="69">
        <v>184</v>
      </c>
      <c r="X767" s="195">
        <v>1</v>
      </c>
      <c r="Y767" s="195">
        <v>2</v>
      </c>
      <c r="AA767" t="s">
        <v>4653</v>
      </c>
      <c r="AB767" t="s">
        <v>87</v>
      </c>
      <c r="AC767" t="s">
        <v>4538</v>
      </c>
      <c r="AD767" t="s">
        <v>5006</v>
      </c>
      <c r="AE767" t="s">
        <v>223</v>
      </c>
      <c r="AF767" t="s">
        <v>5007</v>
      </c>
      <c r="AG767" t="s">
        <v>4353</v>
      </c>
      <c r="AH767" t="s">
        <v>4506</v>
      </c>
      <c r="AI767" t="s">
        <v>4353</v>
      </c>
      <c r="AJ767" t="s">
        <v>4506</v>
      </c>
      <c r="AK767" t="s">
        <v>4518</v>
      </c>
      <c r="AL767" t="s">
        <v>4519</v>
      </c>
      <c r="AM767" t="s">
        <v>4528</v>
      </c>
      <c r="AN767" t="s">
        <v>4624</v>
      </c>
      <c r="AO767" s="134">
        <v>105.913043478261</v>
      </c>
      <c r="AP767" s="135">
        <v>120.427906976744</v>
      </c>
      <c r="AQ767">
        <v>0.31627906976744202</v>
      </c>
      <c r="AR767" s="136">
        <v>1.2837209302325601</v>
      </c>
      <c r="AS767">
        <v>8.4465116279069807</v>
      </c>
      <c r="AU767"/>
      <c r="AV767"/>
      <c r="AW767"/>
      <c r="AX767"/>
    </row>
    <row r="768" spans="1:50" s="69" customFormat="1" ht="91">
      <c r="A768" s="65">
        <v>876</v>
      </c>
      <c r="B768" s="69" t="s">
        <v>2355</v>
      </c>
      <c r="C768" s="69" t="s">
        <v>45</v>
      </c>
      <c r="D768" s="31">
        <f t="shared" si="62"/>
        <v>4</v>
      </c>
      <c r="E768" s="69" t="s">
        <v>46</v>
      </c>
      <c r="F768" s="31">
        <f t="shared" si="63"/>
        <v>6</v>
      </c>
      <c r="G768" s="137" t="s">
        <v>2386</v>
      </c>
      <c r="H768" s="138">
        <v>166</v>
      </c>
      <c r="I768" s="92">
        <f t="shared" si="58"/>
        <v>0.30991755864756609</v>
      </c>
      <c r="J768" s="95">
        <v>4.0655133115574697E-7</v>
      </c>
      <c r="K768" s="137">
        <v>0.69108862288210404</v>
      </c>
      <c r="L768" s="137">
        <v>0.61983471074380103</v>
      </c>
      <c r="M768" s="137">
        <v>0.79796949108955795</v>
      </c>
      <c r="N768" s="136">
        <v>1</v>
      </c>
      <c r="O768" s="154">
        <v>43096</v>
      </c>
      <c r="P768" s="98">
        <f t="shared" si="64"/>
        <v>0</v>
      </c>
      <c r="Q768" s="111">
        <v>5.0999999999999996</v>
      </c>
      <c r="R768" s="111">
        <v>0</v>
      </c>
      <c r="S768" s="111">
        <v>0</v>
      </c>
      <c r="T768" s="112" t="s">
        <v>48</v>
      </c>
      <c r="U768" s="137" t="s">
        <v>4436</v>
      </c>
      <c r="V768" s="137" t="s">
        <v>2388</v>
      </c>
      <c r="W768" s="69">
        <v>52</v>
      </c>
      <c r="X768" s="69">
        <v>1</v>
      </c>
      <c r="Y768" s="69">
        <v>2</v>
      </c>
      <c r="AA768" t="s">
        <v>4830</v>
      </c>
      <c r="AB768" t="s">
        <v>358</v>
      </c>
      <c r="AC768" t="s">
        <v>4353</v>
      </c>
      <c r="AD768" t="s">
        <v>4506</v>
      </c>
      <c r="AE768" t="s">
        <v>4353</v>
      </c>
      <c r="AF768" t="s">
        <v>4506</v>
      </c>
      <c r="AG768" t="s">
        <v>4353</v>
      </c>
      <c r="AH768" t="s">
        <v>4506</v>
      </c>
      <c r="AI768" t="s">
        <v>4515</v>
      </c>
      <c r="AJ768" t="s">
        <v>4609</v>
      </c>
      <c r="AK768" t="s">
        <v>4518</v>
      </c>
      <c r="AL768" t="s">
        <v>4552</v>
      </c>
      <c r="AM768" t="s">
        <v>4510</v>
      </c>
      <c r="AN768" t="s">
        <v>4553</v>
      </c>
      <c r="AO768" s="134">
        <v>105.979357798165</v>
      </c>
      <c r="AP768" s="135">
        <v>120.427906976744</v>
      </c>
      <c r="AQ768">
        <v>0.31627906976744202</v>
      </c>
      <c r="AR768" s="136">
        <v>1.2837209302325601</v>
      </c>
      <c r="AS768">
        <v>8.4465116279069807</v>
      </c>
      <c r="AU768"/>
      <c r="AV768"/>
      <c r="AW768"/>
      <c r="AX768"/>
    </row>
    <row r="769" spans="1:50" s="69" customFormat="1" ht="105">
      <c r="A769">
        <v>1127</v>
      </c>
      <c r="B769" s="69" t="s">
        <v>3030</v>
      </c>
      <c r="C769" s="69" t="s">
        <v>45</v>
      </c>
      <c r="D769" s="31">
        <f t="shared" si="62"/>
        <v>4</v>
      </c>
      <c r="E769" s="69" t="s">
        <v>76</v>
      </c>
      <c r="F769" s="31">
        <f t="shared" si="63"/>
        <v>7</v>
      </c>
      <c r="G769" s="203" t="s">
        <v>3064</v>
      </c>
      <c r="H769" s="138">
        <v>41</v>
      </c>
      <c r="I769" s="92">
        <f t="shared" si="58"/>
        <v>0.71548507088104651</v>
      </c>
      <c r="J769" s="95">
        <v>0.74915195994391104</v>
      </c>
      <c r="K769" s="137">
        <v>0.59528191556096999</v>
      </c>
      <c r="L769" s="137">
        <v>0.68181818181818199</v>
      </c>
      <c r="M769" s="137">
        <v>0.46547751617515098</v>
      </c>
      <c r="N769" s="136">
        <v>1</v>
      </c>
      <c r="O769" s="157">
        <v>43094</v>
      </c>
      <c r="P769" s="98">
        <f t="shared" si="64"/>
        <v>0</v>
      </c>
      <c r="Q769" s="113">
        <v>2.5499999999999998</v>
      </c>
      <c r="R769" s="113">
        <v>0</v>
      </c>
      <c r="S769" s="113">
        <v>0</v>
      </c>
      <c r="T769" s="119" t="s">
        <v>48</v>
      </c>
      <c r="U769" s="91" t="s">
        <v>3065</v>
      </c>
      <c r="V769" s="231" t="s">
        <v>3066</v>
      </c>
      <c r="W769" s="69">
        <v>118</v>
      </c>
      <c r="X769" s="195">
        <v>1</v>
      </c>
      <c r="Y769" s="195">
        <v>14</v>
      </c>
      <c r="AA769" t="s">
        <v>4556</v>
      </c>
      <c r="AB769" t="s">
        <v>87</v>
      </c>
      <c r="AC769" t="s">
        <v>4513</v>
      </c>
      <c r="AD769" t="s">
        <v>4777</v>
      </c>
      <c r="AE769" t="s">
        <v>4515</v>
      </c>
      <c r="AF769" t="s">
        <v>4643</v>
      </c>
      <c r="AG769" t="s">
        <v>223</v>
      </c>
      <c r="AH769" t="s">
        <v>4776</v>
      </c>
      <c r="AI769" t="s">
        <v>223</v>
      </c>
      <c r="AJ769" t="s">
        <v>4776</v>
      </c>
      <c r="AK769" t="s">
        <v>4518</v>
      </c>
      <c r="AL769" t="s">
        <v>4552</v>
      </c>
      <c r="AM769" t="s">
        <v>4528</v>
      </c>
      <c r="AN769" t="s">
        <v>4557</v>
      </c>
      <c r="AO769" s="134">
        <v>106.16551724137901</v>
      </c>
      <c r="AP769" s="135">
        <v>120.625292740047</v>
      </c>
      <c r="AQ769">
        <v>0.31615925058548</v>
      </c>
      <c r="AR769" s="136">
        <v>1.2833723653395801</v>
      </c>
      <c r="AS769">
        <v>8.4613583138173301</v>
      </c>
      <c r="AU769"/>
      <c r="AV769"/>
      <c r="AW769"/>
      <c r="AX769"/>
    </row>
    <row r="770" spans="1:50" s="69" customFormat="1" ht="106">
      <c r="A770" s="65">
        <v>1129</v>
      </c>
      <c r="B770" s="69" t="s">
        <v>3030</v>
      </c>
      <c r="C770" s="69" t="s">
        <v>45</v>
      </c>
      <c r="D770" s="31">
        <f t="shared" si="62"/>
        <v>4</v>
      </c>
      <c r="E770" s="69" t="s">
        <v>46</v>
      </c>
      <c r="F770" s="31">
        <f t="shared" si="63"/>
        <v>6</v>
      </c>
      <c r="G770" s="139" t="s">
        <v>3069</v>
      </c>
      <c r="H770" s="138">
        <v>37</v>
      </c>
      <c r="I770" s="92">
        <f t="shared" si="58"/>
        <v>0.463754149220308</v>
      </c>
      <c r="J770" s="95">
        <v>0.177508298440616</v>
      </c>
      <c r="K770" s="137">
        <v>0.76918779643582302</v>
      </c>
      <c r="L770" s="137">
        <v>0.75</v>
      </c>
      <c r="M770" s="137">
        <v>0.79796949108955795</v>
      </c>
      <c r="N770" s="136">
        <v>0</v>
      </c>
      <c r="O770" s="157">
        <v>43094</v>
      </c>
      <c r="P770" s="98">
        <f t="shared" si="64"/>
        <v>0</v>
      </c>
      <c r="Q770" s="113">
        <v>0</v>
      </c>
      <c r="R770" s="113">
        <v>0</v>
      </c>
      <c r="S770" s="113">
        <v>0</v>
      </c>
      <c r="T770" s="119" t="s">
        <v>48</v>
      </c>
      <c r="U770" s="89" t="s">
        <v>4463</v>
      </c>
      <c r="V770" s="172" t="s">
        <v>3071</v>
      </c>
      <c r="W770" s="69">
        <v>133</v>
      </c>
      <c r="X770" s="69">
        <v>1</v>
      </c>
      <c r="Y770" s="69">
        <v>2</v>
      </c>
      <c r="AA770" t="s">
        <v>4564</v>
      </c>
      <c r="AB770" t="s">
        <v>51</v>
      </c>
      <c r="AC770" t="s">
        <v>4513</v>
      </c>
      <c r="AD770" t="s">
        <v>4554</v>
      </c>
      <c r="AE770" t="s">
        <v>4530</v>
      </c>
      <c r="AF770" t="s">
        <v>4561</v>
      </c>
      <c r="AG770" t="s">
        <v>223</v>
      </c>
      <c r="AH770" t="s">
        <v>4633</v>
      </c>
      <c r="AI770" t="s">
        <v>223</v>
      </c>
      <c r="AJ770" t="s">
        <v>4633</v>
      </c>
      <c r="AK770" t="s">
        <v>4518</v>
      </c>
      <c r="AL770" t="s">
        <v>4552</v>
      </c>
      <c r="AM770" t="s">
        <v>4562</v>
      </c>
      <c r="AN770" t="s">
        <v>4855</v>
      </c>
      <c r="AO770" s="134">
        <v>106.27880184331801</v>
      </c>
      <c r="AP770" s="135">
        <v>120.625292740047</v>
      </c>
      <c r="AQ770">
        <v>0.31615925058548</v>
      </c>
      <c r="AR770" s="136">
        <v>1.2833723653395801</v>
      </c>
      <c r="AS770">
        <v>8.4613583138173301</v>
      </c>
      <c r="AU770"/>
      <c r="AV770"/>
      <c r="AW770"/>
      <c r="AX770"/>
    </row>
    <row r="771" spans="1:50" s="69" customFormat="1" ht="46">
      <c r="A771" s="65">
        <v>633</v>
      </c>
      <c r="B771" s="69" t="s">
        <v>1707</v>
      </c>
      <c r="C771" s="69" t="s">
        <v>45</v>
      </c>
      <c r="D771" s="31">
        <f t="shared" si="62"/>
        <v>4</v>
      </c>
      <c r="E771" s="69" t="s">
        <v>80</v>
      </c>
      <c r="F771" s="31">
        <f t="shared" si="63"/>
        <v>4</v>
      </c>
      <c r="G771" s="169" t="s">
        <v>1750</v>
      </c>
      <c r="H771" s="138">
        <v>25</v>
      </c>
      <c r="I771" s="92">
        <f t="shared" si="58"/>
        <v>0.48134641326435801</v>
      </c>
      <c r="J771" s="95">
        <v>0.13769282652871601</v>
      </c>
      <c r="K771" s="137">
        <v>0.89500000000000002</v>
      </c>
      <c r="L771" s="137">
        <v>0.82499999999999996</v>
      </c>
      <c r="M771" s="137">
        <v>1</v>
      </c>
      <c r="N771" s="136">
        <v>1</v>
      </c>
      <c r="O771" s="154">
        <v>43094</v>
      </c>
      <c r="P771" s="98">
        <f t="shared" si="64"/>
        <v>2</v>
      </c>
      <c r="Q771" s="111">
        <v>0</v>
      </c>
      <c r="R771" s="111">
        <v>1.65</v>
      </c>
      <c r="S771" s="111">
        <v>0</v>
      </c>
      <c r="T771" s="112" t="s">
        <v>64</v>
      </c>
      <c r="U771" s="188" t="s">
        <v>1751</v>
      </c>
      <c r="V771" s="137" t="s">
        <v>1752</v>
      </c>
      <c r="W771" s="69">
        <v>52</v>
      </c>
      <c r="X771" s="188">
        <v>2</v>
      </c>
      <c r="Y771" s="188">
        <v>0</v>
      </c>
      <c r="AA771" t="s">
        <v>4522</v>
      </c>
      <c r="AB771" t="s">
        <v>51</v>
      </c>
      <c r="AC771" t="s">
        <v>4515</v>
      </c>
      <c r="AD771" t="s">
        <v>4595</v>
      </c>
      <c r="AE771" t="s">
        <v>4513</v>
      </c>
      <c r="AF771" t="s">
        <v>4662</v>
      </c>
      <c r="AG771" t="s">
        <v>223</v>
      </c>
      <c r="AH771" t="s">
        <v>4590</v>
      </c>
      <c r="AI771" t="s">
        <v>4353</v>
      </c>
      <c r="AJ771" t="s">
        <v>4506</v>
      </c>
      <c r="AK771" t="s">
        <v>4519</v>
      </c>
      <c r="AL771" t="s">
        <v>4519</v>
      </c>
      <c r="AM771" t="s">
        <v>4510</v>
      </c>
      <c r="AN771" t="s">
        <v>4550</v>
      </c>
      <c r="AO771" s="134">
        <v>106.429561200924</v>
      </c>
      <c r="AP771" s="135">
        <v>120.625292740047</v>
      </c>
      <c r="AQ771">
        <v>0.31615925058548</v>
      </c>
      <c r="AR771" s="136">
        <v>1.2833723653395801</v>
      </c>
      <c r="AS771">
        <v>8.4613583138173301</v>
      </c>
      <c r="AU771"/>
      <c r="AV771"/>
      <c r="AW771"/>
      <c r="AX771"/>
    </row>
    <row r="772" spans="1:50" s="65" customFormat="1" ht="46">
      <c r="A772" s="65">
        <v>877</v>
      </c>
      <c r="B772" s="69" t="s">
        <v>2355</v>
      </c>
      <c r="C772" s="69" t="s">
        <v>45</v>
      </c>
      <c r="D772" s="31">
        <f t="shared" si="62"/>
        <v>4</v>
      </c>
      <c r="E772" s="69" t="s">
        <v>80</v>
      </c>
      <c r="F772" s="31">
        <f t="shared" si="63"/>
        <v>4</v>
      </c>
      <c r="G772" s="169" t="s">
        <v>159</v>
      </c>
      <c r="H772" s="138">
        <v>57</v>
      </c>
      <c r="I772" s="92">
        <f t="shared" ref="I772:I835" si="65">(J772+L772)/2</f>
        <v>0.43371745326729122</v>
      </c>
      <c r="J772" s="95">
        <v>4.2434906534582498E-2</v>
      </c>
      <c r="K772" s="137">
        <v>0.81418779643582295</v>
      </c>
      <c r="L772" s="137">
        <v>0.82499999999999996</v>
      </c>
      <c r="M772" s="137">
        <v>0.79796949108955795</v>
      </c>
      <c r="N772" s="136">
        <v>1</v>
      </c>
      <c r="O772" s="154">
        <v>43094</v>
      </c>
      <c r="P772" s="98">
        <f t="shared" si="64"/>
        <v>0</v>
      </c>
      <c r="Q772" s="111">
        <v>5.0999999999999996</v>
      </c>
      <c r="R772" s="111">
        <v>0</v>
      </c>
      <c r="S772" s="111">
        <v>0</v>
      </c>
      <c r="T772" s="112" t="s">
        <v>48</v>
      </c>
      <c r="U772" s="137" t="s">
        <v>2389</v>
      </c>
      <c r="V772" s="137" t="s">
        <v>2388</v>
      </c>
      <c r="W772" s="69">
        <v>52</v>
      </c>
      <c r="X772" s="69">
        <v>1</v>
      </c>
      <c r="Y772" s="69">
        <v>2</v>
      </c>
      <c r="Z772" s="69"/>
      <c r="AA772" t="s">
        <v>4543</v>
      </c>
      <c r="AB772" t="s">
        <v>358</v>
      </c>
      <c r="AC772" t="s">
        <v>4353</v>
      </c>
      <c r="AD772" t="s">
        <v>4506</v>
      </c>
      <c r="AE772" t="s">
        <v>4353</v>
      </c>
      <c r="AF772" t="s">
        <v>4506</v>
      </c>
      <c r="AG772" t="s">
        <v>4353</v>
      </c>
      <c r="AH772" t="s">
        <v>4506</v>
      </c>
      <c r="AI772" t="s">
        <v>4515</v>
      </c>
      <c r="AJ772" t="s">
        <v>4609</v>
      </c>
      <c r="AK772" t="s">
        <v>4518</v>
      </c>
      <c r="AL772" t="s">
        <v>4519</v>
      </c>
      <c r="AM772" t="s">
        <v>4528</v>
      </c>
      <c r="AN772" t="s">
        <v>4624</v>
      </c>
      <c r="AO772" s="132">
        <v>106.576388888889</v>
      </c>
      <c r="AP772" s="133">
        <v>120.625292740047</v>
      </c>
      <c r="AQ772" s="65">
        <v>0.31615925058548</v>
      </c>
      <c r="AR772" s="65">
        <v>1.2833723653395801</v>
      </c>
      <c r="AS772" s="65">
        <v>8.4613583138173301</v>
      </c>
    </row>
    <row r="773" spans="1:50" s="65" customFormat="1" ht="121">
      <c r="A773" s="65">
        <v>1128</v>
      </c>
      <c r="B773" s="69" t="s">
        <v>3030</v>
      </c>
      <c r="C773" s="69" t="s">
        <v>45</v>
      </c>
      <c r="D773" s="31">
        <f t="shared" si="62"/>
        <v>4</v>
      </c>
      <c r="E773" s="69" t="s">
        <v>80</v>
      </c>
      <c r="F773" s="31">
        <f t="shared" si="63"/>
        <v>4</v>
      </c>
      <c r="G773" s="139" t="s">
        <v>305</v>
      </c>
      <c r="H773" s="138">
        <v>43</v>
      </c>
      <c r="I773" s="92">
        <f t="shared" si="65"/>
        <v>0.4125373669612365</v>
      </c>
      <c r="J773" s="95">
        <v>7.4733922473035896E-5</v>
      </c>
      <c r="K773" s="137">
        <v>0.79602566813892095</v>
      </c>
      <c r="L773" s="137">
        <v>0.82499999999999996</v>
      </c>
      <c r="M773" s="137">
        <v>0.75256417034730305</v>
      </c>
      <c r="N773" s="136">
        <v>1</v>
      </c>
      <c r="O773" s="157">
        <v>43094</v>
      </c>
      <c r="P773" s="98">
        <f t="shared" si="64"/>
        <v>0</v>
      </c>
      <c r="Q773" s="113">
        <v>0</v>
      </c>
      <c r="R773" s="113">
        <v>0</v>
      </c>
      <c r="S773" s="113">
        <v>0</v>
      </c>
      <c r="T773" s="119" t="s">
        <v>48</v>
      </c>
      <c r="U773" s="89" t="s">
        <v>3067</v>
      </c>
      <c r="V773" s="172" t="s">
        <v>3068</v>
      </c>
      <c r="W773" s="69">
        <v>171</v>
      </c>
      <c r="X773" s="69">
        <v>1</v>
      </c>
      <c r="Y773" s="69">
        <v>3</v>
      </c>
      <c r="Z773" s="69"/>
      <c r="AA773" t="s">
        <v>4522</v>
      </c>
      <c r="AB773" t="s">
        <v>87</v>
      </c>
      <c r="AC773" t="s">
        <v>4580</v>
      </c>
      <c r="AD773" t="s">
        <v>4979</v>
      </c>
      <c r="AE773" t="s">
        <v>4515</v>
      </c>
      <c r="AF773" t="s">
        <v>4714</v>
      </c>
      <c r="AG773" t="s">
        <v>4353</v>
      </c>
      <c r="AH773" t="s">
        <v>4506</v>
      </c>
      <c r="AI773" t="s">
        <v>4353</v>
      </c>
      <c r="AJ773" t="s">
        <v>4506</v>
      </c>
      <c r="AK773" t="s">
        <v>4518</v>
      </c>
      <c r="AL773" t="s">
        <v>4519</v>
      </c>
      <c r="AM773" t="s">
        <v>4520</v>
      </c>
      <c r="AN773" t="s">
        <v>4521</v>
      </c>
      <c r="AO773" s="132">
        <v>106.737819025522</v>
      </c>
      <c r="AP773" s="133">
        <v>120.625292740047</v>
      </c>
      <c r="AQ773" s="65">
        <v>0.31615925058548</v>
      </c>
      <c r="AR773" s="65">
        <v>1.2833723653395801</v>
      </c>
      <c r="AS773" s="65">
        <v>8.4613583138173301</v>
      </c>
    </row>
    <row r="774" spans="1:50" s="65" customFormat="1" ht="121">
      <c r="A774">
        <v>1130</v>
      </c>
      <c r="B774" s="69" t="s">
        <v>3030</v>
      </c>
      <c r="C774" s="69" t="s">
        <v>45</v>
      </c>
      <c r="D774" s="31">
        <f t="shared" si="62"/>
        <v>4</v>
      </c>
      <c r="E774" s="69" t="s">
        <v>80</v>
      </c>
      <c r="F774" s="31">
        <f t="shared" si="63"/>
        <v>4</v>
      </c>
      <c r="G774" s="191" t="s">
        <v>159</v>
      </c>
      <c r="H774" s="138">
        <v>45</v>
      </c>
      <c r="I774" s="92">
        <f t="shared" si="65"/>
        <v>0.50156581204263251</v>
      </c>
      <c r="J774" s="95">
        <v>0.25313162408526502</v>
      </c>
      <c r="K774" s="137">
        <v>0.62868666593100497</v>
      </c>
      <c r="L774" s="137">
        <v>0.75</v>
      </c>
      <c r="M774" s="137">
        <v>0.44671666482751199</v>
      </c>
      <c r="N774" s="136">
        <v>1</v>
      </c>
      <c r="O774" s="204">
        <v>43093</v>
      </c>
      <c r="P774" s="98">
        <f t="shared" si="64"/>
        <v>0</v>
      </c>
      <c r="Q774" s="113">
        <v>0</v>
      </c>
      <c r="R774" s="113">
        <v>0</v>
      </c>
      <c r="S774" s="113">
        <v>0</v>
      </c>
      <c r="T774" s="119" t="s">
        <v>48</v>
      </c>
      <c r="U774" s="89" t="s">
        <v>3072</v>
      </c>
      <c r="V774" s="172" t="s">
        <v>3068</v>
      </c>
      <c r="W774" s="69">
        <v>171</v>
      </c>
      <c r="X774" s="171">
        <v>1</v>
      </c>
      <c r="Y774" s="171">
        <v>15</v>
      </c>
      <c r="Z774" s="69"/>
      <c r="AA774" t="s">
        <v>4551</v>
      </c>
      <c r="AB774" t="s">
        <v>87</v>
      </c>
      <c r="AC774" t="s">
        <v>4580</v>
      </c>
      <c r="AD774" t="s">
        <v>4979</v>
      </c>
      <c r="AE774" t="s">
        <v>4515</v>
      </c>
      <c r="AF774" t="s">
        <v>4714</v>
      </c>
      <c r="AG774" t="s">
        <v>4353</v>
      </c>
      <c r="AH774" t="s">
        <v>4506</v>
      </c>
      <c r="AI774" t="s">
        <v>4353</v>
      </c>
      <c r="AJ774" t="s">
        <v>4506</v>
      </c>
      <c r="AK774" t="s">
        <v>4518</v>
      </c>
      <c r="AL774" t="s">
        <v>4541</v>
      </c>
      <c r="AM774" t="s">
        <v>4528</v>
      </c>
      <c r="AN774" t="s">
        <v>4878</v>
      </c>
      <c r="AO774" s="132">
        <v>106.881395348837</v>
      </c>
      <c r="AP774" s="133">
        <v>120.625292740047</v>
      </c>
      <c r="AQ774" s="65">
        <v>0.31615925058548</v>
      </c>
      <c r="AR774" s="65">
        <v>1.2833723653395801</v>
      </c>
      <c r="AS774" s="65">
        <v>8.4613583138173301</v>
      </c>
    </row>
    <row r="775" spans="1:50" s="69" customFormat="1" ht="76">
      <c r="A775" s="65">
        <v>108</v>
      </c>
      <c r="B775" s="69" t="s">
        <v>217</v>
      </c>
      <c r="C775" s="69" t="s">
        <v>45</v>
      </c>
      <c r="D775" s="31">
        <f t="shared" si="62"/>
        <v>4</v>
      </c>
      <c r="E775" s="69" t="s">
        <v>80</v>
      </c>
      <c r="F775" s="31">
        <f t="shared" si="63"/>
        <v>4</v>
      </c>
      <c r="G775" s="209" t="s">
        <v>364</v>
      </c>
      <c r="H775" s="138">
        <v>48</v>
      </c>
      <c r="I775" s="92">
        <f t="shared" si="65"/>
        <v>0.57148793918229346</v>
      </c>
      <c r="J775" s="95">
        <v>0.31797587836458702</v>
      </c>
      <c r="K775" s="137">
        <v>0.76722468700001201</v>
      </c>
      <c r="L775" s="137">
        <v>0.82499999999999996</v>
      </c>
      <c r="M775" s="137">
        <v>0.68056171750003003</v>
      </c>
      <c r="N775" s="136">
        <v>1</v>
      </c>
      <c r="O775" s="161">
        <v>43089</v>
      </c>
      <c r="P775" s="98">
        <f t="shared" si="64"/>
        <v>0</v>
      </c>
      <c r="Q775" s="113">
        <v>2.5499999999999998</v>
      </c>
      <c r="R775" s="113">
        <v>0</v>
      </c>
      <c r="S775" s="113">
        <v>0</v>
      </c>
      <c r="T775" s="114" t="s">
        <v>48</v>
      </c>
      <c r="U775" s="136" t="s">
        <v>365</v>
      </c>
      <c r="V775" s="137" t="s">
        <v>366</v>
      </c>
      <c r="W775" s="69">
        <v>102</v>
      </c>
      <c r="X775" s="171">
        <v>1</v>
      </c>
      <c r="Y775" s="171">
        <v>5</v>
      </c>
      <c r="Z775"/>
      <c r="AA775" t="s">
        <v>4522</v>
      </c>
      <c r="AB775" t="s">
        <v>87</v>
      </c>
      <c r="AC775" t="s">
        <v>4513</v>
      </c>
      <c r="AD775" t="s">
        <v>4620</v>
      </c>
      <c r="AE775" t="s">
        <v>4515</v>
      </c>
      <c r="AF775" t="s">
        <v>4607</v>
      </c>
      <c r="AG775" t="s">
        <v>223</v>
      </c>
      <c r="AH775" t="s">
        <v>4606</v>
      </c>
      <c r="AI775" t="s">
        <v>223</v>
      </c>
      <c r="AJ775" t="s">
        <v>4606</v>
      </c>
      <c r="AK775" t="s">
        <v>4518</v>
      </c>
      <c r="AL775" t="s">
        <v>4519</v>
      </c>
      <c r="AM775" t="s">
        <v>4510</v>
      </c>
      <c r="AN775" t="s">
        <v>4523</v>
      </c>
      <c r="AO775" s="134">
        <v>107.01864801864799</v>
      </c>
      <c r="AP775" s="135">
        <v>119.812048192771</v>
      </c>
      <c r="AQ775">
        <v>0.32289156626505999</v>
      </c>
      <c r="AR775" s="136">
        <v>1.29156626506024</v>
      </c>
      <c r="AS775">
        <v>8.5132530120481906</v>
      </c>
      <c r="AU775"/>
      <c r="AV775"/>
      <c r="AW775"/>
      <c r="AX775"/>
    </row>
    <row r="776" spans="1:50" s="69" customFormat="1" ht="136">
      <c r="A776" s="65">
        <v>812</v>
      </c>
      <c r="B776" s="69" t="s">
        <v>2179</v>
      </c>
      <c r="C776" s="69" t="s">
        <v>45</v>
      </c>
      <c r="D776" s="31">
        <f t="shared" si="62"/>
        <v>4</v>
      </c>
      <c r="E776" s="69" t="s">
        <v>76</v>
      </c>
      <c r="F776" s="31">
        <f t="shared" si="63"/>
        <v>7</v>
      </c>
      <c r="G776" s="137" t="s">
        <v>2217</v>
      </c>
      <c r="H776" s="138">
        <v>216</v>
      </c>
      <c r="I776" s="92">
        <f t="shared" si="65"/>
        <v>0.24743271183807605</v>
      </c>
      <c r="J776" s="95">
        <v>2.91744313817861E-2</v>
      </c>
      <c r="K776" s="137">
        <v>0.62227173823376303</v>
      </c>
      <c r="L776" s="137">
        <v>0.465690992294366</v>
      </c>
      <c r="M776" s="137">
        <v>0.85714285714285698</v>
      </c>
      <c r="N776" s="136">
        <v>1</v>
      </c>
      <c r="O776" s="154">
        <v>43089</v>
      </c>
      <c r="P776" s="98">
        <f t="shared" si="64"/>
        <v>0</v>
      </c>
      <c r="Q776" s="232">
        <v>0</v>
      </c>
      <c r="R776" s="232">
        <v>1.65</v>
      </c>
      <c r="S776" s="232">
        <v>0</v>
      </c>
      <c r="T776" s="233" t="s">
        <v>48</v>
      </c>
      <c r="U776" s="136" t="s">
        <v>2218</v>
      </c>
      <c r="V776" s="136" t="s">
        <v>2219</v>
      </c>
      <c r="W776" s="69">
        <v>193</v>
      </c>
      <c r="X776" s="69">
        <v>0</v>
      </c>
      <c r="Y776" s="69">
        <v>1</v>
      </c>
      <c r="AA776" t="s">
        <v>4909</v>
      </c>
      <c r="AB776" t="s">
        <v>51</v>
      </c>
      <c r="AC776" t="s">
        <v>223</v>
      </c>
      <c r="AD776" t="s">
        <v>4825</v>
      </c>
      <c r="AE776" t="s">
        <v>4530</v>
      </c>
      <c r="AF776" t="s">
        <v>4798</v>
      </c>
      <c r="AG776" t="s">
        <v>223</v>
      </c>
      <c r="AH776" t="s">
        <v>4825</v>
      </c>
      <c r="AI776" t="s">
        <v>4353</v>
      </c>
      <c r="AJ776" t="s">
        <v>4506</v>
      </c>
      <c r="AK776" t="s">
        <v>4518</v>
      </c>
      <c r="AL776" t="s">
        <v>4552</v>
      </c>
      <c r="AM776" t="s">
        <v>4528</v>
      </c>
      <c r="AN776" t="s">
        <v>4557</v>
      </c>
      <c r="AO776" s="134">
        <v>107.004672897196</v>
      </c>
      <c r="AP776" s="135">
        <v>119.812048192771</v>
      </c>
      <c r="AQ776">
        <v>0.32289156626505999</v>
      </c>
      <c r="AR776" s="136">
        <v>1.29156626506024</v>
      </c>
      <c r="AS776">
        <v>8.5132530120481906</v>
      </c>
      <c r="AU776"/>
      <c r="AV776"/>
      <c r="AW776"/>
      <c r="AX776"/>
    </row>
    <row r="777" spans="1:50" s="69" customFormat="1" ht="121">
      <c r="A777" s="65">
        <v>109</v>
      </c>
      <c r="B777" s="69" t="s">
        <v>217</v>
      </c>
      <c r="C777" s="69" t="s">
        <v>45</v>
      </c>
      <c r="D777" s="31">
        <f t="shared" si="62"/>
        <v>4</v>
      </c>
      <c r="E777" s="69" t="s">
        <v>80</v>
      </c>
      <c r="F777" s="31">
        <f t="shared" si="63"/>
        <v>4</v>
      </c>
      <c r="G777" s="188" t="s">
        <v>293</v>
      </c>
      <c r="H777" s="138">
        <v>113</v>
      </c>
      <c r="I777" s="92">
        <f t="shared" si="65"/>
        <v>0.41250118902843741</v>
      </c>
      <c r="J777" s="95">
        <v>2.3780568748632602E-6</v>
      </c>
      <c r="K777" s="137">
        <v>0.81418779643582295</v>
      </c>
      <c r="L777" s="137">
        <v>0.82499999999999996</v>
      </c>
      <c r="M777" s="137">
        <v>0.79796949108955795</v>
      </c>
      <c r="N777" s="136">
        <v>1</v>
      </c>
      <c r="O777" s="154">
        <v>43089</v>
      </c>
      <c r="P777" s="98">
        <f t="shared" si="64"/>
        <v>0</v>
      </c>
      <c r="Q777" s="111">
        <v>2.5499999999999998</v>
      </c>
      <c r="R777" s="111">
        <v>0</v>
      </c>
      <c r="S777" s="111">
        <v>0</v>
      </c>
      <c r="T777" s="112" t="s">
        <v>48</v>
      </c>
      <c r="U777" s="137" t="s">
        <v>367</v>
      </c>
      <c r="V777" s="137" t="s">
        <v>368</v>
      </c>
      <c r="W777" s="69">
        <v>184</v>
      </c>
      <c r="X777" s="195">
        <v>1</v>
      </c>
      <c r="Y777" s="195">
        <v>2</v>
      </c>
      <c r="Z777"/>
      <c r="AA777" t="s">
        <v>4522</v>
      </c>
      <c r="AB777" t="s">
        <v>4827</v>
      </c>
      <c r="AC777" t="s">
        <v>4515</v>
      </c>
      <c r="AD777" t="s">
        <v>4691</v>
      </c>
      <c r="AE777" t="s">
        <v>4515</v>
      </c>
      <c r="AF777" t="s">
        <v>4691</v>
      </c>
      <c r="AG777" t="s">
        <v>223</v>
      </c>
      <c r="AH777" t="s">
        <v>5008</v>
      </c>
      <c r="AI777" t="s">
        <v>4515</v>
      </c>
      <c r="AJ777" t="s">
        <v>4691</v>
      </c>
      <c r="AK777" t="s">
        <v>4518</v>
      </c>
      <c r="AL777" t="s">
        <v>4519</v>
      </c>
      <c r="AM777" t="s">
        <v>4520</v>
      </c>
      <c r="AN777" t="s">
        <v>4521</v>
      </c>
      <c r="AO777" s="134">
        <v>106.749414519906</v>
      </c>
      <c r="AP777" s="135">
        <v>119.812048192771</v>
      </c>
      <c r="AQ777">
        <v>0.32289156626505999</v>
      </c>
      <c r="AR777" s="136">
        <v>1.29156626506024</v>
      </c>
      <c r="AS777">
        <v>8.5132530120481906</v>
      </c>
      <c r="AU777"/>
      <c r="AV777"/>
      <c r="AW777"/>
      <c r="AX777"/>
    </row>
    <row r="778" spans="1:50" s="69" customFormat="1" ht="91">
      <c r="A778">
        <v>967</v>
      </c>
      <c r="B778" s="69" t="s">
        <v>2618</v>
      </c>
      <c r="C778" s="69" t="s">
        <v>45</v>
      </c>
      <c r="D778" s="31">
        <f t="shared" si="62"/>
        <v>4</v>
      </c>
      <c r="E778" s="69" t="s">
        <v>46</v>
      </c>
      <c r="F778" s="31">
        <f t="shared" si="63"/>
        <v>6</v>
      </c>
      <c r="G778" s="137" t="s">
        <v>2621</v>
      </c>
      <c r="H778" s="138">
        <v>166</v>
      </c>
      <c r="I778" s="92">
        <f t="shared" si="65"/>
        <v>0.19243429433655784</v>
      </c>
      <c r="J778" s="95">
        <v>8.5709217501062098E-14</v>
      </c>
      <c r="K778" s="137">
        <v>0.53194682134273896</v>
      </c>
      <c r="L778" s="137">
        <v>0.38486858867302998</v>
      </c>
      <c r="M778" s="137">
        <v>0.75256417034730305</v>
      </c>
      <c r="N778" s="136">
        <v>1</v>
      </c>
      <c r="O778" s="154">
        <v>43088</v>
      </c>
      <c r="P778" s="98">
        <f t="shared" si="64"/>
        <v>0</v>
      </c>
      <c r="Q778" s="113">
        <v>5.0999999999999996</v>
      </c>
      <c r="R778" s="113">
        <v>4.95</v>
      </c>
      <c r="S778" s="113">
        <v>0</v>
      </c>
      <c r="T778" s="114" t="s">
        <v>48</v>
      </c>
      <c r="U778" s="137" t="s">
        <v>2622</v>
      </c>
      <c r="V778" s="137" t="s">
        <v>2623</v>
      </c>
      <c r="W778" s="69">
        <v>131</v>
      </c>
      <c r="X778" s="69">
        <v>1</v>
      </c>
      <c r="Y778" s="69">
        <v>3</v>
      </c>
      <c r="AA778" t="s">
        <v>5009</v>
      </c>
      <c r="AB778" t="s">
        <v>87</v>
      </c>
      <c r="AC778" t="s">
        <v>4530</v>
      </c>
      <c r="AD778" t="s">
        <v>4565</v>
      </c>
      <c r="AE778" t="s">
        <v>4513</v>
      </c>
      <c r="AF778" t="s">
        <v>4814</v>
      </c>
      <c r="AG778" t="s">
        <v>223</v>
      </c>
      <c r="AH778" t="s">
        <v>4815</v>
      </c>
      <c r="AI778" t="s">
        <v>223</v>
      </c>
      <c r="AJ778" t="s">
        <v>4815</v>
      </c>
      <c r="AK778" t="s">
        <v>4519</v>
      </c>
      <c r="AL778" t="s">
        <v>4519</v>
      </c>
      <c r="AM778" t="s">
        <v>4898</v>
      </c>
      <c r="AN778" t="s">
        <v>4899</v>
      </c>
      <c r="AO778" s="134">
        <v>106.610328638498</v>
      </c>
      <c r="AP778" s="135">
        <v>119.79176755447899</v>
      </c>
      <c r="AQ778">
        <v>0.32445520581113801</v>
      </c>
      <c r="AR778" s="136">
        <v>1.2929782082324499</v>
      </c>
      <c r="AS778">
        <v>8.5108958837772395</v>
      </c>
      <c r="AU778"/>
      <c r="AV778"/>
      <c r="AW778"/>
      <c r="AX778"/>
    </row>
    <row r="779" spans="1:50" s="69" customFormat="1" ht="241">
      <c r="A779" s="65">
        <v>968</v>
      </c>
      <c r="B779" s="69" t="s">
        <v>2618</v>
      </c>
      <c r="C779" s="69" t="s">
        <v>45</v>
      </c>
      <c r="D779" s="31">
        <f t="shared" si="62"/>
        <v>4</v>
      </c>
      <c r="E779" s="69" t="s">
        <v>46</v>
      </c>
      <c r="F779" s="31">
        <f t="shared" si="63"/>
        <v>6</v>
      </c>
      <c r="G779" s="137" t="s">
        <v>2624</v>
      </c>
      <c r="H779" s="138">
        <v>463</v>
      </c>
      <c r="I779" s="92">
        <f t="shared" si="65"/>
        <v>0.2116777237701665</v>
      </c>
      <c r="J779" s="95">
        <v>0</v>
      </c>
      <c r="K779" s="137">
        <v>0.55503893666312099</v>
      </c>
      <c r="L779" s="137">
        <v>0.423355447540333</v>
      </c>
      <c r="M779" s="137">
        <v>0.75256417034730305</v>
      </c>
      <c r="N779" s="136">
        <v>1</v>
      </c>
      <c r="O779" s="154">
        <v>43088</v>
      </c>
      <c r="P779" s="98">
        <f t="shared" si="64"/>
        <v>0</v>
      </c>
      <c r="Q779" s="107">
        <v>0</v>
      </c>
      <c r="R779" s="107">
        <v>0</v>
      </c>
      <c r="S779" s="107">
        <v>0</v>
      </c>
      <c r="T779" s="108" t="s">
        <v>48</v>
      </c>
      <c r="U779" s="188" t="s">
        <v>4444</v>
      </c>
      <c r="V779" s="137" t="s">
        <v>2623</v>
      </c>
      <c r="W779" s="69">
        <v>131</v>
      </c>
      <c r="X779" s="195">
        <v>1</v>
      </c>
      <c r="Y779" s="195">
        <v>3</v>
      </c>
      <c r="AA779" t="s">
        <v>5010</v>
      </c>
      <c r="AB779" t="s">
        <v>87</v>
      </c>
      <c r="AC779" t="s">
        <v>4530</v>
      </c>
      <c r="AD779" t="s">
        <v>4565</v>
      </c>
      <c r="AE779" t="s">
        <v>4513</v>
      </c>
      <c r="AF779" t="s">
        <v>4814</v>
      </c>
      <c r="AG779" t="s">
        <v>223</v>
      </c>
      <c r="AH779" t="s">
        <v>4815</v>
      </c>
      <c r="AI779" t="s">
        <v>223</v>
      </c>
      <c r="AJ779" t="s">
        <v>4815</v>
      </c>
      <c r="AK779" t="s">
        <v>4518</v>
      </c>
      <c r="AL779" t="s">
        <v>4552</v>
      </c>
      <c r="AM779" t="s">
        <v>4898</v>
      </c>
      <c r="AN779" t="s">
        <v>4974</v>
      </c>
      <c r="AO779" s="134">
        <v>105.77176470588201</v>
      </c>
      <c r="AP779" s="135">
        <v>119.79176755447899</v>
      </c>
      <c r="AQ779">
        <v>0.32445520581113801</v>
      </c>
      <c r="AR779" s="136">
        <v>1.2929782082324499</v>
      </c>
      <c r="AS779">
        <v>8.5108958837772395</v>
      </c>
      <c r="AU779"/>
      <c r="AV779"/>
      <c r="AW779"/>
      <c r="AX779"/>
    </row>
    <row r="780" spans="1:50" s="69" customFormat="1" ht="91">
      <c r="A780">
        <v>110</v>
      </c>
      <c r="B780" s="69" t="s">
        <v>217</v>
      </c>
      <c r="C780" s="69" t="s">
        <v>45</v>
      </c>
      <c r="D780" s="31">
        <f t="shared" si="62"/>
        <v>4</v>
      </c>
      <c r="E780" s="69" t="s">
        <v>46</v>
      </c>
      <c r="F780" s="31">
        <f t="shared" si="63"/>
        <v>6</v>
      </c>
      <c r="G780" s="147" t="s">
        <v>369</v>
      </c>
      <c r="H780" s="138">
        <v>89</v>
      </c>
      <c r="I780" s="92">
        <f t="shared" si="65"/>
        <v>0.46176587094836413</v>
      </c>
      <c r="J780" s="95">
        <v>1.6031741896728301E-2</v>
      </c>
      <c r="K780" s="137">
        <v>0.86368779643582305</v>
      </c>
      <c r="L780" s="137">
        <v>0.90749999999999997</v>
      </c>
      <c r="M780" s="137">
        <v>0.79796949108955795</v>
      </c>
      <c r="N780" s="136">
        <v>1</v>
      </c>
      <c r="O780" s="154">
        <v>43087</v>
      </c>
      <c r="P780" s="98">
        <f t="shared" si="64"/>
        <v>0</v>
      </c>
      <c r="Q780" s="111">
        <v>2.5499999999999998</v>
      </c>
      <c r="R780" s="111">
        <v>1.65</v>
      </c>
      <c r="S780" s="111">
        <v>0</v>
      </c>
      <c r="T780" s="112" t="s">
        <v>48</v>
      </c>
      <c r="U780" s="137" t="s">
        <v>370</v>
      </c>
      <c r="V780" s="137" t="s">
        <v>371</v>
      </c>
      <c r="W780" s="69">
        <v>142</v>
      </c>
      <c r="X780" s="171">
        <v>1</v>
      </c>
      <c r="Y780" s="171">
        <v>2</v>
      </c>
      <c r="Z780"/>
      <c r="AA780" t="s">
        <v>4512</v>
      </c>
      <c r="AB780" t="s">
        <v>4791</v>
      </c>
      <c r="AC780" t="s">
        <v>4515</v>
      </c>
      <c r="AD780" t="s">
        <v>4617</v>
      </c>
      <c r="AE780" t="s">
        <v>223</v>
      </c>
      <c r="AF780" t="s">
        <v>4600</v>
      </c>
      <c r="AG780" t="s">
        <v>223</v>
      </c>
      <c r="AH780" t="s">
        <v>4600</v>
      </c>
      <c r="AI780" t="s">
        <v>4515</v>
      </c>
      <c r="AJ780" t="s">
        <v>4617</v>
      </c>
      <c r="AK780" t="s">
        <v>4519</v>
      </c>
      <c r="AL780" t="s">
        <v>4519</v>
      </c>
      <c r="AM780" t="s">
        <v>4520</v>
      </c>
      <c r="AN780" t="s">
        <v>4558</v>
      </c>
      <c r="AO780" s="134">
        <v>105.811320754717</v>
      </c>
      <c r="AP780" s="135">
        <v>119.487745098039</v>
      </c>
      <c r="AQ780">
        <v>0.32843137254902</v>
      </c>
      <c r="AR780" s="136">
        <v>1.29656862745098</v>
      </c>
      <c r="AS780">
        <v>8.4926470588235308</v>
      </c>
      <c r="AU780"/>
      <c r="AV780"/>
      <c r="AW780"/>
      <c r="AX780"/>
    </row>
    <row r="781" spans="1:50" s="69" customFormat="1" ht="91">
      <c r="A781">
        <v>111</v>
      </c>
      <c r="B781" s="69" t="s">
        <v>217</v>
      </c>
      <c r="C781" s="69" t="s">
        <v>45</v>
      </c>
      <c r="D781" s="31">
        <f t="shared" si="62"/>
        <v>4</v>
      </c>
      <c r="E781" s="69" t="s">
        <v>80</v>
      </c>
      <c r="F781" s="31">
        <f t="shared" si="63"/>
        <v>4</v>
      </c>
      <c r="G781" s="147" t="s">
        <v>159</v>
      </c>
      <c r="H781" s="138">
        <v>39</v>
      </c>
      <c r="I781" s="92">
        <f t="shared" si="65"/>
        <v>0.3835061084172659</v>
      </c>
      <c r="J781" s="95">
        <v>1.7012216834531801E-2</v>
      </c>
      <c r="K781" s="137">
        <v>0.73571428571428599</v>
      </c>
      <c r="L781" s="137">
        <v>0.75</v>
      </c>
      <c r="M781" s="137">
        <v>0.71428571428571397</v>
      </c>
      <c r="N781" s="136">
        <v>1</v>
      </c>
      <c r="O781" s="154">
        <v>43085</v>
      </c>
      <c r="P781" s="98">
        <f t="shared" si="64"/>
        <v>0</v>
      </c>
      <c r="Q781" s="111">
        <v>7.65</v>
      </c>
      <c r="R781" s="111">
        <v>4.95</v>
      </c>
      <c r="S781" s="111">
        <v>3.74</v>
      </c>
      <c r="T781" s="112" t="s">
        <v>48</v>
      </c>
      <c r="U781" s="137" t="s">
        <v>372</v>
      </c>
      <c r="V781" s="137" t="s">
        <v>371</v>
      </c>
      <c r="W781" s="69">
        <v>142</v>
      </c>
      <c r="X781" s="171">
        <v>1</v>
      </c>
      <c r="Y781" s="171">
        <v>4</v>
      </c>
      <c r="Z781"/>
      <c r="AA781" t="s">
        <v>4551</v>
      </c>
      <c r="AB781" t="s">
        <v>4791</v>
      </c>
      <c r="AC781" t="s">
        <v>4515</v>
      </c>
      <c r="AD781" t="s">
        <v>4617</v>
      </c>
      <c r="AE781" t="s">
        <v>223</v>
      </c>
      <c r="AF781" t="s">
        <v>4600</v>
      </c>
      <c r="AG781" t="s">
        <v>223</v>
      </c>
      <c r="AH781" t="s">
        <v>4600</v>
      </c>
      <c r="AI781" t="s">
        <v>4515</v>
      </c>
      <c r="AJ781" t="s">
        <v>4617</v>
      </c>
      <c r="AK781" t="s">
        <v>4518</v>
      </c>
      <c r="AL781" t="s">
        <v>4541</v>
      </c>
      <c r="AM781" t="s">
        <v>4528</v>
      </c>
      <c r="AN781" t="s">
        <v>4878</v>
      </c>
      <c r="AO781" s="134">
        <v>105.96926713948</v>
      </c>
      <c r="AP781" s="135">
        <v>119.487745098039</v>
      </c>
      <c r="AQ781">
        <v>0.32843137254902</v>
      </c>
      <c r="AR781" s="136">
        <v>1.29656862745098</v>
      </c>
      <c r="AS781">
        <v>8.4926470588235308</v>
      </c>
      <c r="AU781"/>
      <c r="AV781"/>
      <c r="AW781"/>
      <c r="AX781"/>
    </row>
    <row r="782" spans="1:50" s="69" customFormat="1" ht="91">
      <c r="A782" s="65">
        <v>537</v>
      </c>
      <c r="B782" s="69" t="s">
        <v>1222</v>
      </c>
      <c r="C782" s="69" t="s">
        <v>45</v>
      </c>
      <c r="D782" s="31">
        <f t="shared" si="62"/>
        <v>4</v>
      </c>
      <c r="E782" s="69" t="s">
        <v>46</v>
      </c>
      <c r="F782" s="31">
        <f t="shared" si="63"/>
        <v>6</v>
      </c>
      <c r="G782" s="169" t="s">
        <v>4398</v>
      </c>
      <c r="H782" s="138">
        <v>166</v>
      </c>
      <c r="I782" s="92">
        <f t="shared" si="65"/>
        <v>0.28174702468684548</v>
      </c>
      <c r="J782" s="95">
        <v>7.9486975079756695E-6</v>
      </c>
      <c r="K782" s="137">
        <v>0.62380594611999596</v>
      </c>
      <c r="L782" s="137">
        <v>0.56348610067618299</v>
      </c>
      <c r="M782" s="137">
        <v>0.71428571428571397</v>
      </c>
      <c r="N782" s="136">
        <v>1</v>
      </c>
      <c r="O782" s="154">
        <v>43085</v>
      </c>
      <c r="P782" s="98">
        <f t="shared" si="64"/>
        <v>0</v>
      </c>
      <c r="Q782" s="111">
        <v>0</v>
      </c>
      <c r="R782" s="111">
        <v>0</v>
      </c>
      <c r="S782" s="111">
        <v>0</v>
      </c>
      <c r="T782" s="112" t="s">
        <v>48</v>
      </c>
      <c r="U782" s="137" t="s">
        <v>4399</v>
      </c>
      <c r="V782" s="169" t="s">
        <v>1507</v>
      </c>
      <c r="W782" s="69">
        <v>17</v>
      </c>
      <c r="X782" s="69">
        <v>1</v>
      </c>
      <c r="Y782" s="69">
        <v>4</v>
      </c>
      <c r="Z782"/>
      <c r="AA782" t="s">
        <v>4753</v>
      </c>
      <c r="AB782" t="s">
        <v>51</v>
      </c>
      <c r="AC782" t="s">
        <v>4353</v>
      </c>
      <c r="AD782" t="s">
        <v>4506</v>
      </c>
      <c r="AE782" t="s">
        <v>223</v>
      </c>
      <c r="AF782" t="s">
        <v>4651</v>
      </c>
      <c r="AG782" t="s">
        <v>4353</v>
      </c>
      <c r="AH782" t="s">
        <v>4506</v>
      </c>
      <c r="AI782" t="s">
        <v>4353</v>
      </c>
      <c r="AJ782" t="s">
        <v>4506</v>
      </c>
      <c r="AK782" t="s">
        <v>4519</v>
      </c>
      <c r="AL782" t="s">
        <v>4519</v>
      </c>
      <c r="AM782" t="s">
        <v>4510</v>
      </c>
      <c r="AN782" t="s">
        <v>4550</v>
      </c>
      <c r="AO782" s="134">
        <v>105.827014218009</v>
      </c>
      <c r="AP782" s="135">
        <v>119.487745098039</v>
      </c>
      <c r="AQ782">
        <v>0.32843137254902</v>
      </c>
      <c r="AR782" s="136">
        <v>1.29656862745098</v>
      </c>
      <c r="AS782">
        <v>8.4926470588235308</v>
      </c>
      <c r="AU782"/>
      <c r="AV782"/>
      <c r="AW782"/>
      <c r="AX782"/>
    </row>
    <row r="783" spans="1:50" s="69" customFormat="1" ht="136">
      <c r="A783" s="65">
        <v>813</v>
      </c>
      <c r="B783" s="69" t="s">
        <v>2179</v>
      </c>
      <c r="C783" s="69" t="s">
        <v>45</v>
      </c>
      <c r="D783" s="31">
        <f t="shared" si="62"/>
        <v>4</v>
      </c>
      <c r="E783" s="69" t="s">
        <v>76</v>
      </c>
      <c r="F783" s="31">
        <f t="shared" si="63"/>
        <v>7</v>
      </c>
      <c r="G783" s="137" t="s">
        <v>2220</v>
      </c>
      <c r="H783" s="138">
        <v>33</v>
      </c>
      <c r="I783" s="92">
        <f t="shared" si="65"/>
        <v>0.34091107342432625</v>
      </c>
      <c r="J783" s="95">
        <v>3.9650304705096698E-6</v>
      </c>
      <c r="K783" s="137">
        <v>0.657905119887218</v>
      </c>
      <c r="L783" s="137">
        <v>0.68181818181818199</v>
      </c>
      <c r="M783" s="137">
        <v>0.62203552699077302</v>
      </c>
      <c r="N783" s="136">
        <v>1</v>
      </c>
      <c r="O783" s="154">
        <v>43084</v>
      </c>
      <c r="P783" s="98">
        <f t="shared" si="64"/>
        <v>0</v>
      </c>
      <c r="Q783" s="113">
        <v>2.5499999999999998</v>
      </c>
      <c r="R783" s="113">
        <v>1.65</v>
      </c>
      <c r="S783" s="113">
        <v>0</v>
      </c>
      <c r="T783" s="114" t="s">
        <v>48</v>
      </c>
      <c r="U783" s="169" t="s">
        <v>2221</v>
      </c>
      <c r="V783" s="136" t="s">
        <v>2222</v>
      </c>
      <c r="W783" s="69">
        <v>182</v>
      </c>
      <c r="X783" s="69">
        <v>0</v>
      </c>
      <c r="Y783" s="69">
        <v>7</v>
      </c>
      <c r="AA783" t="s">
        <v>4522</v>
      </c>
      <c r="AB783" t="s">
        <v>51</v>
      </c>
      <c r="AC783" t="s">
        <v>223</v>
      </c>
      <c r="AD783" t="s">
        <v>5011</v>
      </c>
      <c r="AE783" t="s">
        <v>4530</v>
      </c>
      <c r="AF783" t="s">
        <v>5012</v>
      </c>
      <c r="AG783" t="s">
        <v>223</v>
      </c>
      <c r="AH783" t="s">
        <v>5011</v>
      </c>
      <c r="AI783" t="s">
        <v>4353</v>
      </c>
      <c r="AJ783" t="s">
        <v>4506</v>
      </c>
      <c r="AK783" t="s">
        <v>4518</v>
      </c>
      <c r="AL783" t="s">
        <v>4519</v>
      </c>
      <c r="AM783" t="s">
        <v>4510</v>
      </c>
      <c r="AN783" t="s">
        <v>4523</v>
      </c>
      <c r="AO783" s="134">
        <v>106</v>
      </c>
      <c r="AP783" s="135">
        <v>119.65110565110599</v>
      </c>
      <c r="AQ783">
        <v>0.32923832923832902</v>
      </c>
      <c r="AR783" s="136">
        <v>1.2972972972973</v>
      </c>
      <c r="AS783">
        <v>8.5085995085995094</v>
      </c>
      <c r="AU783"/>
      <c r="AV783"/>
      <c r="AW783"/>
      <c r="AX783"/>
    </row>
    <row r="784" spans="1:50" s="69" customFormat="1" ht="136">
      <c r="A784">
        <v>815</v>
      </c>
      <c r="B784" s="69" t="s">
        <v>2179</v>
      </c>
      <c r="C784" s="69" t="s">
        <v>45</v>
      </c>
      <c r="D784" s="31">
        <f t="shared" si="62"/>
        <v>4</v>
      </c>
      <c r="E784" s="69" t="s">
        <v>76</v>
      </c>
      <c r="F784" s="31">
        <f t="shared" si="63"/>
        <v>7</v>
      </c>
      <c r="G784" s="147" t="s">
        <v>2217</v>
      </c>
      <c r="H784" s="138">
        <v>216</v>
      </c>
      <c r="I784" s="92">
        <f t="shared" si="65"/>
        <v>0.45931350807979249</v>
      </c>
      <c r="J784" s="95">
        <v>0.45293602386521897</v>
      </c>
      <c r="K784" s="137">
        <v>0.56512888109090498</v>
      </c>
      <c r="L784" s="137">
        <v>0.465690992294366</v>
      </c>
      <c r="M784" s="137">
        <v>0.71428571428571397</v>
      </c>
      <c r="N784" s="136">
        <v>1</v>
      </c>
      <c r="O784" s="154">
        <v>43083</v>
      </c>
      <c r="P784" s="98">
        <f t="shared" si="64"/>
        <v>0</v>
      </c>
      <c r="Q784" s="113">
        <v>0</v>
      </c>
      <c r="R784" s="113">
        <v>0</v>
      </c>
      <c r="S784" s="113">
        <v>0</v>
      </c>
      <c r="T784" s="114" t="s">
        <v>48</v>
      </c>
      <c r="U784" s="136" t="s">
        <v>2218</v>
      </c>
      <c r="V784" s="136" t="s">
        <v>2219</v>
      </c>
      <c r="W784" s="69">
        <v>193</v>
      </c>
      <c r="X784" s="171">
        <v>0</v>
      </c>
      <c r="Y784" s="171">
        <v>4</v>
      </c>
      <c r="AA784" t="s">
        <v>4909</v>
      </c>
      <c r="AB784" t="s">
        <v>51</v>
      </c>
      <c r="AC784" t="s">
        <v>223</v>
      </c>
      <c r="AD784" t="s">
        <v>4825</v>
      </c>
      <c r="AE784" t="s">
        <v>4530</v>
      </c>
      <c r="AF784" t="s">
        <v>4798</v>
      </c>
      <c r="AG784" t="s">
        <v>223</v>
      </c>
      <c r="AH784" t="s">
        <v>4825</v>
      </c>
      <c r="AI784" t="s">
        <v>4353</v>
      </c>
      <c r="AJ784" t="s">
        <v>4506</v>
      </c>
      <c r="AK784" t="s">
        <v>4518</v>
      </c>
      <c r="AL784" t="s">
        <v>4552</v>
      </c>
      <c r="AM784" t="s">
        <v>4528</v>
      </c>
      <c r="AN784" t="s">
        <v>4557</v>
      </c>
      <c r="AO784" s="134">
        <v>106.092857142857</v>
      </c>
      <c r="AP784" s="135">
        <v>119.65110565110599</v>
      </c>
      <c r="AQ784">
        <v>0.32923832923832902</v>
      </c>
      <c r="AR784" s="136">
        <v>1.2972972972973</v>
      </c>
      <c r="AS784">
        <v>8.5085995085995094</v>
      </c>
      <c r="AU784"/>
      <c r="AV784"/>
      <c r="AW784"/>
      <c r="AX784"/>
    </row>
    <row r="785" spans="1:50" s="69" customFormat="1" ht="106">
      <c r="A785" s="65">
        <v>112</v>
      </c>
      <c r="B785" s="69" t="s">
        <v>217</v>
      </c>
      <c r="C785" s="69" t="s">
        <v>45</v>
      </c>
      <c r="D785" s="31">
        <f t="shared" si="62"/>
        <v>4</v>
      </c>
      <c r="E785" s="69" t="s">
        <v>80</v>
      </c>
      <c r="F785" s="31">
        <f t="shared" si="63"/>
        <v>4</v>
      </c>
      <c r="G785" s="137" t="s">
        <v>293</v>
      </c>
      <c r="H785" s="138">
        <v>67</v>
      </c>
      <c r="I785" s="92">
        <f t="shared" si="65"/>
        <v>0.42042805148917251</v>
      </c>
      <c r="J785" s="95">
        <v>1.58561029783451E-2</v>
      </c>
      <c r="K785" s="137">
        <v>0.76722468700001201</v>
      </c>
      <c r="L785" s="137">
        <v>0.82499999999999996</v>
      </c>
      <c r="M785" s="137">
        <v>0.68056171750003003</v>
      </c>
      <c r="N785" s="136">
        <v>1</v>
      </c>
      <c r="O785" s="154">
        <v>43083</v>
      </c>
      <c r="P785" s="98">
        <f t="shared" si="64"/>
        <v>0</v>
      </c>
      <c r="Q785" s="113">
        <v>5.0999999999999996</v>
      </c>
      <c r="R785" s="113">
        <v>0</v>
      </c>
      <c r="S785" s="113">
        <v>0</v>
      </c>
      <c r="T785" s="114" t="s">
        <v>48</v>
      </c>
      <c r="U785" s="136" t="s">
        <v>373</v>
      </c>
      <c r="V785" s="137" t="s">
        <v>374</v>
      </c>
      <c r="W785" s="69">
        <v>151</v>
      </c>
      <c r="X785" s="69">
        <v>1</v>
      </c>
      <c r="Y785" s="69">
        <v>5</v>
      </c>
      <c r="Z785"/>
      <c r="AA785" t="s">
        <v>4522</v>
      </c>
      <c r="AB785" t="s">
        <v>4791</v>
      </c>
      <c r="AC785" t="s">
        <v>4515</v>
      </c>
      <c r="AD785" t="s">
        <v>4734</v>
      </c>
      <c r="AE785" t="s">
        <v>223</v>
      </c>
      <c r="AF785" t="s">
        <v>4633</v>
      </c>
      <c r="AG785" t="s">
        <v>223</v>
      </c>
      <c r="AH785" t="s">
        <v>4633</v>
      </c>
      <c r="AI785" t="s">
        <v>4515</v>
      </c>
      <c r="AJ785" t="s">
        <v>4734</v>
      </c>
      <c r="AK785" t="s">
        <v>4518</v>
      </c>
      <c r="AL785" t="s">
        <v>4519</v>
      </c>
      <c r="AM785" t="s">
        <v>4520</v>
      </c>
      <c r="AN785" t="s">
        <v>4521</v>
      </c>
      <c r="AO785" s="134">
        <v>106.20047732696899</v>
      </c>
      <c r="AP785" s="135">
        <v>119.65110565110599</v>
      </c>
      <c r="AQ785">
        <v>0.32923832923832902</v>
      </c>
      <c r="AR785" s="136">
        <v>1.2972972972973</v>
      </c>
      <c r="AS785">
        <v>8.5085995085995094</v>
      </c>
      <c r="AU785"/>
      <c r="AV785"/>
      <c r="AW785"/>
      <c r="AX785"/>
    </row>
    <row r="786" spans="1:50" s="69" customFormat="1" ht="121">
      <c r="A786">
        <v>814</v>
      </c>
      <c r="B786" s="69" t="s">
        <v>2179</v>
      </c>
      <c r="C786" s="69" t="s">
        <v>45</v>
      </c>
      <c r="D786" s="31">
        <f t="shared" si="62"/>
        <v>4</v>
      </c>
      <c r="E786" s="69" t="s">
        <v>80</v>
      </c>
      <c r="F786" s="31">
        <f t="shared" si="63"/>
        <v>4</v>
      </c>
      <c r="G786" s="169" t="s">
        <v>159</v>
      </c>
      <c r="H786" s="138">
        <v>61</v>
      </c>
      <c r="I786" s="92">
        <f t="shared" si="65"/>
        <v>0.41443322193898191</v>
      </c>
      <c r="J786" s="95">
        <v>3.8664438779638698E-3</v>
      </c>
      <c r="K786" s="137">
        <v>0.78071428571428603</v>
      </c>
      <c r="L786" s="137">
        <v>0.82499999999999996</v>
      </c>
      <c r="M786" s="137">
        <v>0.71428571428571397</v>
      </c>
      <c r="N786" s="136">
        <v>1</v>
      </c>
      <c r="O786" s="154">
        <v>43083</v>
      </c>
      <c r="P786" s="98">
        <f t="shared" si="64"/>
        <v>0</v>
      </c>
      <c r="Q786" s="113">
        <v>2.5499999999999998</v>
      </c>
      <c r="R786" s="113">
        <v>1.65</v>
      </c>
      <c r="S786" s="113">
        <v>0</v>
      </c>
      <c r="T786" s="114" t="s">
        <v>48</v>
      </c>
      <c r="U786" s="136" t="s">
        <v>2223</v>
      </c>
      <c r="V786" s="136" t="s">
        <v>2224</v>
      </c>
      <c r="W786" s="69">
        <v>160</v>
      </c>
      <c r="X786" s="69">
        <v>0</v>
      </c>
      <c r="Y786" s="69">
        <v>4</v>
      </c>
      <c r="AA786" t="s">
        <v>4556</v>
      </c>
      <c r="AB786" t="s">
        <v>51</v>
      </c>
      <c r="AC786" t="s">
        <v>4353</v>
      </c>
      <c r="AD786" t="s">
        <v>4506</v>
      </c>
      <c r="AE786" t="s">
        <v>4530</v>
      </c>
      <c r="AF786" t="s">
        <v>5013</v>
      </c>
      <c r="AG786" t="s">
        <v>223</v>
      </c>
      <c r="AH786" t="s">
        <v>4789</v>
      </c>
      <c r="AI786" t="s">
        <v>4353</v>
      </c>
      <c r="AJ786" t="s">
        <v>4506</v>
      </c>
      <c r="AK786" t="s">
        <v>4518</v>
      </c>
      <c r="AL786" t="s">
        <v>4519</v>
      </c>
      <c r="AM786" t="s">
        <v>4510</v>
      </c>
      <c r="AN786" t="s">
        <v>4523</v>
      </c>
      <c r="AO786" s="134">
        <v>105.937799043062</v>
      </c>
      <c r="AP786" s="135">
        <v>119.65110565110599</v>
      </c>
      <c r="AQ786">
        <v>0.32923832923832902</v>
      </c>
      <c r="AR786" s="136">
        <v>1.2972972972973</v>
      </c>
      <c r="AS786">
        <v>8.5085995085995094</v>
      </c>
      <c r="AU786"/>
      <c r="AV786"/>
      <c r="AW786"/>
      <c r="AX786"/>
    </row>
    <row r="787" spans="1:50" s="69" customFormat="1" ht="46">
      <c r="A787">
        <v>1083</v>
      </c>
      <c r="B787" s="69" t="s">
        <v>2938</v>
      </c>
      <c r="C787" s="69" t="s">
        <v>45</v>
      </c>
      <c r="D787" s="31">
        <f t="shared" si="62"/>
        <v>4</v>
      </c>
      <c r="E787" s="69" t="s">
        <v>46</v>
      </c>
      <c r="F787" s="31">
        <f t="shared" si="63"/>
        <v>6</v>
      </c>
      <c r="G787" s="139" t="s">
        <v>2945</v>
      </c>
      <c r="H787" s="138">
        <v>69</v>
      </c>
      <c r="I787" s="92">
        <f t="shared" si="65"/>
        <v>0.87403886530697106</v>
      </c>
      <c r="J787" s="95">
        <v>0.998077730613942</v>
      </c>
      <c r="K787" s="137">
        <v>0.76918779643582302</v>
      </c>
      <c r="L787" s="137">
        <v>0.75</v>
      </c>
      <c r="M787" s="137">
        <v>0.79796949108955795</v>
      </c>
      <c r="N787" s="136">
        <v>1</v>
      </c>
      <c r="O787" s="157">
        <v>43082</v>
      </c>
      <c r="P787" s="98">
        <f t="shared" si="64"/>
        <v>2</v>
      </c>
      <c r="Q787" s="113">
        <v>2.5499999999999998</v>
      </c>
      <c r="R787" s="113">
        <v>1.65</v>
      </c>
      <c r="S787" s="113">
        <v>3.74</v>
      </c>
      <c r="T787" s="119" t="s">
        <v>64</v>
      </c>
      <c r="U787" s="91" t="s">
        <v>2946</v>
      </c>
      <c r="V787" s="172" t="s">
        <v>2947</v>
      </c>
      <c r="W787" s="69">
        <v>53</v>
      </c>
      <c r="X787" s="171">
        <v>1</v>
      </c>
      <c r="Y787" s="171">
        <v>2</v>
      </c>
      <c r="AA787" t="s">
        <v>4564</v>
      </c>
      <c r="AB787" t="s">
        <v>4827</v>
      </c>
      <c r="AC787" t="s">
        <v>223</v>
      </c>
      <c r="AD787" t="s">
        <v>4614</v>
      </c>
      <c r="AE787" t="s">
        <v>223</v>
      </c>
      <c r="AF787" t="s">
        <v>4614</v>
      </c>
      <c r="AG787" t="s">
        <v>4353</v>
      </c>
      <c r="AH787" t="s">
        <v>4506</v>
      </c>
      <c r="AI787" t="s">
        <v>223</v>
      </c>
      <c r="AJ787" t="s">
        <v>4614</v>
      </c>
      <c r="AK787" t="s">
        <v>4519</v>
      </c>
      <c r="AL787" t="s">
        <v>4519</v>
      </c>
      <c r="AM787" t="s">
        <v>4562</v>
      </c>
      <c r="AN787" t="s">
        <v>4563</v>
      </c>
      <c r="AO787" s="134">
        <v>106.02637889688199</v>
      </c>
      <c r="AP787" s="135">
        <v>119.558024691358</v>
      </c>
      <c r="AQ787">
        <v>0.33086419753086399</v>
      </c>
      <c r="AR787" s="136">
        <v>1.29876543209877</v>
      </c>
      <c r="AS787">
        <v>8.5407407407407394</v>
      </c>
      <c r="AU787"/>
      <c r="AV787"/>
      <c r="AW787"/>
      <c r="AX787"/>
    </row>
    <row r="788" spans="1:50" s="69" customFormat="1" ht="91">
      <c r="A788">
        <v>1003</v>
      </c>
      <c r="B788" s="69" t="s">
        <v>2638</v>
      </c>
      <c r="C788" s="69" t="s">
        <v>45</v>
      </c>
      <c r="D788" s="31">
        <f t="shared" si="62"/>
        <v>4</v>
      </c>
      <c r="E788" s="69" t="s">
        <v>80</v>
      </c>
      <c r="F788" s="31">
        <f t="shared" si="63"/>
        <v>4</v>
      </c>
      <c r="G788" s="139" t="s">
        <v>2719</v>
      </c>
      <c r="H788" s="138">
        <v>66</v>
      </c>
      <c r="I788" s="92">
        <f t="shared" si="65"/>
        <v>0.7592996563877219</v>
      </c>
      <c r="J788" s="95">
        <v>0.69359931277544395</v>
      </c>
      <c r="K788" s="137">
        <v>0.68119100647006003</v>
      </c>
      <c r="L788" s="137">
        <v>0.82499999999999996</v>
      </c>
      <c r="M788" s="137">
        <v>0.46547751617515098</v>
      </c>
      <c r="N788" s="136">
        <v>1</v>
      </c>
      <c r="O788" s="157">
        <v>43081</v>
      </c>
      <c r="P788" s="98">
        <f t="shared" si="64"/>
        <v>1</v>
      </c>
      <c r="Q788" s="124">
        <v>5.0999999999999996</v>
      </c>
      <c r="R788" s="124">
        <v>0</v>
      </c>
      <c r="S788" s="124">
        <v>0</v>
      </c>
      <c r="T788" s="125" t="s">
        <v>73</v>
      </c>
      <c r="U788" s="89" t="s">
        <v>2720</v>
      </c>
      <c r="V788" s="172" t="s">
        <v>2721</v>
      </c>
      <c r="W788" s="69">
        <v>123</v>
      </c>
      <c r="X788" s="69">
        <v>2</v>
      </c>
      <c r="Y788" s="69">
        <v>14</v>
      </c>
      <c r="AA788" t="s">
        <v>4551</v>
      </c>
      <c r="AB788" t="s">
        <v>51</v>
      </c>
      <c r="AC788" t="s">
        <v>4515</v>
      </c>
      <c r="AD788" t="s">
        <v>4643</v>
      </c>
      <c r="AE788" t="s">
        <v>4530</v>
      </c>
      <c r="AF788" t="s">
        <v>4782</v>
      </c>
      <c r="AG788" t="s">
        <v>4353</v>
      </c>
      <c r="AH788" t="s">
        <v>4506</v>
      </c>
      <c r="AI788" t="s">
        <v>4353</v>
      </c>
      <c r="AJ788" t="s">
        <v>4506</v>
      </c>
      <c r="AK788" t="s">
        <v>4519</v>
      </c>
      <c r="AL788" t="s">
        <v>4552</v>
      </c>
      <c r="AM788" t="s">
        <v>4528</v>
      </c>
      <c r="AN788" t="s">
        <v>4618</v>
      </c>
      <c r="AO788" s="134">
        <v>106.122596153846</v>
      </c>
      <c r="AP788" s="135">
        <v>119.458438287154</v>
      </c>
      <c r="AQ788">
        <v>0.33753148614609602</v>
      </c>
      <c r="AR788" s="136">
        <v>1.30226700251889</v>
      </c>
      <c r="AS788">
        <v>8.5465994962216598</v>
      </c>
      <c r="AU788"/>
      <c r="AV788"/>
      <c r="AW788"/>
      <c r="AX788"/>
    </row>
    <row r="789" spans="1:50" s="69" customFormat="1" ht="121">
      <c r="A789">
        <v>715</v>
      </c>
      <c r="B789" s="69" t="s">
        <v>1913</v>
      </c>
      <c r="C789" s="69" t="s">
        <v>45</v>
      </c>
      <c r="D789" s="31">
        <f t="shared" si="62"/>
        <v>4</v>
      </c>
      <c r="E789" s="69" t="s">
        <v>80</v>
      </c>
      <c r="F789" s="31">
        <f t="shared" si="63"/>
        <v>4</v>
      </c>
      <c r="G789" s="152" t="s">
        <v>159</v>
      </c>
      <c r="H789" s="138">
        <v>45</v>
      </c>
      <c r="I789" s="92">
        <f t="shared" si="65"/>
        <v>0.41317809705394909</v>
      </c>
      <c r="J789" s="95">
        <v>1.3561941078982199E-3</v>
      </c>
      <c r="K789" s="137">
        <v>0.81418779643582295</v>
      </c>
      <c r="L789" s="137">
        <v>0.82499999999999996</v>
      </c>
      <c r="M789" s="137">
        <v>0.79796949108955795</v>
      </c>
      <c r="N789" s="136">
        <v>1</v>
      </c>
      <c r="O789" s="154">
        <v>43080</v>
      </c>
      <c r="P789" s="98">
        <f t="shared" si="64"/>
        <v>0</v>
      </c>
      <c r="Q789" s="111">
        <v>0</v>
      </c>
      <c r="R789" s="111">
        <v>3.3</v>
      </c>
      <c r="S789" s="111">
        <v>0</v>
      </c>
      <c r="T789" s="112" t="s">
        <v>48</v>
      </c>
      <c r="U789" s="137" t="s">
        <v>1964</v>
      </c>
      <c r="V789" s="137" t="s">
        <v>1965</v>
      </c>
      <c r="W789" s="69">
        <v>179</v>
      </c>
      <c r="X789" s="171">
        <v>2</v>
      </c>
      <c r="Y789" s="171">
        <v>2</v>
      </c>
      <c r="AA789" t="s">
        <v>4556</v>
      </c>
      <c r="AB789" t="s">
        <v>4827</v>
      </c>
      <c r="AC789" t="s">
        <v>4515</v>
      </c>
      <c r="AD789" t="s">
        <v>4639</v>
      </c>
      <c r="AE789" t="s">
        <v>4515</v>
      </c>
      <c r="AF789" t="s">
        <v>4639</v>
      </c>
      <c r="AG789" t="s">
        <v>223</v>
      </c>
      <c r="AH789" t="s">
        <v>4640</v>
      </c>
      <c r="AI789" t="s">
        <v>4515</v>
      </c>
      <c r="AJ789" t="s">
        <v>4639</v>
      </c>
      <c r="AK789" t="s">
        <v>4519</v>
      </c>
      <c r="AL789" t="s">
        <v>4519</v>
      </c>
      <c r="AM789" t="s">
        <v>4528</v>
      </c>
      <c r="AN789" t="s">
        <v>4529</v>
      </c>
      <c r="AO789" s="134">
        <v>106.269879518072</v>
      </c>
      <c r="AP789" s="135">
        <v>119.375634517766</v>
      </c>
      <c r="AQ789">
        <v>0.33756345177664998</v>
      </c>
      <c r="AR789" s="136">
        <v>1.30456852791878</v>
      </c>
      <c r="AS789">
        <v>8.5431472081218303</v>
      </c>
      <c r="AU789"/>
      <c r="AV789"/>
      <c r="AW789"/>
      <c r="AX789"/>
    </row>
    <row r="790" spans="1:50" s="65" customFormat="1" ht="91">
      <c r="A790" s="65">
        <v>816</v>
      </c>
      <c r="B790" s="69" t="s">
        <v>2179</v>
      </c>
      <c r="C790" s="69" t="s">
        <v>45</v>
      </c>
      <c r="D790" s="31">
        <f t="shared" si="62"/>
        <v>4</v>
      </c>
      <c r="E790" s="69" t="s">
        <v>76</v>
      </c>
      <c r="F790" s="31">
        <f t="shared" si="63"/>
        <v>7</v>
      </c>
      <c r="G790" s="147" t="s">
        <v>2225</v>
      </c>
      <c r="H790" s="138">
        <v>67</v>
      </c>
      <c r="I790" s="92">
        <f t="shared" si="65"/>
        <v>0.41250198251523523</v>
      </c>
      <c r="J790" s="95">
        <v>3.9650304705096698E-6</v>
      </c>
      <c r="K790" s="137">
        <v>0.81418779643582295</v>
      </c>
      <c r="L790" s="137">
        <v>0.82499999999999996</v>
      </c>
      <c r="M790" s="137">
        <v>0.79796949108955795</v>
      </c>
      <c r="N790" s="136">
        <v>1</v>
      </c>
      <c r="O790" s="199">
        <v>43080</v>
      </c>
      <c r="P790" s="98">
        <f t="shared" si="64"/>
        <v>0</v>
      </c>
      <c r="Q790" s="107">
        <v>0</v>
      </c>
      <c r="R790" s="107">
        <v>0</v>
      </c>
      <c r="S790" s="107">
        <v>0</v>
      </c>
      <c r="T790" s="108" t="s">
        <v>48</v>
      </c>
      <c r="U790" s="136" t="s">
        <v>2226</v>
      </c>
      <c r="V790" s="136" t="s">
        <v>2227</v>
      </c>
      <c r="W790" s="69">
        <v>98</v>
      </c>
      <c r="X790" s="171">
        <v>0</v>
      </c>
      <c r="Y790" s="171">
        <v>2</v>
      </c>
      <c r="Z790" s="69"/>
      <c r="AA790" t="s">
        <v>4512</v>
      </c>
      <c r="AB790" t="s">
        <v>87</v>
      </c>
      <c r="AC790" t="s">
        <v>4515</v>
      </c>
      <c r="AD790" t="s">
        <v>4554</v>
      </c>
      <c r="AE790" t="s">
        <v>223</v>
      </c>
      <c r="AF790" t="s">
        <v>4555</v>
      </c>
      <c r="AG790" t="s">
        <v>4353</v>
      </c>
      <c r="AH790" t="s">
        <v>4506</v>
      </c>
      <c r="AI790" t="s">
        <v>4353</v>
      </c>
      <c r="AJ790" t="s">
        <v>4506</v>
      </c>
      <c r="AK790" t="s">
        <v>4518</v>
      </c>
      <c r="AL790" t="s">
        <v>4519</v>
      </c>
      <c r="AM790" t="s">
        <v>4528</v>
      </c>
      <c r="AN790" t="s">
        <v>4624</v>
      </c>
      <c r="AO790" s="132">
        <v>106.364734299517</v>
      </c>
      <c r="AP790" s="133">
        <v>119.375634517766</v>
      </c>
      <c r="AQ790" s="65">
        <v>0.33756345177664998</v>
      </c>
      <c r="AR790" s="65">
        <v>1.30456852791878</v>
      </c>
      <c r="AS790" s="65">
        <v>8.5431472081218303</v>
      </c>
    </row>
    <row r="791" spans="1:50" s="69" customFormat="1" ht="61">
      <c r="A791">
        <v>34</v>
      </c>
      <c r="B791" s="136" t="s">
        <v>115</v>
      </c>
      <c r="C791" s="136" t="s">
        <v>59</v>
      </c>
      <c r="D791" s="31">
        <f t="shared" si="62"/>
        <v>5</v>
      </c>
      <c r="E791" s="136" t="s">
        <v>46</v>
      </c>
      <c r="F791" s="31">
        <f t="shared" si="63"/>
        <v>6</v>
      </c>
      <c r="G791" s="188" t="s">
        <v>150</v>
      </c>
      <c r="H791" s="138">
        <v>46</v>
      </c>
      <c r="I791" s="92">
        <f t="shared" si="65"/>
        <v>0.32803545609064483</v>
      </c>
      <c r="J791" s="95">
        <v>3.6236201437487597E-2</v>
      </c>
      <c r="K791" s="137">
        <v>0.69108862288210404</v>
      </c>
      <c r="L791" s="137">
        <v>0.61983471074380203</v>
      </c>
      <c r="M791" s="137">
        <v>0.79796949108955795</v>
      </c>
      <c r="N791" s="136">
        <v>1</v>
      </c>
      <c r="O791" s="32">
        <v>43079</v>
      </c>
      <c r="P791" s="98">
        <f t="shared" si="64"/>
        <v>1</v>
      </c>
      <c r="Q791" s="113">
        <v>0</v>
      </c>
      <c r="R791" s="113">
        <v>3.3</v>
      </c>
      <c r="S791" s="113">
        <v>0</v>
      </c>
      <c r="T791" s="114" t="s">
        <v>73</v>
      </c>
      <c r="U791" s="136" t="s">
        <v>151</v>
      </c>
      <c r="V791" s="136" t="s">
        <v>152</v>
      </c>
      <c r="W791" s="69">
        <v>81</v>
      </c>
      <c r="X791" s="189">
        <v>2</v>
      </c>
      <c r="Y791" s="189">
        <v>2</v>
      </c>
      <c r="Z791"/>
      <c r="AA791" t="s">
        <v>4543</v>
      </c>
      <c r="AB791" t="s">
        <v>51</v>
      </c>
      <c r="AC791" t="s">
        <v>223</v>
      </c>
      <c r="AD791" t="s">
        <v>4799</v>
      </c>
      <c r="AE791" t="s">
        <v>4513</v>
      </c>
      <c r="AF791" t="s">
        <v>4920</v>
      </c>
      <c r="AG791" t="s">
        <v>4515</v>
      </c>
      <c r="AH791" t="s">
        <v>4737</v>
      </c>
      <c r="AI791" t="s">
        <v>4353</v>
      </c>
      <c r="AJ791" t="s">
        <v>4506</v>
      </c>
      <c r="AK791" t="s">
        <v>4519</v>
      </c>
      <c r="AL791" t="s">
        <v>4519</v>
      </c>
      <c r="AM791" t="s">
        <v>4519</v>
      </c>
      <c r="AN791" t="s">
        <v>4564</v>
      </c>
      <c r="AO791" s="134">
        <v>106.510895883777</v>
      </c>
      <c r="AP791" s="135">
        <v>119.375634517766</v>
      </c>
      <c r="AQ791">
        <v>0.33756345177664998</v>
      </c>
      <c r="AR791" s="136">
        <v>1.30456852791878</v>
      </c>
      <c r="AS791">
        <v>8.5431472081218303</v>
      </c>
      <c r="AU791"/>
      <c r="AV791"/>
      <c r="AW791"/>
      <c r="AX791"/>
    </row>
    <row r="792" spans="1:50" s="69" customFormat="1" ht="91">
      <c r="A792" s="65">
        <v>364</v>
      </c>
      <c r="B792" s="69" t="s">
        <v>589</v>
      </c>
      <c r="C792" s="69" t="s">
        <v>45</v>
      </c>
      <c r="D792" s="31">
        <f t="shared" si="62"/>
        <v>4</v>
      </c>
      <c r="E792" s="69" t="s">
        <v>80</v>
      </c>
      <c r="F792" s="31">
        <f t="shared" si="63"/>
        <v>4</v>
      </c>
      <c r="G792" s="196" t="s">
        <v>159</v>
      </c>
      <c r="H792" s="138">
        <v>42</v>
      </c>
      <c r="I792" s="92">
        <f t="shared" si="65"/>
        <v>0.38937494876414797</v>
      </c>
      <c r="J792" s="95">
        <v>2.87498975282959E-2</v>
      </c>
      <c r="K792" s="137">
        <v>0.66929841941894996</v>
      </c>
      <c r="L792" s="137">
        <v>0.75</v>
      </c>
      <c r="M792" s="137">
        <v>0.54824604854737402</v>
      </c>
      <c r="N792" s="136">
        <v>1</v>
      </c>
      <c r="O792" s="194">
        <v>43079</v>
      </c>
      <c r="P792" s="98">
        <f t="shared" si="64"/>
        <v>0</v>
      </c>
      <c r="Q792" s="111">
        <v>5.0999999999999996</v>
      </c>
      <c r="R792" s="111">
        <v>0</v>
      </c>
      <c r="S792" s="111">
        <v>0</v>
      </c>
      <c r="T792" s="112" t="s">
        <v>48</v>
      </c>
      <c r="U792" s="137" t="s">
        <v>1055</v>
      </c>
      <c r="V792" s="137" t="s">
        <v>1056</v>
      </c>
      <c r="W792" s="69">
        <v>124</v>
      </c>
      <c r="X792" s="195">
        <v>1</v>
      </c>
      <c r="Y792" s="195">
        <v>10</v>
      </c>
      <c r="Z792"/>
      <c r="AA792" t="s">
        <v>4551</v>
      </c>
      <c r="AB792" t="s">
        <v>4827</v>
      </c>
      <c r="AC792" t="s">
        <v>4515</v>
      </c>
      <c r="AD792" t="s">
        <v>4858</v>
      </c>
      <c r="AE792" t="s">
        <v>4515</v>
      </c>
      <c r="AF792" t="s">
        <v>4858</v>
      </c>
      <c r="AG792" t="s">
        <v>223</v>
      </c>
      <c r="AH792" t="s">
        <v>4702</v>
      </c>
      <c r="AI792" t="s">
        <v>4515</v>
      </c>
      <c r="AJ792" t="s">
        <v>4858</v>
      </c>
      <c r="AK792" t="s">
        <v>4518</v>
      </c>
      <c r="AL792" t="s">
        <v>4541</v>
      </c>
      <c r="AM792" t="s">
        <v>4528</v>
      </c>
      <c r="AN792" t="s">
        <v>4878</v>
      </c>
      <c r="AO792" s="134">
        <v>106.667475728155</v>
      </c>
      <c r="AP792" s="135">
        <v>119.375634517766</v>
      </c>
      <c r="AQ792">
        <v>0.33756345177664998</v>
      </c>
      <c r="AR792" s="136">
        <v>1.30456852791878</v>
      </c>
      <c r="AS792">
        <v>8.5431472081218303</v>
      </c>
      <c r="AU792"/>
      <c r="AV792"/>
      <c r="AW792"/>
      <c r="AX792"/>
    </row>
    <row r="793" spans="1:50" s="69" customFormat="1" ht="46">
      <c r="A793">
        <v>603</v>
      </c>
      <c r="B793" s="69" t="s">
        <v>1628</v>
      </c>
      <c r="C793" s="69" t="s">
        <v>45</v>
      </c>
      <c r="D793" s="31">
        <f t="shared" si="62"/>
        <v>4</v>
      </c>
      <c r="E793" s="69" t="s">
        <v>80</v>
      </c>
      <c r="F793" s="31">
        <f t="shared" si="63"/>
        <v>4</v>
      </c>
      <c r="G793" s="137" t="s">
        <v>1675</v>
      </c>
      <c r="H793" s="138">
        <v>87</v>
      </c>
      <c r="I793" s="92">
        <f t="shared" si="65"/>
        <v>0.38253845866341529</v>
      </c>
      <c r="J793" s="95">
        <v>1.5076917326830599E-2</v>
      </c>
      <c r="K793" s="137">
        <v>0.55862745636612698</v>
      </c>
      <c r="L793" s="137">
        <v>0.75</v>
      </c>
      <c r="M793" s="137">
        <v>0.27156864091531702</v>
      </c>
      <c r="N793" s="136">
        <v>1</v>
      </c>
      <c r="O793" s="154">
        <v>43079</v>
      </c>
      <c r="P793" s="98">
        <f t="shared" si="64"/>
        <v>2</v>
      </c>
      <c r="Q793" s="111">
        <v>2.5499999999999998</v>
      </c>
      <c r="R793" s="111">
        <v>3.3</v>
      </c>
      <c r="S793" s="111">
        <v>0</v>
      </c>
      <c r="T793" s="112" t="s">
        <v>64</v>
      </c>
      <c r="U793" s="137" t="s">
        <v>1676</v>
      </c>
      <c r="V793" s="137" t="s">
        <v>1677</v>
      </c>
      <c r="W793" s="69">
        <v>34</v>
      </c>
      <c r="X793" s="69">
        <v>2</v>
      </c>
      <c r="Y793" s="69">
        <v>26</v>
      </c>
      <c r="AA793" t="s">
        <v>4512</v>
      </c>
      <c r="AB793" t="s">
        <v>71</v>
      </c>
      <c r="AC793" t="s">
        <v>4353</v>
      </c>
      <c r="AD793" t="s">
        <v>4506</v>
      </c>
      <c r="AE793" t="s">
        <v>4353</v>
      </c>
      <c r="AF793" t="s">
        <v>4506</v>
      </c>
      <c r="AG793" t="s">
        <v>223</v>
      </c>
      <c r="AH793" t="s">
        <v>4620</v>
      </c>
      <c r="AI793" t="s">
        <v>4353</v>
      </c>
      <c r="AJ793" t="s">
        <v>4506</v>
      </c>
      <c r="AK793" t="s">
        <v>4519</v>
      </c>
      <c r="AL793" t="s">
        <v>4552</v>
      </c>
      <c r="AM793" t="s">
        <v>4510</v>
      </c>
      <c r="AN793" t="s">
        <v>4634</v>
      </c>
      <c r="AO793" s="134">
        <v>106.715328467153</v>
      </c>
      <c r="AP793" s="135">
        <v>119.375634517766</v>
      </c>
      <c r="AQ793">
        <v>0.33756345177664998</v>
      </c>
      <c r="AR793" s="136">
        <v>1.30456852791878</v>
      </c>
      <c r="AS793">
        <v>8.5431472081218303</v>
      </c>
      <c r="AU793"/>
      <c r="AV793"/>
      <c r="AW793"/>
      <c r="AX793"/>
    </row>
    <row r="794" spans="1:50" s="69" customFormat="1" ht="91">
      <c r="A794" s="65">
        <v>817</v>
      </c>
      <c r="B794" s="69" t="s">
        <v>2179</v>
      </c>
      <c r="C794" s="69" t="s">
        <v>45</v>
      </c>
      <c r="D794" s="31">
        <f t="shared" si="62"/>
        <v>4</v>
      </c>
      <c r="E794" s="69" t="s">
        <v>80</v>
      </c>
      <c r="F794" s="31">
        <f t="shared" si="63"/>
        <v>4</v>
      </c>
      <c r="G794" s="137" t="s">
        <v>2228</v>
      </c>
      <c r="H794" s="138">
        <v>71</v>
      </c>
      <c r="I794" s="92">
        <f t="shared" si="65"/>
        <v>0.37500562393365966</v>
      </c>
      <c r="J794" s="95">
        <v>1.1247867319319499E-5</v>
      </c>
      <c r="K794" s="137">
        <v>0.73571428571428599</v>
      </c>
      <c r="L794" s="137">
        <v>0.75</v>
      </c>
      <c r="M794" s="137">
        <v>0.71428571428571397</v>
      </c>
      <c r="N794" s="136">
        <v>1</v>
      </c>
      <c r="O794" s="199">
        <v>43077</v>
      </c>
      <c r="P794" s="98">
        <f t="shared" si="64"/>
        <v>0</v>
      </c>
      <c r="Q794" s="113">
        <v>0</v>
      </c>
      <c r="R794" s="113">
        <v>1.65</v>
      </c>
      <c r="S794" s="113">
        <v>0</v>
      </c>
      <c r="T794" s="114" t="s">
        <v>48</v>
      </c>
      <c r="U794" s="136" t="s">
        <v>2229</v>
      </c>
      <c r="V794" s="136" t="s">
        <v>2230</v>
      </c>
      <c r="W794" s="69">
        <v>99</v>
      </c>
      <c r="X794" s="69">
        <v>0</v>
      </c>
      <c r="Y794" s="69">
        <v>4</v>
      </c>
      <c r="AA794" t="s">
        <v>4522</v>
      </c>
      <c r="AB794" t="s">
        <v>87</v>
      </c>
      <c r="AC794" t="s">
        <v>4515</v>
      </c>
      <c r="AD794" t="s">
        <v>4798</v>
      </c>
      <c r="AE794" t="s">
        <v>223</v>
      </c>
      <c r="AF794" t="s">
        <v>4670</v>
      </c>
      <c r="AG794" t="s">
        <v>4353</v>
      </c>
      <c r="AH794" t="s">
        <v>4506</v>
      </c>
      <c r="AI794" t="s">
        <v>4353</v>
      </c>
      <c r="AJ794" t="s">
        <v>4506</v>
      </c>
      <c r="AK794" t="s">
        <v>4519</v>
      </c>
      <c r="AL794" t="s">
        <v>4519</v>
      </c>
      <c r="AM794" t="s">
        <v>4510</v>
      </c>
      <c r="AN794" t="s">
        <v>4550</v>
      </c>
      <c r="AO794" s="134">
        <v>106.80243902439</v>
      </c>
      <c r="AP794" s="135">
        <v>119.132992327366</v>
      </c>
      <c r="AQ794">
        <v>0.34015345268542202</v>
      </c>
      <c r="AR794" s="136">
        <v>1.3069053708439899</v>
      </c>
      <c r="AS794">
        <v>8.5498721227621495</v>
      </c>
      <c r="AU794"/>
      <c r="AV794"/>
      <c r="AW794"/>
      <c r="AX794"/>
    </row>
    <row r="795" spans="1:50" s="69" customFormat="1" ht="76">
      <c r="A795" s="65">
        <v>833</v>
      </c>
      <c r="B795" s="69" t="s">
        <v>2264</v>
      </c>
      <c r="C795" s="69" t="s">
        <v>45</v>
      </c>
      <c r="D795" s="31">
        <f t="shared" si="62"/>
        <v>4</v>
      </c>
      <c r="E795" s="69" t="s">
        <v>46</v>
      </c>
      <c r="F795" s="31">
        <f t="shared" si="63"/>
        <v>6</v>
      </c>
      <c r="G795" s="169" t="s">
        <v>159</v>
      </c>
      <c r="H795" s="138">
        <v>74</v>
      </c>
      <c r="I795" s="92">
        <f t="shared" si="65"/>
        <v>0.56193583842217598</v>
      </c>
      <c r="J795" s="95">
        <v>0.29887167684435201</v>
      </c>
      <c r="K795" s="137">
        <v>0.68896849854491504</v>
      </c>
      <c r="L795" s="137">
        <v>0.82499999999999996</v>
      </c>
      <c r="M795" s="137">
        <v>0.48492124636228701</v>
      </c>
      <c r="N795" s="136">
        <v>1</v>
      </c>
      <c r="O795" s="199">
        <v>43076</v>
      </c>
      <c r="P795" s="98">
        <f t="shared" si="64"/>
        <v>0</v>
      </c>
      <c r="Q795" s="113">
        <v>0</v>
      </c>
      <c r="R795" s="113">
        <v>0</v>
      </c>
      <c r="S795" s="113">
        <v>0</v>
      </c>
      <c r="T795" s="114" t="s">
        <v>48</v>
      </c>
      <c r="U795" s="136" t="s">
        <v>2270</v>
      </c>
      <c r="V795" s="136" t="s">
        <v>2271</v>
      </c>
      <c r="W795" s="69">
        <v>97</v>
      </c>
      <c r="X795" s="69">
        <v>1</v>
      </c>
      <c r="Y795" s="69">
        <v>13</v>
      </c>
      <c r="AA795" t="s">
        <v>4556</v>
      </c>
      <c r="AB795" t="s">
        <v>71</v>
      </c>
      <c r="AC795" t="s">
        <v>223</v>
      </c>
      <c r="AD795" t="s">
        <v>4655</v>
      </c>
      <c r="AE795" t="s">
        <v>223</v>
      </c>
      <c r="AF795" t="s">
        <v>4655</v>
      </c>
      <c r="AG795" t="s">
        <v>4515</v>
      </c>
      <c r="AH795" t="s">
        <v>4654</v>
      </c>
      <c r="AI795" t="s">
        <v>4353</v>
      </c>
      <c r="AJ795" t="s">
        <v>4506</v>
      </c>
      <c r="AK795" t="s">
        <v>4518</v>
      </c>
      <c r="AL795" t="s">
        <v>4552</v>
      </c>
      <c r="AM795" t="s">
        <v>4528</v>
      </c>
      <c r="AN795" t="s">
        <v>4557</v>
      </c>
      <c r="AO795" s="134">
        <v>107.01222493887499</v>
      </c>
      <c r="AP795" s="135">
        <v>119.132992327366</v>
      </c>
      <c r="AQ795">
        <v>0.34015345268542202</v>
      </c>
      <c r="AR795" s="136">
        <v>1.3069053708439899</v>
      </c>
      <c r="AS795">
        <v>8.5498721227621495</v>
      </c>
      <c r="AU795"/>
      <c r="AV795"/>
      <c r="AW795"/>
      <c r="AX795"/>
    </row>
    <row r="796" spans="1:50" s="69" customFormat="1" ht="61">
      <c r="A796">
        <v>114</v>
      </c>
      <c r="B796" s="69" t="s">
        <v>217</v>
      </c>
      <c r="C796" s="69" t="s">
        <v>45</v>
      </c>
      <c r="D796" s="31">
        <f t="shared" si="62"/>
        <v>4</v>
      </c>
      <c r="E796" s="69" t="s">
        <v>46</v>
      </c>
      <c r="F796" s="31">
        <f t="shared" si="63"/>
        <v>6</v>
      </c>
      <c r="G796" s="136" t="s">
        <v>377</v>
      </c>
      <c r="H796" s="138">
        <v>93</v>
      </c>
      <c r="I796" s="92">
        <f t="shared" si="65"/>
        <v>0.45837267935817</v>
      </c>
      <c r="J796" s="95">
        <v>0.16674535871634</v>
      </c>
      <c r="K796" s="137">
        <v>0.73571428571428599</v>
      </c>
      <c r="L796" s="137">
        <v>0.75</v>
      </c>
      <c r="M796" s="137">
        <v>0.71428571428571397</v>
      </c>
      <c r="N796" s="136">
        <v>1</v>
      </c>
      <c r="O796" s="154">
        <v>43076</v>
      </c>
      <c r="P796" s="98">
        <f t="shared" si="64"/>
        <v>1</v>
      </c>
      <c r="Q796" s="111">
        <v>2.5499999999999998</v>
      </c>
      <c r="R796" s="111">
        <v>1.65</v>
      </c>
      <c r="S796" s="111">
        <v>0</v>
      </c>
      <c r="T796" s="112" t="s">
        <v>73</v>
      </c>
      <c r="U796" s="147" t="s">
        <v>378</v>
      </c>
      <c r="V796" s="137" t="s">
        <v>379</v>
      </c>
      <c r="W796" s="69">
        <v>53</v>
      </c>
      <c r="X796" s="171">
        <v>1</v>
      </c>
      <c r="Y796" s="171">
        <v>4</v>
      </c>
      <c r="Z796"/>
      <c r="AA796" t="s">
        <v>4564</v>
      </c>
      <c r="AB796" t="s">
        <v>51</v>
      </c>
      <c r="AC796" t="s">
        <v>4353</v>
      </c>
      <c r="AD796" t="s">
        <v>4506</v>
      </c>
      <c r="AE796" t="s">
        <v>223</v>
      </c>
      <c r="AF796" t="s">
        <v>4590</v>
      </c>
      <c r="AG796" t="s">
        <v>4353</v>
      </c>
      <c r="AH796" t="s">
        <v>4506</v>
      </c>
      <c r="AI796" t="s">
        <v>4353</v>
      </c>
      <c r="AJ796" t="s">
        <v>4506</v>
      </c>
      <c r="AK796" t="s">
        <v>4578</v>
      </c>
      <c r="AL796" t="s">
        <v>4519</v>
      </c>
      <c r="AM796" t="s">
        <v>4510</v>
      </c>
      <c r="AN796" t="s">
        <v>4579</v>
      </c>
      <c r="AO796" s="134">
        <v>107.164215686275</v>
      </c>
      <c r="AP796" s="135">
        <v>119.132992327366</v>
      </c>
      <c r="AQ796">
        <v>0.34015345268542202</v>
      </c>
      <c r="AR796" s="136">
        <v>1.3069053708439899</v>
      </c>
      <c r="AS796">
        <v>8.5498721227621495</v>
      </c>
      <c r="AU796"/>
      <c r="AV796"/>
      <c r="AW796"/>
      <c r="AX796"/>
    </row>
    <row r="797" spans="1:50" s="69" customFormat="1" ht="76">
      <c r="A797">
        <v>35</v>
      </c>
      <c r="B797" s="136" t="s">
        <v>115</v>
      </c>
      <c r="C797" s="136" t="s">
        <v>59</v>
      </c>
      <c r="D797" s="31">
        <f t="shared" si="62"/>
        <v>5</v>
      </c>
      <c r="E797" s="136" t="s">
        <v>46</v>
      </c>
      <c r="F797" s="31">
        <f t="shared" si="63"/>
        <v>6</v>
      </c>
      <c r="G797" s="188" t="s">
        <v>150</v>
      </c>
      <c r="H797" s="138">
        <v>21</v>
      </c>
      <c r="I797" s="92">
        <f t="shared" si="65"/>
        <v>0.37481231528216941</v>
      </c>
      <c r="J797" s="95">
        <v>6.7806448746156794E-2</v>
      </c>
      <c r="K797" s="137">
        <v>0.75194805194805203</v>
      </c>
      <c r="L797" s="137">
        <v>0.68181818181818199</v>
      </c>
      <c r="M797" s="137">
        <v>0.85714285714285698</v>
      </c>
      <c r="N797" s="136">
        <v>1</v>
      </c>
      <c r="O797" s="32">
        <v>43076</v>
      </c>
      <c r="P797" s="98">
        <f t="shared" si="64"/>
        <v>1</v>
      </c>
      <c r="Q797" s="113">
        <v>0</v>
      </c>
      <c r="R797" s="113">
        <v>1.65</v>
      </c>
      <c r="S797" s="113">
        <v>0</v>
      </c>
      <c r="T797" s="114" t="s">
        <v>153</v>
      </c>
      <c r="U797" s="136" t="s">
        <v>154</v>
      </c>
      <c r="V797" s="136" t="s">
        <v>155</v>
      </c>
      <c r="W797" s="69">
        <v>99</v>
      </c>
      <c r="X797" s="189">
        <v>2</v>
      </c>
      <c r="Y797" s="189">
        <v>1</v>
      </c>
      <c r="Z797"/>
      <c r="AA797" t="s">
        <v>4543</v>
      </c>
      <c r="AB797" t="s">
        <v>51</v>
      </c>
      <c r="AC797" t="s">
        <v>4513</v>
      </c>
      <c r="AD797" t="s">
        <v>4724</v>
      </c>
      <c r="AE797" t="s">
        <v>4580</v>
      </c>
      <c r="AF797" t="s">
        <v>4677</v>
      </c>
      <c r="AG797" t="s">
        <v>4515</v>
      </c>
      <c r="AH797" t="s">
        <v>4781</v>
      </c>
      <c r="AI797" t="s">
        <v>4353</v>
      </c>
      <c r="AJ797" t="s">
        <v>4506</v>
      </c>
      <c r="AK797" t="s">
        <v>4519</v>
      </c>
      <c r="AL797" t="s">
        <v>4519</v>
      </c>
      <c r="AM797" t="s">
        <v>4562</v>
      </c>
      <c r="AN797" t="s">
        <v>4563</v>
      </c>
      <c r="AO797" s="134">
        <v>107.19901719901701</v>
      </c>
      <c r="AP797" s="135">
        <v>119.132992327366</v>
      </c>
      <c r="AQ797">
        <v>0.34015345268542202</v>
      </c>
      <c r="AR797" s="136">
        <v>1.3069053708439899</v>
      </c>
      <c r="AS797">
        <v>8.5498721227621495</v>
      </c>
      <c r="AU797"/>
      <c r="AV797"/>
      <c r="AW797"/>
      <c r="AX797"/>
    </row>
    <row r="798" spans="1:50" s="69" customFormat="1" ht="106">
      <c r="A798" s="65">
        <v>113</v>
      </c>
      <c r="B798" s="69" t="s">
        <v>217</v>
      </c>
      <c r="C798" s="69" t="s">
        <v>45</v>
      </c>
      <c r="D798" s="31">
        <f t="shared" si="62"/>
        <v>4</v>
      </c>
      <c r="E798" s="69" t="s">
        <v>80</v>
      </c>
      <c r="F798" s="31">
        <f t="shared" si="63"/>
        <v>4</v>
      </c>
      <c r="G798" s="137" t="s">
        <v>159</v>
      </c>
      <c r="H798" s="138">
        <v>45</v>
      </c>
      <c r="I798" s="92">
        <f t="shared" si="65"/>
        <v>0.43440800238038113</v>
      </c>
      <c r="J798" s="95">
        <v>4.3816004760762299E-2</v>
      </c>
      <c r="K798" s="137">
        <v>0.76722468700001201</v>
      </c>
      <c r="L798" s="137">
        <v>0.82499999999999996</v>
      </c>
      <c r="M798" s="137">
        <v>0.68056171750003003</v>
      </c>
      <c r="N798" s="136">
        <v>1</v>
      </c>
      <c r="O798" s="154">
        <v>43076</v>
      </c>
      <c r="P798" s="98">
        <f t="shared" si="64"/>
        <v>0</v>
      </c>
      <c r="Q798" s="111">
        <v>0</v>
      </c>
      <c r="R798" s="111">
        <v>0</v>
      </c>
      <c r="S798" s="111">
        <v>0</v>
      </c>
      <c r="T798" s="112" t="s">
        <v>48</v>
      </c>
      <c r="U798" s="137" t="s">
        <v>375</v>
      </c>
      <c r="V798" s="137" t="s">
        <v>376</v>
      </c>
      <c r="W798" s="69">
        <v>157</v>
      </c>
      <c r="X798" s="69">
        <v>1</v>
      </c>
      <c r="Y798" s="69">
        <v>5</v>
      </c>
      <c r="Z798"/>
      <c r="AA798" t="s">
        <v>4543</v>
      </c>
      <c r="AB798" t="s">
        <v>51</v>
      </c>
      <c r="AC798" t="s">
        <v>4515</v>
      </c>
      <c r="AD798" t="s">
        <v>4631</v>
      </c>
      <c r="AE798" t="s">
        <v>4513</v>
      </c>
      <c r="AF798" t="s">
        <v>4983</v>
      </c>
      <c r="AG798" t="s">
        <v>223</v>
      </c>
      <c r="AH798" t="s">
        <v>4787</v>
      </c>
      <c r="AI798" t="s">
        <v>4515</v>
      </c>
      <c r="AJ798" t="s">
        <v>4631</v>
      </c>
      <c r="AK798" t="s">
        <v>4519</v>
      </c>
      <c r="AL798" t="s">
        <v>4519</v>
      </c>
      <c r="AM798" t="s">
        <v>4528</v>
      </c>
      <c r="AN798" t="s">
        <v>4529</v>
      </c>
      <c r="AO798" s="134">
        <v>107.229064039409</v>
      </c>
      <c r="AP798" s="135">
        <v>119.132992327366</v>
      </c>
      <c r="AQ798">
        <v>0.34015345268542202</v>
      </c>
      <c r="AR798" s="136">
        <v>1.3069053708439899</v>
      </c>
      <c r="AS798">
        <v>8.5498721227621495</v>
      </c>
      <c r="AU798"/>
      <c r="AV798"/>
      <c r="AW798"/>
      <c r="AX798"/>
    </row>
    <row r="799" spans="1:50" s="69" customFormat="1" ht="91">
      <c r="A799" s="65">
        <v>365</v>
      </c>
      <c r="B799" s="69" t="s">
        <v>589</v>
      </c>
      <c r="C799" s="69" t="s">
        <v>45</v>
      </c>
      <c r="D799" s="31">
        <f t="shared" si="62"/>
        <v>4</v>
      </c>
      <c r="E799" s="69" t="s">
        <v>80</v>
      </c>
      <c r="F799" s="31">
        <f t="shared" si="63"/>
        <v>4</v>
      </c>
      <c r="G799" s="137" t="s">
        <v>359</v>
      </c>
      <c r="H799" s="138">
        <v>95</v>
      </c>
      <c r="I799" s="92">
        <f t="shared" si="65"/>
        <v>0.38490273511029238</v>
      </c>
      <c r="J799" s="95">
        <v>1.9805470220584799E-2</v>
      </c>
      <c r="K799" s="137">
        <v>0.72222468700001197</v>
      </c>
      <c r="L799" s="137">
        <v>0.75</v>
      </c>
      <c r="M799" s="137">
        <v>0.68056171750003003</v>
      </c>
      <c r="N799" s="136">
        <v>1</v>
      </c>
      <c r="O799" s="154">
        <v>43076</v>
      </c>
      <c r="P799" s="98">
        <f t="shared" si="64"/>
        <v>0</v>
      </c>
      <c r="Q799" s="111">
        <v>0</v>
      </c>
      <c r="R799" s="111">
        <v>0</v>
      </c>
      <c r="S799" s="111">
        <v>0</v>
      </c>
      <c r="T799" s="112" t="s">
        <v>48</v>
      </c>
      <c r="U799" s="137" t="s">
        <v>1057</v>
      </c>
      <c r="V799" s="137" t="s">
        <v>1058</v>
      </c>
      <c r="W799" s="69">
        <v>125</v>
      </c>
      <c r="X799" s="69">
        <v>1</v>
      </c>
      <c r="Y799" s="69">
        <v>5</v>
      </c>
      <c r="Z799"/>
      <c r="AA799" t="s">
        <v>4551</v>
      </c>
      <c r="AB799" t="s">
        <v>4827</v>
      </c>
      <c r="AC799" t="s">
        <v>4515</v>
      </c>
      <c r="AD799" t="s">
        <v>4643</v>
      </c>
      <c r="AE799" t="s">
        <v>4515</v>
      </c>
      <c r="AF799" t="s">
        <v>4643</v>
      </c>
      <c r="AG799" t="s">
        <v>223</v>
      </c>
      <c r="AH799" t="s">
        <v>4776</v>
      </c>
      <c r="AI799" t="s">
        <v>4515</v>
      </c>
      <c r="AJ799" t="s">
        <v>4643</v>
      </c>
      <c r="AK799" t="s">
        <v>4518</v>
      </c>
      <c r="AL799" t="s">
        <v>4552</v>
      </c>
      <c r="AM799" t="s">
        <v>4510</v>
      </c>
      <c r="AN799" t="s">
        <v>4553</v>
      </c>
      <c r="AO799" s="134">
        <v>107.311111111111</v>
      </c>
      <c r="AP799" s="135">
        <v>119.132992327366</v>
      </c>
      <c r="AQ799">
        <v>0.34015345268542202</v>
      </c>
      <c r="AR799" s="136">
        <v>1.3069053708439899</v>
      </c>
      <c r="AS799">
        <v>8.5498721227621495</v>
      </c>
      <c r="AU799"/>
      <c r="AV799"/>
      <c r="AW799"/>
      <c r="AX799"/>
    </row>
    <row r="800" spans="1:50" s="69" customFormat="1" ht="76">
      <c r="A800">
        <v>818</v>
      </c>
      <c r="B800" s="69" t="s">
        <v>2179</v>
      </c>
      <c r="C800" s="69" t="s">
        <v>45</v>
      </c>
      <c r="D800" s="31">
        <f t="shared" si="62"/>
        <v>4</v>
      </c>
      <c r="E800" s="69" t="s">
        <v>80</v>
      </c>
      <c r="F800" s="31">
        <f t="shared" si="63"/>
        <v>4</v>
      </c>
      <c r="G800" s="136" t="s">
        <v>2228</v>
      </c>
      <c r="H800" s="138">
        <v>69</v>
      </c>
      <c r="I800" s="92">
        <f t="shared" si="65"/>
        <v>0.38324569441433221</v>
      </c>
      <c r="J800" s="95">
        <v>1.64913888286644E-2</v>
      </c>
      <c r="K800" s="137">
        <v>0.63619100647005999</v>
      </c>
      <c r="L800" s="137">
        <v>0.75</v>
      </c>
      <c r="M800" s="137">
        <v>0.46547751617515098</v>
      </c>
      <c r="N800" s="136">
        <v>1</v>
      </c>
      <c r="O800" s="154">
        <v>43075</v>
      </c>
      <c r="P800" s="98">
        <f t="shared" si="64"/>
        <v>0</v>
      </c>
      <c r="Q800" s="113">
        <v>0</v>
      </c>
      <c r="R800" s="113">
        <v>0</v>
      </c>
      <c r="S800" s="113">
        <v>0</v>
      </c>
      <c r="T800" s="114" t="s">
        <v>48</v>
      </c>
      <c r="U800" s="136" t="s">
        <v>2231</v>
      </c>
      <c r="V800" s="137" t="s">
        <v>2227</v>
      </c>
      <c r="W800" s="69">
        <v>98</v>
      </c>
      <c r="X800" s="69">
        <v>0</v>
      </c>
      <c r="Y800" s="69">
        <v>14</v>
      </c>
      <c r="AA800" t="s">
        <v>4564</v>
      </c>
      <c r="AB800" t="s">
        <v>87</v>
      </c>
      <c r="AC800" t="s">
        <v>4515</v>
      </c>
      <c r="AD800" t="s">
        <v>4554</v>
      </c>
      <c r="AE800" t="s">
        <v>223</v>
      </c>
      <c r="AF800" t="s">
        <v>4555</v>
      </c>
      <c r="AG800" t="s">
        <v>4353</v>
      </c>
      <c r="AH800" t="s">
        <v>4506</v>
      </c>
      <c r="AI800" t="s">
        <v>4353</v>
      </c>
      <c r="AJ800" t="s">
        <v>4506</v>
      </c>
      <c r="AK800" t="s">
        <v>4519</v>
      </c>
      <c r="AL800" t="s">
        <v>4519</v>
      </c>
      <c r="AM800" t="s">
        <v>4510</v>
      </c>
      <c r="AN800" t="s">
        <v>4550</v>
      </c>
      <c r="AO800" s="134">
        <v>107.405940594059</v>
      </c>
      <c r="AP800" s="135">
        <v>118.86118251928001</v>
      </c>
      <c r="AQ800">
        <v>0.33933161953727498</v>
      </c>
      <c r="AR800" s="136">
        <v>1.30848329048843</v>
      </c>
      <c r="AS800">
        <v>8.5732647814909999</v>
      </c>
      <c r="AU800"/>
      <c r="AV800"/>
      <c r="AW800"/>
      <c r="AX800"/>
    </row>
    <row r="801" spans="1:50" s="69" customFormat="1" ht="76">
      <c r="A801">
        <v>834</v>
      </c>
      <c r="B801" s="69" t="s">
        <v>2264</v>
      </c>
      <c r="C801" s="69" t="s">
        <v>45</v>
      </c>
      <c r="D801" s="31">
        <f t="shared" ref="D801:D864" si="66">IF(C801="投诉",4,IF(C801="建议",1,IF(C801="举报",2,IF(C801="求助",3,5))))</f>
        <v>4</v>
      </c>
      <c r="E801" s="69" t="s">
        <v>46</v>
      </c>
      <c r="F801" s="31">
        <f t="shared" ref="F801:F864" si="67">IF(E801="12345app",1,IF(E801="e福州app",2,IF(E801="qq",3,IF(E801="电话",4,IF(E801="短信",5,IF(E801="网站",6,IF(E801="微博",7,IF(E801="微信",8,9))))))))</f>
        <v>6</v>
      </c>
      <c r="G801" s="137" t="s">
        <v>2272</v>
      </c>
      <c r="H801" s="138">
        <v>134</v>
      </c>
      <c r="I801" s="92">
        <f t="shared" si="65"/>
        <v>0.38183175638006722</v>
      </c>
      <c r="J801" s="95">
        <v>1.3663512760134401E-2</v>
      </c>
      <c r="K801" s="137">
        <v>0.643968498544915</v>
      </c>
      <c r="L801" s="137">
        <v>0.75</v>
      </c>
      <c r="M801" s="137">
        <v>0.48492124636228701</v>
      </c>
      <c r="N801" s="136">
        <v>1</v>
      </c>
      <c r="O801" s="199">
        <v>43075</v>
      </c>
      <c r="P801" s="98">
        <f t="shared" ref="P801:P864" si="68">IF(T801="利己",0,IF(T801="生态",2,1))</f>
        <v>0</v>
      </c>
      <c r="Q801" s="201">
        <v>0</v>
      </c>
      <c r="R801" s="201">
        <v>3.3</v>
      </c>
      <c r="S801" s="201">
        <v>0</v>
      </c>
      <c r="T801" s="213" t="s">
        <v>48</v>
      </c>
      <c r="U801" s="137" t="s">
        <v>2273</v>
      </c>
      <c r="V801" s="136" t="s">
        <v>2271</v>
      </c>
      <c r="W801" s="69">
        <v>97</v>
      </c>
      <c r="X801" s="69">
        <v>1</v>
      </c>
      <c r="Y801" s="69">
        <v>13</v>
      </c>
      <c r="AA801" t="s">
        <v>4543</v>
      </c>
      <c r="AB801" t="s">
        <v>71</v>
      </c>
      <c r="AC801" t="s">
        <v>223</v>
      </c>
      <c r="AD801" t="s">
        <v>4655</v>
      </c>
      <c r="AE801" t="s">
        <v>223</v>
      </c>
      <c r="AF801" t="s">
        <v>4655</v>
      </c>
      <c r="AG801" t="s">
        <v>4515</v>
      </c>
      <c r="AH801" t="s">
        <v>4654</v>
      </c>
      <c r="AI801" t="s">
        <v>4353</v>
      </c>
      <c r="AJ801" t="s">
        <v>4506</v>
      </c>
      <c r="AK801" t="s">
        <v>4578</v>
      </c>
      <c r="AL801" t="s">
        <v>4552</v>
      </c>
      <c r="AM801" t="s">
        <v>4510</v>
      </c>
      <c r="AN801" t="s">
        <v>5014</v>
      </c>
      <c r="AO801" s="134">
        <v>107.33995037220799</v>
      </c>
      <c r="AP801" s="135">
        <v>118.86118251928001</v>
      </c>
      <c r="AQ801">
        <v>0.33933161953727498</v>
      </c>
      <c r="AR801" s="136">
        <v>1.30848329048843</v>
      </c>
      <c r="AS801">
        <v>8.5732647814909999</v>
      </c>
      <c r="AU801"/>
      <c r="AV801"/>
      <c r="AW801"/>
      <c r="AX801"/>
    </row>
    <row r="802" spans="1:50" s="69" customFormat="1" ht="106">
      <c r="A802">
        <v>859</v>
      </c>
      <c r="B802" s="69" t="s">
        <v>2287</v>
      </c>
      <c r="C802" s="69" t="s">
        <v>45</v>
      </c>
      <c r="D802" s="31">
        <f t="shared" si="66"/>
        <v>4</v>
      </c>
      <c r="E802" s="69" t="s">
        <v>80</v>
      </c>
      <c r="F802" s="31">
        <f t="shared" si="67"/>
        <v>4</v>
      </c>
      <c r="G802" s="152" t="s">
        <v>159</v>
      </c>
      <c r="H802" s="138">
        <v>53</v>
      </c>
      <c r="I802" s="92">
        <f t="shared" si="65"/>
        <v>0.37621067018165089</v>
      </c>
      <c r="J802" s="95">
        <v>2.4213403633017699E-3</v>
      </c>
      <c r="K802" s="137">
        <v>0.643968498544915</v>
      </c>
      <c r="L802" s="137">
        <v>0.75</v>
      </c>
      <c r="M802" s="137">
        <v>0.48492124636228701</v>
      </c>
      <c r="N802" s="136">
        <v>1</v>
      </c>
      <c r="O802" s="154">
        <v>43074</v>
      </c>
      <c r="P802" s="98">
        <f t="shared" si="68"/>
        <v>0</v>
      </c>
      <c r="Q802" s="113">
        <v>2.5499999999999998</v>
      </c>
      <c r="R802" s="113">
        <v>0</v>
      </c>
      <c r="S802" s="113">
        <v>0</v>
      </c>
      <c r="T802" s="114" t="s">
        <v>48</v>
      </c>
      <c r="U802" s="137" t="s">
        <v>2336</v>
      </c>
      <c r="V802" s="137" t="s">
        <v>2337</v>
      </c>
      <c r="W802" s="69">
        <v>134</v>
      </c>
      <c r="X802" s="171">
        <v>1</v>
      </c>
      <c r="Y802" s="171">
        <v>13</v>
      </c>
      <c r="AA802" t="s">
        <v>4551</v>
      </c>
      <c r="AB802" t="s">
        <v>71</v>
      </c>
      <c r="AC802" t="s">
        <v>223</v>
      </c>
      <c r="AD802" t="s">
        <v>4675</v>
      </c>
      <c r="AE802" t="s">
        <v>4515</v>
      </c>
      <c r="AF802" t="s">
        <v>4684</v>
      </c>
      <c r="AG802" t="s">
        <v>4530</v>
      </c>
      <c r="AH802" t="s">
        <v>4724</v>
      </c>
      <c r="AI802" t="s">
        <v>4353</v>
      </c>
      <c r="AJ802" t="s">
        <v>4506</v>
      </c>
      <c r="AK802" t="s">
        <v>4518</v>
      </c>
      <c r="AL802" t="s">
        <v>4541</v>
      </c>
      <c r="AM802" t="s">
        <v>4528</v>
      </c>
      <c r="AN802" t="s">
        <v>4878</v>
      </c>
      <c r="AO802" s="134">
        <v>107.5</v>
      </c>
      <c r="AP802" s="135">
        <v>118.864935064935</v>
      </c>
      <c r="AQ802">
        <v>0.34285714285714303</v>
      </c>
      <c r="AR802" s="136">
        <v>1.31168831168831</v>
      </c>
      <c r="AS802">
        <v>8.6025974025974001</v>
      </c>
      <c r="AU802"/>
      <c r="AV802"/>
      <c r="AW802"/>
      <c r="AX802"/>
    </row>
    <row r="803" spans="1:50" s="69" customFormat="1" ht="76">
      <c r="A803">
        <v>819</v>
      </c>
      <c r="B803" s="69" t="s">
        <v>2179</v>
      </c>
      <c r="C803" s="69" t="s">
        <v>45</v>
      </c>
      <c r="D803" s="31">
        <f t="shared" si="66"/>
        <v>4</v>
      </c>
      <c r="E803" s="69" t="s">
        <v>80</v>
      </c>
      <c r="F803" s="31">
        <f t="shared" si="67"/>
        <v>4</v>
      </c>
      <c r="G803" s="169" t="s">
        <v>200</v>
      </c>
      <c r="H803" s="138">
        <v>43</v>
      </c>
      <c r="I803" s="92">
        <f t="shared" si="65"/>
        <v>0.4125236592198317</v>
      </c>
      <c r="J803" s="95">
        <v>4.7318439663435199E-5</v>
      </c>
      <c r="K803" s="137">
        <v>0.68896849854491504</v>
      </c>
      <c r="L803" s="137">
        <v>0.82499999999999996</v>
      </c>
      <c r="M803" s="137">
        <v>0.48492124636228701</v>
      </c>
      <c r="N803" s="136">
        <v>1</v>
      </c>
      <c r="O803" s="154">
        <v>43074</v>
      </c>
      <c r="P803" s="98">
        <f t="shared" si="68"/>
        <v>0</v>
      </c>
      <c r="Q803" s="113">
        <v>0</v>
      </c>
      <c r="R803" s="113">
        <v>3.3</v>
      </c>
      <c r="S803" s="113">
        <v>0</v>
      </c>
      <c r="T803" s="114" t="s">
        <v>48</v>
      </c>
      <c r="U803" s="136" t="s">
        <v>2232</v>
      </c>
      <c r="V803" s="136" t="s">
        <v>2227</v>
      </c>
      <c r="W803" s="69">
        <v>98</v>
      </c>
      <c r="X803" s="69">
        <v>0</v>
      </c>
      <c r="Y803" s="69">
        <v>13</v>
      </c>
      <c r="AA803" t="s">
        <v>4522</v>
      </c>
      <c r="AB803" t="s">
        <v>87</v>
      </c>
      <c r="AC803" t="s">
        <v>4515</v>
      </c>
      <c r="AD803" t="s">
        <v>4554</v>
      </c>
      <c r="AE803" t="s">
        <v>223</v>
      </c>
      <c r="AF803" t="s">
        <v>4555</v>
      </c>
      <c r="AG803" t="s">
        <v>4353</v>
      </c>
      <c r="AH803" t="s">
        <v>4506</v>
      </c>
      <c r="AI803" t="s">
        <v>4353</v>
      </c>
      <c r="AJ803" t="s">
        <v>4506</v>
      </c>
      <c r="AK803" t="s">
        <v>4518</v>
      </c>
      <c r="AL803" t="s">
        <v>4519</v>
      </c>
      <c r="AM803" t="s">
        <v>4520</v>
      </c>
      <c r="AN803" t="s">
        <v>4521</v>
      </c>
      <c r="AO803" s="134">
        <v>107.635910224439</v>
      </c>
      <c r="AP803" s="135">
        <v>118.864935064935</v>
      </c>
      <c r="AQ803">
        <v>0.34285714285714303</v>
      </c>
      <c r="AR803" s="136">
        <v>1.31168831168831</v>
      </c>
      <c r="AS803">
        <v>8.6025974025974001</v>
      </c>
      <c r="AU803"/>
      <c r="AV803"/>
      <c r="AW803"/>
      <c r="AX803"/>
    </row>
    <row r="804" spans="1:50" s="69" customFormat="1" ht="271">
      <c r="A804" s="65">
        <v>1004</v>
      </c>
      <c r="B804" s="69" t="s">
        <v>2638</v>
      </c>
      <c r="C804" s="69" t="s">
        <v>45</v>
      </c>
      <c r="D804" s="31">
        <f t="shared" si="66"/>
        <v>4</v>
      </c>
      <c r="E804" s="69" t="s">
        <v>80</v>
      </c>
      <c r="F804" s="31">
        <f t="shared" si="67"/>
        <v>4</v>
      </c>
      <c r="G804" s="139" t="s">
        <v>2722</v>
      </c>
      <c r="H804" s="138">
        <v>176</v>
      </c>
      <c r="I804" s="92">
        <f t="shared" si="65"/>
        <v>0.24704955953367105</v>
      </c>
      <c r="J804" s="95">
        <v>2.8408126772976099E-2</v>
      </c>
      <c r="K804" s="137">
        <v>0.44380855962703902</v>
      </c>
      <c r="L804" s="137">
        <v>0.465690992294366</v>
      </c>
      <c r="M804" s="137">
        <v>0.41098491062604903</v>
      </c>
      <c r="N804" s="136">
        <v>1</v>
      </c>
      <c r="O804" s="157">
        <v>43073</v>
      </c>
      <c r="P804" s="98">
        <f t="shared" si="68"/>
        <v>1</v>
      </c>
      <c r="Q804" s="124">
        <v>2.5499999999999998</v>
      </c>
      <c r="R804" s="124">
        <v>0</v>
      </c>
      <c r="S804" s="124">
        <v>0</v>
      </c>
      <c r="T804" s="125" t="s">
        <v>73</v>
      </c>
      <c r="U804" s="89" t="s">
        <v>2723</v>
      </c>
      <c r="V804" s="136" t="s">
        <v>4452</v>
      </c>
      <c r="W804" s="69">
        <v>344</v>
      </c>
      <c r="X804" s="69">
        <v>2</v>
      </c>
      <c r="Y804" s="69">
        <v>17</v>
      </c>
      <c r="AA804" t="s">
        <v>4599</v>
      </c>
      <c r="AB804" t="s">
        <v>87</v>
      </c>
      <c r="AC804" t="s">
        <v>4580</v>
      </c>
      <c r="AD804" t="s">
        <v>5015</v>
      </c>
      <c r="AE804" t="s">
        <v>4515</v>
      </c>
      <c r="AF804" t="s">
        <v>5016</v>
      </c>
      <c r="AG804" t="s">
        <v>223</v>
      </c>
      <c r="AH804" t="s">
        <v>5017</v>
      </c>
      <c r="AI804" t="s">
        <v>4353</v>
      </c>
      <c r="AJ804" t="s">
        <v>4506</v>
      </c>
      <c r="AK804" t="s">
        <v>4518</v>
      </c>
      <c r="AL804" t="s">
        <v>4552</v>
      </c>
      <c r="AM804" t="s">
        <v>4520</v>
      </c>
      <c r="AN804" t="s">
        <v>4621</v>
      </c>
      <c r="AO804" s="134">
        <v>107.465</v>
      </c>
      <c r="AP804" s="135">
        <v>118.814621409922</v>
      </c>
      <c r="AQ804">
        <v>0.342036553524804</v>
      </c>
      <c r="AR804" s="136">
        <v>1.31331592689295</v>
      </c>
      <c r="AS804">
        <v>8.6214099216710203</v>
      </c>
      <c r="AU804"/>
      <c r="AV804"/>
      <c r="AW804"/>
      <c r="AX804"/>
    </row>
    <row r="805" spans="1:50" s="69" customFormat="1" ht="106">
      <c r="A805" s="65">
        <v>716</v>
      </c>
      <c r="B805" s="69" t="s">
        <v>1913</v>
      </c>
      <c r="C805" s="69" t="s">
        <v>45</v>
      </c>
      <c r="D805" s="31">
        <f t="shared" si="66"/>
        <v>4</v>
      </c>
      <c r="E805" s="69" t="s">
        <v>46</v>
      </c>
      <c r="F805" s="31">
        <f t="shared" si="67"/>
        <v>6</v>
      </c>
      <c r="G805" s="137" t="s">
        <v>1966</v>
      </c>
      <c r="H805" s="138">
        <v>87</v>
      </c>
      <c r="I805" s="92">
        <f t="shared" si="65"/>
        <v>0.37608012738186442</v>
      </c>
      <c r="J805" s="95">
        <v>2.1602547637288301E-3</v>
      </c>
      <c r="K805" s="137">
        <v>0.76918779643582302</v>
      </c>
      <c r="L805" s="137">
        <v>0.75</v>
      </c>
      <c r="M805" s="137">
        <v>0.79796949108955795</v>
      </c>
      <c r="N805" s="136">
        <v>1</v>
      </c>
      <c r="O805" s="154">
        <v>43072</v>
      </c>
      <c r="P805" s="98">
        <f t="shared" si="68"/>
        <v>0</v>
      </c>
      <c r="Q805" s="111">
        <v>5.0999999999999996</v>
      </c>
      <c r="R805" s="111">
        <v>0</v>
      </c>
      <c r="S805" s="111">
        <v>0</v>
      </c>
      <c r="T805" s="112" t="s">
        <v>48</v>
      </c>
      <c r="U805" s="137" t="s">
        <v>1967</v>
      </c>
      <c r="V805" s="137" t="s">
        <v>1968</v>
      </c>
      <c r="W805" s="69">
        <v>152</v>
      </c>
      <c r="X805" s="69">
        <v>1</v>
      </c>
      <c r="Y805" s="69">
        <v>2</v>
      </c>
      <c r="AA805" t="s">
        <v>4543</v>
      </c>
      <c r="AB805" t="s">
        <v>4594</v>
      </c>
      <c r="AC805" t="s">
        <v>4513</v>
      </c>
      <c r="AD805" t="s">
        <v>4648</v>
      </c>
      <c r="AE805" t="s">
        <v>4513</v>
      </c>
      <c r="AF805" t="s">
        <v>4648</v>
      </c>
      <c r="AG805" t="s">
        <v>223</v>
      </c>
      <c r="AH805" t="s">
        <v>4533</v>
      </c>
      <c r="AI805" t="s">
        <v>4515</v>
      </c>
      <c r="AJ805" t="s">
        <v>4532</v>
      </c>
      <c r="AK805" t="s">
        <v>4519</v>
      </c>
      <c r="AL805" t="s">
        <v>4519</v>
      </c>
      <c r="AM805" t="s">
        <v>4510</v>
      </c>
      <c r="AN805" t="s">
        <v>4550</v>
      </c>
      <c r="AO805" s="134">
        <v>107.516290726817</v>
      </c>
      <c r="AP805" s="135">
        <v>118.814621409922</v>
      </c>
      <c r="AQ805">
        <v>0.342036553524804</v>
      </c>
      <c r="AR805" s="136">
        <v>1.31331592689295</v>
      </c>
      <c r="AS805">
        <v>8.6214099216710203</v>
      </c>
      <c r="AU805"/>
      <c r="AV805"/>
      <c r="AW805"/>
      <c r="AX805"/>
    </row>
    <row r="806" spans="1:50" s="69" customFormat="1" ht="121">
      <c r="A806" s="65">
        <v>717</v>
      </c>
      <c r="B806" s="69" t="s">
        <v>1913</v>
      </c>
      <c r="C806" s="69" t="s">
        <v>45</v>
      </c>
      <c r="D806" s="31">
        <f t="shared" si="66"/>
        <v>4</v>
      </c>
      <c r="E806" s="69" t="s">
        <v>80</v>
      </c>
      <c r="F806" s="31">
        <f t="shared" si="67"/>
        <v>4</v>
      </c>
      <c r="G806" s="152" t="s">
        <v>180</v>
      </c>
      <c r="H806" s="138">
        <v>56</v>
      </c>
      <c r="I806" s="92">
        <f t="shared" si="65"/>
        <v>0.41287816005398242</v>
      </c>
      <c r="J806" s="95">
        <v>7.5632010796489201E-4</v>
      </c>
      <c r="K806" s="137">
        <v>0.78071428571428603</v>
      </c>
      <c r="L806" s="137">
        <v>0.82499999999999996</v>
      </c>
      <c r="M806" s="137">
        <v>0.71428571428571397</v>
      </c>
      <c r="N806" s="136">
        <v>1</v>
      </c>
      <c r="O806" s="154">
        <v>43071</v>
      </c>
      <c r="P806" s="98">
        <f t="shared" si="68"/>
        <v>0</v>
      </c>
      <c r="Q806" s="111">
        <v>0</v>
      </c>
      <c r="R806" s="111">
        <v>1.65</v>
      </c>
      <c r="S806" s="111">
        <v>0</v>
      </c>
      <c r="T806" s="112" t="s">
        <v>48</v>
      </c>
      <c r="U806" s="137" t="s">
        <v>1969</v>
      </c>
      <c r="V806" s="137" t="s">
        <v>1970</v>
      </c>
      <c r="W806" s="69">
        <v>184</v>
      </c>
      <c r="X806" s="171">
        <v>2</v>
      </c>
      <c r="Y806" s="171">
        <v>4</v>
      </c>
      <c r="AA806" t="s">
        <v>4522</v>
      </c>
      <c r="AB806" t="s">
        <v>87</v>
      </c>
      <c r="AC806" t="s">
        <v>4513</v>
      </c>
      <c r="AD806" t="s">
        <v>4944</v>
      </c>
      <c r="AE806" t="s">
        <v>4515</v>
      </c>
      <c r="AF806" t="s">
        <v>4582</v>
      </c>
      <c r="AG806" t="s">
        <v>223</v>
      </c>
      <c r="AH806" t="s">
        <v>5007</v>
      </c>
      <c r="AI806" t="s">
        <v>4515</v>
      </c>
      <c r="AJ806" t="s">
        <v>4582</v>
      </c>
      <c r="AK806" t="s">
        <v>4519</v>
      </c>
      <c r="AL806" t="s">
        <v>4519</v>
      </c>
      <c r="AM806" t="s">
        <v>4510</v>
      </c>
      <c r="AN806" t="s">
        <v>4550</v>
      </c>
      <c r="AO806" s="134">
        <v>107.474874371859</v>
      </c>
      <c r="AP806" s="135">
        <v>118.96062992125999</v>
      </c>
      <c r="AQ806">
        <v>0.34383202099737498</v>
      </c>
      <c r="AR806" s="136">
        <v>1.3149606299212599</v>
      </c>
      <c r="AS806">
        <v>8.6509186351705996</v>
      </c>
      <c r="AU806"/>
      <c r="AV806"/>
      <c r="AW806"/>
      <c r="AX806"/>
    </row>
    <row r="807" spans="1:50" s="69" customFormat="1" ht="106">
      <c r="A807" s="65">
        <v>604</v>
      </c>
      <c r="B807" s="69" t="s">
        <v>1628</v>
      </c>
      <c r="C807" s="69" t="s">
        <v>45</v>
      </c>
      <c r="D807" s="31">
        <f t="shared" si="66"/>
        <v>4</v>
      </c>
      <c r="E807" s="69" t="s">
        <v>80</v>
      </c>
      <c r="F807" s="31">
        <f t="shared" si="67"/>
        <v>4</v>
      </c>
      <c r="G807" s="137" t="s">
        <v>1678</v>
      </c>
      <c r="H807" s="138">
        <v>124</v>
      </c>
      <c r="I807" s="92">
        <f t="shared" si="65"/>
        <v>0.41250377137389044</v>
      </c>
      <c r="J807" s="95">
        <v>7.5427477809197896E-6</v>
      </c>
      <c r="K807" s="137">
        <v>0.78071428571428603</v>
      </c>
      <c r="L807" s="137">
        <v>0.82499999999999996</v>
      </c>
      <c r="M807" s="137">
        <v>0.71428571428571397</v>
      </c>
      <c r="N807" s="136">
        <v>1</v>
      </c>
      <c r="O807" s="154">
        <v>43071</v>
      </c>
      <c r="P807" s="98">
        <f t="shared" si="68"/>
        <v>0</v>
      </c>
      <c r="Q807" s="111">
        <v>5.0999999999999996</v>
      </c>
      <c r="R807" s="111">
        <v>0</v>
      </c>
      <c r="S807" s="111">
        <v>1.87</v>
      </c>
      <c r="T807" s="112" t="s">
        <v>48</v>
      </c>
      <c r="U807" s="137" t="s">
        <v>1679</v>
      </c>
      <c r="V807" s="137" t="s">
        <v>1680</v>
      </c>
      <c r="W807" s="69">
        <v>160</v>
      </c>
      <c r="X807" s="69">
        <v>1</v>
      </c>
      <c r="Y807" s="69">
        <v>4</v>
      </c>
      <c r="AA807" t="s">
        <v>4564</v>
      </c>
      <c r="AB807" t="s">
        <v>51</v>
      </c>
      <c r="AC807" t="s">
        <v>4515</v>
      </c>
      <c r="AD807" t="s">
        <v>4714</v>
      </c>
      <c r="AE807" t="s">
        <v>4513</v>
      </c>
      <c r="AF807" t="s">
        <v>4939</v>
      </c>
      <c r="AG807" t="s">
        <v>223</v>
      </c>
      <c r="AH807" t="s">
        <v>4712</v>
      </c>
      <c r="AI807" t="s">
        <v>4515</v>
      </c>
      <c r="AJ807" t="s">
        <v>4714</v>
      </c>
      <c r="AK807" t="s">
        <v>4519</v>
      </c>
      <c r="AL807" t="s">
        <v>4519</v>
      </c>
      <c r="AM807" t="s">
        <v>4510</v>
      </c>
      <c r="AN807" t="s">
        <v>4550</v>
      </c>
      <c r="AO807" s="134">
        <v>107.604534005038</v>
      </c>
      <c r="AP807" s="135">
        <v>118.96062992125999</v>
      </c>
      <c r="AQ807">
        <v>0.34383202099737498</v>
      </c>
      <c r="AR807" s="136">
        <v>1.3149606299212599</v>
      </c>
      <c r="AS807">
        <v>8.6509186351705996</v>
      </c>
      <c r="AU807"/>
      <c r="AV807"/>
      <c r="AW807"/>
      <c r="AX807"/>
    </row>
    <row r="808" spans="1:50" s="69" customFormat="1" ht="106">
      <c r="A808" s="65">
        <v>969</v>
      </c>
      <c r="B808" s="69" t="s">
        <v>2618</v>
      </c>
      <c r="C808" s="69" t="s">
        <v>45</v>
      </c>
      <c r="D808" s="31">
        <f t="shared" si="66"/>
        <v>4</v>
      </c>
      <c r="E808" s="69" t="s">
        <v>46</v>
      </c>
      <c r="F808" s="31">
        <f t="shared" si="67"/>
        <v>6</v>
      </c>
      <c r="G808" s="137" t="s">
        <v>2626</v>
      </c>
      <c r="H808" s="138">
        <v>202</v>
      </c>
      <c r="I808" s="92">
        <f t="shared" si="65"/>
        <v>0.30991735537206055</v>
      </c>
      <c r="J808" s="95">
        <v>3.1907809727726999E-13</v>
      </c>
      <c r="K808" s="137">
        <v>0.54332939787485202</v>
      </c>
      <c r="L808" s="137">
        <v>0.61983471074380203</v>
      </c>
      <c r="M808" s="137">
        <v>0.42857142857142899</v>
      </c>
      <c r="N808" s="136">
        <v>1</v>
      </c>
      <c r="O808" s="154">
        <v>43071</v>
      </c>
      <c r="P808" s="98">
        <f t="shared" si="68"/>
        <v>0</v>
      </c>
      <c r="Q808" s="111">
        <v>0</v>
      </c>
      <c r="R808" s="111">
        <v>0</v>
      </c>
      <c r="S808" s="111">
        <v>0</v>
      </c>
      <c r="T808" s="112" t="s">
        <v>48</v>
      </c>
      <c r="U808" s="137" t="s">
        <v>2627</v>
      </c>
      <c r="V808" s="137" t="s">
        <v>2628</v>
      </c>
      <c r="W808" s="69">
        <v>138</v>
      </c>
      <c r="X808" s="69">
        <v>1</v>
      </c>
      <c r="Y808" s="69">
        <v>16</v>
      </c>
      <c r="AA808" t="s">
        <v>4551</v>
      </c>
      <c r="AB808" t="s">
        <v>87</v>
      </c>
      <c r="AC808" t="s">
        <v>4530</v>
      </c>
      <c r="AD808" t="s">
        <v>4561</v>
      </c>
      <c r="AE808" t="s">
        <v>4513</v>
      </c>
      <c r="AF808" t="s">
        <v>4554</v>
      </c>
      <c r="AG808" t="s">
        <v>223</v>
      </c>
      <c r="AH808" t="s">
        <v>4633</v>
      </c>
      <c r="AI808" t="s">
        <v>223</v>
      </c>
      <c r="AJ808" t="s">
        <v>4633</v>
      </c>
      <c r="AK808" t="s">
        <v>4518</v>
      </c>
      <c r="AL808" t="s">
        <v>4552</v>
      </c>
      <c r="AM808" t="s">
        <v>4528</v>
      </c>
      <c r="AN808" t="s">
        <v>4557</v>
      </c>
      <c r="AO808" s="134">
        <v>107.366161616162</v>
      </c>
      <c r="AP808" s="135">
        <v>118.96062992125999</v>
      </c>
      <c r="AQ808">
        <v>0.34383202099737498</v>
      </c>
      <c r="AR808" s="136">
        <v>1.3149606299212599</v>
      </c>
      <c r="AS808">
        <v>8.6509186351705996</v>
      </c>
      <c r="AU808"/>
      <c r="AV808"/>
      <c r="AW808"/>
      <c r="AX808"/>
    </row>
    <row r="809" spans="1:50" s="69" customFormat="1" ht="46">
      <c r="A809">
        <v>366</v>
      </c>
      <c r="B809" s="69" t="s">
        <v>589</v>
      </c>
      <c r="C809" s="69" t="s">
        <v>45</v>
      </c>
      <c r="D809" s="31">
        <f t="shared" si="66"/>
        <v>4</v>
      </c>
      <c r="E809" s="69" t="s">
        <v>80</v>
      </c>
      <c r="F809" s="31">
        <f t="shared" si="67"/>
        <v>4</v>
      </c>
      <c r="G809" s="137" t="s">
        <v>1059</v>
      </c>
      <c r="H809" s="138">
        <v>54</v>
      </c>
      <c r="I809" s="92">
        <f t="shared" si="65"/>
        <v>0.43569124694966049</v>
      </c>
      <c r="J809" s="95">
        <v>0.121382493899321</v>
      </c>
      <c r="K809" s="137">
        <v>0.73571428571428599</v>
      </c>
      <c r="L809" s="137">
        <v>0.75</v>
      </c>
      <c r="M809" s="137">
        <v>0.71428571428571397</v>
      </c>
      <c r="N809" s="136">
        <v>1</v>
      </c>
      <c r="O809" s="154">
        <v>43070</v>
      </c>
      <c r="P809" s="98">
        <f t="shared" si="68"/>
        <v>0</v>
      </c>
      <c r="Q809" s="111">
        <v>2.5499999999999998</v>
      </c>
      <c r="R809" s="111">
        <v>1.65</v>
      </c>
      <c r="S809" s="111">
        <v>0</v>
      </c>
      <c r="T809" s="112" t="s">
        <v>48</v>
      </c>
      <c r="U809" s="137" t="s">
        <v>1060</v>
      </c>
      <c r="V809" s="137" t="s">
        <v>1061</v>
      </c>
      <c r="W809" s="69">
        <v>55</v>
      </c>
      <c r="X809" s="69">
        <v>1</v>
      </c>
      <c r="Y809" s="69">
        <v>4</v>
      </c>
      <c r="Z809"/>
      <c r="AA809" t="s">
        <v>4512</v>
      </c>
      <c r="AB809" t="s">
        <v>4566</v>
      </c>
      <c r="AC809" t="s">
        <v>4353</v>
      </c>
      <c r="AD809" t="s">
        <v>4506</v>
      </c>
      <c r="AE809" t="s">
        <v>223</v>
      </c>
      <c r="AF809" t="s">
        <v>4590</v>
      </c>
      <c r="AG809" t="s">
        <v>4353</v>
      </c>
      <c r="AH809" t="s">
        <v>4506</v>
      </c>
      <c r="AI809" t="s">
        <v>223</v>
      </c>
      <c r="AJ809" t="s">
        <v>4590</v>
      </c>
      <c r="AK809" t="s">
        <v>4518</v>
      </c>
      <c r="AL809" t="s">
        <v>4552</v>
      </c>
      <c r="AM809" t="s">
        <v>4510</v>
      </c>
      <c r="AN809" t="s">
        <v>4553</v>
      </c>
      <c r="AO809" s="134">
        <v>107.501265822785</v>
      </c>
      <c r="AP809" s="135">
        <v>118.96062992125999</v>
      </c>
      <c r="AQ809">
        <v>0.34383202099737498</v>
      </c>
      <c r="AR809" s="136">
        <v>1.3149606299212599</v>
      </c>
      <c r="AS809">
        <v>8.6509186351705996</v>
      </c>
      <c r="AU809"/>
      <c r="AV809"/>
      <c r="AW809"/>
      <c r="AX809"/>
    </row>
    <row r="810" spans="1:50" s="69" customFormat="1" ht="196">
      <c r="A810">
        <v>1151</v>
      </c>
      <c r="B810" s="69" t="s">
        <v>3117</v>
      </c>
      <c r="C810" s="69" t="s">
        <v>45</v>
      </c>
      <c r="D810" s="31">
        <f t="shared" si="66"/>
        <v>4</v>
      </c>
      <c r="E810" s="69" t="s">
        <v>46</v>
      </c>
      <c r="F810" s="31">
        <f t="shared" si="67"/>
        <v>6</v>
      </c>
      <c r="G810" s="191" t="s">
        <v>3130</v>
      </c>
      <c r="H810" s="138">
        <v>171</v>
      </c>
      <c r="I810" s="92">
        <f t="shared" si="65"/>
        <v>0.3409904236823455</v>
      </c>
      <c r="J810" s="95">
        <v>1.6266554650901099E-4</v>
      </c>
      <c r="K810" s="137">
        <v>0.61956949249917204</v>
      </c>
      <c r="L810" s="137">
        <v>0.68181818181818199</v>
      </c>
      <c r="M810" s="137">
        <v>0.526196458520657</v>
      </c>
      <c r="N810" s="136">
        <v>1</v>
      </c>
      <c r="O810" s="157">
        <v>43070</v>
      </c>
      <c r="P810" s="98">
        <f t="shared" si="68"/>
        <v>1</v>
      </c>
      <c r="Q810" s="113">
        <v>2.5499999999999998</v>
      </c>
      <c r="R810" s="113">
        <v>0</v>
      </c>
      <c r="S810" s="113">
        <v>0</v>
      </c>
      <c r="T810" s="119" t="s">
        <v>73</v>
      </c>
      <c r="U810" s="89" t="s">
        <v>3131</v>
      </c>
      <c r="V810" s="172" t="s">
        <v>3132</v>
      </c>
      <c r="W810" s="69">
        <v>279</v>
      </c>
      <c r="X810" s="171">
        <v>2</v>
      </c>
      <c r="Y810" s="171">
        <v>11</v>
      </c>
      <c r="AA810" t="s">
        <v>4556</v>
      </c>
      <c r="AB810" t="s">
        <v>4594</v>
      </c>
      <c r="AC810" t="s">
        <v>4513</v>
      </c>
      <c r="AD810" t="s">
        <v>5018</v>
      </c>
      <c r="AE810" t="s">
        <v>4513</v>
      </c>
      <c r="AF810" t="s">
        <v>5018</v>
      </c>
      <c r="AG810" t="s">
        <v>223</v>
      </c>
      <c r="AH810" t="s">
        <v>5019</v>
      </c>
      <c r="AI810" t="s">
        <v>223</v>
      </c>
      <c r="AJ810" t="s">
        <v>5019</v>
      </c>
      <c r="AK810" t="s">
        <v>4740</v>
      </c>
      <c r="AL810" t="s">
        <v>4509</v>
      </c>
      <c r="AM810" t="s">
        <v>4510</v>
      </c>
      <c r="AN810" t="s">
        <v>5020</v>
      </c>
      <c r="AO810" s="134">
        <v>107.61421319797</v>
      </c>
      <c r="AP810" s="135">
        <v>118.96062992125999</v>
      </c>
      <c r="AQ810">
        <v>0.34383202099737498</v>
      </c>
      <c r="AR810" s="136">
        <v>1.3149606299212599</v>
      </c>
      <c r="AS810">
        <v>8.6509186351705996</v>
      </c>
      <c r="AU810"/>
      <c r="AV810"/>
      <c r="AW810"/>
      <c r="AX810"/>
    </row>
    <row r="811" spans="1:50" s="69" customFormat="1" ht="106">
      <c r="A811" s="65">
        <v>605</v>
      </c>
      <c r="B811" s="69" t="s">
        <v>1628</v>
      </c>
      <c r="C811" s="69" t="s">
        <v>45</v>
      </c>
      <c r="D811" s="31">
        <f t="shared" si="66"/>
        <v>4</v>
      </c>
      <c r="E811" s="69" t="s">
        <v>80</v>
      </c>
      <c r="F811" s="31">
        <f t="shared" si="67"/>
        <v>4</v>
      </c>
      <c r="G811" s="147" t="s">
        <v>159</v>
      </c>
      <c r="H811" s="138">
        <v>63</v>
      </c>
      <c r="I811" s="92">
        <f t="shared" si="65"/>
        <v>0.41252384798695008</v>
      </c>
      <c r="J811" s="95">
        <v>4.7695973900197002E-5</v>
      </c>
      <c r="K811" s="137">
        <v>0.71429841941895</v>
      </c>
      <c r="L811" s="137">
        <v>0.82499999999999996</v>
      </c>
      <c r="M811" s="137">
        <v>0.54824604854737402</v>
      </c>
      <c r="N811" s="136">
        <v>1</v>
      </c>
      <c r="O811" s="154">
        <v>43070</v>
      </c>
      <c r="P811" s="98">
        <f t="shared" si="68"/>
        <v>0</v>
      </c>
      <c r="Q811" s="111">
        <v>2.5499999999999998</v>
      </c>
      <c r="R811" s="111">
        <v>1.65</v>
      </c>
      <c r="S811" s="111">
        <v>0</v>
      </c>
      <c r="T811" s="112" t="s">
        <v>48</v>
      </c>
      <c r="U811" s="137" t="s">
        <v>1681</v>
      </c>
      <c r="V811" s="137" t="s">
        <v>1682</v>
      </c>
      <c r="W811" s="69">
        <v>160</v>
      </c>
      <c r="X811" s="147">
        <v>1</v>
      </c>
      <c r="Y811" s="147">
        <v>10</v>
      </c>
      <c r="AA811" t="s">
        <v>4556</v>
      </c>
      <c r="AB811" t="s">
        <v>51</v>
      </c>
      <c r="AC811" t="s">
        <v>4515</v>
      </c>
      <c r="AD811" t="s">
        <v>4714</v>
      </c>
      <c r="AE811" t="s">
        <v>4513</v>
      </c>
      <c r="AF811" t="s">
        <v>4939</v>
      </c>
      <c r="AG811" t="s">
        <v>223</v>
      </c>
      <c r="AH811" t="s">
        <v>4712</v>
      </c>
      <c r="AI811" t="s">
        <v>4515</v>
      </c>
      <c r="AJ811" t="s">
        <v>4714</v>
      </c>
      <c r="AK811" t="s">
        <v>4519</v>
      </c>
      <c r="AL811" t="s">
        <v>4519</v>
      </c>
      <c r="AM811" t="s">
        <v>4528</v>
      </c>
      <c r="AN811" t="s">
        <v>4529</v>
      </c>
      <c r="AO811" s="134">
        <v>107.45292620865099</v>
      </c>
      <c r="AP811" s="135">
        <v>118.96062992125999</v>
      </c>
      <c r="AQ811">
        <v>0.34383202099737498</v>
      </c>
      <c r="AR811" s="136">
        <v>1.3149606299212599</v>
      </c>
      <c r="AS811">
        <v>8.6509186351705996</v>
      </c>
      <c r="AU811"/>
      <c r="AV811"/>
      <c r="AW811"/>
      <c r="AX811"/>
    </row>
    <row r="812" spans="1:50" s="69" customFormat="1" ht="121">
      <c r="A812">
        <v>538</v>
      </c>
      <c r="B812" s="69" t="s">
        <v>1222</v>
      </c>
      <c r="C812" s="69" t="s">
        <v>45</v>
      </c>
      <c r="D812" s="31">
        <f t="shared" si="66"/>
        <v>4</v>
      </c>
      <c r="E812" s="69" t="s">
        <v>80</v>
      </c>
      <c r="F812" s="31">
        <f t="shared" si="67"/>
        <v>4</v>
      </c>
      <c r="G812" s="147" t="s">
        <v>1508</v>
      </c>
      <c r="H812" s="138">
        <v>148</v>
      </c>
      <c r="I812" s="92">
        <f t="shared" si="65"/>
        <v>0.37500563676771831</v>
      </c>
      <c r="J812" s="95">
        <v>1.12735354366178E-5</v>
      </c>
      <c r="K812" s="137">
        <v>0.72222468700001197</v>
      </c>
      <c r="L812" s="137">
        <v>0.75</v>
      </c>
      <c r="M812" s="137">
        <v>0.68056171750003003</v>
      </c>
      <c r="N812" s="136">
        <v>1</v>
      </c>
      <c r="O812" s="154">
        <v>43069</v>
      </c>
      <c r="P812" s="98">
        <f t="shared" si="68"/>
        <v>1</v>
      </c>
      <c r="Q812" s="111">
        <v>0</v>
      </c>
      <c r="R812" s="111">
        <v>0</v>
      </c>
      <c r="S812" s="111">
        <v>1.87</v>
      </c>
      <c r="T812" s="112" t="s">
        <v>73</v>
      </c>
      <c r="U812" s="137" t="s">
        <v>1509</v>
      </c>
      <c r="V812" s="147" t="s">
        <v>1510</v>
      </c>
      <c r="W812" s="69">
        <v>160</v>
      </c>
      <c r="X812" s="147">
        <v>1</v>
      </c>
      <c r="Y812" s="147">
        <v>5</v>
      </c>
      <c r="Z812"/>
      <c r="AA812" t="s">
        <v>4512</v>
      </c>
      <c r="AB812" t="s">
        <v>87</v>
      </c>
      <c r="AC812" t="s">
        <v>4530</v>
      </c>
      <c r="AD812" t="s">
        <v>5021</v>
      </c>
      <c r="AE812" t="s">
        <v>4513</v>
      </c>
      <c r="AF812" t="s">
        <v>4939</v>
      </c>
      <c r="AG812" t="s">
        <v>4513</v>
      </c>
      <c r="AH812" t="s">
        <v>4939</v>
      </c>
      <c r="AI812" t="s">
        <v>4515</v>
      </c>
      <c r="AJ812" t="s">
        <v>4714</v>
      </c>
      <c r="AK812" t="s">
        <v>4519</v>
      </c>
      <c r="AL812" t="s">
        <v>4552</v>
      </c>
      <c r="AM812" t="s">
        <v>4510</v>
      </c>
      <c r="AN812" t="s">
        <v>4634</v>
      </c>
      <c r="AO812" s="134">
        <v>107.349489795918</v>
      </c>
      <c r="AP812" s="135">
        <v>118.656084656085</v>
      </c>
      <c r="AQ812">
        <v>0.34391534391534401</v>
      </c>
      <c r="AR812" s="136">
        <v>1.3174603174603201</v>
      </c>
      <c r="AS812">
        <v>8.6904761904761898</v>
      </c>
      <c r="AU812"/>
      <c r="AV812"/>
      <c r="AW812"/>
      <c r="AX812"/>
    </row>
    <row r="813" spans="1:50" s="69" customFormat="1" ht="61">
      <c r="A813" s="65">
        <v>1005</v>
      </c>
      <c r="B813" s="69" t="s">
        <v>2638</v>
      </c>
      <c r="C813" s="69" t="s">
        <v>45</v>
      </c>
      <c r="D813" s="31">
        <f t="shared" si="66"/>
        <v>4</v>
      </c>
      <c r="E813" s="69" t="s">
        <v>80</v>
      </c>
      <c r="F813" s="31">
        <f t="shared" si="67"/>
        <v>4</v>
      </c>
      <c r="G813" s="139" t="s">
        <v>2725</v>
      </c>
      <c r="H813" s="138">
        <v>69</v>
      </c>
      <c r="I813" s="92">
        <f t="shared" si="65"/>
        <v>0.74481440561610401</v>
      </c>
      <c r="J813" s="95">
        <v>0.73962881123220803</v>
      </c>
      <c r="K813" s="137">
        <v>0.72222468700001197</v>
      </c>
      <c r="L813" s="137">
        <v>0.75</v>
      </c>
      <c r="M813" s="137">
        <v>0.68056171750003003</v>
      </c>
      <c r="N813" s="136">
        <v>1</v>
      </c>
      <c r="O813" s="157">
        <v>43068</v>
      </c>
      <c r="P813" s="98">
        <f t="shared" si="68"/>
        <v>1</v>
      </c>
      <c r="Q813" s="124">
        <v>5.0999999999999996</v>
      </c>
      <c r="R813" s="124">
        <v>0</v>
      </c>
      <c r="S813" s="124">
        <v>0</v>
      </c>
      <c r="T813" s="125" t="s">
        <v>73</v>
      </c>
      <c r="U813" s="89" t="s">
        <v>2726</v>
      </c>
      <c r="V813" s="172" t="s">
        <v>2727</v>
      </c>
      <c r="W813" s="69">
        <v>72</v>
      </c>
      <c r="X813" s="69">
        <v>2</v>
      </c>
      <c r="Y813" s="69">
        <v>5</v>
      </c>
      <c r="AA813" t="s">
        <v>4512</v>
      </c>
      <c r="AB813" t="s">
        <v>51</v>
      </c>
      <c r="AC813" t="s">
        <v>223</v>
      </c>
      <c r="AD813" t="s">
        <v>4535</v>
      </c>
      <c r="AE813" t="s">
        <v>4515</v>
      </c>
      <c r="AF813" t="s">
        <v>4534</v>
      </c>
      <c r="AG813" t="s">
        <v>4353</v>
      </c>
      <c r="AH813" t="s">
        <v>4506</v>
      </c>
      <c r="AI813" t="s">
        <v>4353</v>
      </c>
      <c r="AJ813" t="s">
        <v>4506</v>
      </c>
      <c r="AK813" t="s">
        <v>4519</v>
      </c>
      <c r="AL813" t="s">
        <v>4552</v>
      </c>
      <c r="AM813" t="s">
        <v>4510</v>
      </c>
      <c r="AN813" t="s">
        <v>4634</v>
      </c>
      <c r="AO813" s="134">
        <v>107.473145780051</v>
      </c>
      <c r="AP813" s="135">
        <v>118.57599999999999</v>
      </c>
      <c r="AQ813">
        <v>0.34666666666666701</v>
      </c>
      <c r="AR813" s="136">
        <v>1.32</v>
      </c>
      <c r="AS813">
        <v>8.7093333333333298</v>
      </c>
      <c r="AU813"/>
      <c r="AV813"/>
      <c r="AW813"/>
      <c r="AX813"/>
    </row>
    <row r="814" spans="1:50" s="69" customFormat="1" ht="76">
      <c r="A814" s="65">
        <v>836</v>
      </c>
      <c r="B814" s="69" t="s">
        <v>2264</v>
      </c>
      <c r="C814" s="69" t="s">
        <v>45</v>
      </c>
      <c r="D814" s="31">
        <f t="shared" si="66"/>
        <v>4</v>
      </c>
      <c r="E814" s="69" t="s">
        <v>46</v>
      </c>
      <c r="F814" s="31">
        <f t="shared" si="67"/>
        <v>6</v>
      </c>
      <c r="G814" s="137" t="s">
        <v>2275</v>
      </c>
      <c r="H814" s="138">
        <v>96</v>
      </c>
      <c r="I814" s="92">
        <f t="shared" si="65"/>
        <v>0.66116380755804349</v>
      </c>
      <c r="J814" s="95">
        <v>0.49732761511608697</v>
      </c>
      <c r="K814" s="137">
        <v>0.79602566813892095</v>
      </c>
      <c r="L814" s="137">
        <v>0.82499999999999996</v>
      </c>
      <c r="M814" s="137">
        <v>0.75256417034730305</v>
      </c>
      <c r="N814" s="136">
        <v>0</v>
      </c>
      <c r="O814" s="154">
        <v>43068</v>
      </c>
      <c r="P814" s="98">
        <f t="shared" si="68"/>
        <v>0</v>
      </c>
      <c r="Q814" s="113">
        <v>0</v>
      </c>
      <c r="R814" s="113">
        <v>3.3</v>
      </c>
      <c r="S814" s="113">
        <v>1.87</v>
      </c>
      <c r="T814" s="114" t="s">
        <v>48</v>
      </c>
      <c r="U814" s="147" t="s">
        <v>2276</v>
      </c>
      <c r="V814" s="136" t="s">
        <v>2277</v>
      </c>
      <c r="W814" s="69">
        <v>91</v>
      </c>
      <c r="X814" s="171">
        <v>1</v>
      </c>
      <c r="Y814" s="171">
        <v>3</v>
      </c>
      <c r="AA814" t="s">
        <v>4551</v>
      </c>
      <c r="AB814" t="s">
        <v>71</v>
      </c>
      <c r="AC814" t="s">
        <v>4353</v>
      </c>
      <c r="AD814" t="s">
        <v>4506</v>
      </c>
      <c r="AE814" t="s">
        <v>223</v>
      </c>
      <c r="AF814" t="s">
        <v>4689</v>
      </c>
      <c r="AG814" t="s">
        <v>4515</v>
      </c>
      <c r="AH814" t="s">
        <v>4602</v>
      </c>
      <c r="AI814" t="s">
        <v>4353</v>
      </c>
      <c r="AJ814" t="s">
        <v>4506</v>
      </c>
      <c r="AK814" t="s">
        <v>4518</v>
      </c>
      <c r="AL814" t="s">
        <v>4519</v>
      </c>
      <c r="AM814" t="s">
        <v>4510</v>
      </c>
      <c r="AN814" t="s">
        <v>4523</v>
      </c>
      <c r="AO814" s="134">
        <v>107.397435897436</v>
      </c>
      <c r="AP814" s="135">
        <v>118.57599999999999</v>
      </c>
      <c r="AQ814">
        <v>0.34666666666666701</v>
      </c>
      <c r="AR814" s="136">
        <v>1.32</v>
      </c>
      <c r="AS814">
        <v>8.7093333333333298</v>
      </c>
      <c r="AU814"/>
      <c r="AV814"/>
      <c r="AW814"/>
      <c r="AX814"/>
    </row>
    <row r="815" spans="1:50" s="69" customFormat="1" ht="76">
      <c r="A815" s="65">
        <v>837</v>
      </c>
      <c r="B815" s="69" t="s">
        <v>2264</v>
      </c>
      <c r="C815" s="69" t="s">
        <v>45</v>
      </c>
      <c r="D815" s="31">
        <f t="shared" si="66"/>
        <v>4</v>
      </c>
      <c r="E815" s="69" t="s">
        <v>46</v>
      </c>
      <c r="F815" s="31">
        <f t="shared" si="67"/>
        <v>6</v>
      </c>
      <c r="G815" s="137" t="s">
        <v>2278</v>
      </c>
      <c r="H815" s="138">
        <v>96</v>
      </c>
      <c r="I815" s="92">
        <f t="shared" si="65"/>
        <v>0.46400074852141848</v>
      </c>
      <c r="J815" s="95">
        <v>0.103001497042837</v>
      </c>
      <c r="K815" s="137">
        <v>0.79602566813892095</v>
      </c>
      <c r="L815" s="137">
        <v>0.82499999999999996</v>
      </c>
      <c r="M815" s="137">
        <v>0.75256417034730305</v>
      </c>
      <c r="N815" s="136">
        <v>0</v>
      </c>
      <c r="O815" s="154">
        <v>43068</v>
      </c>
      <c r="P815" s="98">
        <f t="shared" si="68"/>
        <v>0</v>
      </c>
      <c r="Q815" s="111">
        <v>0</v>
      </c>
      <c r="R815" s="111">
        <v>1.65</v>
      </c>
      <c r="S815" s="111">
        <v>1.87</v>
      </c>
      <c r="T815" s="112" t="s">
        <v>48</v>
      </c>
      <c r="U815" s="136" t="s">
        <v>2276</v>
      </c>
      <c r="V815" s="136" t="s">
        <v>2277</v>
      </c>
      <c r="W815" s="69">
        <v>91</v>
      </c>
      <c r="X815" s="69">
        <v>1</v>
      </c>
      <c r="Y815" s="69">
        <v>3</v>
      </c>
      <c r="AA815" t="s">
        <v>4551</v>
      </c>
      <c r="AB815" t="s">
        <v>71</v>
      </c>
      <c r="AC815" t="s">
        <v>4353</v>
      </c>
      <c r="AD815" t="s">
        <v>4506</v>
      </c>
      <c r="AE815" t="s">
        <v>223</v>
      </c>
      <c r="AF815" t="s">
        <v>4689</v>
      </c>
      <c r="AG815" t="s">
        <v>4515</v>
      </c>
      <c r="AH815" t="s">
        <v>4602</v>
      </c>
      <c r="AI815" t="s">
        <v>4353</v>
      </c>
      <c r="AJ815" t="s">
        <v>4506</v>
      </c>
      <c r="AK815" t="s">
        <v>4518</v>
      </c>
      <c r="AL815" t="s">
        <v>4519</v>
      </c>
      <c r="AM815" t="s">
        <v>4510</v>
      </c>
      <c r="AN815" t="s">
        <v>4523</v>
      </c>
      <c r="AO815" s="134">
        <v>107.49100257069399</v>
      </c>
      <c r="AP815" s="135">
        <v>118.57599999999999</v>
      </c>
      <c r="AQ815">
        <v>0.34666666666666701</v>
      </c>
      <c r="AR815" s="136">
        <v>1.32</v>
      </c>
      <c r="AS815">
        <v>8.7093333333333298</v>
      </c>
      <c r="AU815"/>
      <c r="AV815"/>
      <c r="AW815"/>
      <c r="AX815"/>
    </row>
    <row r="816" spans="1:50" s="69" customFormat="1" ht="121">
      <c r="A816">
        <v>606</v>
      </c>
      <c r="B816" s="69" t="s">
        <v>1628</v>
      </c>
      <c r="C816" s="69" t="s">
        <v>45</v>
      </c>
      <c r="D816" s="31">
        <f t="shared" si="66"/>
        <v>4</v>
      </c>
      <c r="E816" s="69" t="s">
        <v>80</v>
      </c>
      <c r="F816" s="31">
        <f t="shared" si="67"/>
        <v>4</v>
      </c>
      <c r="G816" s="147" t="s">
        <v>159</v>
      </c>
      <c r="H816" s="138">
        <v>59</v>
      </c>
      <c r="I816" s="92">
        <f t="shared" si="65"/>
        <v>0.42517416131054597</v>
      </c>
      <c r="J816" s="95">
        <v>0.100348322621092</v>
      </c>
      <c r="K816" s="137">
        <v>0.72222468700001197</v>
      </c>
      <c r="L816" s="137">
        <v>0.75</v>
      </c>
      <c r="M816" s="137">
        <v>0.68056171750003003</v>
      </c>
      <c r="N816" s="136">
        <v>1</v>
      </c>
      <c r="O816" s="154">
        <v>43068</v>
      </c>
      <c r="P816" s="98">
        <f t="shared" si="68"/>
        <v>0</v>
      </c>
      <c r="Q816" s="111">
        <v>0</v>
      </c>
      <c r="R816" s="111">
        <v>0</v>
      </c>
      <c r="S816" s="111">
        <v>0</v>
      </c>
      <c r="T816" s="112" t="s">
        <v>48</v>
      </c>
      <c r="U816" s="147" t="s">
        <v>1683</v>
      </c>
      <c r="V816" s="137" t="s">
        <v>1684</v>
      </c>
      <c r="W816" s="69">
        <v>185</v>
      </c>
      <c r="X816" s="147">
        <v>1</v>
      </c>
      <c r="Y816" s="147">
        <v>5</v>
      </c>
      <c r="AA816" t="s">
        <v>4551</v>
      </c>
      <c r="AB816" t="s">
        <v>4827</v>
      </c>
      <c r="AC816" t="s">
        <v>4515</v>
      </c>
      <c r="AD816" t="s">
        <v>4582</v>
      </c>
      <c r="AE816" t="s">
        <v>4515</v>
      </c>
      <c r="AF816" t="s">
        <v>4582</v>
      </c>
      <c r="AG816" t="s">
        <v>223</v>
      </c>
      <c r="AH816" t="s">
        <v>5007</v>
      </c>
      <c r="AI816" t="s">
        <v>4515</v>
      </c>
      <c r="AJ816" t="s">
        <v>4582</v>
      </c>
      <c r="AK816" t="s">
        <v>4519</v>
      </c>
      <c r="AL816" t="s">
        <v>4541</v>
      </c>
      <c r="AM816" t="s">
        <v>4528</v>
      </c>
      <c r="AN816" t="s">
        <v>4542</v>
      </c>
      <c r="AO816" s="134">
        <v>107.520618556701</v>
      </c>
      <c r="AP816" s="135">
        <v>118.57599999999999</v>
      </c>
      <c r="AQ816">
        <v>0.34666666666666701</v>
      </c>
      <c r="AR816" s="136">
        <v>1.32</v>
      </c>
      <c r="AS816">
        <v>8.7093333333333298</v>
      </c>
      <c r="AU816"/>
      <c r="AV816"/>
      <c r="AW816"/>
      <c r="AX816"/>
    </row>
    <row r="817" spans="1:50" s="69" customFormat="1" ht="76">
      <c r="A817" s="65">
        <v>820</v>
      </c>
      <c r="B817" s="69" t="s">
        <v>2179</v>
      </c>
      <c r="C817" s="69" t="s">
        <v>45</v>
      </c>
      <c r="D817" s="31">
        <f t="shared" si="66"/>
        <v>4</v>
      </c>
      <c r="E817" s="69" t="s">
        <v>46</v>
      </c>
      <c r="F817" s="31">
        <f t="shared" si="67"/>
        <v>6</v>
      </c>
      <c r="G817" s="209" t="s">
        <v>2233</v>
      </c>
      <c r="H817" s="138">
        <v>137</v>
      </c>
      <c r="I817" s="92">
        <f t="shared" si="65"/>
        <v>0.37818808166056195</v>
      </c>
      <c r="J817" s="95">
        <v>6.3761633211238903E-3</v>
      </c>
      <c r="K817" s="137">
        <v>0.643968498544915</v>
      </c>
      <c r="L817" s="137">
        <v>0.75</v>
      </c>
      <c r="M817" s="137">
        <v>0.48492124636228701</v>
      </c>
      <c r="N817" s="136">
        <v>1</v>
      </c>
      <c r="O817" s="154">
        <v>43068</v>
      </c>
      <c r="P817" s="98">
        <f t="shared" si="68"/>
        <v>0</v>
      </c>
      <c r="Q817" s="113">
        <v>0</v>
      </c>
      <c r="R817" s="113">
        <v>3.3</v>
      </c>
      <c r="S817" s="113">
        <v>0</v>
      </c>
      <c r="T817" s="114" t="s">
        <v>48</v>
      </c>
      <c r="U817" s="136" t="s">
        <v>2234</v>
      </c>
      <c r="V817" s="136" t="s">
        <v>2235</v>
      </c>
      <c r="W817" s="69">
        <v>60</v>
      </c>
      <c r="X817" s="171">
        <v>0</v>
      </c>
      <c r="Y817" s="171">
        <v>13</v>
      </c>
      <c r="AA817" t="s">
        <v>4512</v>
      </c>
      <c r="AB817" t="s">
        <v>51</v>
      </c>
      <c r="AC817" t="s">
        <v>223</v>
      </c>
      <c r="AD817" t="s">
        <v>4762</v>
      </c>
      <c r="AE817" t="s">
        <v>4515</v>
      </c>
      <c r="AF817" t="s">
        <v>4763</v>
      </c>
      <c r="AG817" t="s">
        <v>223</v>
      </c>
      <c r="AH817" t="s">
        <v>4762</v>
      </c>
      <c r="AI817" t="s">
        <v>4353</v>
      </c>
      <c r="AJ817" t="s">
        <v>4506</v>
      </c>
      <c r="AK817" t="s">
        <v>4578</v>
      </c>
      <c r="AL817" t="s">
        <v>4519</v>
      </c>
      <c r="AM817" t="s">
        <v>4520</v>
      </c>
      <c r="AN817" t="s">
        <v>4903</v>
      </c>
      <c r="AO817" s="134">
        <v>107.550387596899</v>
      </c>
      <c r="AP817" s="135">
        <v>118.57599999999999</v>
      </c>
      <c r="AQ817">
        <v>0.34666666666666701</v>
      </c>
      <c r="AR817" s="136">
        <v>1.32</v>
      </c>
      <c r="AS817">
        <v>8.7093333333333298</v>
      </c>
      <c r="AU817"/>
      <c r="AV817"/>
      <c r="AW817"/>
      <c r="AX817"/>
    </row>
    <row r="818" spans="1:50" s="69" customFormat="1" ht="76">
      <c r="A818">
        <v>950</v>
      </c>
      <c r="B818" s="69" t="s">
        <v>2510</v>
      </c>
      <c r="C818" s="69" t="s">
        <v>45</v>
      </c>
      <c r="D818" s="31">
        <f t="shared" si="66"/>
        <v>4</v>
      </c>
      <c r="E818" s="69" t="s">
        <v>80</v>
      </c>
      <c r="F818" s="31">
        <f t="shared" si="67"/>
        <v>4</v>
      </c>
      <c r="G818" s="169" t="s">
        <v>2580</v>
      </c>
      <c r="H818" s="138">
        <v>63</v>
      </c>
      <c r="I818" s="92">
        <f t="shared" si="65"/>
        <v>0.37723590951543756</v>
      </c>
      <c r="J818" s="95">
        <v>4.4718190308751203E-3</v>
      </c>
      <c r="K818" s="137">
        <v>0.643968498544915</v>
      </c>
      <c r="L818" s="137">
        <v>0.75</v>
      </c>
      <c r="M818" s="137">
        <v>0.48492124636228701</v>
      </c>
      <c r="N818" s="136">
        <v>1</v>
      </c>
      <c r="O818" s="194">
        <v>43068</v>
      </c>
      <c r="P818" s="98">
        <f t="shared" si="68"/>
        <v>2</v>
      </c>
      <c r="Q818" s="111">
        <v>0</v>
      </c>
      <c r="R818" s="111">
        <v>0</v>
      </c>
      <c r="S818" s="111">
        <v>1.87</v>
      </c>
      <c r="T818" s="112" t="s">
        <v>64</v>
      </c>
      <c r="U818" s="137" t="s">
        <v>2581</v>
      </c>
      <c r="V818" s="137" t="s">
        <v>2582</v>
      </c>
      <c r="W818" s="69">
        <v>98</v>
      </c>
      <c r="X818" s="69">
        <v>1</v>
      </c>
      <c r="Y818" s="69">
        <v>13</v>
      </c>
      <c r="AA818" t="s">
        <v>4522</v>
      </c>
      <c r="AB818" t="s">
        <v>4594</v>
      </c>
      <c r="AC818" t="s">
        <v>4515</v>
      </c>
      <c r="AD818" t="s">
        <v>4654</v>
      </c>
      <c r="AE818" t="s">
        <v>4515</v>
      </c>
      <c r="AF818" t="s">
        <v>4654</v>
      </c>
      <c r="AG818" t="s">
        <v>223</v>
      </c>
      <c r="AH818" t="s">
        <v>4655</v>
      </c>
      <c r="AI818" t="s">
        <v>4353</v>
      </c>
      <c r="AJ818" t="s">
        <v>4506</v>
      </c>
      <c r="AK818" t="s">
        <v>4519</v>
      </c>
      <c r="AL818" t="s">
        <v>4552</v>
      </c>
      <c r="AM818" t="s">
        <v>4510</v>
      </c>
      <c r="AN818" t="s">
        <v>4634</v>
      </c>
      <c r="AO818" s="134">
        <v>107.66580310880801</v>
      </c>
      <c r="AP818" s="135">
        <v>118.57599999999999</v>
      </c>
      <c r="AQ818">
        <v>0.34666666666666701</v>
      </c>
      <c r="AR818" s="136">
        <v>1.32</v>
      </c>
      <c r="AS818">
        <v>8.7093333333333298</v>
      </c>
      <c r="AU818"/>
      <c r="AV818"/>
      <c r="AW818"/>
      <c r="AX818"/>
    </row>
    <row r="819" spans="1:50" s="69" customFormat="1" ht="76">
      <c r="A819">
        <v>835</v>
      </c>
      <c r="B819" s="69" t="s">
        <v>2264</v>
      </c>
      <c r="C819" s="69" t="s">
        <v>45</v>
      </c>
      <c r="D819" s="31">
        <f t="shared" si="66"/>
        <v>4</v>
      </c>
      <c r="E819" s="69" t="s">
        <v>80</v>
      </c>
      <c r="F819" s="31">
        <f t="shared" si="67"/>
        <v>4</v>
      </c>
      <c r="G819" s="152" t="s">
        <v>159</v>
      </c>
      <c r="H819" s="138">
        <v>71</v>
      </c>
      <c r="I819" s="92">
        <f t="shared" si="65"/>
        <v>0.4125005055571202</v>
      </c>
      <c r="J819" s="95">
        <v>1.0111142404456401E-6</v>
      </c>
      <c r="K819" s="137">
        <v>0.68896849854491504</v>
      </c>
      <c r="L819" s="137">
        <v>0.82499999999999996</v>
      </c>
      <c r="M819" s="137">
        <v>0.48492124636228701</v>
      </c>
      <c r="N819" s="136">
        <v>1</v>
      </c>
      <c r="O819" s="154">
        <v>43068</v>
      </c>
      <c r="P819" s="98">
        <f t="shared" si="68"/>
        <v>0</v>
      </c>
      <c r="Q819" s="113">
        <v>0</v>
      </c>
      <c r="R819" s="113">
        <v>0</v>
      </c>
      <c r="S819" s="113">
        <v>1.87</v>
      </c>
      <c r="T819" s="114" t="s">
        <v>48</v>
      </c>
      <c r="U819" s="136" t="s">
        <v>2274</v>
      </c>
      <c r="V819" s="136" t="s">
        <v>2271</v>
      </c>
      <c r="W819" s="69">
        <v>97</v>
      </c>
      <c r="X819" s="171">
        <v>1</v>
      </c>
      <c r="Y819" s="171">
        <v>13</v>
      </c>
      <c r="AA819" t="s">
        <v>4512</v>
      </c>
      <c r="AB819" t="s">
        <v>71</v>
      </c>
      <c r="AC819" t="s">
        <v>223</v>
      </c>
      <c r="AD819" t="s">
        <v>4655</v>
      </c>
      <c r="AE819" t="s">
        <v>223</v>
      </c>
      <c r="AF819" t="s">
        <v>4655</v>
      </c>
      <c r="AG819" t="s">
        <v>4515</v>
      </c>
      <c r="AH819" t="s">
        <v>4654</v>
      </c>
      <c r="AI819" t="s">
        <v>4353</v>
      </c>
      <c r="AJ819" t="s">
        <v>4506</v>
      </c>
      <c r="AK819" t="s">
        <v>4518</v>
      </c>
      <c r="AL819" t="s">
        <v>4519</v>
      </c>
      <c r="AM819" t="s">
        <v>4520</v>
      </c>
      <c r="AN819" t="s">
        <v>4521</v>
      </c>
      <c r="AO819" s="134">
        <v>107.766233766234</v>
      </c>
      <c r="AP819" s="135">
        <v>118.57599999999999</v>
      </c>
      <c r="AQ819">
        <v>0.34666666666666701</v>
      </c>
      <c r="AR819" s="136">
        <v>1.32</v>
      </c>
      <c r="AS819">
        <v>8.7093333333333298</v>
      </c>
      <c r="AU819"/>
      <c r="AV819"/>
      <c r="AW819"/>
      <c r="AX819"/>
    </row>
    <row r="820" spans="1:50" s="69" customFormat="1" ht="121">
      <c r="A820" s="65">
        <v>912</v>
      </c>
      <c r="B820" s="69" t="s">
        <v>2418</v>
      </c>
      <c r="C820" s="69" t="s">
        <v>45</v>
      </c>
      <c r="D820" s="31">
        <f t="shared" si="66"/>
        <v>4</v>
      </c>
      <c r="E820" s="69" t="s">
        <v>80</v>
      </c>
      <c r="F820" s="31">
        <f t="shared" si="67"/>
        <v>4</v>
      </c>
      <c r="G820" s="137" t="s">
        <v>2489</v>
      </c>
      <c r="H820" s="138">
        <v>48</v>
      </c>
      <c r="I820" s="92">
        <f t="shared" si="65"/>
        <v>0.63383126530366396</v>
      </c>
      <c r="J820" s="95">
        <v>0.44266253060732802</v>
      </c>
      <c r="K820" s="137">
        <v>0.83785714285714297</v>
      </c>
      <c r="L820" s="137">
        <v>0.82499999999999996</v>
      </c>
      <c r="M820" s="137">
        <v>0.85714285714285698</v>
      </c>
      <c r="N820" s="136">
        <v>1</v>
      </c>
      <c r="O820" s="154">
        <v>43067</v>
      </c>
      <c r="P820" s="98">
        <f t="shared" si="68"/>
        <v>2</v>
      </c>
      <c r="Q820" s="111">
        <v>0</v>
      </c>
      <c r="R820" s="111">
        <v>1.65</v>
      </c>
      <c r="S820" s="111">
        <v>0</v>
      </c>
      <c r="T820" s="112" t="s">
        <v>64</v>
      </c>
      <c r="U820" s="147" t="s">
        <v>2490</v>
      </c>
      <c r="V820" s="137" t="s">
        <v>4439</v>
      </c>
      <c r="W820" s="69">
        <v>180</v>
      </c>
      <c r="X820" s="171">
        <v>1</v>
      </c>
      <c r="Y820" s="171">
        <v>1</v>
      </c>
      <c r="AA820" t="s">
        <v>4522</v>
      </c>
      <c r="AB820" t="s">
        <v>358</v>
      </c>
      <c r="AC820" t="s">
        <v>223</v>
      </c>
      <c r="AD820" t="s">
        <v>4802</v>
      </c>
      <c r="AE820" t="s">
        <v>223</v>
      </c>
      <c r="AF820" t="s">
        <v>4802</v>
      </c>
      <c r="AG820" t="s">
        <v>223</v>
      </c>
      <c r="AH820" t="s">
        <v>4802</v>
      </c>
      <c r="AI820" t="s">
        <v>4515</v>
      </c>
      <c r="AJ820" t="s">
        <v>4540</v>
      </c>
      <c r="AK820" t="s">
        <v>4519</v>
      </c>
      <c r="AL820" t="s">
        <v>4519</v>
      </c>
      <c r="AM820" t="s">
        <v>4510</v>
      </c>
      <c r="AN820" t="s">
        <v>4550</v>
      </c>
      <c r="AO820" s="134">
        <v>107.963541666667</v>
      </c>
      <c r="AP820" s="135">
        <v>118.64343163538901</v>
      </c>
      <c r="AQ820">
        <v>0.34852546916890098</v>
      </c>
      <c r="AR820" s="136">
        <v>1.32171581769437</v>
      </c>
      <c r="AS820">
        <v>8.7024128686327096</v>
      </c>
      <c r="AU820"/>
      <c r="AV820"/>
      <c r="AW820"/>
      <c r="AX820"/>
    </row>
    <row r="821" spans="1:50" s="69" customFormat="1" ht="106">
      <c r="A821">
        <v>50</v>
      </c>
      <c r="B821" s="136" t="s">
        <v>170</v>
      </c>
      <c r="C821" s="136" t="s">
        <v>45</v>
      </c>
      <c r="D821" s="31">
        <f t="shared" si="66"/>
        <v>4</v>
      </c>
      <c r="E821" s="136" t="s">
        <v>46</v>
      </c>
      <c r="F821" s="31">
        <f t="shared" si="67"/>
        <v>6</v>
      </c>
      <c r="G821" s="137" t="s">
        <v>198</v>
      </c>
      <c r="H821" s="138">
        <v>32</v>
      </c>
      <c r="I821" s="92">
        <f t="shared" si="65"/>
        <v>0.3843329166643214</v>
      </c>
      <c r="J821" s="95">
        <v>1.86658333286428E-2</v>
      </c>
      <c r="K821" s="137">
        <v>0.76918779643582302</v>
      </c>
      <c r="L821" s="137">
        <v>0.75</v>
      </c>
      <c r="M821" s="137">
        <v>0.79796949108955795</v>
      </c>
      <c r="N821" s="136">
        <v>1</v>
      </c>
      <c r="O821" s="154">
        <v>43067</v>
      </c>
      <c r="P821" s="98">
        <f t="shared" si="68"/>
        <v>0</v>
      </c>
      <c r="Q821" s="107">
        <v>2.5499999999999998</v>
      </c>
      <c r="R821" s="107">
        <v>0</v>
      </c>
      <c r="S821" s="107">
        <v>0</v>
      </c>
      <c r="T821" s="108" t="s">
        <v>48</v>
      </c>
      <c r="U821" s="169" t="s">
        <v>198</v>
      </c>
      <c r="V821" s="136" t="s">
        <v>199</v>
      </c>
      <c r="W821" s="69">
        <v>135</v>
      </c>
      <c r="X821" s="136">
        <v>1</v>
      </c>
      <c r="Y821" s="136">
        <v>2</v>
      </c>
      <c r="Z821"/>
      <c r="AA821" t="s">
        <v>4564</v>
      </c>
      <c r="AB821" t="s">
        <v>51</v>
      </c>
      <c r="AC821" t="s">
        <v>4353</v>
      </c>
      <c r="AD821" t="s">
        <v>4506</v>
      </c>
      <c r="AE821" t="s">
        <v>4538</v>
      </c>
      <c r="AF821" t="s">
        <v>5022</v>
      </c>
      <c r="AG821" t="s">
        <v>4515</v>
      </c>
      <c r="AH821" t="s">
        <v>4684</v>
      </c>
      <c r="AI821" t="s">
        <v>4515</v>
      </c>
      <c r="AJ821" t="s">
        <v>4684</v>
      </c>
      <c r="AK821" t="s">
        <v>4519</v>
      </c>
      <c r="AL821" t="s">
        <v>4519</v>
      </c>
      <c r="AM821" t="s">
        <v>4528</v>
      </c>
      <c r="AN821" t="s">
        <v>4529</v>
      </c>
      <c r="AO821" s="134">
        <v>107.804177545692</v>
      </c>
      <c r="AP821" s="135">
        <v>118.64343163538901</v>
      </c>
      <c r="AQ821">
        <v>0.34852546916890098</v>
      </c>
      <c r="AR821" s="136">
        <v>1.32171581769437</v>
      </c>
      <c r="AS821">
        <v>8.7024128686327096</v>
      </c>
      <c r="AU821"/>
      <c r="AV821"/>
      <c r="AW821"/>
      <c r="AX821"/>
    </row>
    <row r="822" spans="1:50" s="69" customFormat="1" ht="121">
      <c r="A822">
        <v>718</v>
      </c>
      <c r="B822" s="69" t="s">
        <v>1913</v>
      </c>
      <c r="C822" s="69" t="s">
        <v>45</v>
      </c>
      <c r="D822" s="31">
        <f t="shared" si="66"/>
        <v>4</v>
      </c>
      <c r="E822" s="69" t="s">
        <v>46</v>
      </c>
      <c r="F822" s="31">
        <f t="shared" si="67"/>
        <v>6</v>
      </c>
      <c r="G822" s="137" t="s">
        <v>1971</v>
      </c>
      <c r="H822" s="138">
        <v>169</v>
      </c>
      <c r="I822" s="92">
        <f t="shared" si="65"/>
        <v>0.41250322511239473</v>
      </c>
      <c r="J822" s="95">
        <v>6.4502247895115204E-6</v>
      </c>
      <c r="K822" s="137">
        <v>0.68896849854491504</v>
      </c>
      <c r="L822" s="137">
        <v>0.82499999999999996</v>
      </c>
      <c r="M822" s="137">
        <v>0.48492124636228701</v>
      </c>
      <c r="N822" s="136">
        <v>1</v>
      </c>
      <c r="O822" s="154">
        <v>43067</v>
      </c>
      <c r="P822" s="98">
        <f t="shared" si="68"/>
        <v>0</v>
      </c>
      <c r="Q822" s="111">
        <v>5.0999999999999996</v>
      </c>
      <c r="R822" s="111">
        <v>0</v>
      </c>
      <c r="S822" s="111">
        <v>0</v>
      </c>
      <c r="T822" s="112" t="s">
        <v>48</v>
      </c>
      <c r="U822" s="137" t="s">
        <v>1972</v>
      </c>
      <c r="V822" s="137" t="s">
        <v>1973</v>
      </c>
      <c r="W822" s="69">
        <v>178</v>
      </c>
      <c r="X822" s="69">
        <v>2</v>
      </c>
      <c r="Y822" s="69">
        <v>13</v>
      </c>
      <c r="AA822" t="s">
        <v>4543</v>
      </c>
      <c r="AB822" t="s">
        <v>87</v>
      </c>
      <c r="AC822" t="s">
        <v>4513</v>
      </c>
      <c r="AD822" t="s">
        <v>4590</v>
      </c>
      <c r="AE822" t="s">
        <v>4515</v>
      </c>
      <c r="AF822" t="s">
        <v>4705</v>
      </c>
      <c r="AG822" t="s">
        <v>223</v>
      </c>
      <c r="AH822" t="s">
        <v>4637</v>
      </c>
      <c r="AI822" t="s">
        <v>4515</v>
      </c>
      <c r="AJ822" t="s">
        <v>4705</v>
      </c>
      <c r="AK822" t="s">
        <v>4519</v>
      </c>
      <c r="AL822" t="s">
        <v>4519</v>
      </c>
      <c r="AM822" t="s">
        <v>4528</v>
      </c>
      <c r="AN822" t="s">
        <v>4529</v>
      </c>
      <c r="AO822" s="134">
        <v>107.960732984293</v>
      </c>
      <c r="AP822" s="135">
        <v>118.64343163538901</v>
      </c>
      <c r="AQ822">
        <v>0.34852546916890098</v>
      </c>
      <c r="AR822" s="136">
        <v>1.32171581769437</v>
      </c>
      <c r="AS822">
        <v>8.7024128686327096</v>
      </c>
      <c r="AU822"/>
      <c r="AV822"/>
      <c r="AW822"/>
      <c r="AX822"/>
    </row>
    <row r="823" spans="1:50" s="69" customFormat="1" ht="121">
      <c r="A823" s="65">
        <v>37</v>
      </c>
      <c r="B823" s="136" t="s">
        <v>115</v>
      </c>
      <c r="C823" s="136" t="s">
        <v>45</v>
      </c>
      <c r="D823" s="31">
        <f t="shared" si="66"/>
        <v>4</v>
      </c>
      <c r="E823" s="136" t="s">
        <v>80</v>
      </c>
      <c r="F823" s="31">
        <f t="shared" si="67"/>
        <v>4</v>
      </c>
      <c r="G823" s="137" t="s">
        <v>159</v>
      </c>
      <c r="H823" s="138">
        <v>50</v>
      </c>
      <c r="I823" s="92">
        <f t="shared" si="65"/>
        <v>0.86096628679454046</v>
      </c>
      <c r="J823" s="95">
        <v>0.97193257358908103</v>
      </c>
      <c r="K823" s="137">
        <v>0.66047858340826304</v>
      </c>
      <c r="L823" s="137">
        <v>0.75</v>
      </c>
      <c r="M823" s="137">
        <v>0.526196458520657</v>
      </c>
      <c r="N823" s="136">
        <v>1</v>
      </c>
      <c r="O823" s="154">
        <v>43066</v>
      </c>
      <c r="P823" s="98">
        <f t="shared" si="68"/>
        <v>0</v>
      </c>
      <c r="Q823" s="111">
        <v>7.65</v>
      </c>
      <c r="R823" s="111">
        <v>0</v>
      </c>
      <c r="S823" s="111">
        <v>0</v>
      </c>
      <c r="T823" s="112" t="s">
        <v>48</v>
      </c>
      <c r="U823" s="137" t="s">
        <v>160</v>
      </c>
      <c r="V823" s="136" t="s">
        <v>158</v>
      </c>
      <c r="W823" s="69">
        <v>177</v>
      </c>
      <c r="X823" s="136">
        <v>1</v>
      </c>
      <c r="Y823" s="136">
        <v>11</v>
      </c>
      <c r="Z823"/>
      <c r="AA823" t="s">
        <v>4551</v>
      </c>
      <c r="AB823" t="s">
        <v>71</v>
      </c>
      <c r="AC823" t="s">
        <v>223</v>
      </c>
      <c r="AD823" t="s">
        <v>4818</v>
      </c>
      <c r="AE823" t="s">
        <v>4515</v>
      </c>
      <c r="AF823" t="s">
        <v>4900</v>
      </c>
      <c r="AG823" t="s">
        <v>4530</v>
      </c>
      <c r="AH823" t="s">
        <v>5023</v>
      </c>
      <c r="AI823" t="s">
        <v>4515</v>
      </c>
      <c r="AJ823" t="s">
        <v>4900</v>
      </c>
      <c r="AK823" t="s">
        <v>4518</v>
      </c>
      <c r="AL823" t="s">
        <v>4541</v>
      </c>
      <c r="AM823" t="s">
        <v>4528</v>
      </c>
      <c r="AN823" t="s">
        <v>4878</v>
      </c>
      <c r="AO823" s="134">
        <v>107.939632545932</v>
      </c>
      <c r="AP823" s="135">
        <v>118.586021505376</v>
      </c>
      <c r="AQ823">
        <v>0.34677419354838701</v>
      </c>
      <c r="AR823" s="136">
        <v>1.31989247311828</v>
      </c>
      <c r="AS823">
        <v>8.7123655913978499</v>
      </c>
      <c r="AU823"/>
      <c r="AV823"/>
      <c r="AW823"/>
      <c r="AX823"/>
    </row>
    <row r="824" spans="1:50" s="69" customFormat="1" ht="121">
      <c r="A824" s="65">
        <v>36</v>
      </c>
      <c r="B824" s="136" t="s">
        <v>115</v>
      </c>
      <c r="C824" s="136" t="s">
        <v>45</v>
      </c>
      <c r="D824" s="31">
        <f t="shared" si="66"/>
        <v>4</v>
      </c>
      <c r="E824" s="136" t="s">
        <v>46</v>
      </c>
      <c r="F824" s="31">
        <f t="shared" si="67"/>
        <v>6</v>
      </c>
      <c r="G824" s="137" t="s">
        <v>156</v>
      </c>
      <c r="H824" s="138">
        <v>116</v>
      </c>
      <c r="I824" s="92">
        <f t="shared" si="65"/>
        <v>0.74406494893636699</v>
      </c>
      <c r="J824" s="95">
        <v>0.73812989787273398</v>
      </c>
      <c r="K824" s="137">
        <v>0.66047858340826304</v>
      </c>
      <c r="L824" s="137">
        <v>0.75</v>
      </c>
      <c r="M824" s="137">
        <v>0.526196458520657</v>
      </c>
      <c r="N824" s="136">
        <v>1</v>
      </c>
      <c r="O824" s="154">
        <v>43066</v>
      </c>
      <c r="P824" s="98">
        <f t="shared" si="68"/>
        <v>0</v>
      </c>
      <c r="Q824" s="113">
        <v>5.0999999999999996</v>
      </c>
      <c r="R824" s="113">
        <v>0</v>
      </c>
      <c r="S824" s="113">
        <v>1.87</v>
      </c>
      <c r="T824" s="114" t="s">
        <v>48</v>
      </c>
      <c r="U824" s="136" t="s">
        <v>157</v>
      </c>
      <c r="V824" s="136" t="s">
        <v>158</v>
      </c>
      <c r="W824" s="69">
        <v>177</v>
      </c>
      <c r="X824" s="136">
        <v>1</v>
      </c>
      <c r="Y824" s="136">
        <v>11</v>
      </c>
      <c r="Z824"/>
      <c r="AA824" t="s">
        <v>4942</v>
      </c>
      <c r="AB824" t="s">
        <v>71</v>
      </c>
      <c r="AC824" t="s">
        <v>223</v>
      </c>
      <c r="AD824" t="s">
        <v>4818</v>
      </c>
      <c r="AE824" t="s">
        <v>4515</v>
      </c>
      <c r="AF824" t="s">
        <v>4900</v>
      </c>
      <c r="AG824" t="s">
        <v>4530</v>
      </c>
      <c r="AH824" t="s">
        <v>5023</v>
      </c>
      <c r="AI824" t="s">
        <v>4515</v>
      </c>
      <c r="AJ824" t="s">
        <v>4900</v>
      </c>
      <c r="AK824" t="s">
        <v>4508</v>
      </c>
      <c r="AL824" t="s">
        <v>4552</v>
      </c>
      <c r="AM824" t="s">
        <v>4510</v>
      </c>
      <c r="AN824" t="s">
        <v>5024</v>
      </c>
      <c r="AO824" s="134">
        <v>108.092105263158</v>
      </c>
      <c r="AP824" s="135">
        <v>118.586021505376</v>
      </c>
      <c r="AQ824">
        <v>0.34677419354838701</v>
      </c>
      <c r="AR824" s="136">
        <v>1.31989247311828</v>
      </c>
      <c r="AS824">
        <v>8.7123655913978499</v>
      </c>
      <c r="AU824"/>
      <c r="AV824"/>
      <c r="AW824"/>
      <c r="AX824"/>
    </row>
    <row r="825" spans="1:50" s="69" customFormat="1" ht="106">
      <c r="A825">
        <v>115</v>
      </c>
      <c r="B825" s="69" t="s">
        <v>217</v>
      </c>
      <c r="C825" s="69" t="s">
        <v>45</v>
      </c>
      <c r="D825" s="31">
        <f t="shared" si="66"/>
        <v>4</v>
      </c>
      <c r="E825" s="69" t="s">
        <v>80</v>
      </c>
      <c r="F825" s="31">
        <f t="shared" si="67"/>
        <v>4</v>
      </c>
      <c r="G825" s="147" t="s">
        <v>359</v>
      </c>
      <c r="H825" s="138">
        <v>41</v>
      </c>
      <c r="I825" s="92">
        <f t="shared" si="65"/>
        <v>0.42402547617556774</v>
      </c>
      <c r="J825" s="95">
        <v>2.3050952351135499E-2</v>
      </c>
      <c r="K825" s="137">
        <v>0.79602566813892095</v>
      </c>
      <c r="L825" s="137">
        <v>0.82499999999999996</v>
      </c>
      <c r="M825" s="137">
        <v>0.75256417034730305</v>
      </c>
      <c r="N825" s="136">
        <v>1</v>
      </c>
      <c r="O825" s="154">
        <v>43066</v>
      </c>
      <c r="P825" s="98">
        <f t="shared" si="68"/>
        <v>0</v>
      </c>
      <c r="Q825" s="111">
        <v>7.65</v>
      </c>
      <c r="R825" s="111">
        <v>0</v>
      </c>
      <c r="S825" s="111">
        <v>0</v>
      </c>
      <c r="T825" s="112" t="s">
        <v>48</v>
      </c>
      <c r="U825" s="137" t="s">
        <v>380</v>
      </c>
      <c r="V825" s="136" t="s">
        <v>381</v>
      </c>
      <c r="W825" s="69">
        <v>161</v>
      </c>
      <c r="X825" s="69">
        <v>1</v>
      </c>
      <c r="Y825" s="69">
        <v>3</v>
      </c>
      <c r="Z825"/>
      <c r="AA825" t="s">
        <v>4556</v>
      </c>
      <c r="AB825" t="s">
        <v>51</v>
      </c>
      <c r="AC825" t="s">
        <v>4515</v>
      </c>
      <c r="AD825" t="s">
        <v>4635</v>
      </c>
      <c r="AE825" t="s">
        <v>4513</v>
      </c>
      <c r="AF825" t="s">
        <v>4759</v>
      </c>
      <c r="AG825" t="s">
        <v>223</v>
      </c>
      <c r="AH825" t="s">
        <v>4895</v>
      </c>
      <c r="AI825" t="s">
        <v>4515</v>
      </c>
      <c r="AJ825" t="s">
        <v>4635</v>
      </c>
      <c r="AK825" t="s">
        <v>4518</v>
      </c>
      <c r="AL825" t="s">
        <v>4552</v>
      </c>
      <c r="AM825" t="s">
        <v>4528</v>
      </c>
      <c r="AN825" t="s">
        <v>4557</v>
      </c>
      <c r="AO825" s="134">
        <v>108.269129287599</v>
      </c>
      <c r="AP825" s="135">
        <v>118.586021505376</v>
      </c>
      <c r="AQ825">
        <v>0.34677419354838701</v>
      </c>
      <c r="AR825" s="136">
        <v>1.31989247311828</v>
      </c>
      <c r="AS825">
        <v>8.7123655913978499</v>
      </c>
      <c r="AU825"/>
      <c r="AV825"/>
      <c r="AW825"/>
      <c r="AX825"/>
    </row>
    <row r="826" spans="1:50" s="69" customFormat="1" ht="121">
      <c r="A826">
        <v>38</v>
      </c>
      <c r="B826" s="136" t="s">
        <v>115</v>
      </c>
      <c r="C826" s="136" t="s">
        <v>45</v>
      </c>
      <c r="D826" s="31">
        <f t="shared" si="66"/>
        <v>4</v>
      </c>
      <c r="E826" s="136" t="s">
        <v>80</v>
      </c>
      <c r="F826" s="31">
        <f t="shared" si="67"/>
        <v>4</v>
      </c>
      <c r="G826" s="137" t="s">
        <v>161</v>
      </c>
      <c r="H826" s="138">
        <v>37</v>
      </c>
      <c r="I826" s="92">
        <f t="shared" si="65"/>
        <v>0.84478172944837704</v>
      </c>
      <c r="J826" s="95">
        <v>0.93956345889675397</v>
      </c>
      <c r="K826" s="137">
        <v>0.73571428571428599</v>
      </c>
      <c r="L826" s="137">
        <v>0.75</v>
      </c>
      <c r="M826" s="137">
        <v>0.71428571428571397</v>
      </c>
      <c r="N826" s="136">
        <v>1</v>
      </c>
      <c r="O826" s="154">
        <v>43064</v>
      </c>
      <c r="P826" s="98">
        <f t="shared" si="68"/>
        <v>0</v>
      </c>
      <c r="Q826" s="107">
        <v>2.5499999999999998</v>
      </c>
      <c r="R826" s="107">
        <v>0</v>
      </c>
      <c r="S826" s="107">
        <v>0</v>
      </c>
      <c r="T826" s="108" t="s">
        <v>48</v>
      </c>
      <c r="U826" s="169" t="s">
        <v>162</v>
      </c>
      <c r="V826" s="136" t="s">
        <v>163</v>
      </c>
      <c r="W826" s="69">
        <v>179</v>
      </c>
      <c r="X826" s="136">
        <v>1</v>
      </c>
      <c r="Y826" s="136">
        <v>4</v>
      </c>
      <c r="Z826"/>
      <c r="AA826" t="s">
        <v>4603</v>
      </c>
      <c r="AB826" t="s">
        <v>71</v>
      </c>
      <c r="AC826" t="s">
        <v>223</v>
      </c>
      <c r="AD826" t="s">
        <v>5016</v>
      </c>
      <c r="AE826" t="s">
        <v>4515</v>
      </c>
      <c r="AF826" t="s">
        <v>4799</v>
      </c>
      <c r="AG826" t="s">
        <v>4530</v>
      </c>
      <c r="AH826" t="s">
        <v>4737</v>
      </c>
      <c r="AI826" t="s">
        <v>4515</v>
      </c>
      <c r="AJ826" t="s">
        <v>4799</v>
      </c>
      <c r="AK826" t="s">
        <v>4518</v>
      </c>
      <c r="AL826" t="s">
        <v>4519</v>
      </c>
      <c r="AM826" t="s">
        <v>4510</v>
      </c>
      <c r="AN826" t="s">
        <v>4523</v>
      </c>
      <c r="AO826" s="134">
        <v>108.460317460317</v>
      </c>
      <c r="AP826" s="135">
        <v>118.586021505376</v>
      </c>
      <c r="AQ826">
        <v>0.34677419354838701</v>
      </c>
      <c r="AR826" s="136">
        <v>1.31989247311828</v>
      </c>
      <c r="AS826">
        <v>8.7123655913978499</v>
      </c>
      <c r="AU826"/>
      <c r="AV826"/>
      <c r="AW826"/>
      <c r="AX826"/>
    </row>
    <row r="827" spans="1:50" s="69" customFormat="1" ht="46">
      <c r="A827">
        <v>1067</v>
      </c>
      <c r="B827" s="69" t="s">
        <v>2833</v>
      </c>
      <c r="C827" s="69" t="s">
        <v>45</v>
      </c>
      <c r="D827" s="31">
        <f t="shared" si="66"/>
        <v>4</v>
      </c>
      <c r="E827" s="69" t="s">
        <v>80</v>
      </c>
      <c r="F827" s="31">
        <f t="shared" si="67"/>
        <v>4</v>
      </c>
      <c r="G827" s="139" t="s">
        <v>2900</v>
      </c>
      <c r="H827" s="138">
        <v>57</v>
      </c>
      <c r="I827" s="92">
        <f t="shared" si="65"/>
        <v>0.58697709405672494</v>
      </c>
      <c r="J827" s="95">
        <v>0.42395418811344998</v>
      </c>
      <c r="K827" s="137">
        <v>0.73571428571428599</v>
      </c>
      <c r="L827" s="137">
        <v>0.75</v>
      </c>
      <c r="M827" s="137">
        <v>0.71428571428571397</v>
      </c>
      <c r="N827" s="136">
        <v>1</v>
      </c>
      <c r="O827" s="157">
        <v>43063</v>
      </c>
      <c r="P827" s="98">
        <f t="shared" si="68"/>
        <v>0</v>
      </c>
      <c r="Q827" s="113">
        <v>2.5499999999999998</v>
      </c>
      <c r="R827" s="113">
        <v>0</v>
      </c>
      <c r="S827" s="113">
        <v>0</v>
      </c>
      <c r="T827" s="119" t="s">
        <v>48</v>
      </c>
      <c r="U827" s="89" t="s">
        <v>2901</v>
      </c>
      <c r="V827" s="172" t="s">
        <v>2902</v>
      </c>
      <c r="W827" s="69">
        <v>52</v>
      </c>
      <c r="X827" s="69">
        <v>1</v>
      </c>
      <c r="Y827" s="69">
        <v>4</v>
      </c>
      <c r="AA827" t="s">
        <v>4522</v>
      </c>
      <c r="AB827" t="s">
        <v>87</v>
      </c>
      <c r="AC827" t="s">
        <v>4515</v>
      </c>
      <c r="AD827" t="s">
        <v>4749</v>
      </c>
      <c r="AE827" t="s">
        <v>4353</v>
      </c>
      <c r="AF827" t="s">
        <v>4506</v>
      </c>
      <c r="AG827" t="s">
        <v>4353</v>
      </c>
      <c r="AH827" t="s">
        <v>4506</v>
      </c>
      <c r="AI827" t="s">
        <v>4353</v>
      </c>
      <c r="AJ827" t="s">
        <v>4506</v>
      </c>
      <c r="AK827" t="s">
        <v>4519</v>
      </c>
      <c r="AL827" t="s">
        <v>4519</v>
      </c>
      <c r="AM827" t="s">
        <v>4520</v>
      </c>
      <c r="AN827" t="s">
        <v>4558</v>
      </c>
      <c r="AO827" s="134">
        <v>108.610079575597</v>
      </c>
      <c r="AP827" s="135">
        <v>118.384823848238</v>
      </c>
      <c r="AQ827">
        <v>0.34959349593495898</v>
      </c>
      <c r="AR827" s="136">
        <v>1.3197831978319801</v>
      </c>
      <c r="AS827">
        <v>8.7100271002710006</v>
      </c>
      <c r="AU827"/>
      <c r="AV827"/>
      <c r="AW827"/>
      <c r="AX827"/>
    </row>
    <row r="828" spans="1:50" s="69" customFormat="1" ht="121">
      <c r="A828">
        <v>719</v>
      </c>
      <c r="B828" s="69" t="s">
        <v>1913</v>
      </c>
      <c r="C828" s="69" t="s">
        <v>45</v>
      </c>
      <c r="D828" s="31">
        <f t="shared" si="66"/>
        <v>4</v>
      </c>
      <c r="E828" s="69" t="s">
        <v>80</v>
      </c>
      <c r="F828" s="31">
        <f t="shared" si="67"/>
        <v>4</v>
      </c>
      <c r="G828" s="169" t="s">
        <v>305</v>
      </c>
      <c r="H828" s="138">
        <v>52</v>
      </c>
      <c r="I828" s="92">
        <f t="shared" si="65"/>
        <v>0.42258422499023235</v>
      </c>
      <c r="J828" s="95">
        <v>2.01684499804647E-2</v>
      </c>
      <c r="K828" s="137">
        <v>0.75502915755524702</v>
      </c>
      <c r="L828" s="137">
        <v>0.82499999999999996</v>
      </c>
      <c r="M828" s="137">
        <v>0.65007289388811795</v>
      </c>
      <c r="N828" s="136">
        <v>1</v>
      </c>
      <c r="O828" s="154">
        <v>43063</v>
      </c>
      <c r="P828" s="98">
        <f t="shared" si="68"/>
        <v>0</v>
      </c>
      <c r="Q828" s="111">
        <v>2.5499999999999998</v>
      </c>
      <c r="R828" s="111">
        <v>0</v>
      </c>
      <c r="S828" s="111">
        <v>0</v>
      </c>
      <c r="T828" s="112" t="s">
        <v>48</v>
      </c>
      <c r="U828" s="147" t="s">
        <v>1974</v>
      </c>
      <c r="V828" s="137" t="s">
        <v>1975</v>
      </c>
      <c r="W828" s="69">
        <v>176</v>
      </c>
      <c r="X828" s="171">
        <v>2</v>
      </c>
      <c r="Y828" s="171">
        <v>6</v>
      </c>
      <c r="AA828" t="s">
        <v>4522</v>
      </c>
      <c r="AB828" t="s">
        <v>87</v>
      </c>
      <c r="AC828" t="s">
        <v>4513</v>
      </c>
      <c r="AD828" t="s">
        <v>5015</v>
      </c>
      <c r="AE828" t="s">
        <v>4515</v>
      </c>
      <c r="AF828" t="s">
        <v>4799</v>
      </c>
      <c r="AG828" t="s">
        <v>223</v>
      </c>
      <c r="AH828" t="s">
        <v>5016</v>
      </c>
      <c r="AI828" t="s">
        <v>4515</v>
      </c>
      <c r="AJ828" t="s">
        <v>4799</v>
      </c>
      <c r="AK828" t="s">
        <v>4518</v>
      </c>
      <c r="AL828" t="s">
        <v>4519</v>
      </c>
      <c r="AM828" t="s">
        <v>4520</v>
      </c>
      <c r="AN828" t="s">
        <v>4521</v>
      </c>
      <c r="AO828" s="134">
        <v>108.747340425532</v>
      </c>
      <c r="AP828" s="135">
        <v>118.384823848238</v>
      </c>
      <c r="AQ828">
        <v>0.34959349593495898</v>
      </c>
      <c r="AR828" s="136">
        <v>1.3197831978319801</v>
      </c>
      <c r="AS828">
        <v>8.7100271002710006</v>
      </c>
      <c r="AU828"/>
      <c r="AV828"/>
      <c r="AW828"/>
      <c r="AX828"/>
    </row>
    <row r="829" spans="1:50" s="69" customFormat="1" ht="76">
      <c r="A829">
        <v>367</v>
      </c>
      <c r="B829" s="69" t="s">
        <v>589</v>
      </c>
      <c r="C829" s="69" t="s">
        <v>45</v>
      </c>
      <c r="D829" s="31">
        <f t="shared" si="66"/>
        <v>4</v>
      </c>
      <c r="E829" s="69" t="s">
        <v>46</v>
      </c>
      <c r="F829" s="31">
        <f t="shared" si="67"/>
        <v>6</v>
      </c>
      <c r="G829" s="137" t="s">
        <v>1062</v>
      </c>
      <c r="H829" s="138">
        <v>140</v>
      </c>
      <c r="I829" s="92">
        <f t="shared" si="65"/>
        <v>0.37520366223436008</v>
      </c>
      <c r="J829" s="95">
        <v>4.0732446872015999E-4</v>
      </c>
      <c r="K829" s="137">
        <v>0.65205133627784295</v>
      </c>
      <c r="L829" s="137">
        <v>0.75</v>
      </c>
      <c r="M829" s="137">
        <v>0.50512834069460699</v>
      </c>
      <c r="N829" s="136">
        <v>1</v>
      </c>
      <c r="O829" s="154">
        <v>43062</v>
      </c>
      <c r="P829" s="98">
        <f t="shared" si="68"/>
        <v>0</v>
      </c>
      <c r="Q829" s="111">
        <v>0</v>
      </c>
      <c r="R829" s="111">
        <v>0</v>
      </c>
      <c r="S829" s="111">
        <v>0</v>
      </c>
      <c r="T829" s="112" t="s">
        <v>48</v>
      </c>
      <c r="U829" s="147" t="s">
        <v>1063</v>
      </c>
      <c r="V829" s="75" t="s">
        <v>889</v>
      </c>
      <c r="W829" s="69">
        <v>107</v>
      </c>
      <c r="X829" s="171">
        <v>1</v>
      </c>
      <c r="Y829" s="171">
        <v>12</v>
      </c>
      <c r="Z829"/>
      <c r="AA829" t="s">
        <v>4556</v>
      </c>
      <c r="AB829" t="s">
        <v>87</v>
      </c>
      <c r="AC829" t="s">
        <v>4513</v>
      </c>
      <c r="AD829" t="s">
        <v>4531</v>
      </c>
      <c r="AE829" t="s">
        <v>4515</v>
      </c>
      <c r="AF829" t="s">
        <v>4849</v>
      </c>
      <c r="AG829" t="s">
        <v>223</v>
      </c>
      <c r="AH829" t="s">
        <v>4668</v>
      </c>
      <c r="AI829" t="s">
        <v>4515</v>
      </c>
      <c r="AJ829" t="s">
        <v>4849</v>
      </c>
      <c r="AK829" t="s">
        <v>4518</v>
      </c>
      <c r="AL829" t="s">
        <v>4552</v>
      </c>
      <c r="AM829" t="s">
        <v>4510</v>
      </c>
      <c r="AN829" t="s">
        <v>4553</v>
      </c>
      <c r="AO829" s="134">
        <v>108.664</v>
      </c>
      <c r="AP829" s="135">
        <v>118.461956521739</v>
      </c>
      <c r="AQ829">
        <v>0.35054347826087001</v>
      </c>
      <c r="AR829" s="136">
        <v>1.3206521739130399</v>
      </c>
      <c r="AS829">
        <v>8.7255434782608692</v>
      </c>
      <c r="AU829"/>
      <c r="AV829"/>
      <c r="AW829"/>
      <c r="AX829"/>
    </row>
    <row r="830" spans="1:50" s="69" customFormat="1" ht="106">
      <c r="A830">
        <v>970</v>
      </c>
      <c r="B830" s="69" t="s">
        <v>2618</v>
      </c>
      <c r="C830" s="69" t="s">
        <v>45</v>
      </c>
      <c r="D830" s="31">
        <f t="shared" si="66"/>
        <v>4</v>
      </c>
      <c r="E830" s="69" t="s">
        <v>46</v>
      </c>
      <c r="F830" s="31">
        <f t="shared" si="67"/>
        <v>6</v>
      </c>
      <c r="G830" s="137" t="s">
        <v>4445</v>
      </c>
      <c r="H830" s="138">
        <v>115</v>
      </c>
      <c r="I830" s="92">
        <f t="shared" si="65"/>
        <v>0.41250267202339624</v>
      </c>
      <c r="J830" s="95">
        <v>5.3440467925325299E-6</v>
      </c>
      <c r="K830" s="137">
        <v>0.83785714285714297</v>
      </c>
      <c r="L830" s="137">
        <v>0.82499999999999996</v>
      </c>
      <c r="M830" s="137">
        <v>0.85714285714285698</v>
      </c>
      <c r="N830" s="136">
        <v>1</v>
      </c>
      <c r="O830" s="154">
        <v>43062</v>
      </c>
      <c r="P830" s="98">
        <f t="shared" si="68"/>
        <v>0</v>
      </c>
      <c r="Q830" s="111">
        <v>0</v>
      </c>
      <c r="R830" s="111">
        <v>1.65</v>
      </c>
      <c r="S830" s="111">
        <v>0</v>
      </c>
      <c r="T830" s="112" t="s">
        <v>48</v>
      </c>
      <c r="U830" s="137" t="s">
        <v>4446</v>
      </c>
      <c r="V830" s="137" t="s">
        <v>2631</v>
      </c>
      <c r="W830" s="69">
        <v>154</v>
      </c>
      <c r="X830" s="69">
        <v>1</v>
      </c>
      <c r="Y830" s="69">
        <v>1</v>
      </c>
      <c r="AA830" t="s">
        <v>4785</v>
      </c>
      <c r="AB830" t="s">
        <v>51</v>
      </c>
      <c r="AC830" t="s">
        <v>4515</v>
      </c>
      <c r="AD830" t="s">
        <v>4631</v>
      </c>
      <c r="AE830" t="s">
        <v>4538</v>
      </c>
      <c r="AF830" t="s">
        <v>5025</v>
      </c>
      <c r="AG830" t="s">
        <v>4515</v>
      </c>
      <c r="AH830" t="s">
        <v>4631</v>
      </c>
      <c r="AI830" t="s">
        <v>4515</v>
      </c>
      <c r="AJ830" t="s">
        <v>4631</v>
      </c>
      <c r="AK830" t="s">
        <v>4519</v>
      </c>
      <c r="AL830" t="s">
        <v>4552</v>
      </c>
      <c r="AM830" t="s">
        <v>4592</v>
      </c>
      <c r="AN830" t="s">
        <v>4650</v>
      </c>
      <c r="AO830" s="134">
        <v>108.64705882352899</v>
      </c>
      <c r="AP830" s="135">
        <v>118.461956521739</v>
      </c>
      <c r="AQ830">
        <v>0.35054347826087001</v>
      </c>
      <c r="AR830" s="136">
        <v>1.3206521739130399</v>
      </c>
      <c r="AS830">
        <v>8.7255434782608692</v>
      </c>
      <c r="AU830"/>
      <c r="AV830"/>
      <c r="AW830"/>
      <c r="AX830"/>
    </row>
    <row r="831" spans="1:50" s="69" customFormat="1" ht="76">
      <c r="A831">
        <v>951</v>
      </c>
      <c r="B831" s="69" t="s">
        <v>2510</v>
      </c>
      <c r="C831" s="69" t="s">
        <v>45</v>
      </c>
      <c r="D831" s="31">
        <f t="shared" si="66"/>
        <v>4</v>
      </c>
      <c r="E831" s="69" t="s">
        <v>80</v>
      </c>
      <c r="F831" s="31">
        <f t="shared" si="67"/>
        <v>4</v>
      </c>
      <c r="G831" s="169" t="s">
        <v>200</v>
      </c>
      <c r="H831" s="138">
        <v>51</v>
      </c>
      <c r="I831" s="92">
        <f t="shared" si="65"/>
        <v>0.37919563519111593</v>
      </c>
      <c r="J831" s="95">
        <v>8.39127038223186E-3</v>
      </c>
      <c r="K831" s="137">
        <v>0.76918779643582302</v>
      </c>
      <c r="L831" s="137">
        <v>0.75</v>
      </c>
      <c r="M831" s="137">
        <v>0.79796949108955795</v>
      </c>
      <c r="N831" s="136">
        <v>1</v>
      </c>
      <c r="O831" s="154">
        <v>43061</v>
      </c>
      <c r="P831" s="98">
        <f t="shared" si="68"/>
        <v>0</v>
      </c>
      <c r="Q831" s="111">
        <v>0</v>
      </c>
      <c r="R831" s="111">
        <v>0</v>
      </c>
      <c r="S831" s="111">
        <v>0</v>
      </c>
      <c r="T831" s="112" t="s">
        <v>48</v>
      </c>
      <c r="U831" s="209" t="s">
        <v>2583</v>
      </c>
      <c r="V831" s="137" t="s">
        <v>2584</v>
      </c>
      <c r="W831" s="69">
        <v>96</v>
      </c>
      <c r="X831" s="171">
        <v>1</v>
      </c>
      <c r="Y831" s="171">
        <v>2</v>
      </c>
      <c r="AA831" t="s">
        <v>4522</v>
      </c>
      <c r="AB831" t="s">
        <v>51</v>
      </c>
      <c r="AC831" t="s">
        <v>4515</v>
      </c>
      <c r="AD831" t="s">
        <v>4648</v>
      </c>
      <c r="AE831" t="s">
        <v>4513</v>
      </c>
      <c r="AF831" t="s">
        <v>4656</v>
      </c>
      <c r="AG831" t="s">
        <v>223</v>
      </c>
      <c r="AH831" t="s">
        <v>4649</v>
      </c>
      <c r="AI831" t="s">
        <v>223</v>
      </c>
      <c r="AJ831" t="s">
        <v>4649</v>
      </c>
      <c r="AK831" t="s">
        <v>4518</v>
      </c>
      <c r="AL831" t="s">
        <v>4519</v>
      </c>
      <c r="AM831" t="s">
        <v>4520</v>
      </c>
      <c r="AN831" t="s">
        <v>4521</v>
      </c>
      <c r="AO831" s="134">
        <v>108.522788203753</v>
      </c>
      <c r="AP831" s="135">
        <v>118.794520547945</v>
      </c>
      <c r="AQ831">
        <v>0.35342465753424701</v>
      </c>
      <c r="AR831" s="136">
        <v>1.31780821917808</v>
      </c>
      <c r="AS831">
        <v>8.7643835616438395</v>
      </c>
      <c r="AU831"/>
      <c r="AV831"/>
      <c r="AW831"/>
      <c r="AX831"/>
    </row>
    <row r="832" spans="1:50" s="69" customFormat="1" ht="106">
      <c r="A832" s="65">
        <v>368</v>
      </c>
      <c r="B832" s="69" t="s">
        <v>589</v>
      </c>
      <c r="C832" s="69" t="s">
        <v>45</v>
      </c>
      <c r="D832" s="31">
        <f t="shared" si="66"/>
        <v>4</v>
      </c>
      <c r="E832" s="69" t="s">
        <v>80</v>
      </c>
      <c r="F832" s="31">
        <f t="shared" si="67"/>
        <v>4</v>
      </c>
      <c r="G832" s="147" t="s">
        <v>1064</v>
      </c>
      <c r="H832" s="138">
        <v>155</v>
      </c>
      <c r="I832" s="92">
        <f t="shared" si="65"/>
        <v>0.41478921180858952</v>
      </c>
      <c r="J832" s="95">
        <v>4.5784236171790803E-3</v>
      </c>
      <c r="K832" s="137">
        <v>0.76722468700001201</v>
      </c>
      <c r="L832" s="137">
        <v>0.82499999999999996</v>
      </c>
      <c r="M832" s="137">
        <v>0.68056171750003003</v>
      </c>
      <c r="N832" s="136">
        <v>1</v>
      </c>
      <c r="O832" s="154">
        <v>43061</v>
      </c>
      <c r="P832" s="98">
        <f t="shared" si="68"/>
        <v>1</v>
      </c>
      <c r="Q832" s="111">
        <v>5.0999999999999996</v>
      </c>
      <c r="R832" s="111">
        <v>3.3</v>
      </c>
      <c r="S832" s="111">
        <v>0</v>
      </c>
      <c r="T832" s="112" t="s">
        <v>73</v>
      </c>
      <c r="U832" s="137" t="s">
        <v>1065</v>
      </c>
      <c r="V832" s="234" t="s">
        <v>1066</v>
      </c>
      <c r="W832" s="69">
        <v>140</v>
      </c>
      <c r="X832" s="171">
        <v>3</v>
      </c>
      <c r="Y832" s="171">
        <v>5</v>
      </c>
      <c r="Z832"/>
      <c r="AA832" t="s">
        <v>4522</v>
      </c>
      <c r="AB832" t="s">
        <v>4576</v>
      </c>
      <c r="AC832" t="s">
        <v>223</v>
      </c>
      <c r="AD832" t="s">
        <v>4736</v>
      </c>
      <c r="AE832" t="s">
        <v>4515</v>
      </c>
      <c r="AF832" t="s">
        <v>5026</v>
      </c>
      <c r="AG832" t="s">
        <v>4515</v>
      </c>
      <c r="AH832" t="s">
        <v>5026</v>
      </c>
      <c r="AI832" t="s">
        <v>4353</v>
      </c>
      <c r="AJ832" t="s">
        <v>4506</v>
      </c>
      <c r="AK832" t="s">
        <v>4519</v>
      </c>
      <c r="AL832" t="s">
        <v>4552</v>
      </c>
      <c r="AM832" t="s">
        <v>4510</v>
      </c>
      <c r="AN832" t="s">
        <v>4634</v>
      </c>
      <c r="AO832" s="134">
        <v>108.677419354839</v>
      </c>
      <c r="AP832" s="135">
        <v>118.794520547945</v>
      </c>
      <c r="AQ832">
        <v>0.35342465753424701</v>
      </c>
      <c r="AR832" s="136">
        <v>1.31780821917808</v>
      </c>
      <c r="AS832">
        <v>8.7643835616438395</v>
      </c>
      <c r="AU832"/>
      <c r="AV832"/>
      <c r="AW832"/>
      <c r="AX832"/>
    </row>
    <row r="833" spans="1:50" s="69" customFormat="1" ht="76">
      <c r="A833">
        <v>607</v>
      </c>
      <c r="B833" s="69" t="s">
        <v>1628</v>
      </c>
      <c r="C833" s="69" t="s">
        <v>45</v>
      </c>
      <c r="D833" s="31">
        <f t="shared" si="66"/>
        <v>4</v>
      </c>
      <c r="E833" s="69" t="s">
        <v>46</v>
      </c>
      <c r="F833" s="31">
        <f t="shared" si="67"/>
        <v>6</v>
      </c>
      <c r="G833" s="137" t="s">
        <v>1685</v>
      </c>
      <c r="H833" s="138">
        <v>115</v>
      </c>
      <c r="I833" s="92">
        <f t="shared" si="65"/>
        <v>0.49912696650431798</v>
      </c>
      <c r="J833" s="95">
        <v>3.93300863599233E-6</v>
      </c>
      <c r="K833" s="137">
        <v>0.89997566813892105</v>
      </c>
      <c r="L833" s="137">
        <v>0.99824999999999997</v>
      </c>
      <c r="M833" s="137">
        <v>0.75256417034730305</v>
      </c>
      <c r="N833" s="136">
        <v>1</v>
      </c>
      <c r="O833" s="154">
        <v>43059</v>
      </c>
      <c r="P833" s="98">
        <f t="shared" si="68"/>
        <v>0</v>
      </c>
      <c r="Q833" s="111">
        <v>0</v>
      </c>
      <c r="R833" s="111">
        <v>0</v>
      </c>
      <c r="S833" s="111">
        <v>1.87</v>
      </c>
      <c r="T833" s="112" t="s">
        <v>48</v>
      </c>
      <c r="U833" s="147" t="s">
        <v>1686</v>
      </c>
      <c r="V833" s="137" t="s">
        <v>1687</v>
      </c>
      <c r="W833" s="69">
        <v>90</v>
      </c>
      <c r="X833" s="147">
        <v>1</v>
      </c>
      <c r="Y833" s="147">
        <v>3</v>
      </c>
      <c r="AA833" t="s">
        <v>4556</v>
      </c>
      <c r="AB833" t="s">
        <v>71</v>
      </c>
      <c r="AC833" t="s">
        <v>223</v>
      </c>
      <c r="AD833" t="s">
        <v>4555</v>
      </c>
      <c r="AE833" t="s">
        <v>4353</v>
      </c>
      <c r="AF833" t="s">
        <v>4506</v>
      </c>
      <c r="AG833" t="s">
        <v>4530</v>
      </c>
      <c r="AH833" t="s">
        <v>4577</v>
      </c>
      <c r="AI833" t="s">
        <v>4353</v>
      </c>
      <c r="AJ833" t="s">
        <v>4506</v>
      </c>
      <c r="AK833" t="s">
        <v>4519</v>
      </c>
      <c r="AL833" t="s">
        <v>4519</v>
      </c>
      <c r="AM833" t="s">
        <v>4510</v>
      </c>
      <c r="AN833" t="s">
        <v>4550</v>
      </c>
      <c r="AO833" s="134">
        <v>108.660377358491</v>
      </c>
      <c r="AP833" s="135">
        <v>118.558011049724</v>
      </c>
      <c r="AQ833">
        <v>0.35635359116022097</v>
      </c>
      <c r="AR833" s="136">
        <v>1.3204419889502801</v>
      </c>
      <c r="AS833">
        <v>8.75690607734807</v>
      </c>
      <c r="AU833"/>
      <c r="AV833"/>
      <c r="AW833"/>
      <c r="AX833"/>
    </row>
    <row r="834" spans="1:50" s="69" customFormat="1" ht="76">
      <c r="A834" s="65">
        <v>952</v>
      </c>
      <c r="B834" s="69" t="s">
        <v>2510</v>
      </c>
      <c r="C834" s="69" t="s">
        <v>45</v>
      </c>
      <c r="D834" s="31">
        <f t="shared" si="66"/>
        <v>4</v>
      </c>
      <c r="E834" s="69" t="s">
        <v>80</v>
      </c>
      <c r="F834" s="31">
        <f t="shared" si="67"/>
        <v>4</v>
      </c>
      <c r="G834" s="169" t="s">
        <v>180</v>
      </c>
      <c r="H834" s="138">
        <v>58</v>
      </c>
      <c r="I834" s="92">
        <f t="shared" si="65"/>
        <v>0.38747702028348768</v>
      </c>
      <c r="J834" s="95">
        <v>2.4954040566975401E-2</v>
      </c>
      <c r="K834" s="137">
        <v>0.75102566813892102</v>
      </c>
      <c r="L834" s="137">
        <v>0.75</v>
      </c>
      <c r="M834" s="137">
        <v>0.75256417034730305</v>
      </c>
      <c r="N834" s="136">
        <v>1</v>
      </c>
      <c r="O834" s="154">
        <v>43058</v>
      </c>
      <c r="P834" s="98">
        <f t="shared" si="68"/>
        <v>0</v>
      </c>
      <c r="Q834" s="111">
        <v>0</v>
      </c>
      <c r="R834" s="111">
        <v>0</v>
      </c>
      <c r="S834" s="111">
        <v>0</v>
      </c>
      <c r="T834" s="112" t="s">
        <v>48</v>
      </c>
      <c r="U834" s="137" t="s">
        <v>2585</v>
      </c>
      <c r="V834" s="137" t="s">
        <v>2584</v>
      </c>
      <c r="W834" s="69">
        <v>96</v>
      </c>
      <c r="X834" s="69">
        <v>1</v>
      </c>
      <c r="Y834" s="69">
        <v>3</v>
      </c>
      <c r="AA834" t="s">
        <v>4556</v>
      </c>
      <c r="AB834" t="s">
        <v>51</v>
      </c>
      <c r="AC834" t="s">
        <v>4515</v>
      </c>
      <c r="AD834" t="s">
        <v>4648</v>
      </c>
      <c r="AE834" t="s">
        <v>4513</v>
      </c>
      <c r="AF834" t="s">
        <v>4656</v>
      </c>
      <c r="AG834" t="s">
        <v>223</v>
      </c>
      <c r="AH834" t="s">
        <v>4649</v>
      </c>
      <c r="AI834" t="s">
        <v>223</v>
      </c>
      <c r="AJ834" t="s">
        <v>4649</v>
      </c>
      <c r="AK834" t="s">
        <v>4518</v>
      </c>
      <c r="AL834" t="s">
        <v>4552</v>
      </c>
      <c r="AM834" t="s">
        <v>4510</v>
      </c>
      <c r="AN834" t="s">
        <v>4553</v>
      </c>
      <c r="AO834" s="134">
        <v>108.79729729729701</v>
      </c>
      <c r="AP834" s="135">
        <v>118.558011049724</v>
      </c>
      <c r="AQ834">
        <v>0.35635359116022097</v>
      </c>
      <c r="AR834" s="136">
        <v>1.3204419889502801</v>
      </c>
      <c r="AS834">
        <v>8.75690607734807</v>
      </c>
      <c r="AU834"/>
      <c r="AV834"/>
      <c r="AW834"/>
      <c r="AX834"/>
    </row>
    <row r="835" spans="1:50" s="69" customFormat="1" ht="76">
      <c r="A835" s="65">
        <v>953</v>
      </c>
      <c r="B835" s="69" t="s">
        <v>2510</v>
      </c>
      <c r="C835" s="69" t="s">
        <v>45</v>
      </c>
      <c r="D835" s="31">
        <f t="shared" si="66"/>
        <v>4</v>
      </c>
      <c r="E835" s="69" t="s">
        <v>46</v>
      </c>
      <c r="F835" s="31">
        <f t="shared" si="67"/>
        <v>6</v>
      </c>
      <c r="G835" s="137" t="s">
        <v>2586</v>
      </c>
      <c r="H835" s="138">
        <v>108</v>
      </c>
      <c r="I835" s="92">
        <f t="shared" si="65"/>
        <v>0.43629004612573169</v>
      </c>
      <c r="J835" s="95">
        <v>4.7580092251463403E-2</v>
      </c>
      <c r="K835" s="137">
        <v>0.78071428571428603</v>
      </c>
      <c r="L835" s="137">
        <v>0.82499999999999996</v>
      </c>
      <c r="M835" s="137">
        <v>0.71428571428571397</v>
      </c>
      <c r="N835" s="136">
        <v>1</v>
      </c>
      <c r="O835" s="154">
        <v>43057</v>
      </c>
      <c r="P835" s="98">
        <f t="shared" si="68"/>
        <v>0</v>
      </c>
      <c r="Q835" s="113">
        <v>2.5499999999999998</v>
      </c>
      <c r="R835" s="113">
        <v>0</v>
      </c>
      <c r="S835" s="113">
        <v>0</v>
      </c>
      <c r="T835" s="114" t="s">
        <v>48</v>
      </c>
      <c r="U835" s="137" t="s">
        <v>2587</v>
      </c>
      <c r="V835" s="137" t="s">
        <v>2584</v>
      </c>
      <c r="W835" s="69">
        <v>96</v>
      </c>
      <c r="X835" s="69">
        <v>1</v>
      </c>
      <c r="Y835" s="69">
        <v>4</v>
      </c>
      <c r="AA835" t="s">
        <v>4512</v>
      </c>
      <c r="AB835" t="s">
        <v>51</v>
      </c>
      <c r="AC835" t="s">
        <v>4515</v>
      </c>
      <c r="AD835" t="s">
        <v>4648</v>
      </c>
      <c r="AE835" t="s">
        <v>4513</v>
      </c>
      <c r="AF835" t="s">
        <v>4656</v>
      </c>
      <c r="AG835" t="s">
        <v>223</v>
      </c>
      <c r="AH835" t="s">
        <v>4649</v>
      </c>
      <c r="AI835" t="s">
        <v>223</v>
      </c>
      <c r="AJ835" t="s">
        <v>4649</v>
      </c>
      <c r="AK835" t="s">
        <v>4519</v>
      </c>
      <c r="AL835" t="s">
        <v>4552</v>
      </c>
      <c r="AM835" t="s">
        <v>4510</v>
      </c>
      <c r="AN835" t="s">
        <v>4634</v>
      </c>
      <c r="AO835" s="134">
        <v>108.79945799458</v>
      </c>
      <c r="AP835" s="135">
        <v>118.558011049724</v>
      </c>
      <c r="AQ835">
        <v>0.35635359116022097</v>
      </c>
      <c r="AR835" s="136">
        <v>1.3204419889502801</v>
      </c>
      <c r="AS835">
        <v>8.75690607734807</v>
      </c>
      <c r="AU835"/>
      <c r="AV835"/>
      <c r="AW835"/>
      <c r="AX835"/>
    </row>
    <row r="836" spans="1:50" s="69" customFormat="1" ht="76">
      <c r="A836">
        <v>539</v>
      </c>
      <c r="B836" s="69" t="s">
        <v>1222</v>
      </c>
      <c r="C836" s="69" t="s">
        <v>45</v>
      </c>
      <c r="D836" s="31">
        <f t="shared" si="66"/>
        <v>4</v>
      </c>
      <c r="E836" s="69" t="s">
        <v>46</v>
      </c>
      <c r="F836" s="31">
        <f t="shared" si="67"/>
        <v>6</v>
      </c>
      <c r="G836" s="147" t="s">
        <v>1511</v>
      </c>
      <c r="H836" s="138">
        <v>117</v>
      </c>
      <c r="I836" s="92">
        <f t="shared" ref="I836:I899" si="69">(J836+L836)/2</f>
        <v>0.23284550052125938</v>
      </c>
      <c r="J836" s="95">
        <v>8.7481527577537593E-9</v>
      </c>
      <c r="K836" s="137">
        <v>0.55163928237663196</v>
      </c>
      <c r="L836" s="137">
        <v>0.465690992294366</v>
      </c>
      <c r="M836" s="137">
        <v>0.68056171750003003</v>
      </c>
      <c r="N836" s="136">
        <v>0</v>
      </c>
      <c r="O836" s="154">
        <v>43056</v>
      </c>
      <c r="P836" s="98">
        <f t="shared" si="68"/>
        <v>0</v>
      </c>
      <c r="Q836" s="111">
        <v>7.65</v>
      </c>
      <c r="R836" s="111">
        <v>1.65</v>
      </c>
      <c r="S836" s="111">
        <v>0</v>
      </c>
      <c r="T836" s="112" t="s">
        <v>48</v>
      </c>
      <c r="U836" s="137" t="s">
        <v>1512</v>
      </c>
      <c r="V836" s="137" t="s">
        <v>1513</v>
      </c>
      <c r="W836" s="69">
        <v>42</v>
      </c>
      <c r="X836" s="147">
        <v>3</v>
      </c>
      <c r="Y836" s="147">
        <v>5</v>
      </c>
      <c r="Z836"/>
      <c r="AA836" t="s">
        <v>5005</v>
      </c>
      <c r="AB836" t="s">
        <v>4827</v>
      </c>
      <c r="AC836" t="s">
        <v>223</v>
      </c>
      <c r="AD836" t="s">
        <v>4554</v>
      </c>
      <c r="AE836" t="s">
        <v>223</v>
      </c>
      <c r="AF836" t="s">
        <v>4554</v>
      </c>
      <c r="AG836" t="s">
        <v>4353</v>
      </c>
      <c r="AH836" t="s">
        <v>4506</v>
      </c>
      <c r="AI836" t="s">
        <v>223</v>
      </c>
      <c r="AJ836" t="s">
        <v>4554</v>
      </c>
      <c r="AK836" t="s">
        <v>4519</v>
      </c>
      <c r="AL836" t="s">
        <v>4519</v>
      </c>
      <c r="AM836" t="s">
        <v>4519</v>
      </c>
      <c r="AN836" t="s">
        <v>4564</v>
      </c>
      <c r="AO836" s="134">
        <v>108.777173913043</v>
      </c>
      <c r="AP836" s="135">
        <v>119.11452513966501</v>
      </c>
      <c r="AQ836">
        <v>0.35474860335195502</v>
      </c>
      <c r="AR836" s="136">
        <v>1.32402234636872</v>
      </c>
      <c r="AS836">
        <v>8.8128491620111706</v>
      </c>
      <c r="AU836"/>
      <c r="AV836"/>
      <c r="AW836"/>
      <c r="AX836"/>
    </row>
    <row r="837" spans="1:50" s="69" customFormat="1" ht="46">
      <c r="A837" s="65">
        <v>369</v>
      </c>
      <c r="B837" s="69" t="s">
        <v>589</v>
      </c>
      <c r="C837" s="69" t="s">
        <v>45</v>
      </c>
      <c r="D837" s="31">
        <f t="shared" si="66"/>
        <v>4</v>
      </c>
      <c r="E837" s="69" t="s">
        <v>80</v>
      </c>
      <c r="F837" s="31">
        <f t="shared" si="67"/>
        <v>4</v>
      </c>
      <c r="G837" s="152" t="s">
        <v>1067</v>
      </c>
      <c r="H837" s="138">
        <v>50</v>
      </c>
      <c r="I837" s="92">
        <f t="shared" si="69"/>
        <v>0.4436816265176845</v>
      </c>
      <c r="J837" s="95">
        <v>0.137363253035369</v>
      </c>
      <c r="K837" s="137">
        <v>0.79285714285714304</v>
      </c>
      <c r="L837" s="137">
        <v>0.75</v>
      </c>
      <c r="M837" s="137">
        <v>0.85714285714285698</v>
      </c>
      <c r="N837" s="136">
        <v>1</v>
      </c>
      <c r="O837" s="154">
        <v>43055</v>
      </c>
      <c r="P837" s="98">
        <f t="shared" si="68"/>
        <v>0</v>
      </c>
      <c r="Q837" s="111">
        <v>0</v>
      </c>
      <c r="R837" s="111">
        <v>0</v>
      </c>
      <c r="S837" s="111">
        <v>0</v>
      </c>
      <c r="T837" s="112" t="s">
        <v>48</v>
      </c>
      <c r="U837" s="137" t="s">
        <v>1068</v>
      </c>
      <c r="V837" s="137" t="s">
        <v>1069</v>
      </c>
      <c r="W837" s="69">
        <v>53</v>
      </c>
      <c r="X837" s="171">
        <v>1</v>
      </c>
      <c r="Y837" s="171">
        <v>1</v>
      </c>
      <c r="Z837"/>
      <c r="AA837" t="s">
        <v>4556</v>
      </c>
      <c r="AB837" t="s">
        <v>87</v>
      </c>
      <c r="AC837" t="s">
        <v>4513</v>
      </c>
      <c r="AD837" t="s">
        <v>4901</v>
      </c>
      <c r="AE837" t="s">
        <v>4515</v>
      </c>
      <c r="AF837" t="s">
        <v>4763</v>
      </c>
      <c r="AG837" t="s">
        <v>223</v>
      </c>
      <c r="AH837" t="s">
        <v>4762</v>
      </c>
      <c r="AI837" t="s">
        <v>4353</v>
      </c>
      <c r="AJ837" t="s">
        <v>4506</v>
      </c>
      <c r="AK837" t="s">
        <v>4519</v>
      </c>
      <c r="AL837" t="s">
        <v>4552</v>
      </c>
      <c r="AM837" t="s">
        <v>4528</v>
      </c>
      <c r="AN837" t="s">
        <v>4618</v>
      </c>
      <c r="AO837" s="134">
        <v>108.937329700272</v>
      </c>
      <c r="AP837" s="135">
        <v>119.067226890756</v>
      </c>
      <c r="AQ837">
        <v>0.35574229691876802</v>
      </c>
      <c r="AR837" s="136">
        <v>1.3249299719887999</v>
      </c>
      <c r="AS837">
        <v>8.8319327731092407</v>
      </c>
      <c r="AU837"/>
      <c r="AV837"/>
      <c r="AW837"/>
      <c r="AX837"/>
    </row>
    <row r="838" spans="1:50" s="69" customFormat="1" ht="106">
      <c r="A838">
        <v>954</v>
      </c>
      <c r="B838" s="69" t="s">
        <v>2510</v>
      </c>
      <c r="C838" s="69" t="s">
        <v>45</v>
      </c>
      <c r="D838" s="31">
        <f t="shared" si="66"/>
        <v>4</v>
      </c>
      <c r="E838" s="69" t="s">
        <v>46</v>
      </c>
      <c r="F838" s="31">
        <f t="shared" si="67"/>
        <v>6</v>
      </c>
      <c r="G838" s="137" t="s">
        <v>2588</v>
      </c>
      <c r="H838" s="138">
        <v>121</v>
      </c>
      <c r="I838" s="92">
        <f t="shared" si="69"/>
        <v>0.3414147687309349</v>
      </c>
      <c r="J838" s="95">
        <v>1.0113556436878201E-3</v>
      </c>
      <c r="K838" s="137">
        <v>0.69480519480519498</v>
      </c>
      <c r="L838" s="137">
        <v>0.68181818181818199</v>
      </c>
      <c r="M838" s="137">
        <v>0.71428571428571397</v>
      </c>
      <c r="N838" s="136">
        <v>1</v>
      </c>
      <c r="O838" s="154">
        <v>43055</v>
      </c>
      <c r="P838" s="98">
        <f t="shared" si="68"/>
        <v>0</v>
      </c>
      <c r="Q838" s="111">
        <v>0</v>
      </c>
      <c r="R838" s="111">
        <v>0</v>
      </c>
      <c r="S838" s="111">
        <v>1.87</v>
      </c>
      <c r="T838" s="112" t="s">
        <v>48</v>
      </c>
      <c r="U838" s="137" t="s">
        <v>2589</v>
      </c>
      <c r="V838" s="137" t="s">
        <v>2337</v>
      </c>
      <c r="W838" s="69">
        <v>134</v>
      </c>
      <c r="X838" s="69">
        <v>1</v>
      </c>
      <c r="Y838" s="69">
        <v>4</v>
      </c>
      <c r="AA838" t="s">
        <v>5027</v>
      </c>
      <c r="AB838" t="s">
        <v>71</v>
      </c>
      <c r="AC838" t="s">
        <v>223</v>
      </c>
      <c r="AD838" t="s">
        <v>4675</v>
      </c>
      <c r="AE838" t="s">
        <v>4515</v>
      </c>
      <c r="AF838" t="s">
        <v>4684</v>
      </c>
      <c r="AG838" t="s">
        <v>4530</v>
      </c>
      <c r="AH838" t="s">
        <v>4724</v>
      </c>
      <c r="AI838" t="s">
        <v>4353</v>
      </c>
      <c r="AJ838" t="s">
        <v>4506</v>
      </c>
      <c r="AK838" t="s">
        <v>4519</v>
      </c>
      <c r="AL838" t="s">
        <v>4519</v>
      </c>
      <c r="AM838" t="s">
        <v>4528</v>
      </c>
      <c r="AN838" t="s">
        <v>4529</v>
      </c>
      <c r="AO838" s="134">
        <v>108.90437158469901</v>
      </c>
      <c r="AP838" s="135">
        <v>119.067226890756</v>
      </c>
      <c r="AQ838">
        <v>0.35574229691876802</v>
      </c>
      <c r="AR838" s="136">
        <v>1.3249299719887999</v>
      </c>
      <c r="AS838">
        <v>8.8319327731092407</v>
      </c>
      <c r="AU838"/>
      <c r="AV838"/>
      <c r="AW838"/>
      <c r="AX838"/>
    </row>
    <row r="839" spans="1:50" s="69" customFormat="1" ht="31">
      <c r="A839" s="65">
        <v>749</v>
      </c>
      <c r="B839" s="69" t="s">
        <v>2015</v>
      </c>
      <c r="C839" s="69" t="s">
        <v>45</v>
      </c>
      <c r="D839" s="31">
        <f t="shared" si="66"/>
        <v>4</v>
      </c>
      <c r="E839" s="69" t="s">
        <v>46</v>
      </c>
      <c r="F839" s="31">
        <f t="shared" si="67"/>
        <v>6</v>
      </c>
      <c r="G839" s="137" t="s">
        <v>2048</v>
      </c>
      <c r="H839" s="138">
        <v>16</v>
      </c>
      <c r="I839" s="92">
        <f t="shared" si="69"/>
        <v>0.87476869541618751</v>
      </c>
      <c r="J839" s="95">
        <v>0.99953739083237503</v>
      </c>
      <c r="K839" s="137">
        <v>0.63619100647005999</v>
      </c>
      <c r="L839" s="137">
        <v>0.75</v>
      </c>
      <c r="M839" s="137">
        <v>0.46547751617515098</v>
      </c>
      <c r="N839" s="136">
        <v>0</v>
      </c>
      <c r="O839" s="154">
        <v>43054</v>
      </c>
      <c r="P839" s="98">
        <f t="shared" si="68"/>
        <v>1</v>
      </c>
      <c r="Q839" s="111">
        <v>0</v>
      </c>
      <c r="R839" s="111">
        <v>1.65</v>
      </c>
      <c r="S839" s="111">
        <v>0</v>
      </c>
      <c r="T839" s="112" t="s">
        <v>73</v>
      </c>
      <c r="U839" s="169" t="s">
        <v>2049</v>
      </c>
      <c r="V839" s="137" t="s">
        <v>2050</v>
      </c>
      <c r="W839" s="69">
        <v>27</v>
      </c>
      <c r="X839" s="69">
        <v>1</v>
      </c>
      <c r="Y839" s="69">
        <v>14</v>
      </c>
      <c r="AA839" t="s">
        <v>4564</v>
      </c>
      <c r="AB839" t="s">
        <v>4594</v>
      </c>
      <c r="AC839" t="s">
        <v>223</v>
      </c>
      <c r="AD839" t="s">
        <v>4609</v>
      </c>
      <c r="AE839" t="s">
        <v>223</v>
      </c>
      <c r="AF839" t="s">
        <v>4609</v>
      </c>
      <c r="AG839" t="s">
        <v>4353</v>
      </c>
      <c r="AH839" t="s">
        <v>4506</v>
      </c>
      <c r="AI839" t="s">
        <v>4353</v>
      </c>
      <c r="AJ839" t="s">
        <v>4506</v>
      </c>
      <c r="AK839" t="s">
        <v>4519</v>
      </c>
      <c r="AL839" t="s">
        <v>4519</v>
      </c>
      <c r="AM839" t="s">
        <v>4528</v>
      </c>
      <c r="AN839" t="s">
        <v>4529</v>
      </c>
      <c r="AO839" s="134">
        <v>109.158904109589</v>
      </c>
      <c r="AP839" s="135">
        <v>119.169014084507</v>
      </c>
      <c r="AQ839">
        <v>0.35492957746478898</v>
      </c>
      <c r="AR839" s="136">
        <v>1.3239436619718301</v>
      </c>
      <c r="AS839">
        <v>8.8647887323943699</v>
      </c>
      <c r="AU839"/>
      <c r="AV839"/>
      <c r="AW839"/>
      <c r="AX839"/>
    </row>
    <row r="840" spans="1:50" s="69" customFormat="1" ht="46">
      <c r="A840">
        <v>750</v>
      </c>
      <c r="B840" s="69" t="s">
        <v>2015</v>
      </c>
      <c r="C840" s="69" t="s">
        <v>45</v>
      </c>
      <c r="D840" s="31">
        <f t="shared" si="66"/>
        <v>4</v>
      </c>
      <c r="E840" s="69" t="s">
        <v>80</v>
      </c>
      <c r="F840" s="31">
        <f t="shared" si="67"/>
        <v>4</v>
      </c>
      <c r="G840" s="137" t="s">
        <v>2051</v>
      </c>
      <c r="H840" s="138">
        <v>38</v>
      </c>
      <c r="I840" s="92">
        <f t="shared" si="69"/>
        <v>0.90984498771153044</v>
      </c>
      <c r="J840" s="95">
        <v>0.99468997542306103</v>
      </c>
      <c r="K840" s="137">
        <v>0.81418779643582295</v>
      </c>
      <c r="L840" s="137">
        <v>0.82499999999999996</v>
      </c>
      <c r="M840" s="137">
        <v>0.79796949108955795</v>
      </c>
      <c r="N840" s="136">
        <v>1</v>
      </c>
      <c r="O840" s="154">
        <v>43054</v>
      </c>
      <c r="P840" s="98">
        <f t="shared" si="68"/>
        <v>1</v>
      </c>
      <c r="Q840" s="113">
        <v>0</v>
      </c>
      <c r="R840" s="113">
        <v>1.65</v>
      </c>
      <c r="S840" s="113">
        <v>0</v>
      </c>
      <c r="T840" s="114" t="s">
        <v>73</v>
      </c>
      <c r="U840" s="137" t="s">
        <v>2052</v>
      </c>
      <c r="V840" s="137" t="s">
        <v>2050</v>
      </c>
      <c r="W840" s="69">
        <v>27</v>
      </c>
      <c r="X840" s="69">
        <v>1</v>
      </c>
      <c r="Y840" s="69">
        <v>2</v>
      </c>
      <c r="AA840" t="s">
        <v>4556</v>
      </c>
      <c r="AB840" t="s">
        <v>4594</v>
      </c>
      <c r="AC840" t="s">
        <v>223</v>
      </c>
      <c r="AD840" t="s">
        <v>4609</v>
      </c>
      <c r="AE840" t="s">
        <v>223</v>
      </c>
      <c r="AF840" t="s">
        <v>4609</v>
      </c>
      <c r="AG840" t="s">
        <v>4353</v>
      </c>
      <c r="AH840" t="s">
        <v>4506</v>
      </c>
      <c r="AI840" t="s">
        <v>4353</v>
      </c>
      <c r="AJ840" t="s">
        <v>4506</v>
      </c>
      <c r="AK840" t="s">
        <v>4519</v>
      </c>
      <c r="AL840" t="s">
        <v>4552</v>
      </c>
      <c r="AM840" t="s">
        <v>4528</v>
      </c>
      <c r="AN840" t="s">
        <v>4618</v>
      </c>
      <c r="AO840" s="134">
        <v>109.354395604396</v>
      </c>
      <c r="AP840" s="135">
        <v>119.169014084507</v>
      </c>
      <c r="AQ840">
        <v>0.35492957746478898</v>
      </c>
      <c r="AR840" s="136">
        <v>1.3239436619718301</v>
      </c>
      <c r="AS840">
        <v>8.8647887323943699</v>
      </c>
      <c r="AU840"/>
      <c r="AV840"/>
      <c r="AW840"/>
      <c r="AX840"/>
    </row>
    <row r="841" spans="1:50" s="69" customFormat="1" ht="91">
      <c r="A841" s="65">
        <v>1032</v>
      </c>
      <c r="B841" s="69" t="s">
        <v>2752</v>
      </c>
      <c r="C841" s="69" t="s">
        <v>45</v>
      </c>
      <c r="D841" s="31">
        <f t="shared" si="66"/>
        <v>4</v>
      </c>
      <c r="E841" s="69" t="s">
        <v>80</v>
      </c>
      <c r="F841" s="31">
        <f t="shared" si="67"/>
        <v>4</v>
      </c>
      <c r="G841" s="139" t="s">
        <v>359</v>
      </c>
      <c r="H841" s="138">
        <v>57</v>
      </c>
      <c r="I841" s="92">
        <f t="shared" si="69"/>
        <v>0.83314152713252354</v>
      </c>
      <c r="J841" s="95">
        <v>0.84128305426504701</v>
      </c>
      <c r="K841" s="137">
        <v>0.79602566813892095</v>
      </c>
      <c r="L841" s="137">
        <v>0.82499999999999996</v>
      </c>
      <c r="M841" s="137">
        <v>0.75256417034730305</v>
      </c>
      <c r="N841" s="136">
        <v>1</v>
      </c>
      <c r="O841" s="157">
        <v>43053</v>
      </c>
      <c r="P841" s="98">
        <f t="shared" si="68"/>
        <v>0</v>
      </c>
      <c r="Q841" s="113">
        <v>2.5499999999999998</v>
      </c>
      <c r="R841" s="113">
        <v>1.65</v>
      </c>
      <c r="S841" s="113">
        <v>0</v>
      </c>
      <c r="T841" s="119" t="s">
        <v>48</v>
      </c>
      <c r="U841" s="89" t="s">
        <v>2800</v>
      </c>
      <c r="V841" s="172" t="s">
        <v>2801</v>
      </c>
      <c r="W841" s="69">
        <v>118</v>
      </c>
      <c r="X841" s="69">
        <v>1</v>
      </c>
      <c r="Y841" s="69">
        <v>3</v>
      </c>
      <c r="AA841" t="s">
        <v>4543</v>
      </c>
      <c r="AB841" t="s">
        <v>358</v>
      </c>
      <c r="AC841" t="s">
        <v>223</v>
      </c>
      <c r="AD841" t="s">
        <v>4681</v>
      </c>
      <c r="AE841" t="s">
        <v>223</v>
      </c>
      <c r="AF841" t="s">
        <v>4681</v>
      </c>
      <c r="AG841" t="s">
        <v>223</v>
      </c>
      <c r="AH841" t="s">
        <v>4681</v>
      </c>
      <c r="AI841" t="s">
        <v>4515</v>
      </c>
      <c r="AJ841" t="s">
        <v>4750</v>
      </c>
      <c r="AK841" t="s">
        <v>4519</v>
      </c>
      <c r="AL841" t="s">
        <v>4519</v>
      </c>
      <c r="AM841" t="s">
        <v>4528</v>
      </c>
      <c r="AN841" t="s">
        <v>4529</v>
      </c>
      <c r="AO841" s="134">
        <v>109.239669421488</v>
      </c>
      <c r="AP841" s="135">
        <v>118.991477272727</v>
      </c>
      <c r="AQ841">
        <v>0.35227272727272702</v>
      </c>
      <c r="AR841" s="136">
        <v>1.3267045454545501</v>
      </c>
      <c r="AS841">
        <v>8.8664772727272698</v>
      </c>
      <c r="AU841"/>
      <c r="AV841"/>
      <c r="AW841"/>
      <c r="AX841"/>
    </row>
    <row r="842" spans="1:50" s="69" customFormat="1" ht="91">
      <c r="A842" s="65">
        <v>116</v>
      </c>
      <c r="B842" s="69" t="s">
        <v>217</v>
      </c>
      <c r="C842" s="69" t="s">
        <v>45</v>
      </c>
      <c r="D842" s="31">
        <f t="shared" si="66"/>
        <v>4</v>
      </c>
      <c r="E842" s="69" t="s">
        <v>46</v>
      </c>
      <c r="F842" s="31">
        <f t="shared" si="67"/>
        <v>6</v>
      </c>
      <c r="G842" s="137" t="s">
        <v>382</v>
      </c>
      <c r="H842" s="138">
        <v>151</v>
      </c>
      <c r="I842" s="92">
        <f t="shared" si="69"/>
        <v>0.45390428172452835</v>
      </c>
      <c r="J842" s="95">
        <v>3.0856344905672001E-4</v>
      </c>
      <c r="K842" s="137">
        <v>0.86368779643582305</v>
      </c>
      <c r="L842" s="137">
        <v>0.90749999999999997</v>
      </c>
      <c r="M842" s="137">
        <v>0.79796949108955795</v>
      </c>
      <c r="N842" s="136">
        <v>0</v>
      </c>
      <c r="O842" s="154">
        <v>43053</v>
      </c>
      <c r="P842" s="98">
        <f t="shared" si="68"/>
        <v>0</v>
      </c>
      <c r="Q842" s="111">
        <v>10.199999999999999</v>
      </c>
      <c r="R842" s="111">
        <v>1.65</v>
      </c>
      <c r="S842" s="111">
        <v>0</v>
      </c>
      <c r="T842" s="112" t="s">
        <v>48</v>
      </c>
      <c r="U842" s="137" t="s">
        <v>383</v>
      </c>
      <c r="V842" s="137" t="s">
        <v>384</v>
      </c>
      <c r="W842" s="69">
        <v>136</v>
      </c>
      <c r="X842" s="69">
        <v>1</v>
      </c>
      <c r="Y842" s="69">
        <v>2</v>
      </c>
      <c r="Z842"/>
      <c r="AA842" t="s">
        <v>4564</v>
      </c>
      <c r="AB842" t="s">
        <v>4827</v>
      </c>
      <c r="AC842" t="s">
        <v>4515</v>
      </c>
      <c r="AD842" t="s">
        <v>4666</v>
      </c>
      <c r="AE842" t="s">
        <v>4515</v>
      </c>
      <c r="AF842" t="s">
        <v>4666</v>
      </c>
      <c r="AG842" t="s">
        <v>223</v>
      </c>
      <c r="AH842" t="s">
        <v>4665</v>
      </c>
      <c r="AI842" t="s">
        <v>4515</v>
      </c>
      <c r="AJ842" t="s">
        <v>4666</v>
      </c>
      <c r="AK842" t="s">
        <v>4518</v>
      </c>
      <c r="AL842" t="s">
        <v>4519</v>
      </c>
      <c r="AM842" t="s">
        <v>4740</v>
      </c>
      <c r="AN842" t="s">
        <v>4672</v>
      </c>
      <c r="AO842" s="134">
        <v>109.383977900552</v>
      </c>
      <c r="AP842" s="135">
        <v>118.991477272727</v>
      </c>
      <c r="AQ842">
        <v>0.35227272727272702</v>
      </c>
      <c r="AR842" s="136">
        <v>1.3267045454545501</v>
      </c>
      <c r="AS842">
        <v>8.8664772727272698</v>
      </c>
      <c r="AU842"/>
      <c r="AV842"/>
      <c r="AW842"/>
      <c r="AX842"/>
    </row>
    <row r="843" spans="1:50" s="69" customFormat="1" ht="91">
      <c r="A843" s="65">
        <v>8</v>
      </c>
      <c r="B843" s="136" t="s">
        <v>44</v>
      </c>
      <c r="C843" s="136" t="s">
        <v>45</v>
      </c>
      <c r="D843" s="31">
        <f t="shared" si="66"/>
        <v>4</v>
      </c>
      <c r="E843" s="136" t="s">
        <v>76</v>
      </c>
      <c r="F843" s="31">
        <f t="shared" si="67"/>
        <v>7</v>
      </c>
      <c r="G843" s="209" t="s">
        <v>77</v>
      </c>
      <c r="H843" s="138">
        <v>169</v>
      </c>
      <c r="I843" s="92">
        <f t="shared" si="69"/>
        <v>0.34878521232091281</v>
      </c>
      <c r="J843" s="95">
        <v>1.5752242823643601E-2</v>
      </c>
      <c r="K843" s="137">
        <v>0.72827870552673202</v>
      </c>
      <c r="L843" s="137">
        <v>0.68181818181818199</v>
      </c>
      <c r="M843" s="137">
        <v>0.79796949108955795</v>
      </c>
      <c r="N843" s="136">
        <v>0</v>
      </c>
      <c r="O843" s="32">
        <v>43052</v>
      </c>
      <c r="P843" s="98">
        <f t="shared" si="68"/>
        <v>0</v>
      </c>
      <c r="Q843" s="113">
        <v>2.5499999999999998</v>
      </c>
      <c r="R843" s="113">
        <v>0</v>
      </c>
      <c r="S843" s="113">
        <v>1.87</v>
      </c>
      <c r="T843" s="114" t="s">
        <v>48</v>
      </c>
      <c r="U843" s="209" t="s">
        <v>78</v>
      </c>
      <c r="V843" s="136" t="s">
        <v>79</v>
      </c>
      <c r="W843" s="69">
        <v>69</v>
      </c>
      <c r="X843" s="209">
        <v>3</v>
      </c>
      <c r="Y843" s="209">
        <v>2</v>
      </c>
      <c r="Z843"/>
      <c r="AA843" t="s">
        <v>4889</v>
      </c>
      <c r="AB843" t="s">
        <v>4576</v>
      </c>
      <c r="AC843" t="s">
        <v>4353</v>
      </c>
      <c r="AD843" t="s">
        <v>4506</v>
      </c>
      <c r="AE843" t="s">
        <v>4515</v>
      </c>
      <c r="AF843" t="s">
        <v>4724</v>
      </c>
      <c r="AG843" t="s">
        <v>4515</v>
      </c>
      <c r="AH843" t="s">
        <v>4724</v>
      </c>
      <c r="AI843" t="s">
        <v>4353</v>
      </c>
      <c r="AJ843" t="s">
        <v>4506</v>
      </c>
      <c r="AK843" t="s">
        <v>4519</v>
      </c>
      <c r="AL843" t="s">
        <v>4552</v>
      </c>
      <c r="AM843" t="s">
        <v>4510</v>
      </c>
      <c r="AN843" t="s">
        <v>4634</v>
      </c>
      <c r="AO843" s="134">
        <v>109.21883656509701</v>
      </c>
      <c r="AP843" s="135">
        <v>118.76353276353299</v>
      </c>
      <c r="AQ843">
        <v>0.35327635327635298</v>
      </c>
      <c r="AR843" s="136">
        <v>1.3247863247863201</v>
      </c>
      <c r="AS843">
        <v>8.8575498575498592</v>
      </c>
      <c r="AU843"/>
      <c r="AV843"/>
      <c r="AW843"/>
      <c r="AX843"/>
    </row>
    <row r="844" spans="1:50" s="69" customFormat="1" ht="61">
      <c r="A844" s="65">
        <v>117</v>
      </c>
      <c r="B844" s="69" t="s">
        <v>217</v>
      </c>
      <c r="C844" s="69" t="s">
        <v>45</v>
      </c>
      <c r="D844" s="31">
        <f t="shared" si="66"/>
        <v>4</v>
      </c>
      <c r="E844" s="69" t="s">
        <v>80</v>
      </c>
      <c r="F844" s="31">
        <f t="shared" si="67"/>
        <v>4</v>
      </c>
      <c r="G844" s="137" t="s">
        <v>159</v>
      </c>
      <c r="H844" s="138">
        <v>42</v>
      </c>
      <c r="I844" s="92">
        <f t="shared" si="69"/>
        <v>0.44417411994452038</v>
      </c>
      <c r="J844" s="95">
        <v>6.33482398890408E-2</v>
      </c>
      <c r="K844" s="137">
        <v>0.81418779643582295</v>
      </c>
      <c r="L844" s="137">
        <v>0.82499999999999996</v>
      </c>
      <c r="M844" s="137">
        <v>0.79796949108955795</v>
      </c>
      <c r="N844" s="136">
        <v>1</v>
      </c>
      <c r="O844" s="154">
        <v>43051</v>
      </c>
      <c r="P844" s="98">
        <f t="shared" si="68"/>
        <v>0</v>
      </c>
      <c r="Q844" s="111">
        <v>2.5499999999999998</v>
      </c>
      <c r="R844" s="111">
        <v>1.65</v>
      </c>
      <c r="S844" s="111">
        <v>0</v>
      </c>
      <c r="T844" s="112" t="s">
        <v>48</v>
      </c>
      <c r="U844" s="137" t="s">
        <v>385</v>
      </c>
      <c r="V844" s="137" t="s">
        <v>386</v>
      </c>
      <c r="W844" s="69">
        <v>73</v>
      </c>
      <c r="X844" s="69">
        <v>2</v>
      </c>
      <c r="Y844" s="69">
        <v>2</v>
      </c>
      <c r="Z844"/>
      <c r="AA844" t="s">
        <v>4556</v>
      </c>
      <c r="AB844" t="s">
        <v>51</v>
      </c>
      <c r="AC844" t="s">
        <v>4353</v>
      </c>
      <c r="AD844" t="s">
        <v>4506</v>
      </c>
      <c r="AE844" t="s">
        <v>4513</v>
      </c>
      <c r="AF844" t="s">
        <v>4723</v>
      </c>
      <c r="AG844" t="s">
        <v>4353</v>
      </c>
      <c r="AH844" t="s">
        <v>4506</v>
      </c>
      <c r="AI844" t="s">
        <v>4353</v>
      </c>
      <c r="AJ844" t="s">
        <v>4506</v>
      </c>
      <c r="AK844" t="s">
        <v>4518</v>
      </c>
      <c r="AL844" t="s">
        <v>4552</v>
      </c>
      <c r="AM844" t="s">
        <v>4528</v>
      </c>
      <c r="AN844" t="s">
        <v>4557</v>
      </c>
      <c r="AO844" s="134">
        <v>109.40555555555601</v>
      </c>
      <c r="AP844" s="135">
        <v>118.76353276353299</v>
      </c>
      <c r="AQ844">
        <v>0.35327635327635298</v>
      </c>
      <c r="AR844" s="136">
        <v>1.3247863247863201</v>
      </c>
      <c r="AS844">
        <v>8.8575498575498592</v>
      </c>
      <c r="AU844"/>
      <c r="AV844"/>
      <c r="AW844"/>
      <c r="AX844"/>
    </row>
    <row r="845" spans="1:50" s="69" customFormat="1" ht="211">
      <c r="A845" s="65">
        <v>673</v>
      </c>
      <c r="B845" s="69" t="s">
        <v>1790</v>
      </c>
      <c r="C845" s="69" t="s">
        <v>45</v>
      </c>
      <c r="D845" s="31">
        <f t="shared" si="66"/>
        <v>4</v>
      </c>
      <c r="E845" s="69" t="s">
        <v>46</v>
      </c>
      <c r="F845" s="31">
        <f t="shared" si="67"/>
        <v>6</v>
      </c>
      <c r="G845" s="137" t="s">
        <v>1848</v>
      </c>
      <c r="H845" s="138">
        <v>407</v>
      </c>
      <c r="I845" s="92">
        <f t="shared" si="69"/>
        <v>0.37500241527989941</v>
      </c>
      <c r="J845" s="95">
        <v>4.8305597988296298E-6</v>
      </c>
      <c r="K845" s="137">
        <v>0.621428571428571</v>
      </c>
      <c r="L845" s="137">
        <v>0.75</v>
      </c>
      <c r="M845" s="137">
        <v>0.42857142857142899</v>
      </c>
      <c r="N845" s="136">
        <v>1</v>
      </c>
      <c r="O845" s="154">
        <v>43051</v>
      </c>
      <c r="P845" s="98">
        <f t="shared" si="68"/>
        <v>1</v>
      </c>
      <c r="Q845" s="111">
        <v>0</v>
      </c>
      <c r="R845" s="111">
        <v>0</v>
      </c>
      <c r="S845" s="111">
        <v>0</v>
      </c>
      <c r="T845" s="112" t="s">
        <v>73</v>
      </c>
      <c r="U845" s="137" t="s">
        <v>1849</v>
      </c>
      <c r="V845" s="136" t="s">
        <v>1850</v>
      </c>
      <c r="W845" s="69">
        <v>160</v>
      </c>
      <c r="X845" s="69">
        <v>1</v>
      </c>
      <c r="Y845" s="69">
        <v>16</v>
      </c>
      <c r="AA845" t="s">
        <v>4564</v>
      </c>
      <c r="AB845" t="s">
        <v>4576</v>
      </c>
      <c r="AC845" t="s">
        <v>223</v>
      </c>
      <c r="AD845" t="s">
        <v>4640</v>
      </c>
      <c r="AE845" t="s">
        <v>4515</v>
      </c>
      <c r="AF845" t="s">
        <v>4639</v>
      </c>
      <c r="AG845" t="s">
        <v>4515</v>
      </c>
      <c r="AH845" t="s">
        <v>4639</v>
      </c>
      <c r="AI845" t="s">
        <v>4353</v>
      </c>
      <c r="AJ845" t="s">
        <v>4506</v>
      </c>
      <c r="AK845" t="s">
        <v>4740</v>
      </c>
      <c r="AL845" t="s">
        <v>4828</v>
      </c>
      <c r="AM845" t="s">
        <v>4528</v>
      </c>
      <c r="AN845" t="s">
        <v>5028</v>
      </c>
      <c r="AO845" s="134">
        <v>108.57660167130901</v>
      </c>
      <c r="AP845" s="135">
        <v>118.76353276353299</v>
      </c>
      <c r="AQ845">
        <v>0.35327635327635298</v>
      </c>
      <c r="AR845" s="136">
        <v>1.3247863247863201</v>
      </c>
      <c r="AS845">
        <v>8.8575498575498592</v>
      </c>
      <c r="AU845"/>
      <c r="AV845"/>
      <c r="AW845"/>
      <c r="AX845"/>
    </row>
    <row r="846" spans="1:50" s="69" customFormat="1" ht="91">
      <c r="A846">
        <v>1098</v>
      </c>
      <c r="B846" s="69" t="s">
        <v>2948</v>
      </c>
      <c r="C846" s="69" t="s">
        <v>45</v>
      </c>
      <c r="D846" s="31">
        <f t="shared" si="66"/>
        <v>4</v>
      </c>
      <c r="E846" s="69" t="s">
        <v>80</v>
      </c>
      <c r="F846" s="31">
        <f t="shared" si="67"/>
        <v>4</v>
      </c>
      <c r="G846" s="139" t="s">
        <v>2984</v>
      </c>
      <c r="H846" s="138">
        <v>43</v>
      </c>
      <c r="I846" s="92">
        <f t="shared" si="69"/>
        <v>0.4137296831209335</v>
      </c>
      <c r="J846" s="95">
        <v>2.45936624186705E-3</v>
      </c>
      <c r="K846" s="137">
        <v>0.78071428571428603</v>
      </c>
      <c r="L846" s="137">
        <v>0.82499999999999996</v>
      </c>
      <c r="M846" s="137">
        <v>0.71428571428571397</v>
      </c>
      <c r="N846" s="136">
        <v>1</v>
      </c>
      <c r="O846" s="157">
        <v>43050</v>
      </c>
      <c r="P846" s="98">
        <f t="shared" si="68"/>
        <v>0</v>
      </c>
      <c r="Q846" s="113">
        <v>5.0999999999999996</v>
      </c>
      <c r="R846" s="113">
        <v>1.65</v>
      </c>
      <c r="S846" s="113">
        <v>0</v>
      </c>
      <c r="T846" s="119" t="s">
        <v>48</v>
      </c>
      <c r="U846" s="89" t="s">
        <v>2985</v>
      </c>
      <c r="V846" s="172" t="s">
        <v>2986</v>
      </c>
      <c r="W846" s="69">
        <v>133</v>
      </c>
      <c r="X846" s="69">
        <v>1</v>
      </c>
      <c r="Y846" s="69">
        <v>4</v>
      </c>
      <c r="AA846" t="s">
        <v>4551</v>
      </c>
      <c r="AB846" t="s">
        <v>4783</v>
      </c>
      <c r="AC846" t="s">
        <v>4515</v>
      </c>
      <c r="AD846" t="s">
        <v>4617</v>
      </c>
      <c r="AE846" t="s">
        <v>4515</v>
      </c>
      <c r="AF846" t="s">
        <v>4617</v>
      </c>
      <c r="AG846" t="s">
        <v>4515</v>
      </c>
      <c r="AH846" t="s">
        <v>4617</v>
      </c>
      <c r="AI846" t="s">
        <v>4515</v>
      </c>
      <c r="AJ846" t="s">
        <v>4617</v>
      </c>
      <c r="AK846" t="s">
        <v>4519</v>
      </c>
      <c r="AL846" t="s">
        <v>4552</v>
      </c>
      <c r="AM846" t="s">
        <v>4510</v>
      </c>
      <c r="AN846" t="s">
        <v>4634</v>
      </c>
      <c r="AO846" s="134">
        <v>108.759776536313</v>
      </c>
      <c r="AP846" s="135">
        <v>118.76353276353299</v>
      </c>
      <c r="AQ846">
        <v>0.35327635327635298</v>
      </c>
      <c r="AR846" s="136">
        <v>1.3247863247863201</v>
      </c>
      <c r="AS846">
        <v>8.8575498575498592</v>
      </c>
      <c r="AU846"/>
      <c r="AV846"/>
      <c r="AW846"/>
      <c r="AX846"/>
    </row>
    <row r="847" spans="1:50" s="69" customFormat="1" ht="121">
      <c r="A847" s="65">
        <v>608</v>
      </c>
      <c r="B847" s="69" t="s">
        <v>1628</v>
      </c>
      <c r="C847" s="69" t="s">
        <v>45</v>
      </c>
      <c r="D847" s="31">
        <f t="shared" si="66"/>
        <v>4</v>
      </c>
      <c r="E847" s="69" t="s">
        <v>80</v>
      </c>
      <c r="F847" s="31">
        <f t="shared" si="67"/>
        <v>4</v>
      </c>
      <c r="G847" s="169" t="s">
        <v>1688</v>
      </c>
      <c r="H847" s="138">
        <v>102</v>
      </c>
      <c r="I847" s="92">
        <f t="shared" si="69"/>
        <v>0.37501001703019587</v>
      </c>
      <c r="J847" s="95">
        <v>2.0034060391749302E-5</v>
      </c>
      <c r="K847" s="137">
        <v>0.66047858340826304</v>
      </c>
      <c r="L847" s="137">
        <v>0.75</v>
      </c>
      <c r="M847" s="137">
        <v>0.526196458520657</v>
      </c>
      <c r="N847" s="136">
        <v>1</v>
      </c>
      <c r="O847" s="154">
        <v>43049</v>
      </c>
      <c r="P847" s="98">
        <f t="shared" si="68"/>
        <v>0</v>
      </c>
      <c r="Q847" s="111">
        <v>2.5499999999999998</v>
      </c>
      <c r="R847" s="111">
        <v>0</v>
      </c>
      <c r="S847" s="111">
        <v>0</v>
      </c>
      <c r="T847" s="112" t="s">
        <v>48</v>
      </c>
      <c r="U847" s="137" t="s">
        <v>1689</v>
      </c>
      <c r="V847" s="137" t="s">
        <v>1690</v>
      </c>
      <c r="W847" s="69">
        <v>177</v>
      </c>
      <c r="X847" s="69">
        <v>1</v>
      </c>
      <c r="Y847" s="69">
        <v>11</v>
      </c>
      <c r="AA847" t="s">
        <v>4556</v>
      </c>
      <c r="AB847" t="s">
        <v>4827</v>
      </c>
      <c r="AC847" t="s">
        <v>4515</v>
      </c>
      <c r="AD847" t="s">
        <v>4799</v>
      </c>
      <c r="AE847" t="s">
        <v>4515</v>
      </c>
      <c r="AF847" t="s">
        <v>4799</v>
      </c>
      <c r="AG847" t="s">
        <v>223</v>
      </c>
      <c r="AH847" t="s">
        <v>5016</v>
      </c>
      <c r="AI847" t="s">
        <v>4515</v>
      </c>
      <c r="AJ847" t="s">
        <v>4799</v>
      </c>
      <c r="AK847" t="s">
        <v>4518</v>
      </c>
      <c r="AL847" t="s">
        <v>4552</v>
      </c>
      <c r="AM847" t="s">
        <v>4528</v>
      </c>
      <c r="AN847" t="s">
        <v>4557</v>
      </c>
      <c r="AO847" s="134">
        <v>108.778711484594</v>
      </c>
      <c r="AP847" s="135">
        <v>118.648571428571</v>
      </c>
      <c r="AQ847">
        <v>0.35428571428571398</v>
      </c>
      <c r="AR847" s="136">
        <v>1.3228571428571401</v>
      </c>
      <c r="AS847">
        <v>8.8742857142857101</v>
      </c>
      <c r="AU847"/>
      <c r="AV847"/>
      <c r="AW847"/>
      <c r="AX847"/>
    </row>
    <row r="848" spans="1:50" s="69" customFormat="1" ht="91">
      <c r="A848">
        <v>51</v>
      </c>
      <c r="B848" s="136" t="s">
        <v>170</v>
      </c>
      <c r="C848" s="136" t="s">
        <v>45</v>
      </c>
      <c r="D848" s="31">
        <f t="shared" si="66"/>
        <v>4</v>
      </c>
      <c r="E848" s="136" t="s">
        <v>80</v>
      </c>
      <c r="F848" s="31">
        <f t="shared" si="67"/>
        <v>4</v>
      </c>
      <c r="G848" s="136" t="s">
        <v>200</v>
      </c>
      <c r="H848" s="138">
        <v>59</v>
      </c>
      <c r="I848" s="92">
        <f t="shared" si="69"/>
        <v>0.4125114670425275</v>
      </c>
      <c r="J848" s="95">
        <v>2.29340850550486E-5</v>
      </c>
      <c r="K848" s="137">
        <v>0.76722468700001201</v>
      </c>
      <c r="L848" s="137">
        <v>0.82499999999999996</v>
      </c>
      <c r="M848" s="137">
        <v>0.68056171750003003</v>
      </c>
      <c r="N848" s="136">
        <v>1</v>
      </c>
      <c r="O848" s="154">
        <v>43048</v>
      </c>
      <c r="P848" s="98">
        <f t="shared" si="68"/>
        <v>0</v>
      </c>
      <c r="Q848" s="113">
        <v>5.0999999999999996</v>
      </c>
      <c r="R848" s="113">
        <v>0</v>
      </c>
      <c r="S848" s="113">
        <v>0</v>
      </c>
      <c r="T848" s="114" t="s">
        <v>48</v>
      </c>
      <c r="U848" s="209" t="s">
        <v>201</v>
      </c>
      <c r="V848" s="136" t="s">
        <v>199</v>
      </c>
      <c r="W848" s="69">
        <v>135</v>
      </c>
      <c r="X848" s="209">
        <v>1</v>
      </c>
      <c r="Y848" s="209">
        <v>5</v>
      </c>
      <c r="Z848"/>
      <c r="AA848" t="s">
        <v>4512</v>
      </c>
      <c r="AB848" t="s">
        <v>51</v>
      </c>
      <c r="AC848" t="s">
        <v>4353</v>
      </c>
      <c r="AD848" t="s">
        <v>4506</v>
      </c>
      <c r="AE848" t="s">
        <v>4538</v>
      </c>
      <c r="AF848" t="s">
        <v>5022</v>
      </c>
      <c r="AG848" t="s">
        <v>4515</v>
      </c>
      <c r="AH848" t="s">
        <v>4684</v>
      </c>
      <c r="AI848" t="s">
        <v>4515</v>
      </c>
      <c r="AJ848" t="s">
        <v>4684</v>
      </c>
      <c r="AK848" t="s">
        <v>4518</v>
      </c>
      <c r="AL848" t="s">
        <v>4519</v>
      </c>
      <c r="AM848" t="s">
        <v>4520</v>
      </c>
      <c r="AN848" t="s">
        <v>4521</v>
      </c>
      <c r="AO848" s="134">
        <v>108.918539325843</v>
      </c>
      <c r="AP848" s="135">
        <v>118.609826589595</v>
      </c>
      <c r="AQ848">
        <v>0.34971098265896</v>
      </c>
      <c r="AR848" s="136">
        <v>1.3265895953757201</v>
      </c>
      <c r="AS848">
        <v>8.9132947976878594</v>
      </c>
      <c r="AU848"/>
      <c r="AV848"/>
      <c r="AW848"/>
      <c r="AX848"/>
    </row>
    <row r="849" spans="1:50" s="69" customFormat="1" ht="136">
      <c r="A849" s="65">
        <v>540</v>
      </c>
      <c r="B849" s="69" t="s">
        <v>1222</v>
      </c>
      <c r="C849" s="69" t="s">
        <v>45</v>
      </c>
      <c r="D849" s="31">
        <f t="shared" si="66"/>
        <v>4</v>
      </c>
      <c r="E849" s="69" t="s">
        <v>46</v>
      </c>
      <c r="F849" s="31">
        <f t="shared" si="67"/>
        <v>6</v>
      </c>
      <c r="G849" s="147" t="s">
        <v>1514</v>
      </c>
      <c r="H849" s="138">
        <v>247</v>
      </c>
      <c r="I849" s="92">
        <f t="shared" si="69"/>
        <v>0.28174305110907089</v>
      </c>
      <c r="J849" s="95">
        <v>1.54195878288022E-9</v>
      </c>
      <c r="K849" s="137">
        <v>0.56666308897713802</v>
      </c>
      <c r="L849" s="137">
        <v>0.56348610067618299</v>
      </c>
      <c r="M849" s="137">
        <v>0.57142857142857095</v>
      </c>
      <c r="N849" s="136">
        <v>1</v>
      </c>
      <c r="O849" s="154">
        <v>43047</v>
      </c>
      <c r="P849" s="98">
        <f t="shared" si="68"/>
        <v>0</v>
      </c>
      <c r="Q849" s="111">
        <v>0</v>
      </c>
      <c r="R849" s="111">
        <v>0</v>
      </c>
      <c r="S849" s="111">
        <v>0</v>
      </c>
      <c r="T849" s="112" t="s">
        <v>48</v>
      </c>
      <c r="U849" s="137" t="s">
        <v>1515</v>
      </c>
      <c r="V849" s="137" t="s">
        <v>1516</v>
      </c>
      <c r="W849" s="69">
        <v>77</v>
      </c>
      <c r="X849" s="171">
        <v>3</v>
      </c>
      <c r="Y849" s="171">
        <v>9</v>
      </c>
      <c r="Z849"/>
      <c r="AA849" t="s">
        <v>4678</v>
      </c>
      <c r="AB849" t="s">
        <v>71</v>
      </c>
      <c r="AC849" t="s">
        <v>223</v>
      </c>
      <c r="AD849" t="s">
        <v>4635</v>
      </c>
      <c r="AE849" t="s">
        <v>223</v>
      </c>
      <c r="AF849" t="s">
        <v>4635</v>
      </c>
      <c r="AG849" t="s">
        <v>4513</v>
      </c>
      <c r="AH849" t="s">
        <v>4609</v>
      </c>
      <c r="AI849" t="s">
        <v>4353</v>
      </c>
      <c r="AJ849" t="s">
        <v>4506</v>
      </c>
      <c r="AK849" t="s">
        <v>4519</v>
      </c>
      <c r="AL849" t="s">
        <v>4519</v>
      </c>
      <c r="AM849" t="s">
        <v>4528</v>
      </c>
      <c r="AN849" t="s">
        <v>4529</v>
      </c>
      <c r="AO849" s="134">
        <v>108.529577464789</v>
      </c>
      <c r="AP849" s="135">
        <v>118.531976744186</v>
      </c>
      <c r="AQ849">
        <v>0.35174418604651198</v>
      </c>
      <c r="AR849" s="136">
        <v>1.32558139534884</v>
      </c>
      <c r="AS849">
        <v>8.9132947976878594</v>
      </c>
      <c r="AU849"/>
      <c r="AV849"/>
      <c r="AW849"/>
      <c r="AX849"/>
    </row>
    <row r="850" spans="1:50" s="69" customFormat="1" ht="91">
      <c r="A850">
        <v>1099</v>
      </c>
      <c r="B850" s="69" t="s">
        <v>2948</v>
      </c>
      <c r="C850" s="69" t="s">
        <v>45</v>
      </c>
      <c r="D850" s="31">
        <f t="shared" si="66"/>
        <v>4</v>
      </c>
      <c r="E850" s="69" t="s">
        <v>80</v>
      </c>
      <c r="F850" s="31">
        <f t="shared" si="67"/>
        <v>4</v>
      </c>
      <c r="G850" s="191" t="s">
        <v>2987</v>
      </c>
      <c r="H850" s="138">
        <v>46</v>
      </c>
      <c r="I850" s="92">
        <f t="shared" si="69"/>
        <v>0.815322775750841</v>
      </c>
      <c r="J850" s="95">
        <v>0.880645551501682</v>
      </c>
      <c r="K850" s="137">
        <v>0.63619100647005999</v>
      </c>
      <c r="L850" s="137">
        <v>0.75</v>
      </c>
      <c r="M850" s="137">
        <v>0.46547751617515098</v>
      </c>
      <c r="N850" s="136">
        <v>1</v>
      </c>
      <c r="O850" s="157">
        <v>43046</v>
      </c>
      <c r="P850" s="98">
        <f t="shared" si="68"/>
        <v>0</v>
      </c>
      <c r="Q850" s="113">
        <v>0</v>
      </c>
      <c r="R850" s="113">
        <v>3.3</v>
      </c>
      <c r="S850" s="113">
        <v>0</v>
      </c>
      <c r="T850" s="119" t="s">
        <v>48</v>
      </c>
      <c r="U850" s="89" t="s">
        <v>2988</v>
      </c>
      <c r="V850" s="172" t="s">
        <v>2989</v>
      </c>
      <c r="W850" s="69">
        <v>131</v>
      </c>
      <c r="X850" s="171">
        <v>1</v>
      </c>
      <c r="Y850" s="171">
        <v>14</v>
      </c>
      <c r="AA850" t="s">
        <v>4551</v>
      </c>
      <c r="AB850" t="s">
        <v>4783</v>
      </c>
      <c r="AC850" t="s">
        <v>4515</v>
      </c>
      <c r="AD850" t="s">
        <v>4575</v>
      </c>
      <c r="AE850" t="s">
        <v>4515</v>
      </c>
      <c r="AF850" t="s">
        <v>4575</v>
      </c>
      <c r="AG850" t="s">
        <v>4515</v>
      </c>
      <c r="AH850" t="s">
        <v>4575</v>
      </c>
      <c r="AI850" t="s">
        <v>4515</v>
      </c>
      <c r="AJ850" t="s">
        <v>4575</v>
      </c>
      <c r="AK850" t="s">
        <v>4518</v>
      </c>
      <c r="AL850" t="s">
        <v>4541</v>
      </c>
      <c r="AM850" t="s">
        <v>4510</v>
      </c>
      <c r="AN850" t="s">
        <v>4610</v>
      </c>
      <c r="AO850" s="134">
        <v>108.675141242938</v>
      </c>
      <c r="AP850" s="135">
        <v>118.531976744186</v>
      </c>
      <c r="AQ850">
        <v>0.35174418604651198</v>
      </c>
      <c r="AR850" s="136">
        <v>1.32558139534884</v>
      </c>
      <c r="AS850">
        <v>8.9447674418604706</v>
      </c>
      <c r="AU850"/>
      <c r="AV850"/>
      <c r="AW850"/>
      <c r="AX850"/>
    </row>
    <row r="851" spans="1:50" s="69" customFormat="1" ht="106">
      <c r="A851" s="65">
        <v>609</v>
      </c>
      <c r="B851" s="69" t="s">
        <v>1628</v>
      </c>
      <c r="C851" s="69" t="s">
        <v>45</v>
      </c>
      <c r="D851" s="31">
        <f t="shared" si="66"/>
        <v>4</v>
      </c>
      <c r="E851" s="69" t="s">
        <v>80</v>
      </c>
      <c r="F851" s="31">
        <f t="shared" si="67"/>
        <v>4</v>
      </c>
      <c r="G851" s="147" t="s">
        <v>180</v>
      </c>
      <c r="H851" s="138">
        <v>57</v>
      </c>
      <c r="I851" s="92">
        <f t="shared" si="69"/>
        <v>0.70262269119932896</v>
      </c>
      <c r="J851" s="95">
        <v>0.58024538239865797</v>
      </c>
      <c r="K851" s="137">
        <v>0.79602566813892095</v>
      </c>
      <c r="L851" s="137">
        <v>0.82499999999999996</v>
      </c>
      <c r="M851" s="137">
        <v>0.75256417034730305</v>
      </c>
      <c r="N851" s="136">
        <v>1</v>
      </c>
      <c r="O851" s="154">
        <v>43046</v>
      </c>
      <c r="P851" s="98">
        <f t="shared" si="68"/>
        <v>0</v>
      </c>
      <c r="Q851" s="111">
        <v>0</v>
      </c>
      <c r="R851" s="111">
        <v>0</v>
      </c>
      <c r="S851" s="111">
        <v>0</v>
      </c>
      <c r="T851" s="112" t="s">
        <v>48</v>
      </c>
      <c r="U851" s="137" t="s">
        <v>1691</v>
      </c>
      <c r="V851" s="137" t="s">
        <v>1692</v>
      </c>
      <c r="W851" s="69">
        <v>159</v>
      </c>
      <c r="X851" s="147">
        <v>2</v>
      </c>
      <c r="Y851" s="147">
        <v>3</v>
      </c>
      <c r="AA851" t="s">
        <v>4564</v>
      </c>
      <c r="AB851" t="s">
        <v>51</v>
      </c>
      <c r="AC851" t="s">
        <v>4515</v>
      </c>
      <c r="AD851" t="s">
        <v>4635</v>
      </c>
      <c r="AE851" t="s">
        <v>4513</v>
      </c>
      <c r="AF851" t="s">
        <v>4759</v>
      </c>
      <c r="AG851" t="s">
        <v>223</v>
      </c>
      <c r="AH851" t="s">
        <v>4895</v>
      </c>
      <c r="AI851" t="s">
        <v>4515</v>
      </c>
      <c r="AJ851" t="s">
        <v>4635</v>
      </c>
      <c r="AK851" t="s">
        <v>4518</v>
      </c>
      <c r="AL851" t="s">
        <v>4519</v>
      </c>
      <c r="AM851" t="s">
        <v>4520</v>
      </c>
      <c r="AN851" t="s">
        <v>4521</v>
      </c>
      <c r="AO851" s="134">
        <v>108.76487252124601</v>
      </c>
      <c r="AP851" s="135">
        <v>118.531976744186</v>
      </c>
      <c r="AQ851">
        <v>0.35174418604651198</v>
      </c>
      <c r="AR851" s="136">
        <v>1.32558139534884</v>
      </c>
      <c r="AS851">
        <v>8.9447674418604706</v>
      </c>
      <c r="AU851"/>
      <c r="AV851"/>
      <c r="AW851"/>
      <c r="AX851"/>
    </row>
    <row r="852" spans="1:50" s="69" customFormat="1" ht="76">
      <c r="A852">
        <v>955</v>
      </c>
      <c r="B852" s="69" t="s">
        <v>2510</v>
      </c>
      <c r="C852" s="69" t="s">
        <v>59</v>
      </c>
      <c r="D852" s="31">
        <f t="shared" si="66"/>
        <v>5</v>
      </c>
      <c r="E852" s="69" t="s">
        <v>46</v>
      </c>
      <c r="F852" s="31">
        <f t="shared" si="67"/>
        <v>6</v>
      </c>
      <c r="G852" s="209" t="s">
        <v>2590</v>
      </c>
      <c r="H852" s="138">
        <v>77</v>
      </c>
      <c r="I852" s="92">
        <f t="shared" si="69"/>
        <v>0.34504350620280816</v>
      </c>
      <c r="J852" s="95">
        <v>8.2688305874343299E-3</v>
      </c>
      <c r="K852" s="137">
        <v>0.72827870552673202</v>
      </c>
      <c r="L852" s="137">
        <v>0.68181818181818199</v>
      </c>
      <c r="M852" s="137">
        <v>0.79796949108955795</v>
      </c>
      <c r="N852" s="136">
        <v>1</v>
      </c>
      <c r="O852" s="154">
        <v>43046</v>
      </c>
      <c r="P852" s="98">
        <f t="shared" si="68"/>
        <v>0</v>
      </c>
      <c r="Q852" s="111">
        <v>0</v>
      </c>
      <c r="R852" s="111">
        <v>0</v>
      </c>
      <c r="S852" s="111">
        <v>0</v>
      </c>
      <c r="T852" s="112" t="s">
        <v>48</v>
      </c>
      <c r="U852" s="147" t="s">
        <v>2591</v>
      </c>
      <c r="V852" s="137" t="s">
        <v>2592</v>
      </c>
      <c r="W852" s="69">
        <v>96</v>
      </c>
      <c r="X852" s="171">
        <v>2</v>
      </c>
      <c r="Y852" s="171">
        <v>2</v>
      </c>
      <c r="AA852" t="s">
        <v>4603</v>
      </c>
      <c r="AB852" t="s">
        <v>51</v>
      </c>
      <c r="AC852" t="s">
        <v>223</v>
      </c>
      <c r="AD852" t="s">
        <v>4649</v>
      </c>
      <c r="AE852" t="s">
        <v>4538</v>
      </c>
      <c r="AF852" t="s">
        <v>4978</v>
      </c>
      <c r="AG852" t="s">
        <v>4353</v>
      </c>
      <c r="AH852" t="s">
        <v>4506</v>
      </c>
      <c r="AI852" t="s">
        <v>4353</v>
      </c>
      <c r="AJ852" t="s">
        <v>4506</v>
      </c>
      <c r="AK852" t="s">
        <v>4519</v>
      </c>
      <c r="AL852" t="s">
        <v>4519</v>
      </c>
      <c r="AM852" t="s">
        <v>4528</v>
      </c>
      <c r="AN852" t="s">
        <v>4529</v>
      </c>
      <c r="AO852" s="134">
        <v>108.943181818182</v>
      </c>
      <c r="AP852" s="135">
        <v>118.531976744186</v>
      </c>
      <c r="AQ852">
        <v>0.35174418604651198</v>
      </c>
      <c r="AR852" s="136">
        <v>1.32558139534884</v>
      </c>
      <c r="AS852">
        <v>8.9447674418604706</v>
      </c>
      <c r="AU852"/>
      <c r="AV852"/>
      <c r="AW852"/>
      <c r="AX852"/>
    </row>
    <row r="853" spans="1:50" s="69" customFormat="1" ht="76">
      <c r="A853">
        <v>838</v>
      </c>
      <c r="B853" s="69" t="s">
        <v>2264</v>
      </c>
      <c r="C853" s="69" t="s">
        <v>45</v>
      </c>
      <c r="D853" s="31">
        <f t="shared" si="66"/>
        <v>4</v>
      </c>
      <c r="E853" s="69" t="s">
        <v>46</v>
      </c>
      <c r="F853" s="31">
        <f t="shared" si="67"/>
        <v>6</v>
      </c>
      <c r="G853" s="137" t="s">
        <v>2279</v>
      </c>
      <c r="H853" s="138">
        <v>70</v>
      </c>
      <c r="I853" s="92">
        <f t="shared" si="69"/>
        <v>0.33324379885951</v>
      </c>
      <c r="J853" s="95">
        <v>0.103001497042837</v>
      </c>
      <c r="K853" s="137">
        <v>0.63911732854463099</v>
      </c>
      <c r="L853" s="137">
        <v>0.56348610067618299</v>
      </c>
      <c r="M853" s="137">
        <v>0.75256417034730305</v>
      </c>
      <c r="N853" s="136">
        <v>1</v>
      </c>
      <c r="O853" s="154">
        <v>43045</v>
      </c>
      <c r="P853" s="98">
        <f t="shared" si="68"/>
        <v>2</v>
      </c>
      <c r="Q853" s="113">
        <v>7.65</v>
      </c>
      <c r="R853" s="113">
        <v>3.3</v>
      </c>
      <c r="S853" s="113">
        <v>0</v>
      </c>
      <c r="T853" s="114" t="s">
        <v>64</v>
      </c>
      <c r="U853" s="137" t="s">
        <v>2280</v>
      </c>
      <c r="V853" s="137" t="s">
        <v>2281</v>
      </c>
      <c r="W853" s="69">
        <v>53</v>
      </c>
      <c r="X853" s="69">
        <v>2</v>
      </c>
      <c r="Y853" s="69">
        <v>3</v>
      </c>
      <c r="AA853" t="s">
        <v>4663</v>
      </c>
      <c r="AB853" t="s">
        <v>87</v>
      </c>
      <c r="AC853" t="s">
        <v>223</v>
      </c>
      <c r="AD853" t="s">
        <v>4750</v>
      </c>
      <c r="AE853" t="s">
        <v>4353</v>
      </c>
      <c r="AF853" t="s">
        <v>4506</v>
      </c>
      <c r="AG853" t="s">
        <v>4353</v>
      </c>
      <c r="AH853" t="s">
        <v>4506</v>
      </c>
      <c r="AI853" t="s">
        <v>4353</v>
      </c>
      <c r="AJ853" t="s">
        <v>4506</v>
      </c>
      <c r="AK853" t="s">
        <v>4519</v>
      </c>
      <c r="AL853" t="s">
        <v>4552</v>
      </c>
      <c r="AM853" t="s">
        <v>4528</v>
      </c>
      <c r="AN853" t="s">
        <v>4618</v>
      </c>
      <c r="AO853" s="134">
        <v>109.05413105413101</v>
      </c>
      <c r="AP853" s="135">
        <v>118.531976744186</v>
      </c>
      <c r="AQ853">
        <v>0.35174418604651198</v>
      </c>
      <c r="AR853" s="136">
        <v>1.32558139534884</v>
      </c>
      <c r="AS853">
        <v>8.9447674418604706</v>
      </c>
      <c r="AU853"/>
      <c r="AV853"/>
      <c r="AW853"/>
      <c r="AX853"/>
    </row>
    <row r="854" spans="1:50" s="69" customFormat="1" ht="61">
      <c r="A854">
        <v>839</v>
      </c>
      <c r="B854" s="69" t="s">
        <v>2264</v>
      </c>
      <c r="C854" s="69" t="s">
        <v>45</v>
      </c>
      <c r="D854" s="31">
        <f t="shared" si="66"/>
        <v>4</v>
      </c>
      <c r="E854" s="69" t="s">
        <v>46</v>
      </c>
      <c r="F854" s="31">
        <f t="shared" si="67"/>
        <v>6</v>
      </c>
      <c r="G854" s="147" t="s">
        <v>2282</v>
      </c>
      <c r="H854" s="138">
        <v>91</v>
      </c>
      <c r="I854" s="92">
        <f t="shared" si="69"/>
        <v>0.29555247322537498</v>
      </c>
      <c r="J854" s="95">
        <v>2.7618845774567E-2</v>
      </c>
      <c r="K854" s="137">
        <v>0.63911732854463099</v>
      </c>
      <c r="L854" s="137">
        <v>0.56348610067618299</v>
      </c>
      <c r="M854" s="137">
        <v>0.75256417034730305</v>
      </c>
      <c r="N854" s="136">
        <v>1</v>
      </c>
      <c r="O854" s="154">
        <v>43045</v>
      </c>
      <c r="P854" s="98">
        <f t="shared" si="68"/>
        <v>1</v>
      </c>
      <c r="Q854" s="111">
        <v>2.5499999999999998</v>
      </c>
      <c r="R854" s="111">
        <v>0</v>
      </c>
      <c r="S854" s="111">
        <v>0</v>
      </c>
      <c r="T854" s="112" t="s">
        <v>73</v>
      </c>
      <c r="U854" s="147" t="s">
        <v>2283</v>
      </c>
      <c r="V854" s="137" t="s">
        <v>2281</v>
      </c>
      <c r="W854" s="69">
        <v>53</v>
      </c>
      <c r="X854" s="171">
        <v>1</v>
      </c>
      <c r="Y854" s="171">
        <v>3</v>
      </c>
      <c r="AA854" t="s">
        <v>4678</v>
      </c>
      <c r="AB854" t="s">
        <v>87</v>
      </c>
      <c r="AC854" t="s">
        <v>223</v>
      </c>
      <c r="AD854" t="s">
        <v>4750</v>
      </c>
      <c r="AE854" t="s">
        <v>4353</v>
      </c>
      <c r="AF854" t="s">
        <v>4506</v>
      </c>
      <c r="AG854" t="s">
        <v>4353</v>
      </c>
      <c r="AH854" t="s">
        <v>4506</v>
      </c>
      <c r="AI854" t="s">
        <v>4353</v>
      </c>
      <c r="AJ854" t="s">
        <v>4506</v>
      </c>
      <c r="AK854" t="s">
        <v>4519</v>
      </c>
      <c r="AL854" t="s">
        <v>4519</v>
      </c>
      <c r="AM854" t="s">
        <v>4510</v>
      </c>
      <c r="AN854" t="s">
        <v>4550</v>
      </c>
      <c r="AO854" s="134">
        <v>109.105714285714</v>
      </c>
      <c r="AP854" s="135">
        <v>118.531976744186</v>
      </c>
      <c r="AQ854">
        <v>0.35174418604651198</v>
      </c>
      <c r="AR854" s="136">
        <v>1.32558139534884</v>
      </c>
      <c r="AS854">
        <v>8.9447674418604706</v>
      </c>
      <c r="AU854"/>
      <c r="AV854"/>
      <c r="AW854"/>
      <c r="AX854"/>
    </row>
    <row r="855" spans="1:50" s="69" customFormat="1" ht="61">
      <c r="A855" s="65">
        <v>1100</v>
      </c>
      <c r="B855" s="69" t="s">
        <v>2948</v>
      </c>
      <c r="C855" s="69" t="s">
        <v>45</v>
      </c>
      <c r="D855" s="31">
        <f t="shared" si="66"/>
        <v>4</v>
      </c>
      <c r="E855" s="69" t="s">
        <v>80</v>
      </c>
      <c r="F855" s="31">
        <f t="shared" si="67"/>
        <v>4</v>
      </c>
      <c r="G855" s="139" t="s">
        <v>359</v>
      </c>
      <c r="H855" s="138">
        <v>39</v>
      </c>
      <c r="I855" s="92">
        <f t="shared" si="69"/>
        <v>0.37564742011348118</v>
      </c>
      <c r="J855" s="95">
        <v>1.2948402269623599E-3</v>
      </c>
      <c r="K855" s="137">
        <v>0.75102566813892102</v>
      </c>
      <c r="L855" s="137">
        <v>0.75</v>
      </c>
      <c r="M855" s="137">
        <v>0.75256417034730305</v>
      </c>
      <c r="N855" s="136">
        <v>1</v>
      </c>
      <c r="O855" s="204">
        <v>43044</v>
      </c>
      <c r="P855" s="98">
        <f t="shared" si="68"/>
        <v>0</v>
      </c>
      <c r="Q855" s="113">
        <v>0</v>
      </c>
      <c r="R855" s="113">
        <v>0</v>
      </c>
      <c r="S855" s="113">
        <v>0</v>
      </c>
      <c r="T855" s="119" t="s">
        <v>48</v>
      </c>
      <c r="U855" s="89" t="s">
        <v>2990</v>
      </c>
      <c r="V855" s="172" t="s">
        <v>2991</v>
      </c>
      <c r="W855" s="69">
        <v>91</v>
      </c>
      <c r="X855" s="69">
        <v>1</v>
      </c>
      <c r="Y855" s="69">
        <v>3</v>
      </c>
      <c r="AA855" t="s">
        <v>4564</v>
      </c>
      <c r="AB855" t="s">
        <v>51</v>
      </c>
      <c r="AC855" t="s">
        <v>223</v>
      </c>
      <c r="AD855" t="s">
        <v>4691</v>
      </c>
      <c r="AE855" t="s">
        <v>4515</v>
      </c>
      <c r="AF855" t="s">
        <v>4676</v>
      </c>
      <c r="AG855" t="s">
        <v>4353</v>
      </c>
      <c r="AH855" t="s">
        <v>4506</v>
      </c>
      <c r="AI855" t="s">
        <v>223</v>
      </c>
      <c r="AJ855" t="s">
        <v>4691</v>
      </c>
      <c r="AK855" t="s">
        <v>4519</v>
      </c>
      <c r="AL855" t="s">
        <v>4519</v>
      </c>
      <c r="AM855" t="s">
        <v>4510</v>
      </c>
      <c r="AN855" t="s">
        <v>4550</v>
      </c>
      <c r="AO855" s="134">
        <v>109.30659025788</v>
      </c>
      <c r="AP855" s="135">
        <v>118.531976744186</v>
      </c>
      <c r="AQ855">
        <v>0.35174418604651198</v>
      </c>
      <c r="AR855" s="136">
        <v>1.32558139534884</v>
      </c>
      <c r="AS855">
        <v>8.9447674418604706</v>
      </c>
      <c r="AU855"/>
      <c r="AV855"/>
      <c r="AW855"/>
      <c r="AX855"/>
    </row>
    <row r="856" spans="1:50" s="69" customFormat="1" ht="121">
      <c r="A856">
        <v>610</v>
      </c>
      <c r="B856" s="69" t="s">
        <v>1628</v>
      </c>
      <c r="C856" s="69" t="s">
        <v>45</v>
      </c>
      <c r="D856" s="31">
        <f t="shared" si="66"/>
        <v>4</v>
      </c>
      <c r="E856" s="69" t="s">
        <v>80</v>
      </c>
      <c r="F856" s="31">
        <f t="shared" si="67"/>
        <v>4</v>
      </c>
      <c r="G856" s="169" t="s">
        <v>159</v>
      </c>
      <c r="H856" s="138">
        <v>59</v>
      </c>
      <c r="I856" s="92">
        <f t="shared" si="69"/>
        <v>0.3753580900899065</v>
      </c>
      <c r="J856" s="95">
        <v>7.1618017981300896E-4</v>
      </c>
      <c r="K856" s="137">
        <v>0.73571428571428599</v>
      </c>
      <c r="L856" s="137">
        <v>0.75</v>
      </c>
      <c r="M856" s="137">
        <v>0.71428571428571397</v>
      </c>
      <c r="N856" s="136">
        <v>1</v>
      </c>
      <c r="O856" s="154">
        <v>43043</v>
      </c>
      <c r="P856" s="98">
        <f t="shared" si="68"/>
        <v>0</v>
      </c>
      <c r="Q856" s="111">
        <v>5.0999999999999996</v>
      </c>
      <c r="R856" s="111">
        <v>1.65</v>
      </c>
      <c r="S856" s="111">
        <v>0</v>
      </c>
      <c r="T856" s="112" t="s">
        <v>48</v>
      </c>
      <c r="U856" s="137" t="s">
        <v>1693</v>
      </c>
      <c r="V856" s="137" t="s">
        <v>1694</v>
      </c>
      <c r="W856" s="69">
        <v>173</v>
      </c>
      <c r="X856" s="69">
        <v>2</v>
      </c>
      <c r="Y856" s="69">
        <v>4</v>
      </c>
      <c r="AA856" t="s">
        <v>4512</v>
      </c>
      <c r="AB856" t="s">
        <v>87</v>
      </c>
      <c r="AC856" t="s">
        <v>4513</v>
      </c>
      <c r="AD856" t="s">
        <v>5029</v>
      </c>
      <c r="AE856" t="s">
        <v>4515</v>
      </c>
      <c r="AF856" t="s">
        <v>4900</v>
      </c>
      <c r="AG856" t="s">
        <v>223</v>
      </c>
      <c r="AH856" t="s">
        <v>4818</v>
      </c>
      <c r="AI856" t="s">
        <v>4515</v>
      </c>
      <c r="AJ856" t="s">
        <v>4900</v>
      </c>
      <c r="AK856" t="s">
        <v>4518</v>
      </c>
      <c r="AL856" t="s">
        <v>4552</v>
      </c>
      <c r="AM856" t="s">
        <v>4520</v>
      </c>
      <c r="AN856" t="s">
        <v>4621</v>
      </c>
      <c r="AO856" s="134">
        <v>109.451149425287</v>
      </c>
      <c r="AP856" s="135">
        <v>0.42528735632183901</v>
      </c>
      <c r="AQ856">
        <v>0.35174418604651198</v>
      </c>
      <c r="AR856" s="136">
        <v>1.32558139534884</v>
      </c>
      <c r="AS856">
        <v>8.9447674418604706</v>
      </c>
      <c r="AU856"/>
      <c r="AV856"/>
      <c r="AW856"/>
      <c r="AX856"/>
    </row>
    <row r="857" spans="1:50" s="69" customFormat="1" ht="151">
      <c r="A857" s="65">
        <v>1152</v>
      </c>
      <c r="B857" s="69" t="s">
        <v>3117</v>
      </c>
      <c r="C857" s="69" t="s">
        <v>45</v>
      </c>
      <c r="D857" s="31">
        <f t="shared" si="66"/>
        <v>4</v>
      </c>
      <c r="E857" s="69" t="s">
        <v>46</v>
      </c>
      <c r="F857" s="31">
        <f t="shared" si="67"/>
        <v>6</v>
      </c>
      <c r="G857" s="91" t="s">
        <v>3133</v>
      </c>
      <c r="H857" s="138">
        <v>214</v>
      </c>
      <c r="I857" s="92">
        <f t="shared" si="69"/>
        <v>0.34092350673252125</v>
      </c>
      <c r="J857" s="95">
        <v>2.8831646860516502E-5</v>
      </c>
      <c r="K857" s="137">
        <v>0.61114224536875195</v>
      </c>
      <c r="L857" s="137">
        <v>0.68181818181818199</v>
      </c>
      <c r="M857" s="137">
        <v>0.50512834069460699</v>
      </c>
      <c r="N857" s="136">
        <v>1</v>
      </c>
      <c r="O857" s="204">
        <v>43040</v>
      </c>
      <c r="P857" s="98">
        <f t="shared" si="68"/>
        <v>2</v>
      </c>
      <c r="Q857" s="113">
        <v>2.5499999999999998</v>
      </c>
      <c r="R857" s="113">
        <v>1.65</v>
      </c>
      <c r="S857" s="113">
        <v>1.87</v>
      </c>
      <c r="T857" s="119" t="s">
        <v>64</v>
      </c>
      <c r="U857" s="89" t="s">
        <v>3134</v>
      </c>
      <c r="V857" s="172" t="s">
        <v>3135</v>
      </c>
      <c r="W857" s="69">
        <v>199</v>
      </c>
      <c r="X857" s="171">
        <v>2</v>
      </c>
      <c r="Y857" s="171">
        <v>12</v>
      </c>
      <c r="AA857" t="s">
        <v>4543</v>
      </c>
      <c r="AB857" t="s">
        <v>4594</v>
      </c>
      <c r="AC857" t="s">
        <v>4515</v>
      </c>
      <c r="AD857" t="s">
        <v>4670</v>
      </c>
      <c r="AE857" t="s">
        <v>4515</v>
      </c>
      <c r="AF857" t="s">
        <v>4670</v>
      </c>
      <c r="AG857" t="s">
        <v>223</v>
      </c>
      <c r="AH857" t="s">
        <v>4825</v>
      </c>
      <c r="AI857" t="s">
        <v>223</v>
      </c>
      <c r="AJ857" t="s">
        <v>4825</v>
      </c>
      <c r="AK857" t="s">
        <v>4740</v>
      </c>
      <c r="AL857" t="s">
        <v>4509</v>
      </c>
      <c r="AM857" t="s">
        <v>4671</v>
      </c>
      <c r="AN857" t="s">
        <v>5030</v>
      </c>
      <c r="AO857" s="134">
        <v>109.149855907781</v>
      </c>
      <c r="AP857" s="135">
        <v>117.64477611940301</v>
      </c>
      <c r="AQ857">
        <v>0.35820895522388102</v>
      </c>
      <c r="AR857" s="136">
        <v>1.33134328358209</v>
      </c>
      <c r="AS857">
        <v>8.9134328358209007</v>
      </c>
      <c r="AU857"/>
      <c r="AV857"/>
      <c r="AW857"/>
      <c r="AX857"/>
    </row>
    <row r="858" spans="1:50" s="69" customFormat="1" ht="136">
      <c r="A858" s="65">
        <v>693</v>
      </c>
      <c r="B858" s="69" t="s">
        <v>1871</v>
      </c>
      <c r="C858" s="69" t="s">
        <v>119</v>
      </c>
      <c r="D858" s="31">
        <f t="shared" si="66"/>
        <v>1</v>
      </c>
      <c r="E858" s="69" t="s">
        <v>46</v>
      </c>
      <c r="F858" s="31">
        <f t="shared" si="67"/>
        <v>6</v>
      </c>
      <c r="G858" s="169" t="s">
        <v>1904</v>
      </c>
      <c r="H858" s="138">
        <v>73</v>
      </c>
      <c r="I858" s="92">
        <f t="shared" si="69"/>
        <v>0.80991735524402109</v>
      </c>
      <c r="J858" s="95">
        <v>0.99999999974424003</v>
      </c>
      <c r="K858" s="137">
        <v>0.69108862288210404</v>
      </c>
      <c r="L858" s="137">
        <v>0.61983471074380203</v>
      </c>
      <c r="M858" s="137">
        <v>0.79796949108955795</v>
      </c>
      <c r="N858" s="136">
        <v>1</v>
      </c>
      <c r="O858" s="154">
        <v>43039</v>
      </c>
      <c r="P858" s="98">
        <f t="shared" si="68"/>
        <v>1</v>
      </c>
      <c r="Q858" s="111">
        <v>2.5499999999999998</v>
      </c>
      <c r="R858" s="111">
        <v>0</v>
      </c>
      <c r="S858" s="111">
        <v>0</v>
      </c>
      <c r="T858" s="112" t="s">
        <v>73</v>
      </c>
      <c r="U858" s="137" t="s">
        <v>4414</v>
      </c>
      <c r="V858" s="137" t="s">
        <v>1906</v>
      </c>
      <c r="W858" s="69">
        <v>195</v>
      </c>
      <c r="X858" s="69">
        <v>1</v>
      </c>
      <c r="Y858" s="69">
        <v>2</v>
      </c>
      <c r="AA858" t="s">
        <v>4564</v>
      </c>
      <c r="AB858" t="s">
        <v>51</v>
      </c>
      <c r="AC858" t="s">
        <v>4515</v>
      </c>
      <c r="AD858" t="s">
        <v>4649</v>
      </c>
      <c r="AE858" t="s">
        <v>4513</v>
      </c>
      <c r="AF858" t="s">
        <v>4788</v>
      </c>
      <c r="AG858" t="s">
        <v>223</v>
      </c>
      <c r="AH858" t="s">
        <v>4739</v>
      </c>
      <c r="AI858" t="s">
        <v>4353</v>
      </c>
      <c r="AJ858" t="s">
        <v>4506</v>
      </c>
      <c r="AK858" t="s">
        <v>4519</v>
      </c>
      <c r="AL858" t="s">
        <v>4519</v>
      </c>
      <c r="AM858" t="s">
        <v>4528</v>
      </c>
      <c r="AN858" t="s">
        <v>4529</v>
      </c>
      <c r="AO858" s="134">
        <v>109.028901734104</v>
      </c>
      <c r="AP858" s="135">
        <v>117.64477611940301</v>
      </c>
      <c r="AQ858">
        <v>0.35820895522388102</v>
      </c>
      <c r="AR858" s="136">
        <v>1.33134328358209</v>
      </c>
      <c r="AS858">
        <v>8.9134328358209007</v>
      </c>
      <c r="AU858"/>
      <c r="AV858"/>
      <c r="AW858"/>
      <c r="AX858"/>
    </row>
    <row r="859" spans="1:50" s="69" customFormat="1" ht="121">
      <c r="A859" s="65">
        <v>181</v>
      </c>
      <c r="B859" s="69" t="s">
        <v>499</v>
      </c>
      <c r="C859" s="69" t="s">
        <v>45</v>
      </c>
      <c r="D859" s="31">
        <f t="shared" si="66"/>
        <v>4</v>
      </c>
      <c r="E859" s="69" t="s">
        <v>80</v>
      </c>
      <c r="F859" s="31">
        <f t="shared" si="67"/>
        <v>4</v>
      </c>
      <c r="G859" s="137" t="s">
        <v>559</v>
      </c>
      <c r="H859" s="138">
        <v>151</v>
      </c>
      <c r="I859" s="92">
        <f t="shared" si="69"/>
        <v>0.41250000007066101</v>
      </c>
      <c r="J859" s="95">
        <v>1.4132206516137599E-10</v>
      </c>
      <c r="K859" s="137">
        <v>0.61505831511049402</v>
      </c>
      <c r="L859" s="137">
        <v>0.82499999999999996</v>
      </c>
      <c r="M859" s="137">
        <v>0.30014578777623502</v>
      </c>
      <c r="N859" s="136">
        <v>0</v>
      </c>
      <c r="O859" s="154">
        <v>43039</v>
      </c>
      <c r="P859" s="98">
        <f t="shared" si="68"/>
        <v>0</v>
      </c>
      <c r="Q859" s="111">
        <v>0</v>
      </c>
      <c r="R859" s="111">
        <v>0</v>
      </c>
      <c r="S859" s="111">
        <v>0</v>
      </c>
      <c r="T859" s="112" t="s">
        <v>48</v>
      </c>
      <c r="U859" s="137" t="s">
        <v>560</v>
      </c>
      <c r="V859" s="137" t="s">
        <v>561</v>
      </c>
      <c r="W859" s="69">
        <v>180</v>
      </c>
      <c r="X859" s="69">
        <v>2</v>
      </c>
      <c r="Y859" s="69">
        <v>24</v>
      </c>
      <c r="Z859"/>
      <c r="AA859" t="s">
        <v>4512</v>
      </c>
      <c r="AB859" t="s">
        <v>87</v>
      </c>
      <c r="AC859" t="s">
        <v>4513</v>
      </c>
      <c r="AD859" t="s">
        <v>4641</v>
      </c>
      <c r="AE859" t="s">
        <v>4515</v>
      </c>
      <c r="AF859" t="s">
        <v>4639</v>
      </c>
      <c r="AG859" t="s">
        <v>223</v>
      </c>
      <c r="AH859" t="s">
        <v>4640</v>
      </c>
      <c r="AI859" t="s">
        <v>4515</v>
      </c>
      <c r="AJ859" t="s">
        <v>4639</v>
      </c>
      <c r="AK859" t="s">
        <v>4519</v>
      </c>
      <c r="AL859" t="s">
        <v>4552</v>
      </c>
      <c r="AM859" t="s">
        <v>4510</v>
      </c>
      <c r="AN859" t="s">
        <v>4634</v>
      </c>
      <c r="AO859" s="134">
        <v>109.133333333333</v>
      </c>
      <c r="AP859" s="135">
        <v>117.64477611940301</v>
      </c>
      <c r="AQ859">
        <v>0.35820895522388102</v>
      </c>
      <c r="AR859" s="136">
        <v>1.33134328358209</v>
      </c>
      <c r="AS859">
        <v>8.9134328358209007</v>
      </c>
      <c r="AU859"/>
      <c r="AV859"/>
      <c r="AW859"/>
      <c r="AX859"/>
    </row>
    <row r="860" spans="1:50" s="69" customFormat="1" ht="181">
      <c r="A860">
        <v>1007</v>
      </c>
      <c r="B860" s="69" t="s">
        <v>2638</v>
      </c>
      <c r="C860" s="69" t="s">
        <v>45</v>
      </c>
      <c r="D860" s="31">
        <f t="shared" si="66"/>
        <v>4</v>
      </c>
      <c r="E860" s="69" t="s">
        <v>46</v>
      </c>
      <c r="F860" s="31">
        <f t="shared" si="67"/>
        <v>6</v>
      </c>
      <c r="G860" s="89" t="s">
        <v>2731</v>
      </c>
      <c r="H860" s="138">
        <v>187</v>
      </c>
      <c r="I860" s="92">
        <f t="shared" si="69"/>
        <v>0.25741320816932967</v>
      </c>
      <c r="J860" s="95">
        <v>2.5663248148563001E-3</v>
      </c>
      <c r="K860" s="137">
        <v>0.45827611528338602</v>
      </c>
      <c r="L860" s="137">
        <v>0.51226009152380303</v>
      </c>
      <c r="M860" s="137">
        <v>0.37730015092276098</v>
      </c>
      <c r="N860" s="136">
        <v>1</v>
      </c>
      <c r="O860" s="157">
        <v>43034</v>
      </c>
      <c r="P860" s="98">
        <f t="shared" si="68"/>
        <v>2</v>
      </c>
      <c r="Q860" s="124">
        <v>2.5499999999999998</v>
      </c>
      <c r="R860" s="124">
        <v>0</v>
      </c>
      <c r="S860" s="124">
        <v>0</v>
      </c>
      <c r="T860" s="125" t="s">
        <v>64</v>
      </c>
      <c r="U860" s="91" t="s">
        <v>2732</v>
      </c>
      <c r="V860" s="172" t="s">
        <v>2733</v>
      </c>
      <c r="W860" s="69">
        <v>212</v>
      </c>
      <c r="X860" s="171">
        <v>1</v>
      </c>
      <c r="Y860" s="171">
        <v>19</v>
      </c>
      <c r="AA860" t="s">
        <v>4775</v>
      </c>
      <c r="AB860" t="s">
        <v>87</v>
      </c>
      <c r="AC860" t="s">
        <v>4515</v>
      </c>
      <c r="AD860" t="s">
        <v>4845</v>
      </c>
      <c r="AE860" t="s">
        <v>223</v>
      </c>
      <c r="AF860" t="s">
        <v>4844</v>
      </c>
      <c r="AG860" t="s">
        <v>223</v>
      </c>
      <c r="AH860" t="s">
        <v>4844</v>
      </c>
      <c r="AI860" t="s">
        <v>4353</v>
      </c>
      <c r="AJ860" t="s">
        <v>4506</v>
      </c>
      <c r="AK860" t="s">
        <v>4519</v>
      </c>
      <c r="AL860" t="s">
        <v>4519</v>
      </c>
      <c r="AM860" t="s">
        <v>4528</v>
      </c>
      <c r="AN860" t="s">
        <v>4529</v>
      </c>
      <c r="AO860" s="134">
        <v>108.860465116279</v>
      </c>
      <c r="AP860" s="135">
        <v>118.126506024096</v>
      </c>
      <c r="AQ860">
        <v>0.358433734939759</v>
      </c>
      <c r="AR860" s="136">
        <v>1.3313253012048201</v>
      </c>
      <c r="AS860">
        <v>8.9518072289156603</v>
      </c>
      <c r="AU860"/>
      <c r="AV860"/>
      <c r="AW860"/>
      <c r="AX860"/>
    </row>
    <row r="861" spans="1:50" s="69" customFormat="1" ht="226">
      <c r="A861">
        <v>1006</v>
      </c>
      <c r="B861" s="69" t="s">
        <v>2638</v>
      </c>
      <c r="C861" s="69" t="s">
        <v>45</v>
      </c>
      <c r="D861" s="31">
        <f t="shared" si="66"/>
        <v>4</v>
      </c>
      <c r="E861" s="69" t="s">
        <v>46</v>
      </c>
      <c r="F861" s="31">
        <f t="shared" si="67"/>
        <v>6</v>
      </c>
      <c r="G861" s="191" t="s">
        <v>2728</v>
      </c>
      <c r="H861" s="138">
        <v>203</v>
      </c>
      <c r="I861" s="92">
        <f t="shared" si="69"/>
        <v>0.23379110175288589</v>
      </c>
      <c r="J861" s="95">
        <v>1.8912112114057901E-3</v>
      </c>
      <c r="K861" s="137">
        <v>0.46560560184667998</v>
      </c>
      <c r="L861" s="137">
        <v>0.465690992294366</v>
      </c>
      <c r="M861" s="137">
        <v>0.46547751617515098</v>
      </c>
      <c r="N861" s="136">
        <v>1</v>
      </c>
      <c r="O861" s="157">
        <v>43034</v>
      </c>
      <c r="P861" s="98">
        <f t="shared" si="68"/>
        <v>2</v>
      </c>
      <c r="Q861" s="124">
        <v>5.0999999999999996</v>
      </c>
      <c r="R861" s="124">
        <v>0</v>
      </c>
      <c r="S861" s="124">
        <v>0</v>
      </c>
      <c r="T861" s="125" t="s">
        <v>64</v>
      </c>
      <c r="U861" s="89" t="s">
        <v>2729</v>
      </c>
      <c r="V861" s="172" t="s">
        <v>4453</v>
      </c>
      <c r="W861" s="69">
        <v>286</v>
      </c>
      <c r="X861" s="171">
        <v>2</v>
      </c>
      <c r="Y861" s="171">
        <v>14</v>
      </c>
      <c r="AA861" t="s">
        <v>5031</v>
      </c>
      <c r="AB861" t="s">
        <v>87</v>
      </c>
      <c r="AC861" t="s">
        <v>4530</v>
      </c>
      <c r="AD861" t="s">
        <v>5032</v>
      </c>
      <c r="AE861" t="s">
        <v>223</v>
      </c>
      <c r="AF861" t="s">
        <v>4848</v>
      </c>
      <c r="AG861" t="s">
        <v>223</v>
      </c>
      <c r="AH861" t="s">
        <v>4848</v>
      </c>
      <c r="AI861" t="s">
        <v>4353</v>
      </c>
      <c r="AJ861" t="s">
        <v>4506</v>
      </c>
      <c r="AK861" t="s">
        <v>4519</v>
      </c>
      <c r="AL861" t="s">
        <v>4519</v>
      </c>
      <c r="AM861" t="s">
        <v>4528</v>
      </c>
      <c r="AN861" t="s">
        <v>4529</v>
      </c>
      <c r="AO861" s="134">
        <v>108.632653061224</v>
      </c>
      <c r="AP861" s="135">
        <v>118.126506024096</v>
      </c>
      <c r="AQ861">
        <v>0.358433734939759</v>
      </c>
      <c r="AR861" s="136">
        <v>1.3313253012048201</v>
      </c>
      <c r="AS861">
        <v>8.9518072289156603</v>
      </c>
      <c r="AU861"/>
      <c r="AV861"/>
      <c r="AW861"/>
      <c r="AX861"/>
    </row>
    <row r="862" spans="1:50" s="69" customFormat="1" ht="76">
      <c r="A862" s="65">
        <v>821</v>
      </c>
      <c r="B862" s="69" t="s">
        <v>2179</v>
      </c>
      <c r="C862" s="69" t="s">
        <v>59</v>
      </c>
      <c r="D862" s="31">
        <f t="shared" si="66"/>
        <v>5</v>
      </c>
      <c r="E862" s="69" t="s">
        <v>46</v>
      </c>
      <c r="F862" s="31">
        <f t="shared" si="67"/>
        <v>6</v>
      </c>
      <c r="G862" s="169" t="s">
        <v>141</v>
      </c>
      <c r="H862" s="138">
        <v>52</v>
      </c>
      <c r="I862" s="92">
        <f t="shared" si="69"/>
        <v>0.28174389309180792</v>
      </c>
      <c r="J862" s="95">
        <v>1.6855074328470099E-6</v>
      </c>
      <c r="K862" s="137">
        <v>0.65727945684153299</v>
      </c>
      <c r="L862" s="137">
        <v>0.56348610067618299</v>
      </c>
      <c r="M862" s="137">
        <v>0.79796949108955795</v>
      </c>
      <c r="N862" s="136">
        <v>1</v>
      </c>
      <c r="O862" s="199">
        <v>43032</v>
      </c>
      <c r="P862" s="98">
        <f t="shared" si="68"/>
        <v>2</v>
      </c>
      <c r="Q862" s="113">
        <v>0</v>
      </c>
      <c r="R862" s="113">
        <v>0</v>
      </c>
      <c r="S862" s="113">
        <v>0</v>
      </c>
      <c r="T862" s="114" t="s">
        <v>64</v>
      </c>
      <c r="U862" s="136" t="s">
        <v>2236</v>
      </c>
      <c r="V862" s="136" t="s">
        <v>2237</v>
      </c>
      <c r="W862" s="69">
        <v>108</v>
      </c>
      <c r="X862" s="69">
        <v>0</v>
      </c>
      <c r="Y862" s="69">
        <v>2</v>
      </c>
      <c r="AA862" t="s">
        <v>4678</v>
      </c>
      <c r="AB862" t="s">
        <v>51</v>
      </c>
      <c r="AC862" t="s">
        <v>4515</v>
      </c>
      <c r="AD862" t="s">
        <v>4748</v>
      </c>
      <c r="AE862" t="s">
        <v>4538</v>
      </c>
      <c r="AF862" t="s">
        <v>5033</v>
      </c>
      <c r="AG862" t="s">
        <v>223</v>
      </c>
      <c r="AH862" t="s">
        <v>4747</v>
      </c>
      <c r="AI862" t="s">
        <v>4353</v>
      </c>
      <c r="AJ862" t="s">
        <v>4506</v>
      </c>
      <c r="AK862" t="s">
        <v>4519</v>
      </c>
      <c r="AL862" t="s">
        <v>4519</v>
      </c>
      <c r="AM862" t="s">
        <v>4562</v>
      </c>
      <c r="AN862" t="s">
        <v>4563</v>
      </c>
      <c r="AO862" s="134">
        <v>108.798245614035</v>
      </c>
      <c r="AP862" s="135">
        <v>118.337423312883</v>
      </c>
      <c r="AQ862">
        <v>0.34969325153374198</v>
      </c>
      <c r="AR862" s="136">
        <v>1.3282208588957101</v>
      </c>
      <c r="AS862">
        <v>8.99693251533742</v>
      </c>
      <c r="AU862"/>
      <c r="AV862"/>
      <c r="AW862"/>
      <c r="AX862"/>
    </row>
    <row r="863" spans="1:50" s="69" customFormat="1" ht="256">
      <c r="A863" s="65">
        <v>1008</v>
      </c>
      <c r="B863" s="69" t="s">
        <v>2638</v>
      </c>
      <c r="C863" s="69" t="s">
        <v>45</v>
      </c>
      <c r="D863" s="31">
        <f t="shared" si="66"/>
        <v>4</v>
      </c>
      <c r="E863" s="69" t="s">
        <v>80</v>
      </c>
      <c r="F863" s="31">
        <f t="shared" si="67"/>
        <v>4</v>
      </c>
      <c r="G863" s="139" t="s">
        <v>2734</v>
      </c>
      <c r="H863" s="138">
        <v>145</v>
      </c>
      <c r="I863" s="92">
        <f t="shared" si="69"/>
        <v>0.41250000148581878</v>
      </c>
      <c r="J863" s="95">
        <v>2.9716376026556199E-9</v>
      </c>
      <c r="K863" s="137">
        <v>0.733375592871646</v>
      </c>
      <c r="L863" s="137">
        <v>0.82499999999999996</v>
      </c>
      <c r="M863" s="137">
        <v>0.59593898217911601</v>
      </c>
      <c r="N863" s="136">
        <v>1</v>
      </c>
      <c r="O863" s="157">
        <v>43032</v>
      </c>
      <c r="P863" s="98">
        <f t="shared" si="68"/>
        <v>1</v>
      </c>
      <c r="Q863" s="124">
        <v>0</v>
      </c>
      <c r="R863" s="124">
        <v>0</v>
      </c>
      <c r="S863" s="124">
        <v>0</v>
      </c>
      <c r="T863" s="125" t="s">
        <v>73</v>
      </c>
      <c r="U863" s="89" t="s">
        <v>2735</v>
      </c>
      <c r="V863" s="136" t="s">
        <v>2736</v>
      </c>
      <c r="W863" s="69">
        <v>321</v>
      </c>
      <c r="X863" s="69">
        <v>2</v>
      </c>
      <c r="Y863" s="69">
        <v>8</v>
      </c>
      <c r="AA863" t="s">
        <v>4628</v>
      </c>
      <c r="AB863" t="s">
        <v>87</v>
      </c>
      <c r="AC863" t="s">
        <v>4515</v>
      </c>
      <c r="AD863" t="s">
        <v>5034</v>
      </c>
      <c r="AE863" t="s">
        <v>223</v>
      </c>
      <c r="AF863" t="s">
        <v>5035</v>
      </c>
      <c r="AG863" t="s">
        <v>223</v>
      </c>
      <c r="AH863" t="s">
        <v>5035</v>
      </c>
      <c r="AI863" t="s">
        <v>4353</v>
      </c>
      <c r="AJ863" t="s">
        <v>4506</v>
      </c>
      <c r="AK863" t="s">
        <v>4518</v>
      </c>
      <c r="AL863" t="s">
        <v>4519</v>
      </c>
      <c r="AM863" t="s">
        <v>4510</v>
      </c>
      <c r="AN863" t="s">
        <v>4523</v>
      </c>
      <c r="AO863" s="134">
        <v>108.692082111437</v>
      </c>
      <c r="AP863" s="135">
        <v>118.337423312883</v>
      </c>
      <c r="AQ863">
        <v>0.34969325153374198</v>
      </c>
      <c r="AR863" s="136">
        <v>1.3282208588957101</v>
      </c>
      <c r="AS863">
        <v>8.99693251533742</v>
      </c>
      <c r="AU863"/>
      <c r="AV863"/>
      <c r="AW863"/>
      <c r="AX863"/>
    </row>
    <row r="864" spans="1:50" s="69" customFormat="1" ht="61">
      <c r="A864">
        <v>370</v>
      </c>
      <c r="B864" s="69" t="s">
        <v>589</v>
      </c>
      <c r="C864" s="69" t="s">
        <v>59</v>
      </c>
      <c r="D864" s="31">
        <f t="shared" si="66"/>
        <v>5</v>
      </c>
      <c r="E864" s="69" t="s">
        <v>46</v>
      </c>
      <c r="F864" s="31">
        <f t="shared" si="67"/>
        <v>6</v>
      </c>
      <c r="G864" s="147" t="s">
        <v>1070</v>
      </c>
      <c r="H864" s="138">
        <v>91</v>
      </c>
      <c r="I864" s="92">
        <f t="shared" si="69"/>
        <v>0.84509128838004544</v>
      </c>
      <c r="J864" s="95">
        <v>0.94018257676009098</v>
      </c>
      <c r="K864" s="137">
        <v>0.75102566813892102</v>
      </c>
      <c r="L864" s="137">
        <v>0.75</v>
      </c>
      <c r="M864" s="137">
        <v>0.75256417034730305</v>
      </c>
      <c r="N864" s="136">
        <v>1</v>
      </c>
      <c r="O864" s="154">
        <v>43031</v>
      </c>
      <c r="P864" s="98">
        <f t="shared" si="68"/>
        <v>1</v>
      </c>
      <c r="Q864" s="111">
        <v>7.65</v>
      </c>
      <c r="R864" s="111">
        <v>0</v>
      </c>
      <c r="S864" s="111">
        <v>0</v>
      </c>
      <c r="T864" s="112" t="s">
        <v>73</v>
      </c>
      <c r="U864" s="137" t="s">
        <v>1071</v>
      </c>
      <c r="V864" s="137" t="s">
        <v>1072</v>
      </c>
      <c r="W864" s="69">
        <v>28</v>
      </c>
      <c r="X864" s="171">
        <v>3</v>
      </c>
      <c r="Y864" s="171">
        <v>3</v>
      </c>
      <c r="Z864"/>
      <c r="AA864" t="s">
        <v>4653</v>
      </c>
      <c r="AB864" t="s">
        <v>51</v>
      </c>
      <c r="AC864" t="s">
        <v>4353</v>
      </c>
      <c r="AD864" t="s">
        <v>4506</v>
      </c>
      <c r="AE864" t="s">
        <v>223</v>
      </c>
      <c r="AF864" t="s">
        <v>4812</v>
      </c>
      <c r="AG864" t="s">
        <v>4353</v>
      </c>
      <c r="AH864" t="s">
        <v>4506</v>
      </c>
      <c r="AI864" t="s">
        <v>4353</v>
      </c>
      <c r="AJ864" t="s">
        <v>4506</v>
      </c>
      <c r="AK864" t="s">
        <v>4519</v>
      </c>
      <c r="AL864" t="s">
        <v>4519</v>
      </c>
      <c r="AM864" t="s">
        <v>4528</v>
      </c>
      <c r="AN864" t="s">
        <v>4529</v>
      </c>
      <c r="AO864" s="134">
        <v>108.744117647059</v>
      </c>
      <c r="AP864" s="135">
        <v>118.826086956522</v>
      </c>
      <c r="AQ864">
        <v>0.35093167701863398</v>
      </c>
      <c r="AR864" s="136">
        <v>1.3260869565217399</v>
      </c>
      <c r="AS864">
        <v>9.0124223602484506</v>
      </c>
      <c r="AU864"/>
      <c r="AV864"/>
      <c r="AW864"/>
      <c r="AX864"/>
    </row>
    <row r="865" spans="1:50" s="69" customFormat="1" ht="91">
      <c r="A865">
        <v>822</v>
      </c>
      <c r="B865" s="69" t="s">
        <v>2179</v>
      </c>
      <c r="C865" s="69" t="s">
        <v>45</v>
      </c>
      <c r="D865" s="31">
        <f t="shared" ref="D865:D928" si="70">IF(C865="投诉",4,IF(C865="建议",1,IF(C865="举报",2,IF(C865="求助",3,5))))</f>
        <v>4</v>
      </c>
      <c r="E865" s="69" t="s">
        <v>46</v>
      </c>
      <c r="F865" s="31">
        <f t="shared" ref="F865:F928" si="71">IF(E865="12345app",1,IF(E865="e福州app",2,IF(E865="qq",3,IF(E865="电话",4,IF(E865="短信",5,IF(E865="网站",6,IF(E865="微博",7,IF(E865="微信",8,9))))))))</f>
        <v>6</v>
      </c>
      <c r="G865" s="137" t="s">
        <v>2238</v>
      </c>
      <c r="H865" s="138">
        <v>33</v>
      </c>
      <c r="I865" s="92">
        <f t="shared" si="69"/>
        <v>0.769261365727685</v>
      </c>
      <c r="J865" s="95">
        <v>0.78852273145537</v>
      </c>
      <c r="K865" s="137">
        <v>0.76918779643582302</v>
      </c>
      <c r="L865" s="137">
        <v>0.75</v>
      </c>
      <c r="M865" s="137">
        <v>0.79796949108955795</v>
      </c>
      <c r="N865" s="136">
        <v>0</v>
      </c>
      <c r="O865" s="154">
        <v>43031</v>
      </c>
      <c r="P865" s="98">
        <f t="shared" ref="P865:P928" si="72">IF(T865="利己",0,IF(T865="生态",2,1))</f>
        <v>1</v>
      </c>
      <c r="Q865" s="113">
        <v>0</v>
      </c>
      <c r="R865" s="113">
        <v>0</v>
      </c>
      <c r="S865" s="113">
        <v>0</v>
      </c>
      <c r="T865" s="114" t="s">
        <v>73</v>
      </c>
      <c r="U865" s="136" t="s">
        <v>2239</v>
      </c>
      <c r="V865" s="136" t="s">
        <v>2240</v>
      </c>
      <c r="W865" s="69">
        <v>122</v>
      </c>
      <c r="X865" s="69">
        <v>0</v>
      </c>
      <c r="Y865" s="69">
        <v>2</v>
      </c>
      <c r="AA865" t="s">
        <v>4564</v>
      </c>
      <c r="AB865" t="s">
        <v>4594</v>
      </c>
      <c r="AC865" t="s">
        <v>4515</v>
      </c>
      <c r="AD865" t="s">
        <v>4643</v>
      </c>
      <c r="AE865" t="s">
        <v>4515</v>
      </c>
      <c r="AF865" t="s">
        <v>4643</v>
      </c>
      <c r="AG865" t="s">
        <v>223</v>
      </c>
      <c r="AH865" t="s">
        <v>4776</v>
      </c>
      <c r="AI865" t="s">
        <v>4353</v>
      </c>
      <c r="AJ865" t="s">
        <v>4506</v>
      </c>
      <c r="AK865" t="s">
        <v>4519</v>
      </c>
      <c r="AL865" t="s">
        <v>4519</v>
      </c>
      <c r="AM865" t="s">
        <v>4510</v>
      </c>
      <c r="AN865" t="s">
        <v>4550</v>
      </c>
      <c r="AO865" s="134">
        <v>108.91740412979399</v>
      </c>
      <c r="AP865" s="135">
        <v>118.826086956522</v>
      </c>
      <c r="AQ865">
        <v>0.35093167701863398</v>
      </c>
      <c r="AR865" s="136">
        <v>1.3260869565217399</v>
      </c>
      <c r="AS865">
        <v>9.0124223602484506</v>
      </c>
      <c r="AU865"/>
      <c r="AV865"/>
      <c r="AW865"/>
      <c r="AX865"/>
    </row>
    <row r="866" spans="1:50" s="69" customFormat="1" ht="46">
      <c r="A866" s="65">
        <v>541</v>
      </c>
      <c r="B866" s="69" t="s">
        <v>1222</v>
      </c>
      <c r="C866" s="69" t="s">
        <v>45</v>
      </c>
      <c r="D866" s="31">
        <f t="shared" si="70"/>
        <v>4</v>
      </c>
      <c r="E866" s="69" t="s">
        <v>80</v>
      </c>
      <c r="F866" s="31">
        <f t="shared" si="71"/>
        <v>4</v>
      </c>
      <c r="G866" s="169" t="s">
        <v>1517</v>
      </c>
      <c r="H866" s="138">
        <v>50</v>
      </c>
      <c r="I866" s="92">
        <f t="shared" si="69"/>
        <v>0.39266665871260925</v>
      </c>
      <c r="J866" s="95">
        <v>3.5333317425218502E-2</v>
      </c>
      <c r="K866" s="137">
        <v>0.66929841941894996</v>
      </c>
      <c r="L866" s="137">
        <v>0.75</v>
      </c>
      <c r="M866" s="137">
        <v>0.54824604854737402</v>
      </c>
      <c r="N866" s="136">
        <v>1</v>
      </c>
      <c r="O866" s="154">
        <v>43031</v>
      </c>
      <c r="P866" s="98">
        <f t="shared" si="72"/>
        <v>0</v>
      </c>
      <c r="Q866" s="111">
        <v>0</v>
      </c>
      <c r="R866" s="111">
        <v>3.3</v>
      </c>
      <c r="S866" s="111">
        <v>1.87</v>
      </c>
      <c r="T866" s="112" t="s">
        <v>48</v>
      </c>
      <c r="U866" s="147" t="s">
        <v>1518</v>
      </c>
      <c r="V866" s="147" t="s">
        <v>1519</v>
      </c>
      <c r="W866" s="69">
        <v>50</v>
      </c>
      <c r="X866" s="152">
        <v>1</v>
      </c>
      <c r="Y866" s="152">
        <v>10</v>
      </c>
      <c r="Z866"/>
      <c r="AA866" t="s">
        <v>4512</v>
      </c>
      <c r="AB866" t="s">
        <v>87</v>
      </c>
      <c r="AC866" t="s">
        <v>4513</v>
      </c>
      <c r="AD866" t="s">
        <v>4677</v>
      </c>
      <c r="AE866" t="s">
        <v>4353</v>
      </c>
      <c r="AF866" t="s">
        <v>4506</v>
      </c>
      <c r="AG866" t="s">
        <v>4353</v>
      </c>
      <c r="AH866" t="s">
        <v>4506</v>
      </c>
      <c r="AI866" t="s">
        <v>223</v>
      </c>
      <c r="AJ866" t="s">
        <v>4781</v>
      </c>
      <c r="AK866" t="s">
        <v>4518</v>
      </c>
      <c r="AL866" t="s">
        <v>4552</v>
      </c>
      <c r="AM866" t="s">
        <v>4520</v>
      </c>
      <c r="AN866" t="s">
        <v>4621</v>
      </c>
      <c r="AO866" s="134">
        <v>109.14201183432</v>
      </c>
      <c r="AP866" s="135">
        <v>118.826086956522</v>
      </c>
      <c r="AQ866">
        <v>0.35093167701863398</v>
      </c>
      <c r="AR866" s="136">
        <v>1.3260869565217399</v>
      </c>
      <c r="AS866">
        <v>9.0124223602484506</v>
      </c>
      <c r="AU866"/>
      <c r="AV866"/>
      <c r="AW866"/>
      <c r="AX866"/>
    </row>
    <row r="867" spans="1:50" s="69" customFormat="1" ht="106">
      <c r="A867">
        <v>118</v>
      </c>
      <c r="B867" s="69" t="s">
        <v>217</v>
      </c>
      <c r="C867" s="69" t="s">
        <v>45</v>
      </c>
      <c r="D867" s="31">
        <f t="shared" si="70"/>
        <v>4</v>
      </c>
      <c r="E867" s="69" t="s">
        <v>46</v>
      </c>
      <c r="F867" s="31">
        <f t="shared" si="71"/>
        <v>6</v>
      </c>
      <c r="G867" s="137" t="s">
        <v>387</v>
      </c>
      <c r="H867" s="138">
        <v>42</v>
      </c>
      <c r="I867" s="92">
        <f t="shared" si="69"/>
        <v>0.64269678036339895</v>
      </c>
      <c r="J867" s="95">
        <v>0.60357537890861601</v>
      </c>
      <c r="K867" s="137">
        <v>0.71011657722983001</v>
      </c>
      <c r="L867" s="137">
        <v>0.68181818181818199</v>
      </c>
      <c r="M867" s="137">
        <v>0.75256417034730305</v>
      </c>
      <c r="N867" s="136">
        <v>1</v>
      </c>
      <c r="O867" s="154">
        <v>43030</v>
      </c>
      <c r="P867" s="98">
        <f t="shared" si="72"/>
        <v>0</v>
      </c>
      <c r="Q867" s="111">
        <v>5.0999999999999996</v>
      </c>
      <c r="R867" s="111">
        <v>1.65</v>
      </c>
      <c r="S867" s="111">
        <v>0</v>
      </c>
      <c r="T867" s="112" t="s">
        <v>48</v>
      </c>
      <c r="U867" s="137" t="s">
        <v>388</v>
      </c>
      <c r="V867" s="137" t="s">
        <v>389</v>
      </c>
      <c r="W867" s="69">
        <v>163</v>
      </c>
      <c r="X867" s="69">
        <v>2</v>
      </c>
      <c r="Y867" s="69">
        <v>3</v>
      </c>
      <c r="Z867"/>
      <c r="AA867" t="s">
        <v>4564</v>
      </c>
      <c r="AB867" t="s">
        <v>4594</v>
      </c>
      <c r="AC867" t="s">
        <v>4515</v>
      </c>
      <c r="AD867" t="s">
        <v>4685</v>
      </c>
      <c r="AE867" t="s">
        <v>4515</v>
      </c>
      <c r="AF867" t="s">
        <v>4685</v>
      </c>
      <c r="AG867" t="s">
        <v>223</v>
      </c>
      <c r="AH867" t="s">
        <v>4921</v>
      </c>
      <c r="AI867" t="s">
        <v>223</v>
      </c>
      <c r="AJ867" t="s">
        <v>4921</v>
      </c>
      <c r="AK867" t="s">
        <v>4518</v>
      </c>
      <c r="AL867" t="s">
        <v>4519</v>
      </c>
      <c r="AM867" t="s">
        <v>4528</v>
      </c>
      <c r="AN867" t="s">
        <v>4624</v>
      </c>
      <c r="AO867" s="134">
        <v>109.341246290801</v>
      </c>
      <c r="AP867" s="135">
        <v>118.826086956522</v>
      </c>
      <c r="AQ867">
        <v>0.35093167701863398</v>
      </c>
      <c r="AR867" s="136">
        <v>1.3260869565217399</v>
      </c>
      <c r="AS867">
        <v>9.0124223602484506</v>
      </c>
      <c r="AU867"/>
      <c r="AV867"/>
      <c r="AW867"/>
      <c r="AX867"/>
    </row>
    <row r="868" spans="1:50" s="69" customFormat="1" ht="46">
      <c r="A868" s="65">
        <v>720</v>
      </c>
      <c r="B868" s="69" t="s">
        <v>1913</v>
      </c>
      <c r="C868" s="69" t="s">
        <v>45</v>
      </c>
      <c r="D868" s="31">
        <f t="shared" si="70"/>
        <v>4</v>
      </c>
      <c r="E868" s="69" t="s">
        <v>80</v>
      </c>
      <c r="F868" s="31">
        <f t="shared" si="71"/>
        <v>4</v>
      </c>
      <c r="G868" s="147" t="s">
        <v>305</v>
      </c>
      <c r="H868" s="138">
        <v>39</v>
      </c>
      <c r="I868" s="92">
        <f t="shared" si="69"/>
        <v>0.42614678171699905</v>
      </c>
      <c r="J868" s="95">
        <v>2.7293563433998101E-2</v>
      </c>
      <c r="K868" s="137">
        <v>0.83785714285714297</v>
      </c>
      <c r="L868" s="137">
        <v>0.82499999999999996</v>
      </c>
      <c r="M868" s="137">
        <v>0.85714285714285698</v>
      </c>
      <c r="N868" s="136">
        <v>1</v>
      </c>
      <c r="O868" s="154">
        <v>43030</v>
      </c>
      <c r="P868" s="98">
        <f t="shared" si="72"/>
        <v>0</v>
      </c>
      <c r="Q868" s="111">
        <v>2.5499999999999998</v>
      </c>
      <c r="R868" s="111">
        <v>1.65</v>
      </c>
      <c r="S868" s="111">
        <v>1.87</v>
      </c>
      <c r="T868" s="112" t="s">
        <v>48</v>
      </c>
      <c r="U868" s="147" t="s">
        <v>1976</v>
      </c>
      <c r="V868" s="137" t="s">
        <v>1977</v>
      </c>
      <c r="W868" s="69">
        <v>47</v>
      </c>
      <c r="X868" s="147">
        <v>1</v>
      </c>
      <c r="Y868" s="147">
        <v>1</v>
      </c>
      <c r="AA868" t="s">
        <v>4522</v>
      </c>
      <c r="AB868" t="s">
        <v>71</v>
      </c>
      <c r="AC868" t="s">
        <v>4353</v>
      </c>
      <c r="AD868" t="s">
        <v>4506</v>
      </c>
      <c r="AE868" t="s">
        <v>4353</v>
      </c>
      <c r="AF868" t="s">
        <v>4506</v>
      </c>
      <c r="AG868" t="s">
        <v>223</v>
      </c>
      <c r="AH868" t="s">
        <v>4779</v>
      </c>
      <c r="AI868" t="s">
        <v>4353</v>
      </c>
      <c r="AJ868" t="s">
        <v>4506</v>
      </c>
      <c r="AK868" t="s">
        <v>4518</v>
      </c>
      <c r="AL868" t="s">
        <v>4519</v>
      </c>
      <c r="AM868" t="s">
        <v>4520</v>
      </c>
      <c r="AN868" t="s">
        <v>4521</v>
      </c>
      <c r="AO868" s="134">
        <v>109.35119047619</v>
      </c>
      <c r="AP868" s="135">
        <v>118.826086956522</v>
      </c>
      <c r="AQ868">
        <v>0.35093167701863398</v>
      </c>
      <c r="AR868" s="136">
        <v>1.3260869565217399</v>
      </c>
      <c r="AS868">
        <v>9.0124223602484506</v>
      </c>
      <c r="AU868"/>
      <c r="AV868"/>
      <c r="AW868"/>
      <c r="AX868"/>
    </row>
    <row r="869" spans="1:50" s="69" customFormat="1" ht="61">
      <c r="A869">
        <v>542</v>
      </c>
      <c r="B869" s="69" t="s">
        <v>1222</v>
      </c>
      <c r="C869" s="69" t="s">
        <v>45</v>
      </c>
      <c r="D869" s="31">
        <f t="shared" si="70"/>
        <v>4</v>
      </c>
      <c r="E869" s="69" t="s">
        <v>80</v>
      </c>
      <c r="F869" s="31">
        <f t="shared" si="71"/>
        <v>4</v>
      </c>
      <c r="G869" s="147" t="s">
        <v>1508</v>
      </c>
      <c r="H869" s="138">
        <v>106</v>
      </c>
      <c r="I869" s="92">
        <f t="shared" si="69"/>
        <v>0.37501340282369094</v>
      </c>
      <c r="J869" s="95">
        <v>2.6805647381888899E-5</v>
      </c>
      <c r="K869" s="137">
        <v>0.66929841941894996</v>
      </c>
      <c r="L869" s="137">
        <v>0.75</v>
      </c>
      <c r="M869" s="137">
        <v>0.54824604854737402</v>
      </c>
      <c r="N869" s="136">
        <v>1</v>
      </c>
      <c r="O869" s="154">
        <v>43030</v>
      </c>
      <c r="P869" s="98">
        <f t="shared" si="72"/>
        <v>1</v>
      </c>
      <c r="Q869" s="111">
        <v>2.5499999999999998</v>
      </c>
      <c r="R869" s="111">
        <v>1.65</v>
      </c>
      <c r="S869" s="111">
        <v>0</v>
      </c>
      <c r="T869" s="112" t="s">
        <v>73</v>
      </c>
      <c r="U869" s="137" t="s">
        <v>1520</v>
      </c>
      <c r="V869" s="137" t="s">
        <v>1521</v>
      </c>
      <c r="W869" s="69">
        <v>42</v>
      </c>
      <c r="X869" s="147">
        <v>1</v>
      </c>
      <c r="Y869" s="147">
        <v>10</v>
      </c>
      <c r="Z869"/>
      <c r="AA869" t="s">
        <v>4556</v>
      </c>
      <c r="AB869" t="s">
        <v>4594</v>
      </c>
      <c r="AC869" t="s">
        <v>4515</v>
      </c>
      <c r="AD869" t="s">
        <v>4880</v>
      </c>
      <c r="AE869" t="s">
        <v>4515</v>
      </c>
      <c r="AF869" t="s">
        <v>4880</v>
      </c>
      <c r="AG869" t="s">
        <v>4353</v>
      </c>
      <c r="AH869" t="s">
        <v>4506</v>
      </c>
      <c r="AI869" t="s">
        <v>4353</v>
      </c>
      <c r="AJ869" t="s">
        <v>4506</v>
      </c>
      <c r="AK869" t="s">
        <v>4519</v>
      </c>
      <c r="AL869" t="s">
        <v>4541</v>
      </c>
      <c r="AM869" t="s">
        <v>4528</v>
      </c>
      <c r="AN869" t="s">
        <v>4542</v>
      </c>
      <c r="AO869" s="134">
        <v>109.238805970149</v>
      </c>
      <c r="AP869" s="135">
        <v>118.826086956522</v>
      </c>
      <c r="AQ869">
        <v>0.35093167701863398</v>
      </c>
      <c r="AR869" s="136">
        <v>1.3260869565217399</v>
      </c>
      <c r="AS869">
        <v>9.0124223602484506</v>
      </c>
      <c r="AU869"/>
      <c r="AV869"/>
      <c r="AW869"/>
      <c r="AX869"/>
    </row>
    <row r="870" spans="1:50" s="69" customFormat="1" ht="91">
      <c r="A870">
        <v>674</v>
      </c>
      <c r="B870" s="69" t="s">
        <v>1790</v>
      </c>
      <c r="C870" s="69" t="s">
        <v>45</v>
      </c>
      <c r="D870" s="31">
        <f t="shared" si="70"/>
        <v>4</v>
      </c>
      <c r="E870" s="69" t="s">
        <v>80</v>
      </c>
      <c r="F870" s="31">
        <f t="shared" si="71"/>
        <v>4</v>
      </c>
      <c r="G870" s="152" t="s">
        <v>1851</v>
      </c>
      <c r="H870" s="138">
        <v>147</v>
      </c>
      <c r="I870" s="92">
        <f t="shared" si="69"/>
        <v>0.37501179655826333</v>
      </c>
      <c r="J870" s="95">
        <v>2.3593116526665601E-5</v>
      </c>
      <c r="K870" s="137">
        <v>0.66047858340826304</v>
      </c>
      <c r="L870" s="137">
        <v>0.75</v>
      </c>
      <c r="M870" s="137">
        <v>0.526196458520657</v>
      </c>
      <c r="N870" s="136">
        <v>1</v>
      </c>
      <c r="O870" s="154">
        <v>43030</v>
      </c>
      <c r="P870" s="98">
        <f t="shared" si="72"/>
        <v>0</v>
      </c>
      <c r="Q870" s="111">
        <v>2.5499999999999998</v>
      </c>
      <c r="R870" s="111">
        <v>0</v>
      </c>
      <c r="S870" s="111">
        <v>0</v>
      </c>
      <c r="T870" s="112" t="s">
        <v>48</v>
      </c>
      <c r="U870" s="147" t="s">
        <v>1852</v>
      </c>
      <c r="V870" s="137" t="s">
        <v>1853</v>
      </c>
      <c r="W870" s="69">
        <v>61</v>
      </c>
      <c r="X870" s="171">
        <v>1</v>
      </c>
      <c r="Y870" s="171">
        <v>11</v>
      </c>
      <c r="AA870" t="s">
        <v>4543</v>
      </c>
      <c r="AB870" t="s">
        <v>4594</v>
      </c>
      <c r="AC870" t="s">
        <v>4515</v>
      </c>
      <c r="AD870" t="s">
        <v>4751</v>
      </c>
      <c r="AE870" t="s">
        <v>4515</v>
      </c>
      <c r="AF870" t="s">
        <v>4751</v>
      </c>
      <c r="AG870" t="s">
        <v>223</v>
      </c>
      <c r="AH870" t="s">
        <v>4750</v>
      </c>
      <c r="AI870" t="s">
        <v>4353</v>
      </c>
      <c r="AJ870" t="s">
        <v>4506</v>
      </c>
      <c r="AK870" t="s">
        <v>4519</v>
      </c>
      <c r="AL870" t="s">
        <v>4552</v>
      </c>
      <c r="AM870" t="s">
        <v>4510</v>
      </c>
      <c r="AN870" t="s">
        <v>4634</v>
      </c>
      <c r="AO870" s="134">
        <v>109.44910179640701</v>
      </c>
      <c r="AP870" s="135">
        <v>118.826086956522</v>
      </c>
      <c r="AQ870">
        <v>0.35093167701863398</v>
      </c>
      <c r="AR870" s="136">
        <v>1.3260869565217399</v>
      </c>
      <c r="AS870">
        <v>9.0124223602484506</v>
      </c>
      <c r="AU870"/>
      <c r="AV870"/>
      <c r="AW870"/>
      <c r="AX870"/>
    </row>
    <row r="871" spans="1:50" s="69" customFormat="1" ht="91">
      <c r="A871">
        <v>371</v>
      </c>
      <c r="B871" s="69" t="s">
        <v>589</v>
      </c>
      <c r="C871" s="69" t="s">
        <v>59</v>
      </c>
      <c r="D871" s="31">
        <f t="shared" si="70"/>
        <v>5</v>
      </c>
      <c r="E871" s="69" t="s">
        <v>46</v>
      </c>
      <c r="F871" s="31">
        <f t="shared" si="71"/>
        <v>6</v>
      </c>
      <c r="G871" s="169" t="s">
        <v>1073</v>
      </c>
      <c r="H871" s="138">
        <v>87</v>
      </c>
      <c r="I871" s="92">
        <f t="shared" si="69"/>
        <v>0.80949084089543155</v>
      </c>
      <c r="J871" s="95">
        <v>0.99914697104706096</v>
      </c>
      <c r="K871" s="137">
        <v>0.65761511216056701</v>
      </c>
      <c r="L871" s="137">
        <v>0.61983471074380203</v>
      </c>
      <c r="M871" s="137">
        <v>0.71428571428571397</v>
      </c>
      <c r="N871" s="136">
        <v>0</v>
      </c>
      <c r="O871" s="154">
        <v>43028</v>
      </c>
      <c r="P871" s="98">
        <f t="shared" si="72"/>
        <v>1</v>
      </c>
      <c r="Q871" s="111">
        <v>0</v>
      </c>
      <c r="R871" s="111">
        <v>0</v>
      </c>
      <c r="S871" s="111">
        <v>0</v>
      </c>
      <c r="T871" s="112" t="s">
        <v>73</v>
      </c>
      <c r="U871" s="137" t="s">
        <v>1074</v>
      </c>
      <c r="V871" s="137" t="s">
        <v>1075</v>
      </c>
      <c r="W871" s="69">
        <v>114</v>
      </c>
      <c r="X871" s="69">
        <v>3</v>
      </c>
      <c r="Y871" s="69">
        <v>4</v>
      </c>
      <c r="Z871"/>
      <c r="AA871" t="s">
        <v>4564</v>
      </c>
      <c r="AB871" t="s">
        <v>87</v>
      </c>
      <c r="AC871" t="s">
        <v>4515</v>
      </c>
      <c r="AD871" t="s">
        <v>4842</v>
      </c>
      <c r="AE871" t="s">
        <v>223</v>
      </c>
      <c r="AF871" t="s">
        <v>4841</v>
      </c>
      <c r="AG871" t="s">
        <v>4353</v>
      </c>
      <c r="AH871" t="s">
        <v>4506</v>
      </c>
      <c r="AI871" t="s">
        <v>223</v>
      </c>
      <c r="AJ871" t="s">
        <v>4841</v>
      </c>
      <c r="AK871" t="s">
        <v>4519</v>
      </c>
      <c r="AL871" t="s">
        <v>4519</v>
      </c>
      <c r="AM871" t="s">
        <v>4528</v>
      </c>
      <c r="AN871" t="s">
        <v>4529</v>
      </c>
      <c r="AO871" s="134">
        <v>109.516516516517</v>
      </c>
      <c r="AP871" s="135">
        <v>118.579439252336</v>
      </c>
      <c r="AQ871">
        <v>0.35202492211837999</v>
      </c>
      <c r="AR871" s="136">
        <v>1.3271028037383199</v>
      </c>
      <c r="AS871">
        <v>9.0311526479750803</v>
      </c>
      <c r="AU871"/>
      <c r="AV871"/>
      <c r="AW871"/>
      <c r="AX871"/>
    </row>
    <row r="872" spans="1:50" s="69" customFormat="1" ht="151">
      <c r="A872" s="65">
        <v>1153</v>
      </c>
      <c r="B872" s="69" t="s">
        <v>3117</v>
      </c>
      <c r="C872" s="69" t="s">
        <v>45</v>
      </c>
      <c r="D872" s="31">
        <f t="shared" si="70"/>
        <v>4</v>
      </c>
      <c r="E872" s="69" t="s">
        <v>46</v>
      </c>
      <c r="F872" s="31">
        <f t="shared" si="71"/>
        <v>6</v>
      </c>
      <c r="G872" s="191" t="s">
        <v>3130</v>
      </c>
      <c r="H872" s="138">
        <v>130</v>
      </c>
      <c r="I872" s="92">
        <f t="shared" si="69"/>
        <v>0.86421990955101502</v>
      </c>
      <c r="J872" s="95">
        <v>0.90343981910202997</v>
      </c>
      <c r="K872" s="137">
        <v>0.69705133627784299</v>
      </c>
      <c r="L872" s="137">
        <v>0.82499999999999996</v>
      </c>
      <c r="M872" s="137">
        <v>0.50512834069460699</v>
      </c>
      <c r="N872" s="136">
        <v>1</v>
      </c>
      <c r="O872" s="157">
        <v>43028</v>
      </c>
      <c r="P872" s="98">
        <f t="shared" si="72"/>
        <v>1</v>
      </c>
      <c r="Q872" s="113">
        <v>0</v>
      </c>
      <c r="R872" s="113">
        <v>0</v>
      </c>
      <c r="S872" s="113">
        <v>0</v>
      </c>
      <c r="T872" s="119" t="s">
        <v>73</v>
      </c>
      <c r="U872" s="91" t="s">
        <v>3136</v>
      </c>
      <c r="V872" s="172" t="s">
        <v>3135</v>
      </c>
      <c r="W872" s="69">
        <v>199</v>
      </c>
      <c r="X872" s="171">
        <v>2</v>
      </c>
      <c r="Y872" s="171">
        <v>12</v>
      </c>
      <c r="AA872" t="s">
        <v>4556</v>
      </c>
      <c r="AB872" t="s">
        <v>4594</v>
      </c>
      <c r="AC872" t="s">
        <v>4515</v>
      </c>
      <c r="AD872" t="s">
        <v>4670</v>
      </c>
      <c r="AE872" t="s">
        <v>4515</v>
      </c>
      <c r="AF872" t="s">
        <v>4670</v>
      </c>
      <c r="AG872" t="s">
        <v>223</v>
      </c>
      <c r="AH872" t="s">
        <v>4825</v>
      </c>
      <c r="AI872" t="s">
        <v>223</v>
      </c>
      <c r="AJ872" t="s">
        <v>4825</v>
      </c>
      <c r="AK872" t="s">
        <v>4591</v>
      </c>
      <c r="AL872" t="s">
        <v>4519</v>
      </c>
      <c r="AM872" t="s">
        <v>4520</v>
      </c>
      <c r="AN872" t="s">
        <v>4870</v>
      </c>
      <c r="AO872" s="134">
        <v>109.596385542169</v>
      </c>
      <c r="AP872" s="135">
        <v>118.579439252336</v>
      </c>
      <c r="AQ872">
        <v>0.35202492211837999</v>
      </c>
      <c r="AR872" s="136">
        <v>1.3271028037383199</v>
      </c>
      <c r="AS872">
        <v>9.0311526479750803</v>
      </c>
      <c r="AU872"/>
      <c r="AV872"/>
      <c r="AW872"/>
      <c r="AX872"/>
    </row>
    <row r="873" spans="1:50" s="69" customFormat="1" ht="61">
      <c r="A873">
        <v>675</v>
      </c>
      <c r="B873" s="69" t="s">
        <v>1790</v>
      </c>
      <c r="C873" s="69" t="s">
        <v>45</v>
      </c>
      <c r="D873" s="31">
        <f t="shared" si="70"/>
        <v>4</v>
      </c>
      <c r="E873" s="69" t="s">
        <v>80</v>
      </c>
      <c r="F873" s="31">
        <f t="shared" si="71"/>
        <v>4</v>
      </c>
      <c r="G873" s="169" t="s">
        <v>1854</v>
      </c>
      <c r="H873" s="138">
        <v>83</v>
      </c>
      <c r="I873" s="92">
        <f t="shared" si="69"/>
        <v>0.30993105171525909</v>
      </c>
      <c r="J873" s="95">
        <v>2.73926867161434E-5</v>
      </c>
      <c r="K873" s="137">
        <v>0.57395216272412397</v>
      </c>
      <c r="L873" s="137">
        <v>0.61983471074380203</v>
      </c>
      <c r="M873" s="137">
        <v>0.50512834069460699</v>
      </c>
      <c r="N873" s="136">
        <v>1</v>
      </c>
      <c r="O873" s="154">
        <v>43028</v>
      </c>
      <c r="P873" s="98">
        <f t="shared" si="72"/>
        <v>1</v>
      </c>
      <c r="Q873" s="111">
        <v>2.5499999999999998</v>
      </c>
      <c r="R873" s="111">
        <v>0</v>
      </c>
      <c r="S873" s="111">
        <v>0</v>
      </c>
      <c r="T873" s="112" t="s">
        <v>73</v>
      </c>
      <c r="U873" s="137" t="s">
        <v>1855</v>
      </c>
      <c r="V873" s="137" t="s">
        <v>1856</v>
      </c>
      <c r="W873" s="69">
        <v>90</v>
      </c>
      <c r="X873" s="69">
        <v>1</v>
      </c>
      <c r="Y873" s="69">
        <v>12</v>
      </c>
      <c r="AA873" t="s">
        <v>4522</v>
      </c>
      <c r="AB873" t="s">
        <v>51</v>
      </c>
      <c r="AC873" t="s">
        <v>223</v>
      </c>
      <c r="AD873" t="s">
        <v>4670</v>
      </c>
      <c r="AE873" t="s">
        <v>4515</v>
      </c>
      <c r="AF873" t="s">
        <v>4798</v>
      </c>
      <c r="AG873" t="s">
        <v>223</v>
      </c>
      <c r="AH873" t="s">
        <v>4670</v>
      </c>
      <c r="AI873" t="s">
        <v>4353</v>
      </c>
      <c r="AJ873" t="s">
        <v>4506</v>
      </c>
      <c r="AK873" t="s">
        <v>4519</v>
      </c>
      <c r="AL873" t="s">
        <v>4519</v>
      </c>
      <c r="AM873" t="s">
        <v>4715</v>
      </c>
      <c r="AN873" t="s">
        <v>4716</v>
      </c>
      <c r="AO873" s="134">
        <v>109.093655589124</v>
      </c>
      <c r="AP873" s="135">
        <v>118.579439252336</v>
      </c>
      <c r="AQ873">
        <v>0.35202492211837999</v>
      </c>
      <c r="AR873" s="136">
        <v>1.3271028037383199</v>
      </c>
      <c r="AS873">
        <v>9.0311526479750803</v>
      </c>
      <c r="AU873"/>
      <c r="AV873"/>
      <c r="AW873"/>
      <c r="AX873"/>
    </row>
    <row r="874" spans="1:50" s="69" customFormat="1" ht="241">
      <c r="A874" s="65">
        <v>1009</v>
      </c>
      <c r="B874" s="69" t="s">
        <v>2638</v>
      </c>
      <c r="C874" s="69" t="s">
        <v>45</v>
      </c>
      <c r="D874" s="31">
        <f t="shared" si="70"/>
        <v>4</v>
      </c>
      <c r="E874" s="69" t="s">
        <v>46</v>
      </c>
      <c r="F874" s="31">
        <f t="shared" si="71"/>
        <v>6</v>
      </c>
      <c r="G874" s="89" t="s">
        <v>2737</v>
      </c>
      <c r="H874" s="138">
        <v>276</v>
      </c>
      <c r="I874" s="92">
        <f t="shared" si="69"/>
        <v>0.37500379549668333</v>
      </c>
      <c r="J874" s="95">
        <v>7.5909933666684603E-6</v>
      </c>
      <c r="K874" s="137">
        <v>0.65205133627784295</v>
      </c>
      <c r="L874" s="137">
        <v>0.75</v>
      </c>
      <c r="M874" s="137">
        <v>0.50512834069460699</v>
      </c>
      <c r="N874" s="136">
        <v>1</v>
      </c>
      <c r="O874" s="157">
        <v>43028</v>
      </c>
      <c r="P874" s="98">
        <f t="shared" si="72"/>
        <v>1</v>
      </c>
      <c r="Q874" s="124">
        <v>0</v>
      </c>
      <c r="R874" s="124">
        <v>0</v>
      </c>
      <c r="S874" s="124">
        <v>0</v>
      </c>
      <c r="T874" s="125" t="s">
        <v>73</v>
      </c>
      <c r="U874" s="136" t="s">
        <v>4454</v>
      </c>
      <c r="V874" s="235" t="s">
        <v>2739</v>
      </c>
      <c r="W874" s="69">
        <v>320</v>
      </c>
      <c r="X874" s="69">
        <v>1</v>
      </c>
      <c r="Y874" s="69">
        <v>12</v>
      </c>
      <c r="AA874" t="s">
        <v>4556</v>
      </c>
      <c r="AB874" t="s">
        <v>87</v>
      </c>
      <c r="AC874" t="s">
        <v>4515</v>
      </c>
      <c r="AD874" t="s">
        <v>4921</v>
      </c>
      <c r="AE874" t="s">
        <v>223</v>
      </c>
      <c r="AF874" t="s">
        <v>5036</v>
      </c>
      <c r="AG874" t="s">
        <v>223</v>
      </c>
      <c r="AH874" t="s">
        <v>5036</v>
      </c>
      <c r="AI874" t="s">
        <v>4353</v>
      </c>
      <c r="AJ874" t="s">
        <v>4506</v>
      </c>
      <c r="AK874" t="s">
        <v>4519</v>
      </c>
      <c r="AL874" t="s">
        <v>4519</v>
      </c>
      <c r="AM874" t="s">
        <v>4528</v>
      </c>
      <c r="AN874" t="s">
        <v>4529</v>
      </c>
      <c r="AO874" s="134">
        <v>109.030303030303</v>
      </c>
      <c r="AP874" s="135">
        <v>118.579439252336</v>
      </c>
      <c r="AQ874">
        <v>0.35202492211837999</v>
      </c>
      <c r="AR874" s="136">
        <v>1.3271028037383199</v>
      </c>
      <c r="AS874">
        <v>9.0311526479750803</v>
      </c>
      <c r="AU874"/>
      <c r="AV874"/>
      <c r="AW874"/>
      <c r="AX874"/>
    </row>
    <row r="875" spans="1:50" s="69" customFormat="1" ht="61">
      <c r="A875" s="65">
        <v>1144</v>
      </c>
      <c r="B875" s="69" t="s">
        <v>3082</v>
      </c>
      <c r="C875" s="69" t="s">
        <v>45</v>
      </c>
      <c r="D875" s="31">
        <f t="shared" si="70"/>
        <v>4</v>
      </c>
      <c r="E875" s="69" t="s">
        <v>80</v>
      </c>
      <c r="F875" s="31">
        <f t="shared" si="71"/>
        <v>4</v>
      </c>
      <c r="G875" s="139" t="s">
        <v>159</v>
      </c>
      <c r="H875" s="138">
        <v>86</v>
      </c>
      <c r="I875" s="92">
        <f t="shared" si="69"/>
        <v>0.41277228152024736</v>
      </c>
      <c r="J875" s="95">
        <v>5.44563040494772E-4</v>
      </c>
      <c r="K875" s="137">
        <v>0.68119100647006003</v>
      </c>
      <c r="L875" s="137">
        <v>0.82499999999999996</v>
      </c>
      <c r="M875" s="137">
        <v>0.46547751617515098</v>
      </c>
      <c r="N875" s="136">
        <v>1</v>
      </c>
      <c r="O875" s="157">
        <v>43027</v>
      </c>
      <c r="P875" s="98">
        <f t="shared" si="72"/>
        <v>0</v>
      </c>
      <c r="Q875" s="113">
        <v>0</v>
      </c>
      <c r="R875" s="113">
        <v>0</v>
      </c>
      <c r="S875" s="113">
        <v>0</v>
      </c>
      <c r="T875" s="119" t="s">
        <v>48</v>
      </c>
      <c r="U875" s="91" t="s">
        <v>3109</v>
      </c>
      <c r="V875" s="172" t="s">
        <v>3110</v>
      </c>
      <c r="W875" s="69">
        <v>86</v>
      </c>
      <c r="X875" s="171">
        <v>1</v>
      </c>
      <c r="Y875" s="171">
        <v>14</v>
      </c>
      <c r="AA875" t="s">
        <v>4522</v>
      </c>
      <c r="AB875" t="s">
        <v>87</v>
      </c>
      <c r="AC875" t="s">
        <v>4513</v>
      </c>
      <c r="AD875" t="s">
        <v>4920</v>
      </c>
      <c r="AE875" t="s">
        <v>4515</v>
      </c>
      <c r="AF875" t="s">
        <v>4737</v>
      </c>
      <c r="AG875" t="s">
        <v>223</v>
      </c>
      <c r="AH875" t="s">
        <v>4799</v>
      </c>
      <c r="AI875" t="s">
        <v>4353</v>
      </c>
      <c r="AJ875" t="s">
        <v>4506</v>
      </c>
      <c r="AK875" t="s">
        <v>4519</v>
      </c>
      <c r="AL875" t="s">
        <v>4519</v>
      </c>
      <c r="AM875" t="s">
        <v>4510</v>
      </c>
      <c r="AN875" t="s">
        <v>4550</v>
      </c>
      <c r="AO875" s="134">
        <v>109.151975683891</v>
      </c>
      <c r="AP875" s="135">
        <v>118.981072555205</v>
      </c>
      <c r="AQ875">
        <v>0.347003154574132</v>
      </c>
      <c r="AR875" s="136">
        <v>1.32807570977918</v>
      </c>
      <c r="AS875">
        <v>9.0662460567823295</v>
      </c>
      <c r="AU875"/>
      <c r="AV875"/>
      <c r="AW875"/>
      <c r="AX875"/>
    </row>
    <row r="876" spans="1:50" s="69" customFormat="1" ht="76">
      <c r="A876">
        <v>543</v>
      </c>
      <c r="B876" s="69" t="s">
        <v>1222</v>
      </c>
      <c r="C876" s="69" t="s">
        <v>45</v>
      </c>
      <c r="D876" s="31">
        <f t="shared" si="70"/>
        <v>4</v>
      </c>
      <c r="E876" s="69" t="s">
        <v>80</v>
      </c>
      <c r="F876" s="31">
        <f t="shared" si="71"/>
        <v>4</v>
      </c>
      <c r="G876" s="169" t="s">
        <v>1356</v>
      </c>
      <c r="H876" s="138">
        <v>69</v>
      </c>
      <c r="I876" s="92">
        <f t="shared" si="69"/>
        <v>0.45375003010333853</v>
      </c>
      <c r="J876" s="95">
        <v>6.0206677088281397E-8</v>
      </c>
      <c r="K876" s="137">
        <v>0.83021428571428602</v>
      </c>
      <c r="L876" s="137">
        <v>0.90749999999999997</v>
      </c>
      <c r="M876" s="137">
        <v>0.71428571428571397</v>
      </c>
      <c r="N876" s="136">
        <v>1</v>
      </c>
      <c r="O876" s="154">
        <v>43027</v>
      </c>
      <c r="P876" s="98">
        <f t="shared" si="72"/>
        <v>0</v>
      </c>
      <c r="Q876" s="111">
        <v>2.5499999999999998</v>
      </c>
      <c r="R876" s="111">
        <v>6.6</v>
      </c>
      <c r="S876" s="111">
        <v>0</v>
      </c>
      <c r="T876" s="112" t="s">
        <v>48</v>
      </c>
      <c r="U876" s="137" t="s">
        <v>1522</v>
      </c>
      <c r="V876" s="137" t="s">
        <v>1523</v>
      </c>
      <c r="W876" s="69">
        <v>110</v>
      </c>
      <c r="X876" s="69">
        <v>4</v>
      </c>
      <c r="Y876" s="69">
        <v>4</v>
      </c>
      <c r="Z876"/>
      <c r="AA876" t="s">
        <v>4628</v>
      </c>
      <c r="AB876" t="s">
        <v>71</v>
      </c>
      <c r="AC876" t="s">
        <v>223</v>
      </c>
      <c r="AD876" t="s">
        <v>4704</v>
      </c>
      <c r="AE876" t="s">
        <v>223</v>
      </c>
      <c r="AF876" t="s">
        <v>4704</v>
      </c>
      <c r="AG876" t="s">
        <v>4530</v>
      </c>
      <c r="AH876" t="s">
        <v>4609</v>
      </c>
      <c r="AI876" t="s">
        <v>4353</v>
      </c>
      <c r="AJ876" t="s">
        <v>4506</v>
      </c>
      <c r="AK876" t="s">
        <v>4518</v>
      </c>
      <c r="AL876" t="s">
        <v>4552</v>
      </c>
      <c r="AM876" t="s">
        <v>4510</v>
      </c>
      <c r="AN876" t="s">
        <v>4553</v>
      </c>
      <c r="AO876" s="134">
        <v>109.22256097560999</v>
      </c>
      <c r="AP876" s="135">
        <v>118.981072555205</v>
      </c>
      <c r="AQ876">
        <v>0.347003154574132</v>
      </c>
      <c r="AR876" s="136">
        <v>1.32807570977918</v>
      </c>
      <c r="AS876">
        <v>9.0662460567823295</v>
      </c>
      <c r="AU876"/>
      <c r="AV876"/>
      <c r="AW876"/>
      <c r="AX876"/>
    </row>
    <row r="877" spans="1:50" s="69" customFormat="1" ht="46">
      <c r="A877">
        <v>119</v>
      </c>
      <c r="B877" s="69" t="s">
        <v>217</v>
      </c>
      <c r="C877" s="69" t="s">
        <v>45</v>
      </c>
      <c r="D877" s="31">
        <f t="shared" si="70"/>
        <v>4</v>
      </c>
      <c r="E877" s="69" t="s">
        <v>80</v>
      </c>
      <c r="F877" s="31">
        <f t="shared" si="71"/>
        <v>4</v>
      </c>
      <c r="G877" s="137" t="s">
        <v>359</v>
      </c>
      <c r="H877" s="138">
        <v>76</v>
      </c>
      <c r="I877" s="92">
        <f t="shared" si="69"/>
        <v>0.37500993661936372</v>
      </c>
      <c r="J877" s="95">
        <v>1.9873238727430301E-5</v>
      </c>
      <c r="K877" s="137">
        <v>0.79285714285714304</v>
      </c>
      <c r="L877" s="137">
        <v>0.75</v>
      </c>
      <c r="M877" s="137">
        <v>0.85714285714285698</v>
      </c>
      <c r="N877" s="136">
        <v>1</v>
      </c>
      <c r="O877" s="154">
        <v>43026</v>
      </c>
      <c r="P877" s="98">
        <f t="shared" si="72"/>
        <v>0</v>
      </c>
      <c r="Q877" s="111">
        <v>10.199999999999999</v>
      </c>
      <c r="R877" s="111">
        <v>1.65</v>
      </c>
      <c r="S877" s="111">
        <v>0</v>
      </c>
      <c r="T877" s="112" t="s">
        <v>48</v>
      </c>
      <c r="U877" s="137" t="s">
        <v>390</v>
      </c>
      <c r="V877" s="137" t="s">
        <v>391</v>
      </c>
      <c r="W877" s="69">
        <v>49</v>
      </c>
      <c r="X877" s="69">
        <v>1</v>
      </c>
      <c r="Y877" s="69">
        <v>1</v>
      </c>
      <c r="Z877"/>
      <c r="AA877" t="s">
        <v>4564</v>
      </c>
      <c r="AB877" t="s">
        <v>4576</v>
      </c>
      <c r="AC877" t="s">
        <v>4353</v>
      </c>
      <c r="AD877" t="s">
        <v>4506</v>
      </c>
      <c r="AE877" t="s">
        <v>223</v>
      </c>
      <c r="AF877" t="s">
        <v>4781</v>
      </c>
      <c r="AG877" t="s">
        <v>223</v>
      </c>
      <c r="AH877" t="s">
        <v>4781</v>
      </c>
      <c r="AI877" t="s">
        <v>4353</v>
      </c>
      <c r="AJ877" t="s">
        <v>4506</v>
      </c>
      <c r="AK877" t="s">
        <v>4518</v>
      </c>
      <c r="AL877" t="s">
        <v>4519</v>
      </c>
      <c r="AM877" t="s">
        <v>4520</v>
      </c>
      <c r="AN877" t="s">
        <v>4521</v>
      </c>
      <c r="AO877" s="134">
        <v>109.324159021407</v>
      </c>
      <c r="AP877" s="135">
        <v>118.452229299363</v>
      </c>
      <c r="AQ877">
        <v>0.35031847133757998</v>
      </c>
      <c r="AR877" s="136">
        <v>1.3248407643312099</v>
      </c>
      <c r="AS877">
        <v>9.0159235668789801</v>
      </c>
      <c r="AU877"/>
      <c r="AV877"/>
      <c r="AW877"/>
      <c r="AX877"/>
    </row>
    <row r="878" spans="1:50" s="69" customFormat="1" ht="46">
      <c r="A878" s="65">
        <v>120</v>
      </c>
      <c r="B878" s="69" t="s">
        <v>217</v>
      </c>
      <c r="C878" s="69" t="s">
        <v>45</v>
      </c>
      <c r="D878" s="31">
        <f t="shared" si="70"/>
        <v>4</v>
      </c>
      <c r="E878" s="69" t="s">
        <v>46</v>
      </c>
      <c r="F878" s="31">
        <f t="shared" si="71"/>
        <v>6</v>
      </c>
      <c r="G878" s="137" t="s">
        <v>180</v>
      </c>
      <c r="H878" s="138">
        <v>39</v>
      </c>
      <c r="I878" s="92">
        <f t="shared" si="69"/>
        <v>0.45756192189428396</v>
      </c>
      <c r="J878" s="95">
        <v>9.0123843788567998E-2</v>
      </c>
      <c r="K878" s="137">
        <v>0.72357142857142898</v>
      </c>
      <c r="L878" s="137">
        <v>0.82499999999999996</v>
      </c>
      <c r="M878" s="137">
        <v>0.57142857142857095</v>
      </c>
      <c r="N878" s="136">
        <v>1</v>
      </c>
      <c r="O878" s="194">
        <v>43025</v>
      </c>
      <c r="P878" s="98">
        <f t="shared" si="72"/>
        <v>0</v>
      </c>
      <c r="Q878" s="111">
        <v>7.65</v>
      </c>
      <c r="R878" s="111">
        <v>0</v>
      </c>
      <c r="S878" s="111">
        <v>0</v>
      </c>
      <c r="T878" s="112" t="s">
        <v>48</v>
      </c>
      <c r="U878" s="147" t="s">
        <v>392</v>
      </c>
      <c r="V878" s="137" t="s">
        <v>393</v>
      </c>
      <c r="W878" s="69">
        <v>57</v>
      </c>
      <c r="X878" s="171">
        <v>1</v>
      </c>
      <c r="Y878" s="171">
        <v>9</v>
      </c>
      <c r="Z878"/>
      <c r="AA878" t="s">
        <v>4543</v>
      </c>
      <c r="AB878" t="s">
        <v>51</v>
      </c>
      <c r="AC878" t="s">
        <v>4353</v>
      </c>
      <c r="AD878" t="s">
        <v>4506</v>
      </c>
      <c r="AE878" t="s">
        <v>4515</v>
      </c>
      <c r="AF878" t="s">
        <v>4763</v>
      </c>
      <c r="AG878" t="s">
        <v>223</v>
      </c>
      <c r="AH878" t="s">
        <v>4762</v>
      </c>
      <c r="AI878" t="s">
        <v>4353</v>
      </c>
      <c r="AJ878" t="s">
        <v>4506</v>
      </c>
      <c r="AK878" t="s">
        <v>4519</v>
      </c>
      <c r="AL878" t="s">
        <v>4519</v>
      </c>
      <c r="AM878" t="s">
        <v>4528</v>
      </c>
      <c r="AN878" t="s">
        <v>4529</v>
      </c>
      <c r="AO878" s="134">
        <v>109.539877300613</v>
      </c>
      <c r="AP878" s="135">
        <v>118.452229299363</v>
      </c>
      <c r="AQ878">
        <v>0.35031847133757998</v>
      </c>
      <c r="AR878" s="136">
        <v>1.3248407643312099</v>
      </c>
      <c r="AS878">
        <v>9.0159235668789801</v>
      </c>
      <c r="AU878"/>
      <c r="AV878"/>
      <c r="AW878"/>
      <c r="AX878"/>
    </row>
    <row r="879" spans="1:50" s="69" customFormat="1" ht="136">
      <c r="A879" s="65">
        <v>1068</v>
      </c>
      <c r="B879" s="69" t="s">
        <v>2833</v>
      </c>
      <c r="C879" s="69" t="s">
        <v>45</v>
      </c>
      <c r="D879" s="31">
        <f t="shared" si="70"/>
        <v>4</v>
      </c>
      <c r="E879" s="69" t="s">
        <v>80</v>
      </c>
      <c r="F879" s="31">
        <f t="shared" si="71"/>
        <v>4</v>
      </c>
      <c r="G879" s="139" t="s">
        <v>2903</v>
      </c>
      <c r="H879" s="138">
        <v>62</v>
      </c>
      <c r="I879" s="92">
        <f t="shared" si="69"/>
        <v>0.37678845886886386</v>
      </c>
      <c r="J879" s="95">
        <v>3.5769177377277298E-3</v>
      </c>
      <c r="K879" s="137">
        <v>0.75102566813892102</v>
      </c>
      <c r="L879" s="137">
        <v>0.75</v>
      </c>
      <c r="M879" s="137">
        <v>0.75256417034730305</v>
      </c>
      <c r="N879" s="136">
        <v>1</v>
      </c>
      <c r="O879" s="157">
        <v>43025</v>
      </c>
      <c r="P879" s="98">
        <f t="shared" si="72"/>
        <v>1</v>
      </c>
      <c r="Q879" s="113">
        <v>2.5499999999999998</v>
      </c>
      <c r="R879" s="113">
        <v>0</v>
      </c>
      <c r="S879" s="113">
        <v>0</v>
      </c>
      <c r="T879" s="114" t="s">
        <v>73</v>
      </c>
      <c r="U879" s="91" t="s">
        <v>2904</v>
      </c>
      <c r="V879" s="172" t="s">
        <v>2905</v>
      </c>
      <c r="W879" s="69">
        <v>198</v>
      </c>
      <c r="X879" s="171">
        <v>1</v>
      </c>
      <c r="Y879" s="171">
        <v>3</v>
      </c>
      <c r="AA879" t="s">
        <v>4512</v>
      </c>
      <c r="AB879" t="s">
        <v>87</v>
      </c>
      <c r="AC879" t="s">
        <v>4513</v>
      </c>
      <c r="AD879" t="s">
        <v>4788</v>
      </c>
      <c r="AE879" t="s">
        <v>223</v>
      </c>
      <c r="AF879" t="s">
        <v>4739</v>
      </c>
      <c r="AG879" t="s">
        <v>4353</v>
      </c>
      <c r="AH879" t="s">
        <v>4506</v>
      </c>
      <c r="AI879" t="s">
        <v>4353</v>
      </c>
      <c r="AJ879" t="s">
        <v>4506</v>
      </c>
      <c r="AK879" t="s">
        <v>4519</v>
      </c>
      <c r="AL879" t="s">
        <v>4552</v>
      </c>
      <c r="AM879" t="s">
        <v>4510</v>
      </c>
      <c r="AN879" t="s">
        <v>4634</v>
      </c>
      <c r="AO879" s="134">
        <v>109.40307692307699</v>
      </c>
      <c r="AP879" s="135">
        <v>118.452229299363</v>
      </c>
      <c r="AQ879">
        <v>0.35031847133757998</v>
      </c>
      <c r="AR879" s="136">
        <v>1.3248407643312099</v>
      </c>
      <c r="AS879">
        <v>9.0159235668789801</v>
      </c>
      <c r="AU879"/>
      <c r="AV879"/>
      <c r="AW879"/>
      <c r="AX879"/>
    </row>
    <row r="880" spans="1:50" s="69" customFormat="1" ht="106">
      <c r="A880" s="65">
        <v>721</v>
      </c>
      <c r="B880" s="69" t="s">
        <v>1913</v>
      </c>
      <c r="C880" s="69" t="s">
        <v>45</v>
      </c>
      <c r="D880" s="31">
        <f t="shared" si="70"/>
        <v>4</v>
      </c>
      <c r="E880" s="69" t="s">
        <v>46</v>
      </c>
      <c r="F880" s="31">
        <f t="shared" si="71"/>
        <v>6</v>
      </c>
      <c r="G880" s="137" t="s">
        <v>1978</v>
      </c>
      <c r="H880" s="138">
        <v>154</v>
      </c>
      <c r="I880" s="92">
        <f t="shared" si="69"/>
        <v>0.41250000374504064</v>
      </c>
      <c r="J880" s="95">
        <v>7.4900813329392707E-9</v>
      </c>
      <c r="K880" s="137">
        <v>0.74381421079630905</v>
      </c>
      <c r="L880" s="137">
        <v>0.82499999999999996</v>
      </c>
      <c r="M880" s="137">
        <v>0.62203552699077302</v>
      </c>
      <c r="N880" s="136">
        <v>0</v>
      </c>
      <c r="O880" s="154">
        <v>43025</v>
      </c>
      <c r="P880" s="98">
        <f t="shared" si="72"/>
        <v>0</v>
      </c>
      <c r="Q880" s="111">
        <v>2.5499999999999998</v>
      </c>
      <c r="R880" s="111">
        <v>0</v>
      </c>
      <c r="S880" s="111">
        <v>0</v>
      </c>
      <c r="T880" s="112" t="s">
        <v>48</v>
      </c>
      <c r="U880" s="137" t="s">
        <v>4417</v>
      </c>
      <c r="V880" s="137" t="s">
        <v>1980</v>
      </c>
      <c r="W880" s="69">
        <v>97</v>
      </c>
      <c r="X880" s="69">
        <v>3</v>
      </c>
      <c r="Y880" s="69">
        <v>7</v>
      </c>
      <c r="AA880" t="s">
        <v>4603</v>
      </c>
      <c r="AB880" t="s">
        <v>87</v>
      </c>
      <c r="AC880" t="s">
        <v>4515</v>
      </c>
      <c r="AD880" t="s">
        <v>4607</v>
      </c>
      <c r="AE880" t="s">
        <v>223</v>
      </c>
      <c r="AF880" t="s">
        <v>4606</v>
      </c>
      <c r="AG880" t="s">
        <v>223</v>
      </c>
      <c r="AH880" t="s">
        <v>4606</v>
      </c>
      <c r="AI880" t="s">
        <v>223</v>
      </c>
      <c r="AJ880" t="s">
        <v>4606</v>
      </c>
      <c r="AK880" t="s">
        <v>4519</v>
      </c>
      <c r="AL880" t="s">
        <v>4519</v>
      </c>
      <c r="AM880" t="s">
        <v>4520</v>
      </c>
      <c r="AN880" t="s">
        <v>4558</v>
      </c>
      <c r="AO880" s="134">
        <v>109.549382716049</v>
      </c>
      <c r="AP880" s="135">
        <v>118.452229299363</v>
      </c>
      <c r="AQ880">
        <v>0.35031847133757998</v>
      </c>
      <c r="AR880" s="136">
        <v>1.3248407643312099</v>
      </c>
      <c r="AS880">
        <v>9.0159235668789801</v>
      </c>
      <c r="AU880"/>
      <c r="AV880"/>
      <c r="AW880"/>
      <c r="AX880"/>
    </row>
    <row r="881" spans="1:50" s="69" customFormat="1" ht="61">
      <c r="A881" s="65">
        <v>913</v>
      </c>
      <c r="B881" s="69" t="s">
        <v>2418</v>
      </c>
      <c r="C881" s="69" t="s">
        <v>45</v>
      </c>
      <c r="D881" s="31">
        <f t="shared" si="70"/>
        <v>4</v>
      </c>
      <c r="E881" s="69" t="s">
        <v>80</v>
      </c>
      <c r="F881" s="31">
        <f t="shared" si="71"/>
        <v>4</v>
      </c>
      <c r="G881" s="147" t="s">
        <v>2492</v>
      </c>
      <c r="H881" s="138">
        <v>45</v>
      </c>
      <c r="I881" s="92">
        <f t="shared" si="69"/>
        <v>0.38583915001827512</v>
      </c>
      <c r="J881" s="95">
        <v>2.1678300036550201E-2</v>
      </c>
      <c r="K881" s="137">
        <v>0.73571428571428599</v>
      </c>
      <c r="L881" s="137">
        <v>0.75</v>
      </c>
      <c r="M881" s="137">
        <v>0.71428571428571397</v>
      </c>
      <c r="N881" s="136">
        <v>1</v>
      </c>
      <c r="O881" s="154">
        <v>43023</v>
      </c>
      <c r="P881" s="98">
        <f t="shared" si="72"/>
        <v>0</v>
      </c>
      <c r="Q881" s="111">
        <v>0</v>
      </c>
      <c r="R881" s="111">
        <v>3.3</v>
      </c>
      <c r="S881" s="111">
        <v>1.87</v>
      </c>
      <c r="T881" s="112" t="s">
        <v>48</v>
      </c>
      <c r="U881" s="137" t="s">
        <v>2493</v>
      </c>
      <c r="V881" s="137" t="s">
        <v>2494</v>
      </c>
      <c r="W881" s="69">
        <v>66</v>
      </c>
      <c r="X881" s="171">
        <v>3</v>
      </c>
      <c r="Y881" s="171">
        <v>4</v>
      </c>
      <c r="AA881" t="s">
        <v>4556</v>
      </c>
      <c r="AB881" t="s">
        <v>67</v>
      </c>
      <c r="AC881" t="s">
        <v>4353</v>
      </c>
      <c r="AD881" t="s">
        <v>4506</v>
      </c>
      <c r="AE881" t="s">
        <v>4353</v>
      </c>
      <c r="AF881" t="s">
        <v>4506</v>
      </c>
      <c r="AG881" t="s">
        <v>4353</v>
      </c>
      <c r="AH881" t="s">
        <v>4506</v>
      </c>
      <c r="AI881" t="s">
        <v>4353</v>
      </c>
      <c r="AJ881" t="s">
        <v>4506</v>
      </c>
      <c r="AK881" t="s">
        <v>4519</v>
      </c>
      <c r="AL881" t="s">
        <v>4552</v>
      </c>
      <c r="AM881" t="s">
        <v>4528</v>
      </c>
      <c r="AN881" t="s">
        <v>4618</v>
      </c>
      <c r="AO881" s="134">
        <v>109.749226006192</v>
      </c>
      <c r="AP881" s="135">
        <v>117.915857605178</v>
      </c>
      <c r="AQ881">
        <v>0.35275080906148898</v>
      </c>
      <c r="AR881" s="136">
        <v>1.32686084142395</v>
      </c>
      <c r="AS881">
        <v>9.0097087378640808</v>
      </c>
      <c r="AU881"/>
      <c r="AV881"/>
      <c r="AW881"/>
      <c r="AX881"/>
    </row>
    <row r="882" spans="1:50" s="69" customFormat="1" ht="105">
      <c r="A882" s="65">
        <v>1133</v>
      </c>
      <c r="B882" s="69" t="s">
        <v>3030</v>
      </c>
      <c r="C882" s="69" t="s">
        <v>119</v>
      </c>
      <c r="D882" s="31">
        <f t="shared" si="70"/>
        <v>1</v>
      </c>
      <c r="E882" s="69" t="s">
        <v>46</v>
      </c>
      <c r="F882" s="31">
        <f t="shared" si="71"/>
        <v>6</v>
      </c>
      <c r="G882" s="89" t="s">
        <v>3079</v>
      </c>
      <c r="H882" s="138">
        <v>182</v>
      </c>
      <c r="I882" s="92">
        <f t="shared" si="69"/>
        <v>0.37517545851240902</v>
      </c>
      <c r="J882" s="95">
        <v>3.5091702481804298E-4</v>
      </c>
      <c r="K882" s="137">
        <v>0.66047858340826304</v>
      </c>
      <c r="L882" s="137">
        <v>0.75</v>
      </c>
      <c r="M882" s="137">
        <v>0.526196458520657</v>
      </c>
      <c r="N882" s="136">
        <v>1</v>
      </c>
      <c r="O882" s="157">
        <v>43022</v>
      </c>
      <c r="P882" s="98">
        <f t="shared" si="72"/>
        <v>0</v>
      </c>
      <c r="Q882" s="113">
        <v>0</v>
      </c>
      <c r="R882" s="113">
        <v>0</v>
      </c>
      <c r="S882" s="113">
        <v>0</v>
      </c>
      <c r="T882" s="114" t="s">
        <v>48</v>
      </c>
      <c r="U882" s="89" t="s">
        <v>3080</v>
      </c>
      <c r="V882" s="172" t="s">
        <v>3081</v>
      </c>
      <c r="W882" s="69">
        <v>90</v>
      </c>
      <c r="X882" s="69">
        <v>4</v>
      </c>
      <c r="Y882" s="69">
        <v>11</v>
      </c>
      <c r="AA882" t="s">
        <v>4512</v>
      </c>
      <c r="AB882" t="s">
        <v>51</v>
      </c>
      <c r="AC882" t="s">
        <v>223</v>
      </c>
      <c r="AD882" t="s">
        <v>4689</v>
      </c>
      <c r="AE882" t="s">
        <v>4515</v>
      </c>
      <c r="AF882" t="s">
        <v>4602</v>
      </c>
      <c r="AG882" t="s">
        <v>223</v>
      </c>
      <c r="AH882" t="s">
        <v>4689</v>
      </c>
      <c r="AI882" t="s">
        <v>223</v>
      </c>
      <c r="AJ882" t="s">
        <v>4689</v>
      </c>
      <c r="AK882" t="s">
        <v>4519</v>
      </c>
      <c r="AL882" t="s">
        <v>4519</v>
      </c>
      <c r="AM882" t="s">
        <v>4510</v>
      </c>
      <c r="AN882" t="s">
        <v>4550</v>
      </c>
      <c r="AO882" s="134">
        <v>109.524844720497</v>
      </c>
      <c r="AP882" s="135">
        <v>117.915857605178</v>
      </c>
      <c r="AQ882">
        <v>0.35275080906148898</v>
      </c>
      <c r="AR882" s="136">
        <v>1.32686084142395</v>
      </c>
      <c r="AS882">
        <v>9.0097087378640808</v>
      </c>
      <c r="AU882"/>
      <c r="AV882"/>
      <c r="AW882"/>
      <c r="AX882"/>
    </row>
    <row r="883" spans="1:50" s="69" customFormat="1" ht="121">
      <c r="A883">
        <v>722</v>
      </c>
      <c r="B883" s="69" t="s">
        <v>1913</v>
      </c>
      <c r="C883" s="69" t="s">
        <v>45</v>
      </c>
      <c r="D883" s="31">
        <f t="shared" si="70"/>
        <v>4</v>
      </c>
      <c r="E883" s="69" t="s">
        <v>80</v>
      </c>
      <c r="F883" s="31">
        <f t="shared" si="71"/>
        <v>4</v>
      </c>
      <c r="G883" s="169" t="s">
        <v>359</v>
      </c>
      <c r="H883" s="138">
        <v>49</v>
      </c>
      <c r="I883" s="92">
        <f t="shared" si="69"/>
        <v>0.37703360977134948</v>
      </c>
      <c r="J883" s="95">
        <v>4.0672195426989504E-3</v>
      </c>
      <c r="K883" s="137">
        <v>0.75102566813892102</v>
      </c>
      <c r="L883" s="137">
        <v>0.75</v>
      </c>
      <c r="M883" s="137">
        <v>0.75256417034730305</v>
      </c>
      <c r="N883" s="136">
        <v>1</v>
      </c>
      <c r="O883" s="154">
        <v>43021</v>
      </c>
      <c r="P883" s="98">
        <f t="shared" si="72"/>
        <v>0</v>
      </c>
      <c r="Q883" s="111">
        <v>2.5499999999999998</v>
      </c>
      <c r="R883" s="111">
        <v>0</v>
      </c>
      <c r="S883" s="111">
        <v>0</v>
      </c>
      <c r="T883" s="112" t="s">
        <v>48</v>
      </c>
      <c r="U883" s="137" t="s">
        <v>1981</v>
      </c>
      <c r="V883" s="137" t="s">
        <v>1982</v>
      </c>
      <c r="W883" s="69">
        <v>161</v>
      </c>
      <c r="X883" s="69">
        <v>2</v>
      </c>
      <c r="Y883" s="69">
        <v>3</v>
      </c>
      <c r="AA883" t="s">
        <v>4564</v>
      </c>
      <c r="AB883" t="s">
        <v>87</v>
      </c>
      <c r="AC883" t="s">
        <v>4515</v>
      </c>
      <c r="AD883" t="s">
        <v>4631</v>
      </c>
      <c r="AE883" t="s">
        <v>4353</v>
      </c>
      <c r="AF883" t="s">
        <v>4506</v>
      </c>
      <c r="AG883" t="s">
        <v>4353</v>
      </c>
      <c r="AH883" t="s">
        <v>4506</v>
      </c>
      <c r="AI883" t="s">
        <v>4353</v>
      </c>
      <c r="AJ883" t="s">
        <v>4506</v>
      </c>
      <c r="AK883" t="s">
        <v>4518</v>
      </c>
      <c r="AL883" t="s">
        <v>4519</v>
      </c>
      <c r="AM883" t="s">
        <v>4520</v>
      </c>
      <c r="AN883" t="s">
        <v>4521</v>
      </c>
      <c r="AO883" s="134">
        <v>109.28348909657301</v>
      </c>
      <c r="AP883" s="135">
        <v>117.811688311688</v>
      </c>
      <c r="AQ883">
        <v>0.35064935064935099</v>
      </c>
      <c r="AR883" s="136">
        <v>1.32467532467532</v>
      </c>
      <c r="AS883">
        <v>9.0292207792207808</v>
      </c>
      <c r="AU883"/>
      <c r="AV883"/>
      <c r="AW883"/>
      <c r="AX883"/>
    </row>
    <row r="884" spans="1:50" s="69" customFormat="1" ht="91">
      <c r="A884">
        <v>122</v>
      </c>
      <c r="B884" s="69" t="s">
        <v>217</v>
      </c>
      <c r="C884" s="69" t="s">
        <v>45</v>
      </c>
      <c r="D884" s="31">
        <f t="shared" si="70"/>
        <v>4</v>
      </c>
      <c r="E884" s="69" t="s">
        <v>80</v>
      </c>
      <c r="F884" s="31">
        <f t="shared" si="71"/>
        <v>4</v>
      </c>
      <c r="G884" s="137" t="s">
        <v>359</v>
      </c>
      <c r="H884" s="138">
        <v>39</v>
      </c>
      <c r="I884" s="92">
        <f t="shared" si="69"/>
        <v>0.37506869913191809</v>
      </c>
      <c r="J884" s="95">
        <v>1.37398263836186E-4</v>
      </c>
      <c r="K884" s="137">
        <v>0.71002915755524698</v>
      </c>
      <c r="L884" s="137">
        <v>0.75</v>
      </c>
      <c r="M884" s="137">
        <v>0.65007289388811795</v>
      </c>
      <c r="N884" s="136">
        <v>1</v>
      </c>
      <c r="O884" s="154">
        <v>43021</v>
      </c>
      <c r="P884" s="98">
        <f t="shared" si="72"/>
        <v>0</v>
      </c>
      <c r="Q884" s="111">
        <v>5.0999999999999996</v>
      </c>
      <c r="R884" s="111">
        <v>1.65</v>
      </c>
      <c r="S884" s="111">
        <v>0</v>
      </c>
      <c r="T884" s="112" t="s">
        <v>48</v>
      </c>
      <c r="U884" s="137" t="s">
        <v>397</v>
      </c>
      <c r="V884" s="137" t="s">
        <v>398</v>
      </c>
      <c r="W884" s="69">
        <v>115</v>
      </c>
      <c r="X884" s="69">
        <v>1</v>
      </c>
      <c r="Y884" s="69">
        <v>6</v>
      </c>
      <c r="Z884"/>
      <c r="AA884" t="s">
        <v>4522</v>
      </c>
      <c r="AB884" t="s">
        <v>4594</v>
      </c>
      <c r="AC884" t="s">
        <v>4515</v>
      </c>
      <c r="AD884" t="s">
        <v>4842</v>
      </c>
      <c r="AE884" t="s">
        <v>4515</v>
      </c>
      <c r="AF884" t="s">
        <v>4842</v>
      </c>
      <c r="AG884" t="s">
        <v>223</v>
      </c>
      <c r="AH884" t="s">
        <v>4841</v>
      </c>
      <c r="AI884" t="s">
        <v>223</v>
      </c>
      <c r="AJ884" t="s">
        <v>4841</v>
      </c>
      <c r="AK884" t="s">
        <v>4518</v>
      </c>
      <c r="AL884" t="s">
        <v>4519</v>
      </c>
      <c r="AM884" t="s">
        <v>4520</v>
      </c>
      <c r="AN884" t="s">
        <v>4521</v>
      </c>
      <c r="AO884" s="134">
        <v>109.503125</v>
      </c>
      <c r="AP884" s="135">
        <v>117.811688311688</v>
      </c>
      <c r="AQ884">
        <v>0.35064935064935099</v>
      </c>
      <c r="AR884" s="136">
        <v>1.32467532467532</v>
      </c>
      <c r="AS884">
        <v>9.0292207792207808</v>
      </c>
      <c r="AU884"/>
      <c r="AV884"/>
      <c r="AW884"/>
      <c r="AX884"/>
    </row>
    <row r="885" spans="1:50" s="69" customFormat="1" ht="106">
      <c r="A885" s="65">
        <v>121</v>
      </c>
      <c r="B885" s="69" t="s">
        <v>217</v>
      </c>
      <c r="C885" s="69" t="s">
        <v>45</v>
      </c>
      <c r="D885" s="31">
        <f t="shared" si="70"/>
        <v>4</v>
      </c>
      <c r="E885" s="69" t="s">
        <v>46</v>
      </c>
      <c r="F885" s="31">
        <f t="shared" si="71"/>
        <v>6</v>
      </c>
      <c r="G885" s="137" t="s">
        <v>394</v>
      </c>
      <c r="H885" s="138">
        <v>187</v>
      </c>
      <c r="I885" s="92">
        <f t="shared" si="69"/>
        <v>0.41250712859353544</v>
      </c>
      <c r="J885" s="95">
        <v>1.42571870709318E-5</v>
      </c>
      <c r="K885" s="137">
        <v>0.79602566813892095</v>
      </c>
      <c r="L885" s="137">
        <v>0.82499999999999996</v>
      </c>
      <c r="M885" s="137">
        <v>0.75256417034730305</v>
      </c>
      <c r="N885" s="136">
        <v>0</v>
      </c>
      <c r="O885" s="154">
        <v>43021</v>
      </c>
      <c r="P885" s="98">
        <f t="shared" si="72"/>
        <v>0</v>
      </c>
      <c r="Q885" s="111">
        <v>2.5499999999999998</v>
      </c>
      <c r="R885" s="111">
        <v>3.3</v>
      </c>
      <c r="S885" s="111">
        <v>0</v>
      </c>
      <c r="T885" s="112" t="s">
        <v>48</v>
      </c>
      <c r="U885" s="137" t="s">
        <v>395</v>
      </c>
      <c r="V885" s="136" t="s">
        <v>396</v>
      </c>
      <c r="W885" s="69">
        <v>160</v>
      </c>
      <c r="X885" s="69">
        <v>2</v>
      </c>
      <c r="Y885" s="69">
        <v>3</v>
      </c>
      <c r="Z885"/>
      <c r="AA885" t="s">
        <v>4543</v>
      </c>
      <c r="AB885" t="s">
        <v>4594</v>
      </c>
      <c r="AC885" t="s">
        <v>4515</v>
      </c>
      <c r="AD885" t="s">
        <v>5026</v>
      </c>
      <c r="AE885" t="s">
        <v>4515</v>
      </c>
      <c r="AF885" t="s">
        <v>5026</v>
      </c>
      <c r="AG885" t="s">
        <v>223</v>
      </c>
      <c r="AH885" t="s">
        <v>4736</v>
      </c>
      <c r="AI885" t="s">
        <v>223</v>
      </c>
      <c r="AJ885" t="s">
        <v>4736</v>
      </c>
      <c r="AK885" t="s">
        <v>4518</v>
      </c>
      <c r="AL885" t="s">
        <v>4519</v>
      </c>
      <c r="AM885" t="s">
        <v>4510</v>
      </c>
      <c r="AN885" t="s">
        <v>4523</v>
      </c>
      <c r="AO885" s="134">
        <v>109.69278996865199</v>
      </c>
      <c r="AP885" s="135">
        <v>117.811688311688</v>
      </c>
      <c r="AQ885">
        <v>0.35064935064935099</v>
      </c>
      <c r="AR885" s="136">
        <v>1.32467532467532</v>
      </c>
      <c r="AS885">
        <v>9.0292207792207808</v>
      </c>
      <c r="AU885"/>
      <c r="AV885"/>
      <c r="AW885"/>
      <c r="AX885"/>
    </row>
    <row r="886" spans="1:50" s="69" customFormat="1" ht="91">
      <c r="A886">
        <v>123</v>
      </c>
      <c r="B886" s="69" t="s">
        <v>217</v>
      </c>
      <c r="C886" s="69" t="s">
        <v>45</v>
      </c>
      <c r="D886" s="31">
        <f t="shared" si="70"/>
        <v>4</v>
      </c>
      <c r="E886" s="69" t="s">
        <v>46</v>
      </c>
      <c r="F886" s="31">
        <f t="shared" si="71"/>
        <v>6</v>
      </c>
      <c r="G886" s="137" t="s">
        <v>399</v>
      </c>
      <c r="H886" s="138">
        <v>151</v>
      </c>
      <c r="I886" s="92">
        <f t="shared" si="69"/>
        <v>0.37500098802899468</v>
      </c>
      <c r="J886" s="95">
        <v>1.9760579893501901E-6</v>
      </c>
      <c r="K886" s="137">
        <v>0.65205133627784295</v>
      </c>
      <c r="L886" s="137">
        <v>0.75</v>
      </c>
      <c r="M886" s="137">
        <v>0.50512834069460699</v>
      </c>
      <c r="N886" s="136">
        <v>1</v>
      </c>
      <c r="O886" s="154">
        <v>43020</v>
      </c>
      <c r="P886" s="98">
        <f t="shared" si="72"/>
        <v>0</v>
      </c>
      <c r="Q886" s="111">
        <v>5.0999999999999996</v>
      </c>
      <c r="R886" s="111">
        <v>1.65</v>
      </c>
      <c r="S886" s="111">
        <v>0</v>
      </c>
      <c r="T886" s="112" t="s">
        <v>48</v>
      </c>
      <c r="U886" s="137" t="s">
        <v>400</v>
      </c>
      <c r="V886" s="137" t="s">
        <v>401</v>
      </c>
      <c r="W886" s="69">
        <v>54</v>
      </c>
      <c r="X886" s="69">
        <v>1</v>
      </c>
      <c r="Y886" s="69">
        <v>12</v>
      </c>
      <c r="Z886"/>
      <c r="AA886" t="s">
        <v>4543</v>
      </c>
      <c r="AB886" t="s">
        <v>71</v>
      </c>
      <c r="AC886" t="s">
        <v>4353</v>
      </c>
      <c r="AD886" t="s">
        <v>4506</v>
      </c>
      <c r="AE886" t="s">
        <v>4353</v>
      </c>
      <c r="AF886" t="s">
        <v>4506</v>
      </c>
      <c r="AG886" t="s">
        <v>223</v>
      </c>
      <c r="AH886" t="s">
        <v>4614</v>
      </c>
      <c r="AI886" t="s">
        <v>4353</v>
      </c>
      <c r="AJ886" t="s">
        <v>4506</v>
      </c>
      <c r="AK886" t="s">
        <v>4518</v>
      </c>
      <c r="AL886" t="s">
        <v>4552</v>
      </c>
      <c r="AM886" t="s">
        <v>4528</v>
      </c>
      <c r="AN886" t="s">
        <v>4557</v>
      </c>
      <c r="AO886" s="134">
        <v>109.562893081761</v>
      </c>
      <c r="AP886" s="135">
        <v>117.547231270358</v>
      </c>
      <c r="AQ886">
        <v>0.35179153094462501</v>
      </c>
      <c r="AR886" s="136">
        <v>1.3224755700325701</v>
      </c>
      <c r="AS886">
        <v>8.9967426710097698</v>
      </c>
      <c r="AU886"/>
      <c r="AV886"/>
      <c r="AW886"/>
      <c r="AX886"/>
    </row>
    <row r="887" spans="1:50" s="69" customFormat="1" ht="76">
      <c r="A887">
        <v>878</v>
      </c>
      <c r="B887" s="69" t="s">
        <v>2355</v>
      </c>
      <c r="C887" s="69" t="s">
        <v>45</v>
      </c>
      <c r="D887" s="31">
        <f t="shared" si="70"/>
        <v>4</v>
      </c>
      <c r="E887" s="69" t="s">
        <v>46</v>
      </c>
      <c r="F887" s="31">
        <f t="shared" si="71"/>
        <v>6</v>
      </c>
      <c r="G887" s="136" t="s">
        <v>2355</v>
      </c>
      <c r="H887" s="138">
        <v>55</v>
      </c>
      <c r="I887" s="92">
        <f t="shared" si="69"/>
        <v>0.34992977000096687</v>
      </c>
      <c r="J887" s="95">
        <v>1.8041358183751698E-2</v>
      </c>
      <c r="K887" s="137">
        <v>0.61114224536875195</v>
      </c>
      <c r="L887" s="137">
        <v>0.68181818181818199</v>
      </c>
      <c r="M887" s="137">
        <v>0.50512834069460699</v>
      </c>
      <c r="N887" s="136">
        <v>1</v>
      </c>
      <c r="O887" s="154">
        <v>43019</v>
      </c>
      <c r="P887" s="98">
        <f t="shared" si="72"/>
        <v>1</v>
      </c>
      <c r="Q887" s="111">
        <v>10.199999999999999</v>
      </c>
      <c r="R887" s="111">
        <v>0</v>
      </c>
      <c r="S887" s="111">
        <v>0</v>
      </c>
      <c r="T887" s="112" t="s">
        <v>73</v>
      </c>
      <c r="U887" s="137" t="s">
        <v>2390</v>
      </c>
      <c r="V887" s="137" t="s">
        <v>2391</v>
      </c>
      <c r="W887" s="69">
        <v>111</v>
      </c>
      <c r="X887" s="69">
        <v>1</v>
      </c>
      <c r="Y887" s="69">
        <v>12</v>
      </c>
      <c r="AA887" t="s">
        <v>4564</v>
      </c>
      <c r="AB887" t="s">
        <v>87</v>
      </c>
      <c r="AC887" t="s">
        <v>4515</v>
      </c>
      <c r="AD887" t="s">
        <v>4718</v>
      </c>
      <c r="AE887" t="s">
        <v>223</v>
      </c>
      <c r="AF887" t="s">
        <v>4717</v>
      </c>
      <c r="AG887" t="s">
        <v>223</v>
      </c>
      <c r="AH887" t="s">
        <v>4717</v>
      </c>
      <c r="AI887" t="s">
        <v>4353</v>
      </c>
      <c r="AJ887" t="s">
        <v>4506</v>
      </c>
      <c r="AK887" t="s">
        <v>4519</v>
      </c>
      <c r="AL887" t="s">
        <v>4519</v>
      </c>
      <c r="AM887" t="s">
        <v>4528</v>
      </c>
      <c r="AN887" t="s">
        <v>4529</v>
      </c>
      <c r="AO887" s="134">
        <v>109.60883280757101</v>
      </c>
      <c r="AP887" s="135">
        <v>118.063122923588</v>
      </c>
      <c r="AQ887">
        <v>0.35880398671096297</v>
      </c>
      <c r="AR887" s="136">
        <v>1.3289036544850501</v>
      </c>
      <c r="AS887">
        <v>9.0963455149501709</v>
      </c>
      <c r="AU887"/>
      <c r="AV887"/>
      <c r="AW887"/>
      <c r="AX887"/>
    </row>
    <row r="888" spans="1:50" s="69" customFormat="1" ht="106">
      <c r="A888" s="65">
        <v>124</v>
      </c>
      <c r="B888" s="69" t="s">
        <v>217</v>
      </c>
      <c r="C888" s="69" t="s">
        <v>45</v>
      </c>
      <c r="D888" s="31">
        <f t="shared" si="70"/>
        <v>4</v>
      </c>
      <c r="E888" s="69" t="s">
        <v>46</v>
      </c>
      <c r="F888" s="31">
        <f t="shared" si="71"/>
        <v>6</v>
      </c>
      <c r="G888" s="136" t="s">
        <v>402</v>
      </c>
      <c r="H888" s="138">
        <v>95</v>
      </c>
      <c r="I888" s="92">
        <f t="shared" si="69"/>
        <v>0.31176412944737869</v>
      </c>
      <c r="J888" s="95">
        <v>3.6935481509553498E-3</v>
      </c>
      <c r="K888" s="137">
        <v>0.64412551344629299</v>
      </c>
      <c r="L888" s="137">
        <v>0.61983471074380203</v>
      </c>
      <c r="M888" s="137">
        <v>0.68056171750003003</v>
      </c>
      <c r="N888" s="136">
        <v>1</v>
      </c>
      <c r="O888" s="154">
        <v>43019</v>
      </c>
      <c r="P888" s="98">
        <f t="shared" si="72"/>
        <v>2</v>
      </c>
      <c r="Q888" s="111">
        <v>5.0999999999999996</v>
      </c>
      <c r="R888" s="111">
        <v>1.65</v>
      </c>
      <c r="S888" s="111">
        <v>0</v>
      </c>
      <c r="T888" s="112" t="s">
        <v>64</v>
      </c>
      <c r="U888" s="137" t="s">
        <v>403</v>
      </c>
      <c r="V888" s="137" t="s">
        <v>404</v>
      </c>
      <c r="W888" s="69">
        <v>160</v>
      </c>
      <c r="X888" s="69">
        <v>1</v>
      </c>
      <c r="Y888" s="69">
        <v>5</v>
      </c>
      <c r="Z888"/>
      <c r="AA888" t="s">
        <v>4564</v>
      </c>
      <c r="AB888" t="s">
        <v>4594</v>
      </c>
      <c r="AC888" t="s">
        <v>4515</v>
      </c>
      <c r="AD888" t="s">
        <v>4532</v>
      </c>
      <c r="AE888" t="s">
        <v>4515</v>
      </c>
      <c r="AF888" t="s">
        <v>4532</v>
      </c>
      <c r="AG888" t="s">
        <v>223</v>
      </c>
      <c r="AH888" t="s">
        <v>4533</v>
      </c>
      <c r="AI888" t="s">
        <v>223</v>
      </c>
      <c r="AJ888" t="s">
        <v>4533</v>
      </c>
      <c r="AK888" t="s">
        <v>4519</v>
      </c>
      <c r="AL888" t="s">
        <v>4519</v>
      </c>
      <c r="AM888" t="s">
        <v>4528</v>
      </c>
      <c r="AN888" t="s">
        <v>4529</v>
      </c>
      <c r="AO888" s="134">
        <v>109.78164556962</v>
      </c>
      <c r="AP888" s="135">
        <v>118.063122923588</v>
      </c>
      <c r="AQ888">
        <v>0.35880398671096297</v>
      </c>
      <c r="AR888" s="136">
        <v>1.3289036544850501</v>
      </c>
      <c r="AS888">
        <v>9.0963455149501709</v>
      </c>
      <c r="AU888"/>
      <c r="AV888"/>
      <c r="AW888"/>
      <c r="AX888"/>
    </row>
    <row r="889" spans="1:50" s="69" customFormat="1" ht="121">
      <c r="A889" s="65">
        <v>372</v>
      </c>
      <c r="B889" s="69" t="s">
        <v>589</v>
      </c>
      <c r="C889" s="69" t="s">
        <v>45</v>
      </c>
      <c r="D889" s="31">
        <f t="shared" si="70"/>
        <v>4</v>
      </c>
      <c r="E889" s="69" t="s">
        <v>46</v>
      </c>
      <c r="F889" s="31">
        <f t="shared" si="71"/>
        <v>6</v>
      </c>
      <c r="G889" s="137" t="s">
        <v>1076</v>
      </c>
      <c r="H889" s="138">
        <v>205</v>
      </c>
      <c r="I889" s="92">
        <f t="shared" si="69"/>
        <v>0.37880166986822611</v>
      </c>
      <c r="J889" s="95">
        <v>7.6033397364522201E-3</v>
      </c>
      <c r="K889" s="137">
        <v>0.75102566813892102</v>
      </c>
      <c r="L889" s="137">
        <v>0.75</v>
      </c>
      <c r="M889" s="137">
        <v>0.75256417034730305</v>
      </c>
      <c r="N889" s="136">
        <v>1</v>
      </c>
      <c r="O889" s="154">
        <v>43018</v>
      </c>
      <c r="P889" s="98">
        <f t="shared" si="72"/>
        <v>0</v>
      </c>
      <c r="Q889" s="111">
        <v>2.5499999999999998</v>
      </c>
      <c r="R889" s="111">
        <v>0</v>
      </c>
      <c r="S889" s="111">
        <v>0</v>
      </c>
      <c r="T889" s="112" t="s">
        <v>48</v>
      </c>
      <c r="U889" s="147" t="s">
        <v>1077</v>
      </c>
      <c r="V889" s="137" t="s">
        <v>1078</v>
      </c>
      <c r="W889" s="69">
        <v>150</v>
      </c>
      <c r="X889" s="171">
        <v>3</v>
      </c>
      <c r="Y889" s="171">
        <v>3</v>
      </c>
      <c r="Z889"/>
      <c r="AA889" t="s">
        <v>4564</v>
      </c>
      <c r="AB889" t="s">
        <v>87</v>
      </c>
      <c r="AC889" t="s">
        <v>4530</v>
      </c>
      <c r="AD889" t="s">
        <v>5037</v>
      </c>
      <c r="AE889" t="s">
        <v>4353</v>
      </c>
      <c r="AF889" t="s">
        <v>4506</v>
      </c>
      <c r="AG889" t="s">
        <v>223</v>
      </c>
      <c r="AH889" t="s">
        <v>4616</v>
      </c>
      <c r="AI889" t="s">
        <v>4353</v>
      </c>
      <c r="AJ889" t="s">
        <v>4506</v>
      </c>
      <c r="AK889" t="s">
        <v>4519</v>
      </c>
      <c r="AL889" t="s">
        <v>4552</v>
      </c>
      <c r="AM889" t="s">
        <v>4520</v>
      </c>
      <c r="AN889" t="s">
        <v>4652</v>
      </c>
      <c r="AO889" s="134">
        <v>109.955555555556</v>
      </c>
      <c r="AP889" s="135">
        <v>118.32659932659899</v>
      </c>
      <c r="AQ889">
        <v>0.36026936026936002</v>
      </c>
      <c r="AR889" s="136">
        <v>1.32996632996633</v>
      </c>
      <c r="AS889">
        <v>9.1380471380471402</v>
      </c>
      <c r="AU889"/>
      <c r="AV889"/>
      <c r="AW889"/>
      <c r="AX889"/>
    </row>
    <row r="890" spans="1:50" s="65" customFormat="1" ht="46">
      <c r="A890" s="65">
        <v>125</v>
      </c>
      <c r="B890" s="69" t="s">
        <v>217</v>
      </c>
      <c r="C890" s="69" t="s">
        <v>45</v>
      </c>
      <c r="D890" s="31">
        <f t="shared" si="70"/>
        <v>4</v>
      </c>
      <c r="E890" s="69" t="s">
        <v>80</v>
      </c>
      <c r="F890" s="31">
        <f t="shared" si="71"/>
        <v>4</v>
      </c>
      <c r="G890" s="147" t="s">
        <v>180</v>
      </c>
      <c r="H890" s="138">
        <v>55</v>
      </c>
      <c r="I890" s="92">
        <f t="shared" si="69"/>
        <v>0.41252289164985845</v>
      </c>
      <c r="J890" s="95">
        <v>4.5783299716939403E-5</v>
      </c>
      <c r="K890" s="137">
        <v>0.83785714285714297</v>
      </c>
      <c r="L890" s="137">
        <v>0.82499999999999996</v>
      </c>
      <c r="M890" s="137">
        <v>0.85714285714285698</v>
      </c>
      <c r="N890" s="136">
        <v>1</v>
      </c>
      <c r="O890" s="154">
        <v>43018</v>
      </c>
      <c r="P890" s="98">
        <f t="shared" si="72"/>
        <v>0</v>
      </c>
      <c r="Q890" s="111">
        <v>5.0999999999999996</v>
      </c>
      <c r="R890" s="111">
        <v>1.65</v>
      </c>
      <c r="S890" s="111">
        <v>0</v>
      </c>
      <c r="T890" s="112" t="s">
        <v>48</v>
      </c>
      <c r="U890" s="137" t="s">
        <v>405</v>
      </c>
      <c r="V890" s="137" t="s">
        <v>406</v>
      </c>
      <c r="W890" s="69">
        <v>51</v>
      </c>
      <c r="X890" s="171">
        <v>1</v>
      </c>
      <c r="Y890" s="171">
        <v>1</v>
      </c>
      <c r="Z890"/>
      <c r="AA890" t="s">
        <v>4564</v>
      </c>
      <c r="AB890" t="s">
        <v>51</v>
      </c>
      <c r="AC890" t="s">
        <v>4353</v>
      </c>
      <c r="AD890" t="s">
        <v>4506</v>
      </c>
      <c r="AE890" t="s">
        <v>4515</v>
      </c>
      <c r="AF890" t="s">
        <v>4812</v>
      </c>
      <c r="AG890" t="s">
        <v>223</v>
      </c>
      <c r="AH890" t="s">
        <v>4648</v>
      </c>
      <c r="AI890" t="s">
        <v>4353</v>
      </c>
      <c r="AJ890" t="s">
        <v>4506</v>
      </c>
      <c r="AK890" t="s">
        <v>4518</v>
      </c>
      <c r="AL890" t="s">
        <v>4519</v>
      </c>
      <c r="AM890" t="s">
        <v>4520</v>
      </c>
      <c r="AN890" t="s">
        <v>4521</v>
      </c>
      <c r="AO890" s="132">
        <v>109.652866242038</v>
      </c>
      <c r="AP890" s="133">
        <v>118.32659932659899</v>
      </c>
      <c r="AQ890" s="65">
        <v>0.36026936026936002</v>
      </c>
      <c r="AR890" s="65">
        <v>1.32996632996633</v>
      </c>
      <c r="AS890" s="65">
        <v>9.1380471380471402</v>
      </c>
    </row>
    <row r="891" spans="1:50" s="65" customFormat="1" ht="121">
      <c r="A891" s="65">
        <v>860</v>
      </c>
      <c r="B891" s="69" t="s">
        <v>2287</v>
      </c>
      <c r="C891" s="69" t="s">
        <v>45</v>
      </c>
      <c r="D891" s="31">
        <f t="shared" si="70"/>
        <v>4</v>
      </c>
      <c r="E891" s="69" t="s">
        <v>80</v>
      </c>
      <c r="F891" s="31">
        <f t="shared" si="71"/>
        <v>4</v>
      </c>
      <c r="G891" s="209" t="s">
        <v>200</v>
      </c>
      <c r="H891" s="138">
        <v>44</v>
      </c>
      <c r="I891" s="92">
        <f t="shared" si="69"/>
        <v>0.38335752883356727</v>
      </c>
      <c r="J891" s="95">
        <v>1.6715057667134599E-2</v>
      </c>
      <c r="K891" s="137">
        <v>0.79285714285714304</v>
      </c>
      <c r="L891" s="137">
        <v>0.75</v>
      </c>
      <c r="M891" s="137">
        <v>0.85714285714285698</v>
      </c>
      <c r="N891" s="136">
        <v>1</v>
      </c>
      <c r="O891" s="154">
        <v>43017</v>
      </c>
      <c r="P891" s="98">
        <f t="shared" si="72"/>
        <v>0</v>
      </c>
      <c r="Q891" s="111">
        <v>0</v>
      </c>
      <c r="R891" s="111">
        <v>0</v>
      </c>
      <c r="S891" s="111">
        <v>0</v>
      </c>
      <c r="T891" s="112" t="s">
        <v>48</v>
      </c>
      <c r="U891" s="137" t="s">
        <v>2338</v>
      </c>
      <c r="V891" s="137" t="s">
        <v>2339</v>
      </c>
      <c r="W891" s="69">
        <v>170</v>
      </c>
      <c r="X891" s="171">
        <v>1</v>
      </c>
      <c r="Y891" s="171">
        <v>1</v>
      </c>
      <c r="Z891" s="69"/>
      <c r="AA891" t="s">
        <v>4522</v>
      </c>
      <c r="AB891" t="s">
        <v>51</v>
      </c>
      <c r="AC891" t="s">
        <v>4513</v>
      </c>
      <c r="AD891" t="s">
        <v>5029</v>
      </c>
      <c r="AE891" t="s">
        <v>4530</v>
      </c>
      <c r="AF891" t="s">
        <v>5023</v>
      </c>
      <c r="AG891" t="s">
        <v>4515</v>
      </c>
      <c r="AH891" t="s">
        <v>4900</v>
      </c>
      <c r="AI891" t="s">
        <v>4513</v>
      </c>
      <c r="AJ891" t="s">
        <v>5029</v>
      </c>
      <c r="AK891" t="s">
        <v>4518</v>
      </c>
      <c r="AL891" t="s">
        <v>4519</v>
      </c>
      <c r="AM891" t="s">
        <v>4520</v>
      </c>
      <c r="AN891" t="s">
        <v>4521</v>
      </c>
      <c r="AO891" s="132">
        <v>109.447284345048</v>
      </c>
      <c r="AP891" s="133">
        <v>119.044217687075</v>
      </c>
      <c r="AQ891" s="65">
        <v>0.36394557823129298</v>
      </c>
      <c r="AR891" s="65">
        <v>1.3333333333333299</v>
      </c>
      <c r="AS891" s="65">
        <v>9.1088435374149697</v>
      </c>
    </row>
    <row r="892" spans="1:50" s="69" customFormat="1" ht="46">
      <c r="A892">
        <v>723</v>
      </c>
      <c r="B892" s="69" t="s">
        <v>1913</v>
      </c>
      <c r="C892" s="69" t="s">
        <v>45</v>
      </c>
      <c r="D892" s="31">
        <f t="shared" si="70"/>
        <v>4</v>
      </c>
      <c r="E892" s="69" t="s">
        <v>80</v>
      </c>
      <c r="F892" s="31">
        <f t="shared" si="71"/>
        <v>4</v>
      </c>
      <c r="G892" s="169" t="s">
        <v>305</v>
      </c>
      <c r="H892" s="138">
        <v>65</v>
      </c>
      <c r="I892" s="92">
        <f t="shared" si="69"/>
        <v>0.45704996296779105</v>
      </c>
      <c r="J892" s="95">
        <v>6.59992593558212E-3</v>
      </c>
      <c r="K892" s="137">
        <v>0.88735714285714296</v>
      </c>
      <c r="L892" s="137">
        <v>0.90749999999999997</v>
      </c>
      <c r="M892" s="137">
        <v>0.85714285714285698</v>
      </c>
      <c r="N892" s="136">
        <v>1</v>
      </c>
      <c r="O892" s="154">
        <v>43017</v>
      </c>
      <c r="P892" s="98">
        <f t="shared" si="72"/>
        <v>0</v>
      </c>
      <c r="Q892" s="111">
        <v>0</v>
      </c>
      <c r="R892" s="111">
        <v>0</v>
      </c>
      <c r="S892" s="111">
        <v>0</v>
      </c>
      <c r="T892" s="112" t="s">
        <v>48</v>
      </c>
      <c r="U892" s="137" t="s">
        <v>1983</v>
      </c>
      <c r="V892" s="137" t="s">
        <v>1984</v>
      </c>
      <c r="W892" s="69">
        <v>38</v>
      </c>
      <c r="X892" s="69">
        <v>1</v>
      </c>
      <c r="Y892" s="69">
        <v>1</v>
      </c>
      <c r="AA892" t="s">
        <v>4564</v>
      </c>
      <c r="AB892" t="s">
        <v>51</v>
      </c>
      <c r="AC892" t="s">
        <v>4353</v>
      </c>
      <c r="AD892" t="s">
        <v>4506</v>
      </c>
      <c r="AE892" t="s">
        <v>4513</v>
      </c>
      <c r="AF892" t="s">
        <v>4864</v>
      </c>
      <c r="AG892" t="s">
        <v>4353</v>
      </c>
      <c r="AH892" t="s">
        <v>4506</v>
      </c>
      <c r="AI892" t="s">
        <v>4353</v>
      </c>
      <c r="AJ892" t="s">
        <v>4506</v>
      </c>
      <c r="AK892" t="s">
        <v>4518</v>
      </c>
      <c r="AL892" t="s">
        <v>4519</v>
      </c>
      <c r="AM892" t="s">
        <v>4520</v>
      </c>
      <c r="AN892" t="s">
        <v>4521</v>
      </c>
      <c r="AO892" s="134">
        <v>109.589743589744</v>
      </c>
      <c r="AP892" s="135">
        <v>119.044217687075</v>
      </c>
      <c r="AQ892">
        <v>0.36394557823129298</v>
      </c>
      <c r="AR892" s="136">
        <v>1.3333333333333299</v>
      </c>
      <c r="AS892">
        <v>9.1088435374149697</v>
      </c>
      <c r="AU892"/>
      <c r="AV892"/>
      <c r="AW892"/>
      <c r="AX892"/>
    </row>
    <row r="893" spans="1:50" s="69" customFormat="1" ht="105">
      <c r="A893" s="65">
        <v>1033</v>
      </c>
      <c r="B893" s="69" t="s">
        <v>2752</v>
      </c>
      <c r="C893" s="69" t="s">
        <v>45</v>
      </c>
      <c r="D893" s="31">
        <f t="shared" si="70"/>
        <v>4</v>
      </c>
      <c r="E893" s="69" t="s">
        <v>46</v>
      </c>
      <c r="F893" s="31">
        <f t="shared" si="71"/>
        <v>6</v>
      </c>
      <c r="G893" s="89" t="s">
        <v>2802</v>
      </c>
      <c r="H893" s="138">
        <v>140</v>
      </c>
      <c r="I893" s="92">
        <f t="shared" si="69"/>
        <v>0.37518044561799813</v>
      </c>
      <c r="J893" s="95">
        <v>3.6089123599625201E-4</v>
      </c>
      <c r="K893" s="137">
        <v>0.76918779643582302</v>
      </c>
      <c r="L893" s="137">
        <v>0.75</v>
      </c>
      <c r="M893" s="137">
        <v>0.79796949108955795</v>
      </c>
      <c r="N893" s="136">
        <v>1</v>
      </c>
      <c r="O893" s="157">
        <v>43017</v>
      </c>
      <c r="P893" s="98">
        <f t="shared" si="72"/>
        <v>2</v>
      </c>
      <c r="Q893" s="113">
        <v>5.0999999999999996</v>
      </c>
      <c r="R893" s="113">
        <v>0</v>
      </c>
      <c r="S893" s="113">
        <v>0</v>
      </c>
      <c r="T893" s="119" t="s">
        <v>64</v>
      </c>
      <c r="U893" s="172" t="s">
        <v>2803</v>
      </c>
      <c r="V893" s="172" t="s">
        <v>2804</v>
      </c>
      <c r="W893" s="69">
        <v>48</v>
      </c>
      <c r="X893" s="69">
        <v>1</v>
      </c>
      <c r="Y893" s="69">
        <v>2</v>
      </c>
      <c r="AA893" t="s">
        <v>4543</v>
      </c>
      <c r="AB893" t="s">
        <v>87</v>
      </c>
      <c r="AC893" t="s">
        <v>223</v>
      </c>
      <c r="AD893" t="s">
        <v>4781</v>
      </c>
      <c r="AE893" t="s">
        <v>4353</v>
      </c>
      <c r="AF893" t="s">
        <v>4506</v>
      </c>
      <c r="AG893" t="s">
        <v>4353</v>
      </c>
      <c r="AH893" t="s">
        <v>4506</v>
      </c>
      <c r="AI893" t="s">
        <v>4353</v>
      </c>
      <c r="AJ893" t="s">
        <v>4506</v>
      </c>
      <c r="AK893" t="s">
        <v>4519</v>
      </c>
      <c r="AL893" t="s">
        <v>4519</v>
      </c>
      <c r="AM893" t="s">
        <v>4528</v>
      </c>
      <c r="AN893" t="s">
        <v>4529</v>
      </c>
      <c r="AO893" s="134">
        <v>109.800643086817</v>
      </c>
      <c r="AP893" s="135">
        <v>119.044217687075</v>
      </c>
      <c r="AQ893">
        <v>0.36394557823129298</v>
      </c>
      <c r="AR893" s="136">
        <v>1.3333333333333299</v>
      </c>
      <c r="AS893">
        <v>9.1088435374149697</v>
      </c>
      <c r="AU893"/>
      <c r="AV893"/>
      <c r="AW893"/>
      <c r="AX893"/>
    </row>
    <row r="894" spans="1:50" s="69" customFormat="1" ht="135">
      <c r="A894">
        <v>1010</v>
      </c>
      <c r="B894" s="69" t="s">
        <v>2638</v>
      </c>
      <c r="C894" s="69" t="s">
        <v>45</v>
      </c>
      <c r="D894" s="31">
        <f t="shared" si="70"/>
        <v>4</v>
      </c>
      <c r="E894" s="69" t="s">
        <v>46</v>
      </c>
      <c r="F894" s="31">
        <f t="shared" si="71"/>
        <v>6</v>
      </c>
      <c r="G894" s="89" t="s">
        <v>2740</v>
      </c>
      <c r="H894" s="138">
        <v>181</v>
      </c>
      <c r="I894" s="92">
        <f t="shared" si="69"/>
        <v>0.41250026946571272</v>
      </c>
      <c r="J894" s="95">
        <v>5.3893142548666596E-7</v>
      </c>
      <c r="K894" s="137">
        <v>0.81418779643582295</v>
      </c>
      <c r="L894" s="137">
        <v>0.82499999999999996</v>
      </c>
      <c r="M894" s="137">
        <v>0.79796949108955795</v>
      </c>
      <c r="N894" s="136">
        <v>1</v>
      </c>
      <c r="O894" s="157">
        <v>43017</v>
      </c>
      <c r="P894" s="98">
        <f t="shared" si="72"/>
        <v>0</v>
      </c>
      <c r="Q894" s="124">
        <v>5.0999999999999996</v>
      </c>
      <c r="R894" s="124">
        <v>0</v>
      </c>
      <c r="S894" s="124">
        <v>0</v>
      </c>
      <c r="T894" s="125" t="s">
        <v>48</v>
      </c>
      <c r="U894" s="91" t="s">
        <v>2741</v>
      </c>
      <c r="V894" s="172" t="s">
        <v>2742</v>
      </c>
      <c r="W894" s="69">
        <v>155</v>
      </c>
      <c r="X894" s="171">
        <v>1</v>
      </c>
      <c r="Y894" s="171">
        <v>2</v>
      </c>
      <c r="AA894" t="s">
        <v>4564</v>
      </c>
      <c r="AB894" t="s">
        <v>358</v>
      </c>
      <c r="AC894" t="s">
        <v>4515</v>
      </c>
      <c r="AD894" t="s">
        <v>4631</v>
      </c>
      <c r="AE894" t="s">
        <v>4515</v>
      </c>
      <c r="AF894" t="s">
        <v>4631</v>
      </c>
      <c r="AG894" t="s">
        <v>223</v>
      </c>
      <c r="AH894" t="s">
        <v>4787</v>
      </c>
      <c r="AI894" t="s">
        <v>4530</v>
      </c>
      <c r="AJ894" t="s">
        <v>4537</v>
      </c>
      <c r="AK894" t="s">
        <v>4518</v>
      </c>
      <c r="AL894" t="s">
        <v>4519</v>
      </c>
      <c r="AM894" t="s">
        <v>4520</v>
      </c>
      <c r="AN894" t="s">
        <v>4521</v>
      </c>
      <c r="AO894" s="134">
        <v>109.57096774193499</v>
      </c>
      <c r="AP894" s="135">
        <v>119.044217687075</v>
      </c>
      <c r="AQ894">
        <v>0.36394557823129298</v>
      </c>
      <c r="AR894" s="136">
        <v>1.3333333333333299</v>
      </c>
      <c r="AS894">
        <v>9.1088435374149697</v>
      </c>
      <c r="AU894"/>
      <c r="AV894"/>
      <c r="AW894"/>
      <c r="AX894"/>
    </row>
    <row r="895" spans="1:50" s="69" customFormat="1" ht="91">
      <c r="A895">
        <v>126</v>
      </c>
      <c r="B895" s="69" t="s">
        <v>217</v>
      </c>
      <c r="C895" s="69" t="s">
        <v>45</v>
      </c>
      <c r="D895" s="31">
        <f t="shared" si="70"/>
        <v>4</v>
      </c>
      <c r="E895" s="69" t="s">
        <v>46</v>
      </c>
      <c r="F895" s="31">
        <f t="shared" si="71"/>
        <v>6</v>
      </c>
      <c r="G895" s="136" t="s">
        <v>407</v>
      </c>
      <c r="H895" s="138">
        <v>174</v>
      </c>
      <c r="I895" s="92">
        <f t="shared" si="69"/>
        <v>0.34090915558298007</v>
      </c>
      <c r="J895" s="95">
        <v>1.2934777815498701E-7</v>
      </c>
      <c r="K895" s="137">
        <v>0.75194805194805203</v>
      </c>
      <c r="L895" s="137">
        <v>0.68181818181818199</v>
      </c>
      <c r="M895" s="137">
        <v>0.85714285714285698</v>
      </c>
      <c r="N895" s="136">
        <v>1</v>
      </c>
      <c r="O895" s="154">
        <v>43017</v>
      </c>
      <c r="P895" s="98">
        <f t="shared" si="72"/>
        <v>0</v>
      </c>
      <c r="Q895" s="111">
        <v>7.65</v>
      </c>
      <c r="R895" s="111">
        <v>1.65</v>
      </c>
      <c r="S895" s="111">
        <v>0</v>
      </c>
      <c r="T895" s="112" t="s">
        <v>48</v>
      </c>
      <c r="U895" s="137" t="s">
        <v>408</v>
      </c>
      <c r="V895" s="137" t="s">
        <v>409</v>
      </c>
      <c r="W895" s="69">
        <v>66</v>
      </c>
      <c r="X895" s="69">
        <v>1</v>
      </c>
      <c r="Y895" s="69">
        <v>1</v>
      </c>
      <c r="Z895"/>
      <c r="AA895" t="s">
        <v>5038</v>
      </c>
      <c r="AB895" t="s">
        <v>51</v>
      </c>
      <c r="AC895" t="s">
        <v>4353</v>
      </c>
      <c r="AD895" t="s">
        <v>4506</v>
      </c>
      <c r="AE895" t="s">
        <v>4513</v>
      </c>
      <c r="AF895" t="s">
        <v>4723</v>
      </c>
      <c r="AG895" t="s">
        <v>223</v>
      </c>
      <c r="AH895" t="s">
        <v>4684</v>
      </c>
      <c r="AI895" t="s">
        <v>4353</v>
      </c>
      <c r="AJ895" t="s">
        <v>4506</v>
      </c>
      <c r="AK895" t="s">
        <v>4518</v>
      </c>
      <c r="AL895" t="s">
        <v>4828</v>
      </c>
      <c r="AM895" t="s">
        <v>4898</v>
      </c>
      <c r="AN895" t="s">
        <v>5039</v>
      </c>
      <c r="AO895" s="134">
        <v>109.472491909385</v>
      </c>
      <c r="AP895" s="135">
        <v>119.044217687075</v>
      </c>
      <c r="AQ895">
        <v>0.36394557823129298</v>
      </c>
      <c r="AR895" s="136">
        <v>1.3333333333333299</v>
      </c>
      <c r="AS895">
        <v>9.1088435374149697</v>
      </c>
      <c r="AU895"/>
      <c r="AV895"/>
      <c r="AW895"/>
      <c r="AX895"/>
    </row>
    <row r="896" spans="1:50" s="69" customFormat="1" ht="91">
      <c r="A896">
        <v>1034</v>
      </c>
      <c r="B896" s="69" t="s">
        <v>2752</v>
      </c>
      <c r="C896" s="69" t="s">
        <v>45</v>
      </c>
      <c r="D896" s="31">
        <f t="shared" si="70"/>
        <v>4</v>
      </c>
      <c r="E896" s="69" t="s">
        <v>46</v>
      </c>
      <c r="F896" s="31">
        <f t="shared" si="71"/>
        <v>6</v>
      </c>
      <c r="G896" s="89" t="s">
        <v>2805</v>
      </c>
      <c r="H896" s="138">
        <v>152</v>
      </c>
      <c r="I896" s="92">
        <f t="shared" si="69"/>
        <v>0.37500003750163341</v>
      </c>
      <c r="J896" s="95">
        <v>7.5003266819528794E-8</v>
      </c>
      <c r="K896" s="137">
        <v>0.63619100647005999</v>
      </c>
      <c r="L896" s="137">
        <v>0.75</v>
      </c>
      <c r="M896" s="137">
        <v>0.46547751617515098</v>
      </c>
      <c r="N896" s="136">
        <v>1</v>
      </c>
      <c r="O896" s="157">
        <v>43017</v>
      </c>
      <c r="P896" s="98">
        <f t="shared" si="72"/>
        <v>0</v>
      </c>
      <c r="Q896" s="113">
        <v>2.5499999999999998</v>
      </c>
      <c r="R896" s="113">
        <v>0</v>
      </c>
      <c r="S896" s="113">
        <v>0</v>
      </c>
      <c r="T896" s="119" t="s">
        <v>48</v>
      </c>
      <c r="U896" s="207" t="s">
        <v>2806</v>
      </c>
      <c r="V896" s="172" t="s">
        <v>2804</v>
      </c>
      <c r="W896" s="69">
        <v>48</v>
      </c>
      <c r="X896" s="171">
        <v>1</v>
      </c>
      <c r="Y896" s="171">
        <v>14</v>
      </c>
      <c r="AA896" t="s">
        <v>4556</v>
      </c>
      <c r="AB896" t="s">
        <v>87</v>
      </c>
      <c r="AC896" t="s">
        <v>223</v>
      </c>
      <c r="AD896" t="s">
        <v>4781</v>
      </c>
      <c r="AE896" t="s">
        <v>4353</v>
      </c>
      <c r="AF896" t="s">
        <v>4506</v>
      </c>
      <c r="AG896" t="s">
        <v>4353</v>
      </c>
      <c r="AH896" t="s">
        <v>4506</v>
      </c>
      <c r="AI896" t="s">
        <v>4353</v>
      </c>
      <c r="AJ896" t="s">
        <v>4506</v>
      </c>
      <c r="AK896" t="s">
        <v>4519</v>
      </c>
      <c r="AL896" t="s">
        <v>4519</v>
      </c>
      <c r="AM896" t="s">
        <v>4528</v>
      </c>
      <c r="AN896" t="s">
        <v>4529</v>
      </c>
      <c r="AO896" s="134">
        <v>109.33441558441601</v>
      </c>
      <c r="AP896" s="135">
        <v>119.044217687075</v>
      </c>
      <c r="AQ896">
        <v>0.36394557823129298</v>
      </c>
      <c r="AR896" s="136">
        <v>1.3333333333333299</v>
      </c>
      <c r="AS896">
        <v>9.1088435374149697</v>
      </c>
      <c r="AU896"/>
      <c r="AV896"/>
      <c r="AW896"/>
      <c r="AX896"/>
    </row>
    <row r="897" spans="1:50" s="69" customFormat="1" ht="61">
      <c r="A897">
        <v>127</v>
      </c>
      <c r="B897" s="69" t="s">
        <v>217</v>
      </c>
      <c r="C897" s="69" t="s">
        <v>45</v>
      </c>
      <c r="D897" s="31">
        <f t="shared" si="70"/>
        <v>4</v>
      </c>
      <c r="E897" s="69" t="s">
        <v>80</v>
      </c>
      <c r="F897" s="31">
        <f t="shared" si="71"/>
        <v>4</v>
      </c>
      <c r="G897" s="147" t="s">
        <v>410</v>
      </c>
      <c r="H897" s="138">
        <v>75</v>
      </c>
      <c r="I897" s="92">
        <f t="shared" si="69"/>
        <v>0.41292003652450843</v>
      </c>
      <c r="J897" s="95">
        <v>8.4007304901689795E-4</v>
      </c>
      <c r="K897" s="137">
        <v>0.79602566813892095</v>
      </c>
      <c r="L897" s="137">
        <v>0.82499999999999996</v>
      </c>
      <c r="M897" s="137">
        <v>0.75256417034730305</v>
      </c>
      <c r="N897" s="136">
        <v>1</v>
      </c>
      <c r="O897" s="154">
        <v>43016</v>
      </c>
      <c r="P897" s="98">
        <f t="shared" si="72"/>
        <v>1</v>
      </c>
      <c r="Q897" s="111">
        <v>2.5499999999999998</v>
      </c>
      <c r="R897" s="111">
        <v>1.65</v>
      </c>
      <c r="S897" s="111">
        <v>0</v>
      </c>
      <c r="T897" s="112" t="s">
        <v>73</v>
      </c>
      <c r="U897" s="137" t="s">
        <v>411</v>
      </c>
      <c r="V897" s="137" t="s">
        <v>412</v>
      </c>
      <c r="W897" s="69">
        <v>90</v>
      </c>
      <c r="X897" s="171">
        <v>1</v>
      </c>
      <c r="Y897" s="171">
        <v>3</v>
      </c>
      <c r="Z897"/>
      <c r="AA897" t="s">
        <v>4556</v>
      </c>
      <c r="AB897" t="s">
        <v>51</v>
      </c>
      <c r="AC897" t="s">
        <v>223</v>
      </c>
      <c r="AD897" t="s">
        <v>4693</v>
      </c>
      <c r="AE897" t="s">
        <v>4515</v>
      </c>
      <c r="AF897" t="s">
        <v>4779</v>
      </c>
      <c r="AG897" t="s">
        <v>223</v>
      </c>
      <c r="AH897" t="s">
        <v>4693</v>
      </c>
      <c r="AI897" t="s">
        <v>4353</v>
      </c>
      <c r="AJ897" t="s">
        <v>4506</v>
      </c>
      <c r="AK897" t="s">
        <v>4519</v>
      </c>
      <c r="AL897" t="s">
        <v>4552</v>
      </c>
      <c r="AM897" t="s">
        <v>4528</v>
      </c>
      <c r="AN897" t="s">
        <v>4618</v>
      </c>
      <c r="AO897" s="134">
        <v>109.446254071661</v>
      </c>
      <c r="AP897" s="135">
        <v>119.044217687075</v>
      </c>
      <c r="AQ897">
        <v>0.36394557823129298</v>
      </c>
      <c r="AR897" s="136">
        <v>1.3333333333333299</v>
      </c>
      <c r="AS897">
        <v>9.1088435374149697</v>
      </c>
      <c r="AU897"/>
      <c r="AV897"/>
      <c r="AW897"/>
      <c r="AX897"/>
    </row>
    <row r="898" spans="1:50" s="69" customFormat="1" ht="151">
      <c r="A898">
        <v>1154</v>
      </c>
      <c r="B898" s="69" t="s">
        <v>3117</v>
      </c>
      <c r="C898" s="69" t="s">
        <v>45</v>
      </c>
      <c r="D898" s="31">
        <f t="shared" si="70"/>
        <v>4</v>
      </c>
      <c r="E898" s="69" t="s">
        <v>46</v>
      </c>
      <c r="F898" s="31">
        <f t="shared" si="71"/>
        <v>6</v>
      </c>
      <c r="G898" s="139" t="s">
        <v>3130</v>
      </c>
      <c r="H898" s="138">
        <v>52</v>
      </c>
      <c r="I898" s="92">
        <f t="shared" si="69"/>
        <v>0.41283208762435042</v>
      </c>
      <c r="J898" s="95">
        <v>6.6417524870088197E-4</v>
      </c>
      <c r="K898" s="137">
        <v>0.70547858340826297</v>
      </c>
      <c r="L898" s="137">
        <v>0.82499999999999996</v>
      </c>
      <c r="M898" s="137">
        <v>0.526196458520657</v>
      </c>
      <c r="N898" s="136">
        <v>1</v>
      </c>
      <c r="O898" s="157">
        <v>43015</v>
      </c>
      <c r="P898" s="98">
        <f t="shared" si="72"/>
        <v>1</v>
      </c>
      <c r="Q898" s="113">
        <v>2.5499999999999998</v>
      </c>
      <c r="R898" s="113">
        <v>0</v>
      </c>
      <c r="S898" s="113">
        <v>0</v>
      </c>
      <c r="T898" s="119" t="s">
        <v>73</v>
      </c>
      <c r="U898" s="89" t="s">
        <v>3137</v>
      </c>
      <c r="V898" s="172" t="s">
        <v>3135</v>
      </c>
      <c r="W898" s="69">
        <v>199</v>
      </c>
      <c r="X898" s="69">
        <v>2</v>
      </c>
      <c r="Y898" s="69">
        <v>11</v>
      </c>
      <c r="AA898" t="s">
        <v>4556</v>
      </c>
      <c r="AB898" t="s">
        <v>4594</v>
      </c>
      <c r="AC898" t="s">
        <v>4515</v>
      </c>
      <c r="AD898" t="s">
        <v>4670</v>
      </c>
      <c r="AE898" t="s">
        <v>4515</v>
      </c>
      <c r="AF898" t="s">
        <v>4670</v>
      </c>
      <c r="AG898" t="s">
        <v>223</v>
      </c>
      <c r="AH898" t="s">
        <v>4825</v>
      </c>
      <c r="AI898" t="s">
        <v>223</v>
      </c>
      <c r="AJ898" t="s">
        <v>4825</v>
      </c>
      <c r="AK898" t="s">
        <v>4591</v>
      </c>
      <c r="AL898" t="s">
        <v>4519</v>
      </c>
      <c r="AM898" t="s">
        <v>4520</v>
      </c>
      <c r="AN898" t="s">
        <v>4870</v>
      </c>
      <c r="AO898" s="134">
        <v>109.633986928105</v>
      </c>
      <c r="AP898" s="135">
        <v>119.044217687075</v>
      </c>
      <c r="AQ898">
        <v>0.36394557823129298</v>
      </c>
      <c r="AR898" s="136">
        <v>1.3333333333333299</v>
      </c>
      <c r="AS898">
        <v>9.1088435374149697</v>
      </c>
      <c r="AU898"/>
      <c r="AV898"/>
      <c r="AW898"/>
      <c r="AX898"/>
    </row>
    <row r="899" spans="1:50" s="69" customFormat="1" ht="91">
      <c r="A899" s="65">
        <v>129</v>
      </c>
      <c r="B899" s="69" t="s">
        <v>217</v>
      </c>
      <c r="C899" s="69" t="s">
        <v>119</v>
      </c>
      <c r="D899" s="31">
        <f t="shared" si="70"/>
        <v>1</v>
      </c>
      <c r="E899" s="69" t="s">
        <v>46</v>
      </c>
      <c r="F899" s="31">
        <f t="shared" si="71"/>
        <v>6</v>
      </c>
      <c r="G899" s="137" t="s">
        <v>415</v>
      </c>
      <c r="H899" s="138">
        <v>138</v>
      </c>
      <c r="I899" s="92">
        <f t="shared" si="69"/>
        <v>0.87497883915567654</v>
      </c>
      <c r="J899" s="95">
        <v>0.99995767831135296</v>
      </c>
      <c r="K899" s="137">
        <v>0.71002915755524698</v>
      </c>
      <c r="L899" s="137">
        <v>0.75</v>
      </c>
      <c r="M899" s="137">
        <v>0.65007289388811795</v>
      </c>
      <c r="N899" s="136">
        <v>0</v>
      </c>
      <c r="O899" s="154">
        <v>43013</v>
      </c>
      <c r="P899" s="98">
        <f t="shared" si="72"/>
        <v>1</v>
      </c>
      <c r="Q899" s="111">
        <v>7.65</v>
      </c>
      <c r="R899" s="111">
        <v>0</v>
      </c>
      <c r="S899" s="111">
        <v>0</v>
      </c>
      <c r="T899" s="112" t="s">
        <v>73</v>
      </c>
      <c r="U899" s="137" t="s">
        <v>416</v>
      </c>
      <c r="V899" s="137" t="s">
        <v>417</v>
      </c>
      <c r="W899" s="69">
        <v>131</v>
      </c>
      <c r="X899" s="69">
        <v>1</v>
      </c>
      <c r="Y899" s="69">
        <v>6</v>
      </c>
      <c r="Z899"/>
      <c r="AA899" t="s">
        <v>4522</v>
      </c>
      <c r="AB899" t="s">
        <v>51</v>
      </c>
      <c r="AC899" t="s">
        <v>4515</v>
      </c>
      <c r="AD899" t="s">
        <v>4684</v>
      </c>
      <c r="AE899" t="s">
        <v>4530</v>
      </c>
      <c r="AF899" t="s">
        <v>4724</v>
      </c>
      <c r="AG899" t="s">
        <v>223</v>
      </c>
      <c r="AH899" t="s">
        <v>4675</v>
      </c>
      <c r="AI899" t="s">
        <v>4353</v>
      </c>
      <c r="AJ899" t="s">
        <v>4506</v>
      </c>
      <c r="AK899" t="s">
        <v>4519</v>
      </c>
      <c r="AL899" t="s">
        <v>4519</v>
      </c>
      <c r="AM899" t="s">
        <v>4528</v>
      </c>
      <c r="AN899" t="s">
        <v>4529</v>
      </c>
      <c r="AO899" s="134">
        <v>109.84590163934401</v>
      </c>
      <c r="AP899" s="135">
        <v>119.044217687075</v>
      </c>
      <c r="AQ899">
        <v>0.36394557823129298</v>
      </c>
      <c r="AR899" s="136">
        <v>1.3333333333333299</v>
      </c>
      <c r="AS899">
        <v>9.1088435374149697</v>
      </c>
      <c r="AU899"/>
      <c r="AV899"/>
      <c r="AW899"/>
      <c r="AX899"/>
    </row>
    <row r="900" spans="1:50" s="69" customFormat="1" ht="31">
      <c r="A900" s="65">
        <v>128</v>
      </c>
      <c r="B900" s="69" t="s">
        <v>217</v>
      </c>
      <c r="C900" s="69" t="s">
        <v>45</v>
      </c>
      <c r="D900" s="31">
        <f t="shared" si="70"/>
        <v>4</v>
      </c>
      <c r="E900" s="69" t="s">
        <v>80</v>
      </c>
      <c r="F900" s="31">
        <f t="shared" si="71"/>
        <v>4</v>
      </c>
      <c r="G900" s="136" t="s">
        <v>180</v>
      </c>
      <c r="H900" s="138">
        <v>45</v>
      </c>
      <c r="I900" s="92">
        <f t="shared" ref="I900:I963" si="73">(J900+L900)/2</f>
        <v>0.42432349901718813</v>
      </c>
      <c r="J900" s="95">
        <v>2.3646998034376299E-2</v>
      </c>
      <c r="K900" s="137">
        <v>0.78071428571428603</v>
      </c>
      <c r="L900" s="137">
        <v>0.82499999999999996</v>
      </c>
      <c r="M900" s="137">
        <v>0.71428571428571397</v>
      </c>
      <c r="N900" s="136">
        <v>1</v>
      </c>
      <c r="O900" s="154">
        <v>43013</v>
      </c>
      <c r="P900" s="98">
        <f t="shared" si="72"/>
        <v>0</v>
      </c>
      <c r="Q900" s="111">
        <v>12.75</v>
      </c>
      <c r="R900" s="111">
        <v>1.65</v>
      </c>
      <c r="S900" s="111">
        <v>0</v>
      </c>
      <c r="T900" s="112" t="s">
        <v>48</v>
      </c>
      <c r="U900" s="137" t="s">
        <v>413</v>
      </c>
      <c r="V900" s="137" t="s">
        <v>414</v>
      </c>
      <c r="W900" s="69">
        <v>39</v>
      </c>
      <c r="X900" s="69">
        <v>1</v>
      </c>
      <c r="Y900" s="69">
        <v>4</v>
      </c>
      <c r="Z900"/>
      <c r="AA900" t="s">
        <v>4512</v>
      </c>
      <c r="AB900" t="s">
        <v>51</v>
      </c>
      <c r="AC900" t="s">
        <v>4353</v>
      </c>
      <c r="AD900" t="s">
        <v>4506</v>
      </c>
      <c r="AE900" t="s">
        <v>4513</v>
      </c>
      <c r="AF900" t="s">
        <v>4935</v>
      </c>
      <c r="AG900" t="s">
        <v>4353</v>
      </c>
      <c r="AH900" t="s">
        <v>4506</v>
      </c>
      <c r="AI900" t="s">
        <v>4353</v>
      </c>
      <c r="AJ900" t="s">
        <v>4506</v>
      </c>
      <c r="AK900" t="s">
        <v>4518</v>
      </c>
      <c r="AL900" t="s">
        <v>4552</v>
      </c>
      <c r="AM900" t="s">
        <v>4520</v>
      </c>
      <c r="AN900" t="s">
        <v>4621</v>
      </c>
      <c r="AO900" s="134">
        <v>109.75328947368401</v>
      </c>
      <c r="AP900" s="135">
        <v>119.044217687075</v>
      </c>
      <c r="AQ900">
        <v>0.36394557823129298</v>
      </c>
      <c r="AR900" s="136">
        <v>1.3333333333333299</v>
      </c>
      <c r="AS900">
        <v>9.1088435374149697</v>
      </c>
      <c r="AU900"/>
      <c r="AV900"/>
      <c r="AW900"/>
      <c r="AX900"/>
    </row>
    <row r="901" spans="1:50" s="69" customFormat="1" ht="181">
      <c r="A901">
        <v>1131</v>
      </c>
      <c r="B901" s="69" t="s">
        <v>3030</v>
      </c>
      <c r="C901" s="69" t="s">
        <v>45</v>
      </c>
      <c r="D901" s="31">
        <f t="shared" si="70"/>
        <v>4</v>
      </c>
      <c r="E901" s="69" t="s">
        <v>46</v>
      </c>
      <c r="F901" s="31">
        <f t="shared" si="71"/>
        <v>6</v>
      </c>
      <c r="G901" s="191" t="s">
        <v>3073</v>
      </c>
      <c r="H901" s="138">
        <v>290</v>
      </c>
      <c r="I901" s="92">
        <f t="shared" si="73"/>
        <v>0.41250060767770214</v>
      </c>
      <c r="J901" s="95">
        <v>1.21535540431594E-6</v>
      </c>
      <c r="K901" s="137">
        <v>0.68896849854491504</v>
      </c>
      <c r="L901" s="137">
        <v>0.82499999999999996</v>
      </c>
      <c r="M901" s="137">
        <v>0.48492124636228701</v>
      </c>
      <c r="N901" s="136">
        <v>1</v>
      </c>
      <c r="O901" s="157">
        <v>43013</v>
      </c>
      <c r="P901" s="98">
        <f t="shared" si="72"/>
        <v>0</v>
      </c>
      <c r="Q901" s="113">
        <v>2.5499999999999998</v>
      </c>
      <c r="R901" s="113">
        <v>0</v>
      </c>
      <c r="S901" s="113">
        <v>0</v>
      </c>
      <c r="T901" s="119" t="s">
        <v>48</v>
      </c>
      <c r="U901" s="136" t="s">
        <v>3074</v>
      </c>
      <c r="V901" s="172" t="s">
        <v>3075</v>
      </c>
      <c r="W901" s="69">
        <v>125</v>
      </c>
      <c r="X901" s="171">
        <v>1</v>
      </c>
      <c r="Y901" s="171">
        <v>13</v>
      </c>
      <c r="AA901" t="s">
        <v>4603</v>
      </c>
      <c r="AB901" t="s">
        <v>4732</v>
      </c>
      <c r="AC901" t="s">
        <v>223</v>
      </c>
      <c r="AD901" t="s">
        <v>4549</v>
      </c>
      <c r="AE901" t="s">
        <v>223</v>
      </c>
      <c r="AF901" t="s">
        <v>4549</v>
      </c>
      <c r="AG901" t="s">
        <v>223</v>
      </c>
      <c r="AH901" t="s">
        <v>4549</v>
      </c>
      <c r="AI901" t="s">
        <v>4353</v>
      </c>
      <c r="AJ901" t="s">
        <v>4506</v>
      </c>
      <c r="AK901" t="s">
        <v>4518</v>
      </c>
      <c r="AL901" t="s">
        <v>4519</v>
      </c>
      <c r="AM901" t="s">
        <v>4510</v>
      </c>
      <c r="AN901" t="s">
        <v>4523</v>
      </c>
      <c r="AO901" s="134">
        <v>109.254125412541</v>
      </c>
      <c r="AP901" s="135">
        <v>119.044217687075</v>
      </c>
      <c r="AQ901">
        <v>0.36394557823129298</v>
      </c>
      <c r="AR901" s="136">
        <v>1.3333333333333299</v>
      </c>
      <c r="AS901">
        <v>9.1088435374149697</v>
      </c>
      <c r="AU901"/>
      <c r="AV901"/>
      <c r="AW901"/>
      <c r="AX901"/>
    </row>
    <row r="902" spans="1:50" s="69" customFormat="1" ht="151">
      <c r="A902" s="65">
        <v>956</v>
      </c>
      <c r="B902" s="69" t="s">
        <v>2510</v>
      </c>
      <c r="C902" s="69" t="s">
        <v>45</v>
      </c>
      <c r="D902" s="31">
        <f t="shared" si="70"/>
        <v>4</v>
      </c>
      <c r="E902" s="69" t="s">
        <v>833</v>
      </c>
      <c r="F902" s="31">
        <f t="shared" si="71"/>
        <v>3</v>
      </c>
      <c r="G902" s="137" t="s">
        <v>2593</v>
      </c>
      <c r="H902" s="138">
        <v>261</v>
      </c>
      <c r="I902" s="92">
        <f t="shared" si="73"/>
        <v>0.375</v>
      </c>
      <c r="J902" s="95">
        <v>0</v>
      </c>
      <c r="K902" s="137">
        <v>0.63619100647005999</v>
      </c>
      <c r="L902" s="137">
        <v>0.75</v>
      </c>
      <c r="M902" s="137">
        <v>0.46547751617515098</v>
      </c>
      <c r="N902" s="136">
        <v>1</v>
      </c>
      <c r="O902" s="154">
        <v>43013</v>
      </c>
      <c r="P902" s="98">
        <f t="shared" si="72"/>
        <v>0</v>
      </c>
      <c r="Q902" s="111">
        <v>0</v>
      </c>
      <c r="R902" s="111">
        <v>0</v>
      </c>
      <c r="S902" s="111">
        <v>0</v>
      </c>
      <c r="T902" s="112" t="s">
        <v>48</v>
      </c>
      <c r="U902" s="137" t="s">
        <v>2594</v>
      </c>
      <c r="V902" s="137" t="s">
        <v>2595</v>
      </c>
      <c r="W902" s="69">
        <v>117</v>
      </c>
      <c r="X902" s="69">
        <v>3</v>
      </c>
      <c r="Y902" s="69">
        <v>14</v>
      </c>
      <c r="AA902" t="s">
        <v>4660</v>
      </c>
      <c r="AB902" t="s">
        <v>51</v>
      </c>
      <c r="AC902" t="s">
        <v>223</v>
      </c>
      <c r="AD902" t="s">
        <v>4702</v>
      </c>
      <c r="AE902" t="s">
        <v>4580</v>
      </c>
      <c r="AF902" t="s">
        <v>4646</v>
      </c>
      <c r="AG902" t="s">
        <v>4515</v>
      </c>
      <c r="AH902" t="s">
        <v>4858</v>
      </c>
      <c r="AI902" t="s">
        <v>4353</v>
      </c>
      <c r="AJ902" t="s">
        <v>4506</v>
      </c>
      <c r="AK902" t="s">
        <v>4519</v>
      </c>
      <c r="AL902" t="s">
        <v>4552</v>
      </c>
      <c r="AM902" t="s">
        <v>4510</v>
      </c>
      <c r="AN902" t="s">
        <v>4634</v>
      </c>
      <c r="AO902" s="134">
        <v>108.655629139073</v>
      </c>
      <c r="AP902" s="135">
        <v>119.044217687075</v>
      </c>
      <c r="AQ902">
        <v>0.36394557823129298</v>
      </c>
      <c r="AR902" s="136">
        <v>1.3333333333333299</v>
      </c>
      <c r="AS902">
        <v>9.1088435374149697</v>
      </c>
      <c r="AU902"/>
      <c r="AV902"/>
      <c r="AW902"/>
      <c r="AX902"/>
    </row>
    <row r="903" spans="1:50" s="69" customFormat="1" ht="76">
      <c r="A903" s="65">
        <v>676</v>
      </c>
      <c r="B903" s="69" t="s">
        <v>1790</v>
      </c>
      <c r="C903" s="69" t="s">
        <v>45</v>
      </c>
      <c r="D903" s="31">
        <f t="shared" si="70"/>
        <v>4</v>
      </c>
      <c r="E903" s="69" t="s">
        <v>80</v>
      </c>
      <c r="F903" s="31">
        <f t="shared" si="71"/>
        <v>4</v>
      </c>
      <c r="G903" s="147" t="s">
        <v>1851</v>
      </c>
      <c r="H903" s="138">
        <v>124</v>
      </c>
      <c r="I903" s="92">
        <f t="shared" si="73"/>
        <v>0.34090911614112041</v>
      </c>
      <c r="J903" s="95">
        <v>5.0464058820587301E-8</v>
      </c>
      <c r="K903" s="137">
        <v>0.62838932850985896</v>
      </c>
      <c r="L903" s="137">
        <v>0.68181818181818199</v>
      </c>
      <c r="M903" s="137">
        <v>0.54824604854737402</v>
      </c>
      <c r="N903" s="136">
        <v>1</v>
      </c>
      <c r="O903" s="154">
        <v>43009</v>
      </c>
      <c r="P903" s="98">
        <f t="shared" si="72"/>
        <v>0</v>
      </c>
      <c r="Q903" s="111">
        <v>7.65</v>
      </c>
      <c r="R903" s="111">
        <v>4.95</v>
      </c>
      <c r="S903" s="111">
        <v>0</v>
      </c>
      <c r="T903" s="112" t="s">
        <v>48</v>
      </c>
      <c r="U903" s="137" t="s">
        <v>1857</v>
      </c>
      <c r="V903" s="137" t="s">
        <v>1858</v>
      </c>
      <c r="W903" s="69">
        <v>75</v>
      </c>
      <c r="X903" s="147">
        <v>1</v>
      </c>
      <c r="Y903" s="147">
        <v>10</v>
      </c>
      <c r="AA903" t="s">
        <v>4628</v>
      </c>
      <c r="AB903" t="s">
        <v>51</v>
      </c>
      <c r="AC903" t="s">
        <v>223</v>
      </c>
      <c r="AD903" t="s">
        <v>4631</v>
      </c>
      <c r="AE903" t="s">
        <v>4515</v>
      </c>
      <c r="AF903" t="s">
        <v>4537</v>
      </c>
      <c r="AG903" t="s">
        <v>223</v>
      </c>
      <c r="AH903" t="s">
        <v>4631</v>
      </c>
      <c r="AI903" t="s">
        <v>4353</v>
      </c>
      <c r="AJ903" t="s">
        <v>4506</v>
      </c>
      <c r="AK903" t="s">
        <v>4518</v>
      </c>
      <c r="AL903" t="s">
        <v>4519</v>
      </c>
      <c r="AM903" t="s">
        <v>4898</v>
      </c>
      <c r="AN903" t="s">
        <v>4945</v>
      </c>
      <c r="AO903" s="134">
        <v>108.604651162791</v>
      </c>
      <c r="AP903" s="135">
        <v>119.044217687075</v>
      </c>
      <c r="AQ903">
        <v>0.36394557823129298</v>
      </c>
      <c r="AR903" s="136">
        <v>1.3333333333333299</v>
      </c>
      <c r="AS903">
        <v>9.1088435374149697</v>
      </c>
      <c r="AU903"/>
      <c r="AV903"/>
      <c r="AW903"/>
      <c r="AX903"/>
    </row>
    <row r="904" spans="1:50" s="69" customFormat="1" ht="91">
      <c r="A904">
        <v>130</v>
      </c>
      <c r="B904" s="69" t="s">
        <v>217</v>
      </c>
      <c r="C904" s="69" t="s">
        <v>45</v>
      </c>
      <c r="D904" s="31">
        <f t="shared" si="70"/>
        <v>4</v>
      </c>
      <c r="E904" s="69" t="s">
        <v>80</v>
      </c>
      <c r="F904" s="31">
        <f t="shared" si="71"/>
        <v>4</v>
      </c>
      <c r="G904" s="137" t="s">
        <v>418</v>
      </c>
      <c r="H904" s="138">
        <v>60</v>
      </c>
      <c r="I904" s="92">
        <f t="shared" si="73"/>
        <v>0.8328486241041575</v>
      </c>
      <c r="J904" s="95">
        <v>0.915697248208315</v>
      </c>
      <c r="K904" s="137">
        <v>0.61439396425041903</v>
      </c>
      <c r="L904" s="137">
        <v>0.75</v>
      </c>
      <c r="M904" s="137">
        <v>0.41098491062604903</v>
      </c>
      <c r="N904" s="136">
        <v>1</v>
      </c>
      <c r="O904" s="154">
        <v>43007</v>
      </c>
      <c r="P904" s="98">
        <f t="shared" si="72"/>
        <v>1</v>
      </c>
      <c r="Q904" s="113">
        <v>5.0999999999999996</v>
      </c>
      <c r="R904" s="113">
        <v>1.65</v>
      </c>
      <c r="S904" s="113">
        <v>0</v>
      </c>
      <c r="T904" s="114" t="s">
        <v>73</v>
      </c>
      <c r="U904" s="136" t="s">
        <v>419</v>
      </c>
      <c r="V904" s="137" t="s">
        <v>420</v>
      </c>
      <c r="W904" s="69">
        <v>132</v>
      </c>
      <c r="X904" s="69">
        <v>1</v>
      </c>
      <c r="Y904" s="69">
        <v>17</v>
      </c>
      <c r="Z904"/>
      <c r="AA904" t="s">
        <v>4512</v>
      </c>
      <c r="AB904" t="s">
        <v>51</v>
      </c>
      <c r="AC904" t="s">
        <v>223</v>
      </c>
      <c r="AD904" t="s">
        <v>4710</v>
      </c>
      <c r="AE904" t="s">
        <v>4513</v>
      </c>
      <c r="AF904" t="s">
        <v>4809</v>
      </c>
      <c r="AG904" t="s">
        <v>4515</v>
      </c>
      <c r="AH904" t="s">
        <v>4568</v>
      </c>
      <c r="AI904" t="s">
        <v>4353</v>
      </c>
      <c r="AJ904" t="s">
        <v>4506</v>
      </c>
      <c r="AK904" t="s">
        <v>4519</v>
      </c>
      <c r="AL904" t="s">
        <v>4552</v>
      </c>
      <c r="AM904" t="s">
        <v>4510</v>
      </c>
      <c r="AN904" t="s">
        <v>4634</v>
      </c>
      <c r="AO904" s="134">
        <v>108.76666666666701</v>
      </c>
      <c r="AP904" s="135">
        <v>119.489726027397</v>
      </c>
      <c r="AQ904">
        <v>0.35616438356164398</v>
      </c>
      <c r="AR904" s="136">
        <v>1.33561643835616</v>
      </c>
      <c r="AS904">
        <v>9.1164383561643803</v>
      </c>
      <c r="AU904"/>
      <c r="AV904"/>
      <c r="AW904"/>
      <c r="AX904"/>
    </row>
    <row r="905" spans="1:50" s="69" customFormat="1" ht="151">
      <c r="A905">
        <v>1155</v>
      </c>
      <c r="B905" s="69" t="s">
        <v>3117</v>
      </c>
      <c r="C905" s="69" t="s">
        <v>45</v>
      </c>
      <c r="D905" s="31">
        <f t="shared" si="70"/>
        <v>4</v>
      </c>
      <c r="E905" s="69" t="s">
        <v>46</v>
      </c>
      <c r="F905" s="31">
        <f t="shared" si="71"/>
        <v>6</v>
      </c>
      <c r="G905" s="139" t="s">
        <v>3130</v>
      </c>
      <c r="H905" s="138">
        <v>143</v>
      </c>
      <c r="I905" s="92">
        <f t="shared" si="73"/>
        <v>0.37539342231080114</v>
      </c>
      <c r="J905" s="95">
        <v>7.8684462160227798E-4</v>
      </c>
      <c r="K905" s="137">
        <v>0.60092006036910395</v>
      </c>
      <c r="L905" s="137">
        <v>0.75</v>
      </c>
      <c r="M905" s="137">
        <v>0.37730015092276098</v>
      </c>
      <c r="N905" s="136">
        <v>1</v>
      </c>
      <c r="O905" s="204">
        <v>43007</v>
      </c>
      <c r="P905" s="98">
        <f t="shared" si="72"/>
        <v>1</v>
      </c>
      <c r="Q905" s="113">
        <v>0</v>
      </c>
      <c r="R905" s="113">
        <v>1.65</v>
      </c>
      <c r="S905" s="113">
        <v>0</v>
      </c>
      <c r="T905" s="119" t="s">
        <v>73</v>
      </c>
      <c r="U905" s="89" t="s">
        <v>3138</v>
      </c>
      <c r="V905" s="172" t="s">
        <v>3135</v>
      </c>
      <c r="W905" s="69">
        <v>199</v>
      </c>
      <c r="X905" s="69">
        <v>2</v>
      </c>
      <c r="Y905" s="69">
        <v>19</v>
      </c>
      <c r="AA905" t="s">
        <v>4543</v>
      </c>
      <c r="AB905" t="s">
        <v>4594</v>
      </c>
      <c r="AC905" t="s">
        <v>4515</v>
      </c>
      <c r="AD905" t="s">
        <v>4670</v>
      </c>
      <c r="AE905" t="s">
        <v>4515</v>
      </c>
      <c r="AF905" t="s">
        <v>4670</v>
      </c>
      <c r="AG905" t="s">
        <v>223</v>
      </c>
      <c r="AH905" t="s">
        <v>4825</v>
      </c>
      <c r="AI905" t="s">
        <v>223</v>
      </c>
      <c r="AJ905" t="s">
        <v>4825</v>
      </c>
      <c r="AK905" t="s">
        <v>4740</v>
      </c>
      <c r="AL905" t="s">
        <v>4519</v>
      </c>
      <c r="AM905" t="s">
        <v>4520</v>
      </c>
      <c r="AN905" t="s">
        <v>4873</v>
      </c>
      <c r="AO905" s="134">
        <v>108.652173913043</v>
      </c>
      <c r="AP905" s="135">
        <v>119.489726027397</v>
      </c>
      <c r="AQ905">
        <v>0.35616438356164398</v>
      </c>
      <c r="AR905" s="136">
        <v>1.33561643835616</v>
      </c>
      <c r="AS905">
        <v>9.1164383561643803</v>
      </c>
      <c r="AU905"/>
      <c r="AV905"/>
      <c r="AW905"/>
      <c r="AX905"/>
    </row>
    <row r="906" spans="1:50" s="69" customFormat="1" ht="31">
      <c r="A906">
        <v>131</v>
      </c>
      <c r="B906" s="69" t="s">
        <v>217</v>
      </c>
      <c r="C906" s="69" t="s">
        <v>45</v>
      </c>
      <c r="D906" s="31">
        <f t="shared" si="70"/>
        <v>4</v>
      </c>
      <c r="E906" s="69" t="s">
        <v>80</v>
      </c>
      <c r="F906" s="31">
        <f t="shared" si="71"/>
        <v>4</v>
      </c>
      <c r="G906" s="137" t="s">
        <v>359</v>
      </c>
      <c r="H906" s="138">
        <v>42</v>
      </c>
      <c r="I906" s="92">
        <f t="shared" si="73"/>
        <v>0.39380191168662693</v>
      </c>
      <c r="J906" s="95">
        <v>3.7603823373253902E-2</v>
      </c>
      <c r="K906" s="137">
        <v>0.76918779643582302</v>
      </c>
      <c r="L906" s="137">
        <v>0.75</v>
      </c>
      <c r="M906" s="137">
        <v>0.79796949108955795</v>
      </c>
      <c r="N906" s="136">
        <v>1</v>
      </c>
      <c r="O906" s="154">
        <v>43005</v>
      </c>
      <c r="P906" s="98">
        <f t="shared" si="72"/>
        <v>0</v>
      </c>
      <c r="Q906" s="111">
        <v>0</v>
      </c>
      <c r="R906" s="111">
        <v>0</v>
      </c>
      <c r="S906" s="111">
        <v>1.87</v>
      </c>
      <c r="T906" s="112" t="s">
        <v>48</v>
      </c>
      <c r="U906" s="137" t="s">
        <v>421</v>
      </c>
      <c r="V906" s="137" t="s">
        <v>422</v>
      </c>
      <c r="W906" s="69">
        <v>29</v>
      </c>
      <c r="X906" s="69">
        <v>1</v>
      </c>
      <c r="Y906" s="69">
        <v>2</v>
      </c>
      <c r="Z906"/>
      <c r="AA906" t="s">
        <v>4522</v>
      </c>
      <c r="AB906" t="s">
        <v>51</v>
      </c>
      <c r="AC906" t="s">
        <v>4353</v>
      </c>
      <c r="AD906" t="s">
        <v>4506</v>
      </c>
      <c r="AE906" t="s">
        <v>4515</v>
      </c>
      <c r="AF906" t="s">
        <v>4989</v>
      </c>
      <c r="AG906" t="s">
        <v>4353</v>
      </c>
      <c r="AH906" t="s">
        <v>4506</v>
      </c>
      <c r="AI906" t="s">
        <v>4353</v>
      </c>
      <c r="AJ906" t="s">
        <v>4506</v>
      </c>
      <c r="AK906" t="s">
        <v>4519</v>
      </c>
      <c r="AL906" t="s">
        <v>4552</v>
      </c>
      <c r="AM906" t="s">
        <v>4510</v>
      </c>
      <c r="AN906" t="s">
        <v>4634</v>
      </c>
      <c r="AO906" s="134">
        <v>108.875838926174</v>
      </c>
      <c r="AP906" s="135">
        <v>119.489726027397</v>
      </c>
      <c r="AQ906">
        <v>0.35616438356164398</v>
      </c>
      <c r="AR906" s="136">
        <v>1.33561643835616</v>
      </c>
      <c r="AS906">
        <v>9.1164383561643803</v>
      </c>
      <c r="AU906"/>
      <c r="AV906"/>
      <c r="AW906"/>
      <c r="AX906"/>
    </row>
    <row r="907" spans="1:50" s="69" customFormat="1" ht="136">
      <c r="A907" s="65">
        <v>132</v>
      </c>
      <c r="B907" s="69" t="s">
        <v>217</v>
      </c>
      <c r="C907" s="69" t="s">
        <v>45</v>
      </c>
      <c r="D907" s="31">
        <f t="shared" si="70"/>
        <v>4</v>
      </c>
      <c r="E907" s="69" t="s">
        <v>46</v>
      </c>
      <c r="F907" s="31">
        <f t="shared" si="71"/>
        <v>6</v>
      </c>
      <c r="G907" s="147" t="s">
        <v>423</v>
      </c>
      <c r="H907" s="138">
        <v>235</v>
      </c>
      <c r="I907" s="92">
        <f t="shared" si="73"/>
        <v>0.41250000000000719</v>
      </c>
      <c r="J907" s="95">
        <v>1.4432899320127E-14</v>
      </c>
      <c r="K907" s="137">
        <v>0.64592006036910399</v>
      </c>
      <c r="L907" s="137">
        <v>0.82499999999999996</v>
      </c>
      <c r="M907" s="137">
        <v>0.37730015092276098</v>
      </c>
      <c r="N907" s="136">
        <v>1</v>
      </c>
      <c r="O907" s="154">
        <v>43005</v>
      </c>
      <c r="P907" s="98">
        <f t="shared" si="72"/>
        <v>0</v>
      </c>
      <c r="Q907" s="111">
        <v>2.5499999999999998</v>
      </c>
      <c r="R907" s="111">
        <v>0</v>
      </c>
      <c r="S907" s="111">
        <v>0</v>
      </c>
      <c r="T907" s="112" t="s">
        <v>48</v>
      </c>
      <c r="U907" s="137" t="s">
        <v>424</v>
      </c>
      <c r="V907" s="137" t="s">
        <v>425</v>
      </c>
      <c r="W907" s="69">
        <v>145</v>
      </c>
      <c r="X907" s="171">
        <v>1</v>
      </c>
      <c r="Y907" s="171">
        <v>19</v>
      </c>
      <c r="Z907"/>
      <c r="AA907" t="s">
        <v>4785</v>
      </c>
      <c r="AB907" t="s">
        <v>51</v>
      </c>
      <c r="AC907" t="s">
        <v>223</v>
      </c>
      <c r="AD907" t="s">
        <v>4559</v>
      </c>
      <c r="AE907" t="s">
        <v>4513</v>
      </c>
      <c r="AF907" t="s">
        <v>5040</v>
      </c>
      <c r="AG907" t="s">
        <v>4515</v>
      </c>
      <c r="AH907" t="s">
        <v>4560</v>
      </c>
      <c r="AI907" t="s">
        <v>4353</v>
      </c>
      <c r="AJ907" t="s">
        <v>4506</v>
      </c>
      <c r="AK907" t="s">
        <v>4518</v>
      </c>
      <c r="AL907" t="s">
        <v>4519</v>
      </c>
      <c r="AM907" t="s">
        <v>4592</v>
      </c>
      <c r="AN907" t="s">
        <v>4661</v>
      </c>
      <c r="AO907" s="134">
        <v>108.451178451178</v>
      </c>
      <c r="AP907" s="135">
        <v>119.489726027397</v>
      </c>
      <c r="AQ907">
        <v>0.35616438356164398</v>
      </c>
      <c r="AR907" s="136">
        <v>1.33561643835616</v>
      </c>
      <c r="AS907">
        <v>9.1164383561643803</v>
      </c>
      <c r="AU907"/>
      <c r="AV907"/>
      <c r="AW907"/>
      <c r="AX907"/>
    </row>
    <row r="908" spans="1:50" s="69" customFormat="1" ht="61">
      <c r="A908">
        <v>182</v>
      </c>
      <c r="B908" s="69" t="s">
        <v>499</v>
      </c>
      <c r="C908" s="69" t="s">
        <v>45</v>
      </c>
      <c r="D908" s="31">
        <f t="shared" si="70"/>
        <v>4</v>
      </c>
      <c r="E908" s="69" t="s">
        <v>80</v>
      </c>
      <c r="F908" s="31">
        <f t="shared" si="71"/>
        <v>4</v>
      </c>
      <c r="G908" s="147" t="s">
        <v>562</v>
      </c>
      <c r="H908" s="138">
        <v>93</v>
      </c>
      <c r="I908" s="92">
        <f t="shared" si="73"/>
        <v>0.48304068850463355</v>
      </c>
      <c r="J908" s="95">
        <v>0.45382128548546402</v>
      </c>
      <c r="K908" s="137">
        <v>0.48604272084528599</v>
      </c>
      <c r="L908" s="137">
        <v>0.51226009152380303</v>
      </c>
      <c r="M908" s="137">
        <v>0.44671666482751199</v>
      </c>
      <c r="N908" s="136">
        <v>1</v>
      </c>
      <c r="O908" s="154">
        <v>43002</v>
      </c>
      <c r="P908" s="98">
        <f t="shared" si="72"/>
        <v>2</v>
      </c>
      <c r="Q908" s="111">
        <v>0</v>
      </c>
      <c r="R908" s="111">
        <v>1.65</v>
      </c>
      <c r="S908" s="111">
        <v>0</v>
      </c>
      <c r="T908" s="112" t="s">
        <v>64</v>
      </c>
      <c r="U908" s="147" t="s">
        <v>563</v>
      </c>
      <c r="V908" s="137" t="s">
        <v>564</v>
      </c>
      <c r="W908" s="69">
        <v>66</v>
      </c>
      <c r="X908" s="147">
        <v>1</v>
      </c>
      <c r="Y908" s="147">
        <v>15</v>
      </c>
      <c r="Z908"/>
      <c r="AA908" t="s">
        <v>4512</v>
      </c>
      <c r="AB908" t="s">
        <v>51</v>
      </c>
      <c r="AC908" t="s">
        <v>4515</v>
      </c>
      <c r="AD908" t="s">
        <v>4769</v>
      </c>
      <c r="AE908" t="s">
        <v>4513</v>
      </c>
      <c r="AF908" t="s">
        <v>4686</v>
      </c>
      <c r="AG908" t="s">
        <v>4353</v>
      </c>
      <c r="AH908" t="s">
        <v>4506</v>
      </c>
      <c r="AI908" t="s">
        <v>4353</v>
      </c>
      <c r="AJ908" t="s">
        <v>4506</v>
      </c>
      <c r="AK908" t="s">
        <v>4519</v>
      </c>
      <c r="AL908" t="s">
        <v>4552</v>
      </c>
      <c r="AM908" t="s">
        <v>4510</v>
      </c>
      <c r="AN908" t="s">
        <v>4634</v>
      </c>
      <c r="AO908" s="134">
        <v>108.503378378378</v>
      </c>
      <c r="AP908" s="135">
        <v>118.955017301038</v>
      </c>
      <c r="AQ908">
        <v>0.35294117647058798</v>
      </c>
      <c r="AR908" s="136">
        <v>1.33217993079585</v>
      </c>
      <c r="AS908">
        <v>9.0726643598615908</v>
      </c>
      <c r="AU908"/>
      <c r="AV908"/>
      <c r="AW908"/>
      <c r="AX908"/>
    </row>
    <row r="909" spans="1:50" s="69" customFormat="1" ht="151">
      <c r="A909" s="65">
        <v>1156</v>
      </c>
      <c r="B909" s="69" t="s">
        <v>3117</v>
      </c>
      <c r="C909" s="69" t="s">
        <v>45</v>
      </c>
      <c r="D909" s="31">
        <f t="shared" si="70"/>
        <v>4</v>
      </c>
      <c r="E909" s="69" t="s">
        <v>46</v>
      </c>
      <c r="F909" s="31">
        <f t="shared" si="71"/>
        <v>6</v>
      </c>
      <c r="G909" s="191" t="s">
        <v>3130</v>
      </c>
      <c r="H909" s="138">
        <v>101</v>
      </c>
      <c r="I909" s="92">
        <f t="shared" si="73"/>
        <v>0.37779092794497221</v>
      </c>
      <c r="J909" s="95">
        <v>5.5818558899444204E-3</v>
      </c>
      <c r="K909" s="137">
        <v>0.60092006036910395</v>
      </c>
      <c r="L909" s="137">
        <v>0.75</v>
      </c>
      <c r="M909" s="137">
        <v>0.37730015092276098</v>
      </c>
      <c r="N909" s="136">
        <v>1</v>
      </c>
      <c r="O909" s="204">
        <v>43001</v>
      </c>
      <c r="P909" s="98">
        <f t="shared" si="72"/>
        <v>1</v>
      </c>
      <c r="Q909" s="113">
        <v>5.0999999999999996</v>
      </c>
      <c r="R909" s="113">
        <v>1.65</v>
      </c>
      <c r="S909" s="113">
        <v>0</v>
      </c>
      <c r="T909" s="119" t="s">
        <v>73</v>
      </c>
      <c r="U909" s="91" t="s">
        <v>3139</v>
      </c>
      <c r="V909" s="172" t="s">
        <v>3135</v>
      </c>
      <c r="W909" s="69">
        <v>199</v>
      </c>
      <c r="X909" s="171">
        <v>2</v>
      </c>
      <c r="Y909" s="171">
        <v>19</v>
      </c>
      <c r="AA909" t="s">
        <v>4556</v>
      </c>
      <c r="AB909" t="s">
        <v>4594</v>
      </c>
      <c r="AC909" t="s">
        <v>4515</v>
      </c>
      <c r="AD909" t="s">
        <v>4670</v>
      </c>
      <c r="AE909" t="s">
        <v>4515</v>
      </c>
      <c r="AF909" t="s">
        <v>4670</v>
      </c>
      <c r="AG909" t="s">
        <v>223</v>
      </c>
      <c r="AH909" t="s">
        <v>4825</v>
      </c>
      <c r="AI909" t="s">
        <v>223</v>
      </c>
      <c r="AJ909" t="s">
        <v>4825</v>
      </c>
      <c r="AK909" t="s">
        <v>4591</v>
      </c>
      <c r="AL909" t="s">
        <v>4519</v>
      </c>
      <c r="AM909" t="s">
        <v>4520</v>
      </c>
      <c r="AN909" t="s">
        <v>4870</v>
      </c>
      <c r="AO909" s="134">
        <v>108.528813559322</v>
      </c>
      <c r="AP909" s="135">
        <v>118.955017301038</v>
      </c>
      <c r="AQ909">
        <v>0.35294117647058798</v>
      </c>
      <c r="AR909" s="136">
        <v>1.33217993079585</v>
      </c>
      <c r="AS909">
        <v>9.0726643598615908</v>
      </c>
      <c r="AU909"/>
      <c r="AV909"/>
      <c r="AW909"/>
      <c r="AX909"/>
    </row>
    <row r="910" spans="1:50" s="69" customFormat="1" ht="46">
      <c r="A910" s="65">
        <v>373</v>
      </c>
      <c r="B910" s="69" t="s">
        <v>589</v>
      </c>
      <c r="C910" s="69" t="s">
        <v>45</v>
      </c>
      <c r="D910" s="31">
        <f t="shared" si="70"/>
        <v>4</v>
      </c>
      <c r="E910" s="69" t="s">
        <v>80</v>
      </c>
      <c r="F910" s="31">
        <f t="shared" si="71"/>
        <v>4</v>
      </c>
      <c r="G910" s="147" t="s">
        <v>1079</v>
      </c>
      <c r="H910" s="138">
        <v>56</v>
      </c>
      <c r="I910" s="92">
        <f t="shared" si="73"/>
        <v>0.83369939989900399</v>
      </c>
      <c r="J910" s="95">
        <v>0.91739879979800798</v>
      </c>
      <c r="K910" s="137">
        <v>0.61439396425041903</v>
      </c>
      <c r="L910" s="137">
        <v>0.75</v>
      </c>
      <c r="M910" s="137">
        <v>0.41098491062604903</v>
      </c>
      <c r="N910" s="136">
        <v>1</v>
      </c>
      <c r="O910" s="154">
        <v>43000</v>
      </c>
      <c r="P910" s="98">
        <f t="shared" si="72"/>
        <v>0</v>
      </c>
      <c r="Q910" s="111">
        <v>5.0999999999999996</v>
      </c>
      <c r="R910" s="111">
        <v>0</v>
      </c>
      <c r="S910" s="111">
        <v>0</v>
      </c>
      <c r="T910" s="112" t="s">
        <v>48</v>
      </c>
      <c r="U910" s="137" t="s">
        <v>1080</v>
      </c>
      <c r="V910" s="137" t="s">
        <v>1081</v>
      </c>
      <c r="W910" s="69">
        <v>39</v>
      </c>
      <c r="X910" s="147">
        <v>1</v>
      </c>
      <c r="Y910" s="147">
        <v>17</v>
      </c>
      <c r="Z910"/>
      <c r="AA910" t="s">
        <v>4603</v>
      </c>
      <c r="AB910" t="s">
        <v>51</v>
      </c>
      <c r="AC910" t="s">
        <v>4353</v>
      </c>
      <c r="AD910" t="s">
        <v>4506</v>
      </c>
      <c r="AE910" t="s">
        <v>4513</v>
      </c>
      <c r="AF910" t="s">
        <v>4935</v>
      </c>
      <c r="AG910" t="s">
        <v>4353</v>
      </c>
      <c r="AH910" t="s">
        <v>4506</v>
      </c>
      <c r="AI910" t="s">
        <v>4353</v>
      </c>
      <c r="AJ910" t="s">
        <v>4506</v>
      </c>
      <c r="AK910" t="s">
        <v>4519</v>
      </c>
      <c r="AL910" t="s">
        <v>4519</v>
      </c>
      <c r="AM910" t="s">
        <v>4528</v>
      </c>
      <c r="AN910" t="s">
        <v>4529</v>
      </c>
      <c r="AO910" s="134">
        <v>108.707482993197</v>
      </c>
      <c r="AP910" s="135">
        <v>119.527972027972</v>
      </c>
      <c r="AQ910">
        <v>0.356643356643357</v>
      </c>
      <c r="AR910" s="136">
        <v>1.3321678321678301</v>
      </c>
      <c r="AS910">
        <v>9.1258741258741303</v>
      </c>
      <c r="AU910"/>
      <c r="AV910"/>
      <c r="AW910"/>
      <c r="AX910"/>
    </row>
    <row r="911" spans="1:50" s="69" customFormat="1" ht="46">
      <c r="A911">
        <v>374</v>
      </c>
      <c r="B911" s="69" t="s">
        <v>589</v>
      </c>
      <c r="C911" s="69" t="s">
        <v>45</v>
      </c>
      <c r="D911" s="31">
        <f t="shared" si="70"/>
        <v>4</v>
      </c>
      <c r="E911" s="69" t="s">
        <v>519</v>
      </c>
      <c r="F911" s="31">
        <f t="shared" si="71"/>
        <v>5</v>
      </c>
      <c r="G911" s="137" t="s">
        <v>520</v>
      </c>
      <c r="H911" s="138">
        <v>50</v>
      </c>
      <c r="I911" s="92">
        <f t="shared" si="73"/>
        <v>0.87000869630533351</v>
      </c>
      <c r="J911" s="95">
        <v>0.99001739261066701</v>
      </c>
      <c r="K911" s="137">
        <v>0.76918779643582302</v>
      </c>
      <c r="L911" s="137">
        <v>0.75</v>
      </c>
      <c r="M911" s="137">
        <v>0.79796949108955795</v>
      </c>
      <c r="N911" s="136">
        <v>1</v>
      </c>
      <c r="O911" s="154">
        <v>42998</v>
      </c>
      <c r="P911" s="98">
        <f t="shared" si="72"/>
        <v>2</v>
      </c>
      <c r="Q911" s="111">
        <v>5.0999999999999996</v>
      </c>
      <c r="R911" s="111">
        <v>1.65</v>
      </c>
      <c r="S911" s="111">
        <v>0</v>
      </c>
      <c r="T911" s="112" t="s">
        <v>64</v>
      </c>
      <c r="U911" s="137" t="s">
        <v>1082</v>
      </c>
      <c r="V911" s="137" t="s">
        <v>1083</v>
      </c>
      <c r="W911" s="69">
        <v>55</v>
      </c>
      <c r="X911" s="69">
        <v>2</v>
      </c>
      <c r="Y911" s="69">
        <v>2</v>
      </c>
      <c r="Z911"/>
      <c r="AA911" t="s">
        <v>4653</v>
      </c>
      <c r="AB911" t="s">
        <v>87</v>
      </c>
      <c r="AC911" t="s">
        <v>4515</v>
      </c>
      <c r="AD911" t="s">
        <v>4749</v>
      </c>
      <c r="AE911" t="s">
        <v>4353</v>
      </c>
      <c r="AF911" t="s">
        <v>4506</v>
      </c>
      <c r="AG911" t="s">
        <v>223</v>
      </c>
      <c r="AH911" t="s">
        <v>4614</v>
      </c>
      <c r="AI911" t="s">
        <v>4353</v>
      </c>
      <c r="AJ911" t="s">
        <v>4506</v>
      </c>
      <c r="AK911" t="s">
        <v>4519</v>
      </c>
      <c r="AL911" t="s">
        <v>4519</v>
      </c>
      <c r="AM911" t="s">
        <v>4528</v>
      </c>
      <c r="AN911" t="s">
        <v>4529</v>
      </c>
      <c r="AO911" s="134">
        <v>108.907849829352</v>
      </c>
      <c r="AP911" s="135">
        <v>119.095744680851</v>
      </c>
      <c r="AQ911">
        <v>0.35460992907801397</v>
      </c>
      <c r="AR911" s="136">
        <v>1.3333333333333299</v>
      </c>
      <c r="AS911">
        <v>9.1737588652482298</v>
      </c>
      <c r="AU911"/>
      <c r="AV911"/>
      <c r="AW911"/>
      <c r="AX911"/>
    </row>
    <row r="912" spans="1:50" s="69" customFormat="1" ht="91">
      <c r="A912">
        <v>375</v>
      </c>
      <c r="B912" s="69" t="s">
        <v>589</v>
      </c>
      <c r="C912" s="69" t="s">
        <v>45</v>
      </c>
      <c r="D912" s="31">
        <f t="shared" si="70"/>
        <v>4</v>
      </c>
      <c r="E912" s="69" t="s">
        <v>80</v>
      </c>
      <c r="F912" s="31">
        <f t="shared" si="71"/>
        <v>4</v>
      </c>
      <c r="G912" s="137" t="s">
        <v>1084</v>
      </c>
      <c r="H912" s="138">
        <v>161</v>
      </c>
      <c r="I912" s="92">
        <f t="shared" si="73"/>
        <v>0.41576764615272899</v>
      </c>
      <c r="J912" s="95">
        <v>6.5352923054580198E-3</v>
      </c>
      <c r="K912" s="137">
        <v>0.63313853171680901</v>
      </c>
      <c r="L912" s="137">
        <v>0.82499999999999996</v>
      </c>
      <c r="M912" s="137">
        <v>0.34534632929202302</v>
      </c>
      <c r="N912" s="136">
        <v>1</v>
      </c>
      <c r="O912" s="154">
        <v>42997</v>
      </c>
      <c r="P912" s="98">
        <f t="shared" si="72"/>
        <v>0</v>
      </c>
      <c r="Q912" s="111">
        <v>0</v>
      </c>
      <c r="R912" s="111">
        <v>0</v>
      </c>
      <c r="S912" s="111">
        <v>0</v>
      </c>
      <c r="T912" s="112" t="s">
        <v>48</v>
      </c>
      <c r="U912" s="147" t="s">
        <v>1085</v>
      </c>
      <c r="V912" s="137" t="s">
        <v>1086</v>
      </c>
      <c r="W912" s="69">
        <v>120</v>
      </c>
      <c r="X912" s="147">
        <v>2</v>
      </c>
      <c r="Y912" s="147">
        <v>21</v>
      </c>
      <c r="Z912"/>
      <c r="AA912" t="s">
        <v>4564</v>
      </c>
      <c r="AB912" t="s">
        <v>87</v>
      </c>
      <c r="AC912" t="s">
        <v>4515</v>
      </c>
      <c r="AD912" t="s">
        <v>4849</v>
      </c>
      <c r="AE912" t="s">
        <v>4353</v>
      </c>
      <c r="AF912" t="s">
        <v>4506</v>
      </c>
      <c r="AG912" t="s">
        <v>223</v>
      </c>
      <c r="AH912" t="s">
        <v>4668</v>
      </c>
      <c r="AI912" t="s">
        <v>4353</v>
      </c>
      <c r="AJ912" t="s">
        <v>4506</v>
      </c>
      <c r="AK912" t="s">
        <v>4519</v>
      </c>
      <c r="AL912" t="s">
        <v>4552</v>
      </c>
      <c r="AM912" t="s">
        <v>4510</v>
      </c>
      <c r="AN912" t="s">
        <v>4634</v>
      </c>
      <c r="AO912" s="134">
        <v>108.729452054795</v>
      </c>
      <c r="AP912" s="135">
        <v>119.095744680851</v>
      </c>
      <c r="AQ912">
        <v>0.35460992907801397</v>
      </c>
      <c r="AR912" s="136">
        <v>1.3333333333333299</v>
      </c>
      <c r="AS912">
        <v>9.1737588652482298</v>
      </c>
      <c r="AU912"/>
      <c r="AV912"/>
      <c r="AW912"/>
      <c r="AX912"/>
    </row>
    <row r="913" spans="1:50" s="69" customFormat="1" ht="76">
      <c r="A913" s="65">
        <v>1101</v>
      </c>
      <c r="B913" s="69" t="s">
        <v>2948</v>
      </c>
      <c r="C913" s="69" t="s">
        <v>45</v>
      </c>
      <c r="D913" s="31">
        <f t="shared" si="70"/>
        <v>4</v>
      </c>
      <c r="E913" s="69" t="s">
        <v>80</v>
      </c>
      <c r="F913" s="31">
        <f t="shared" si="71"/>
        <v>4</v>
      </c>
      <c r="G913" s="139" t="s">
        <v>359</v>
      </c>
      <c r="H913" s="138">
        <v>76</v>
      </c>
      <c r="I913" s="92">
        <f t="shared" si="73"/>
        <v>0.31225397845560832</v>
      </c>
      <c r="J913" s="95">
        <v>4.6732461674146002E-3</v>
      </c>
      <c r="K913" s="137">
        <v>0.67292649458520204</v>
      </c>
      <c r="L913" s="137">
        <v>0.61983471074380203</v>
      </c>
      <c r="M913" s="137">
        <v>0.75256417034730305</v>
      </c>
      <c r="N913" s="136">
        <v>1</v>
      </c>
      <c r="O913" s="157">
        <v>42997</v>
      </c>
      <c r="P913" s="98">
        <f t="shared" si="72"/>
        <v>0</v>
      </c>
      <c r="Q913" s="113">
        <v>7.65</v>
      </c>
      <c r="R913" s="113">
        <v>0</v>
      </c>
      <c r="S913" s="113">
        <v>0</v>
      </c>
      <c r="T913" s="119" t="s">
        <v>48</v>
      </c>
      <c r="U913" s="89" t="s">
        <v>2992</v>
      </c>
      <c r="V913" s="172" t="s">
        <v>2993</v>
      </c>
      <c r="W913" s="69">
        <v>100</v>
      </c>
      <c r="X913" s="69">
        <v>1</v>
      </c>
      <c r="Y913" s="69">
        <v>3</v>
      </c>
      <c r="AA913" t="s">
        <v>4564</v>
      </c>
      <c r="AB913" t="s">
        <v>4594</v>
      </c>
      <c r="AC913" t="s">
        <v>4515</v>
      </c>
      <c r="AD913" t="s">
        <v>4781</v>
      </c>
      <c r="AE913" t="s">
        <v>4515</v>
      </c>
      <c r="AF913" t="s">
        <v>4781</v>
      </c>
      <c r="AG913" t="s">
        <v>4353</v>
      </c>
      <c r="AH913" t="s">
        <v>4506</v>
      </c>
      <c r="AI913" t="s">
        <v>223</v>
      </c>
      <c r="AJ913" t="s">
        <v>4615</v>
      </c>
      <c r="AK913" t="s">
        <v>4578</v>
      </c>
      <c r="AL913" t="s">
        <v>4519</v>
      </c>
      <c r="AM913" t="s">
        <v>4510</v>
      </c>
      <c r="AN913" t="s">
        <v>4579</v>
      </c>
      <c r="AO913" s="134">
        <v>108.766323024055</v>
      </c>
      <c r="AP913" s="135">
        <v>119.095744680851</v>
      </c>
      <c r="AQ913">
        <v>0.35460992907801397</v>
      </c>
      <c r="AR913" s="136">
        <v>1.3333333333333299</v>
      </c>
      <c r="AS913">
        <v>9.1737588652482298</v>
      </c>
      <c r="AU913"/>
      <c r="AV913"/>
      <c r="AW913"/>
      <c r="AX913"/>
    </row>
    <row r="914" spans="1:50" s="69" customFormat="1" ht="61">
      <c r="A914" s="65">
        <v>677</v>
      </c>
      <c r="B914" s="69" t="s">
        <v>1790</v>
      </c>
      <c r="C914" s="69" t="s">
        <v>45</v>
      </c>
      <c r="D914" s="31">
        <f t="shared" si="70"/>
        <v>4</v>
      </c>
      <c r="E914" s="69" t="s">
        <v>80</v>
      </c>
      <c r="F914" s="31">
        <f t="shared" si="71"/>
        <v>4</v>
      </c>
      <c r="G914" s="169" t="s">
        <v>1859</v>
      </c>
      <c r="H914" s="138">
        <v>98</v>
      </c>
      <c r="I914" s="92">
        <f t="shared" si="73"/>
        <v>0.37500046593302583</v>
      </c>
      <c r="J914" s="95">
        <v>9.3186605165662705E-7</v>
      </c>
      <c r="K914" s="137">
        <v>0.79285714285714304</v>
      </c>
      <c r="L914" s="137">
        <v>0.75</v>
      </c>
      <c r="M914" s="137">
        <v>0.85714285714285698</v>
      </c>
      <c r="N914" s="136">
        <v>1</v>
      </c>
      <c r="O914" s="154">
        <v>42997</v>
      </c>
      <c r="P914" s="98">
        <f t="shared" si="72"/>
        <v>0</v>
      </c>
      <c r="Q914" s="111">
        <v>2.5499999999999998</v>
      </c>
      <c r="R914" s="111">
        <v>1.65</v>
      </c>
      <c r="S914" s="111">
        <v>0</v>
      </c>
      <c r="T914" s="112" t="s">
        <v>48</v>
      </c>
      <c r="U914" s="137" t="s">
        <v>1860</v>
      </c>
      <c r="V914" s="137" t="s">
        <v>1861</v>
      </c>
      <c r="W914" s="69">
        <v>88</v>
      </c>
      <c r="X914" s="69">
        <v>1</v>
      </c>
      <c r="Y914" s="69">
        <v>1</v>
      </c>
      <c r="AA914" t="s">
        <v>4942</v>
      </c>
      <c r="AB914" t="s">
        <v>4732</v>
      </c>
      <c r="AC914" t="s">
        <v>223</v>
      </c>
      <c r="AD914" t="s">
        <v>4691</v>
      </c>
      <c r="AE914" t="s">
        <v>223</v>
      </c>
      <c r="AF914" t="s">
        <v>4691</v>
      </c>
      <c r="AG914" t="s">
        <v>223</v>
      </c>
      <c r="AH914" t="s">
        <v>4691</v>
      </c>
      <c r="AI914" t="s">
        <v>4353</v>
      </c>
      <c r="AJ914" t="s">
        <v>4506</v>
      </c>
      <c r="AK914" t="s">
        <v>4519</v>
      </c>
      <c r="AL914" t="s">
        <v>4519</v>
      </c>
      <c r="AM914" t="s">
        <v>4671</v>
      </c>
      <c r="AN914" t="s">
        <v>4863</v>
      </c>
      <c r="AO914" s="134">
        <v>108.879310344828</v>
      </c>
      <c r="AP914" s="135">
        <v>119.095744680851</v>
      </c>
      <c r="AQ914">
        <v>0.35460992907801397</v>
      </c>
      <c r="AR914" s="136">
        <v>1.3333333333333299</v>
      </c>
      <c r="AS914">
        <v>9.1737588652482298</v>
      </c>
      <c r="AU914"/>
      <c r="AV914"/>
      <c r="AW914"/>
      <c r="AX914"/>
    </row>
    <row r="915" spans="1:50" s="69" customFormat="1" ht="121">
      <c r="A915">
        <v>1011</v>
      </c>
      <c r="B915" s="69" t="s">
        <v>2638</v>
      </c>
      <c r="C915" s="69" t="s">
        <v>45</v>
      </c>
      <c r="D915" s="31">
        <f t="shared" si="70"/>
        <v>4</v>
      </c>
      <c r="E915" s="69" t="s">
        <v>80</v>
      </c>
      <c r="F915" s="31">
        <f t="shared" si="71"/>
        <v>4</v>
      </c>
      <c r="G915" s="139" t="s">
        <v>2743</v>
      </c>
      <c r="H915" s="138">
        <v>61</v>
      </c>
      <c r="I915" s="92">
        <f t="shared" si="73"/>
        <v>0.76989890290833607</v>
      </c>
      <c r="J915" s="95">
        <v>0.78979780581667203</v>
      </c>
      <c r="K915" s="137">
        <v>0.75102566813892102</v>
      </c>
      <c r="L915" s="137">
        <v>0.75</v>
      </c>
      <c r="M915" s="137">
        <v>0.75256417034730305</v>
      </c>
      <c r="N915" s="136">
        <v>1</v>
      </c>
      <c r="O915" s="157">
        <v>42996</v>
      </c>
      <c r="P915" s="98">
        <f t="shared" si="72"/>
        <v>1</v>
      </c>
      <c r="Q915" s="124">
        <v>2.5499999999999998</v>
      </c>
      <c r="R915" s="124">
        <v>0</v>
      </c>
      <c r="S915" s="124">
        <v>0</v>
      </c>
      <c r="T915" s="170" t="s">
        <v>73</v>
      </c>
      <c r="U915" s="91" t="s">
        <v>2744</v>
      </c>
      <c r="V915" s="172" t="s">
        <v>2745</v>
      </c>
      <c r="W915" s="69">
        <v>167</v>
      </c>
      <c r="X915" s="171">
        <v>2</v>
      </c>
      <c r="Y915" s="171">
        <v>3</v>
      </c>
      <c r="AA915" t="s">
        <v>4628</v>
      </c>
      <c r="AB915" t="s">
        <v>51</v>
      </c>
      <c r="AC915" t="s">
        <v>223</v>
      </c>
      <c r="AD915" t="s">
        <v>4802</v>
      </c>
      <c r="AE915" t="s">
        <v>4580</v>
      </c>
      <c r="AF915" t="s">
        <v>4627</v>
      </c>
      <c r="AG915" t="s">
        <v>4353</v>
      </c>
      <c r="AH915" t="s">
        <v>4506</v>
      </c>
      <c r="AI915" t="s">
        <v>4353</v>
      </c>
      <c r="AJ915" t="s">
        <v>4506</v>
      </c>
      <c r="AK915" t="s">
        <v>4519</v>
      </c>
      <c r="AL915" t="s">
        <v>4541</v>
      </c>
      <c r="AM915" t="s">
        <v>4510</v>
      </c>
      <c r="AN915" t="s">
        <v>4630</v>
      </c>
      <c r="AO915" s="134">
        <v>109.044982698962</v>
      </c>
      <c r="AP915" s="135">
        <v>117.94982078853</v>
      </c>
      <c r="AQ915">
        <v>0.351254480286738</v>
      </c>
      <c r="AR915" s="136">
        <v>1.3333333333333299</v>
      </c>
      <c r="AS915">
        <v>9.1863799283154108</v>
      </c>
      <c r="AU915"/>
      <c r="AV915"/>
      <c r="AW915"/>
      <c r="AX915"/>
    </row>
    <row r="916" spans="1:50" s="69" customFormat="1" ht="31">
      <c r="A916" s="65">
        <v>133</v>
      </c>
      <c r="B916" s="69" t="s">
        <v>217</v>
      </c>
      <c r="C916" s="69" t="s">
        <v>45</v>
      </c>
      <c r="D916" s="31">
        <f t="shared" si="70"/>
        <v>4</v>
      </c>
      <c r="E916" s="69" t="s">
        <v>80</v>
      </c>
      <c r="F916" s="31">
        <f t="shared" si="71"/>
        <v>4</v>
      </c>
      <c r="G916" s="136" t="s">
        <v>180</v>
      </c>
      <c r="H916" s="138">
        <v>34</v>
      </c>
      <c r="I916" s="92">
        <f t="shared" si="73"/>
        <v>0.42357830157107079</v>
      </c>
      <c r="J916" s="95">
        <v>2.2156603142141601E-2</v>
      </c>
      <c r="K916" s="137">
        <v>0.74381421079630905</v>
      </c>
      <c r="L916" s="137">
        <v>0.82499999999999996</v>
      </c>
      <c r="M916" s="137">
        <v>0.62203552699077302</v>
      </c>
      <c r="N916" s="136">
        <v>1</v>
      </c>
      <c r="O916" s="154">
        <v>42993</v>
      </c>
      <c r="P916" s="98">
        <f t="shared" si="72"/>
        <v>0</v>
      </c>
      <c r="Q916" s="111">
        <v>7.65</v>
      </c>
      <c r="R916" s="111">
        <v>4.95</v>
      </c>
      <c r="S916" s="111">
        <v>0</v>
      </c>
      <c r="T916" s="112" t="s">
        <v>48</v>
      </c>
      <c r="U916" s="137" t="s">
        <v>426</v>
      </c>
      <c r="V916" s="137" t="s">
        <v>427</v>
      </c>
      <c r="W916" s="69">
        <v>38</v>
      </c>
      <c r="X916" s="69">
        <v>1</v>
      </c>
      <c r="Y916" s="69">
        <v>7</v>
      </c>
      <c r="Z916"/>
      <c r="AA916" t="s">
        <v>4522</v>
      </c>
      <c r="AB916" t="s">
        <v>51</v>
      </c>
      <c r="AC916" t="s">
        <v>4353</v>
      </c>
      <c r="AD916" t="s">
        <v>4506</v>
      </c>
      <c r="AE916" t="s">
        <v>4513</v>
      </c>
      <c r="AF916" t="s">
        <v>4622</v>
      </c>
      <c r="AG916" t="s">
        <v>4353</v>
      </c>
      <c r="AH916" t="s">
        <v>4506</v>
      </c>
      <c r="AI916" t="s">
        <v>4353</v>
      </c>
      <c r="AJ916" t="s">
        <v>4506</v>
      </c>
      <c r="AK916" t="s">
        <v>4518</v>
      </c>
      <c r="AL916" t="s">
        <v>4519</v>
      </c>
      <c r="AM916" t="s">
        <v>4520</v>
      </c>
      <c r="AN916" t="s">
        <v>4521</v>
      </c>
      <c r="AO916" s="134">
        <v>109.305555555556</v>
      </c>
      <c r="AP916" s="135">
        <v>118.47826086956501</v>
      </c>
      <c r="AQ916">
        <v>0.35507246376811602</v>
      </c>
      <c r="AR916" s="136">
        <v>1.3369565217391299</v>
      </c>
      <c r="AS916">
        <v>9.2137681159420293</v>
      </c>
      <c r="AU916"/>
      <c r="AV916"/>
      <c r="AW916"/>
      <c r="AX916"/>
    </row>
    <row r="917" spans="1:50" s="69" customFormat="1" ht="31">
      <c r="A917">
        <v>879</v>
      </c>
      <c r="B917" s="69" t="s">
        <v>2355</v>
      </c>
      <c r="C917" s="69" t="s">
        <v>45</v>
      </c>
      <c r="D917" s="31">
        <f t="shared" si="70"/>
        <v>4</v>
      </c>
      <c r="E917" s="69" t="s">
        <v>80</v>
      </c>
      <c r="F917" s="31">
        <f t="shared" si="71"/>
        <v>4</v>
      </c>
      <c r="G917" s="169" t="s">
        <v>180</v>
      </c>
      <c r="H917" s="138">
        <v>54</v>
      </c>
      <c r="I917" s="92">
        <f t="shared" si="73"/>
        <v>0.37651039318400165</v>
      </c>
      <c r="J917" s="95">
        <v>3.0207863680032899E-3</v>
      </c>
      <c r="K917" s="137">
        <v>0.72222468700001197</v>
      </c>
      <c r="L917" s="137">
        <v>0.75</v>
      </c>
      <c r="M917" s="137">
        <v>0.68056171750003003</v>
      </c>
      <c r="N917" s="136">
        <v>1</v>
      </c>
      <c r="O917" s="154">
        <v>42993</v>
      </c>
      <c r="P917" s="98">
        <f t="shared" si="72"/>
        <v>0</v>
      </c>
      <c r="Q917" s="111">
        <v>0</v>
      </c>
      <c r="R917" s="111">
        <v>0</v>
      </c>
      <c r="S917" s="111">
        <v>1.87</v>
      </c>
      <c r="T917" s="112" t="s">
        <v>48</v>
      </c>
      <c r="U917" s="137" t="s">
        <v>2392</v>
      </c>
      <c r="V917" s="137" t="s">
        <v>2393</v>
      </c>
      <c r="W917" s="69">
        <v>42</v>
      </c>
      <c r="X917" s="69">
        <v>2</v>
      </c>
      <c r="Y917" s="69">
        <v>5</v>
      </c>
      <c r="AA917" t="s">
        <v>4512</v>
      </c>
      <c r="AB917" t="s">
        <v>4597</v>
      </c>
      <c r="AC917" t="s">
        <v>4515</v>
      </c>
      <c r="AD917" t="s">
        <v>4577</v>
      </c>
      <c r="AE917" t="s">
        <v>223</v>
      </c>
      <c r="AF917" t="s">
        <v>4554</v>
      </c>
      <c r="AG917" t="s">
        <v>4515</v>
      </c>
      <c r="AH917" t="s">
        <v>4577</v>
      </c>
      <c r="AI917" t="s">
        <v>4353</v>
      </c>
      <c r="AJ917" t="s">
        <v>4506</v>
      </c>
      <c r="AK917" t="s">
        <v>4519</v>
      </c>
      <c r="AL917" t="s">
        <v>4519</v>
      </c>
      <c r="AM917" t="s">
        <v>4510</v>
      </c>
      <c r="AN917" t="s">
        <v>4550</v>
      </c>
      <c r="AO917" s="134">
        <v>109.031358885017</v>
      </c>
      <c r="AP917" s="135">
        <v>118.47826086956501</v>
      </c>
      <c r="AQ917">
        <v>0.35507246376811602</v>
      </c>
      <c r="AR917" s="136">
        <v>1.3369565217391299</v>
      </c>
      <c r="AS917">
        <v>9.2137681159420293</v>
      </c>
      <c r="AU917"/>
      <c r="AV917"/>
      <c r="AW917"/>
      <c r="AX917"/>
    </row>
    <row r="918" spans="1:50" s="69" customFormat="1" ht="106">
      <c r="A918" s="65">
        <v>785</v>
      </c>
      <c r="B918" s="69" t="s">
        <v>2098</v>
      </c>
      <c r="C918" s="69" t="s">
        <v>45</v>
      </c>
      <c r="D918" s="31">
        <f t="shared" si="70"/>
        <v>4</v>
      </c>
      <c r="E918" s="69" t="s">
        <v>46</v>
      </c>
      <c r="F918" s="31">
        <f t="shared" si="71"/>
        <v>6</v>
      </c>
      <c r="G918" s="137" t="s">
        <v>2141</v>
      </c>
      <c r="H918" s="138">
        <v>188</v>
      </c>
      <c r="I918" s="92">
        <f t="shared" si="73"/>
        <v>0.3409147276768093</v>
      </c>
      <c r="J918" s="95">
        <v>1.12735354366178E-5</v>
      </c>
      <c r="K918" s="137">
        <v>0.59528191556096999</v>
      </c>
      <c r="L918" s="137">
        <v>0.68181818181818199</v>
      </c>
      <c r="M918" s="137">
        <v>0.46547751617515098</v>
      </c>
      <c r="N918" s="136">
        <v>0</v>
      </c>
      <c r="O918" s="154">
        <v>42993</v>
      </c>
      <c r="P918" s="98">
        <f t="shared" si="72"/>
        <v>2</v>
      </c>
      <c r="Q918" s="111">
        <v>2.5499999999999998</v>
      </c>
      <c r="R918" s="111">
        <v>3.3</v>
      </c>
      <c r="S918" s="111">
        <v>0</v>
      </c>
      <c r="T918" s="112" t="s">
        <v>64</v>
      </c>
      <c r="U918" s="137" t="s">
        <v>2142</v>
      </c>
      <c r="V918" s="136" t="s">
        <v>2143</v>
      </c>
      <c r="W918" s="69">
        <v>79</v>
      </c>
      <c r="X918" s="69">
        <v>4</v>
      </c>
      <c r="Y918" s="69">
        <v>14</v>
      </c>
      <c r="AA918" t="s">
        <v>4697</v>
      </c>
      <c r="AB918" t="s">
        <v>4594</v>
      </c>
      <c r="AC918" t="s">
        <v>4515</v>
      </c>
      <c r="AD918" t="s">
        <v>4813</v>
      </c>
      <c r="AE918" t="s">
        <v>4515</v>
      </c>
      <c r="AF918" t="s">
        <v>4813</v>
      </c>
      <c r="AG918" t="s">
        <v>223</v>
      </c>
      <c r="AH918" t="s">
        <v>4635</v>
      </c>
      <c r="AI918" t="s">
        <v>4353</v>
      </c>
      <c r="AJ918" t="s">
        <v>4506</v>
      </c>
      <c r="AK918" t="s">
        <v>4519</v>
      </c>
      <c r="AL918" t="s">
        <v>4552</v>
      </c>
      <c r="AM918" t="s">
        <v>4519</v>
      </c>
      <c r="AN918" t="s">
        <v>4659</v>
      </c>
      <c r="AO918" s="134">
        <v>109.223776223776</v>
      </c>
      <c r="AP918" s="135">
        <v>118.47826086956501</v>
      </c>
      <c r="AQ918">
        <v>0.35507246376811602</v>
      </c>
      <c r="AR918" s="136">
        <v>1.3369565217391299</v>
      </c>
      <c r="AS918">
        <v>9.2137681159420293</v>
      </c>
      <c r="AU918"/>
      <c r="AV918"/>
      <c r="AW918"/>
      <c r="AX918"/>
    </row>
    <row r="919" spans="1:50" s="69" customFormat="1" ht="106">
      <c r="A919">
        <v>786</v>
      </c>
      <c r="B919" s="69" t="s">
        <v>2098</v>
      </c>
      <c r="C919" s="69" t="s">
        <v>52</v>
      </c>
      <c r="D919" s="31">
        <f t="shared" si="70"/>
        <v>3</v>
      </c>
      <c r="E919" s="69" t="s">
        <v>46</v>
      </c>
      <c r="F919" s="31">
        <f t="shared" si="71"/>
        <v>6</v>
      </c>
      <c r="G919" s="153" t="s">
        <v>2144</v>
      </c>
      <c r="H919" s="138">
        <v>141</v>
      </c>
      <c r="I919" s="92">
        <f t="shared" si="73"/>
        <v>0.87496872259246949</v>
      </c>
      <c r="J919" s="95">
        <v>0.99993744518493899</v>
      </c>
      <c r="K919" s="137">
        <v>0.72222468700001197</v>
      </c>
      <c r="L919" s="137">
        <v>0.75</v>
      </c>
      <c r="M919" s="137">
        <v>0.68056171750003003</v>
      </c>
      <c r="N919" s="136">
        <v>1</v>
      </c>
      <c r="O919" s="154">
        <v>42991</v>
      </c>
      <c r="P919" s="98">
        <f t="shared" si="72"/>
        <v>1</v>
      </c>
      <c r="Q919" s="113">
        <v>7.65</v>
      </c>
      <c r="R919" s="113">
        <v>0</v>
      </c>
      <c r="S919" s="113">
        <v>0</v>
      </c>
      <c r="T919" s="114" t="s">
        <v>73</v>
      </c>
      <c r="U919" s="137" t="s">
        <v>2145</v>
      </c>
      <c r="V919" s="137" t="s">
        <v>2146</v>
      </c>
      <c r="W919" s="69">
        <v>148</v>
      </c>
      <c r="X919" s="69">
        <v>2</v>
      </c>
      <c r="Y919" s="69">
        <v>5</v>
      </c>
      <c r="AA919" t="s">
        <v>4512</v>
      </c>
      <c r="AB919" t="s">
        <v>4732</v>
      </c>
      <c r="AC919" t="s">
        <v>223</v>
      </c>
      <c r="AD919" t="s">
        <v>4665</v>
      </c>
      <c r="AE919" t="s">
        <v>223</v>
      </c>
      <c r="AF919" t="s">
        <v>4665</v>
      </c>
      <c r="AG919" t="s">
        <v>223</v>
      </c>
      <c r="AH919" t="s">
        <v>4665</v>
      </c>
      <c r="AI919" t="s">
        <v>4353</v>
      </c>
      <c r="AJ919" t="s">
        <v>4506</v>
      </c>
      <c r="AK919" t="s">
        <v>4519</v>
      </c>
      <c r="AL919" t="s">
        <v>4552</v>
      </c>
      <c r="AM919" t="s">
        <v>4510</v>
      </c>
      <c r="AN919" t="s">
        <v>4634</v>
      </c>
      <c r="AO919" s="134">
        <v>109.378947368421</v>
      </c>
      <c r="AP919" s="135">
        <v>118.65313653136501</v>
      </c>
      <c r="AQ919">
        <v>0.36162361623616202</v>
      </c>
      <c r="AR919" s="136">
        <v>1.33948339483395</v>
      </c>
      <c r="AS919">
        <v>9.2988929889298895</v>
      </c>
      <c r="AU919"/>
      <c r="AV919"/>
      <c r="AW919"/>
      <c r="AX919"/>
    </row>
    <row r="920" spans="1:50" s="69" customFormat="1" ht="46">
      <c r="A920">
        <v>134</v>
      </c>
      <c r="B920" s="69" t="s">
        <v>217</v>
      </c>
      <c r="C920" s="69" t="s">
        <v>45</v>
      </c>
      <c r="D920" s="31">
        <f t="shared" si="70"/>
        <v>4</v>
      </c>
      <c r="E920" s="69" t="s">
        <v>80</v>
      </c>
      <c r="F920" s="31">
        <f t="shared" si="71"/>
        <v>4</v>
      </c>
      <c r="G920" s="136" t="s">
        <v>180</v>
      </c>
      <c r="H920" s="138">
        <v>65</v>
      </c>
      <c r="I920" s="92">
        <f t="shared" si="73"/>
        <v>0.48710634122084751</v>
      </c>
      <c r="J920" s="95">
        <v>0.149212682441695</v>
      </c>
      <c r="K920" s="137">
        <v>0.83785714285714297</v>
      </c>
      <c r="L920" s="137">
        <v>0.82499999999999996</v>
      </c>
      <c r="M920" s="137">
        <v>0.85714285714285698</v>
      </c>
      <c r="N920" s="136">
        <v>1</v>
      </c>
      <c r="O920" s="154">
        <v>42991</v>
      </c>
      <c r="P920" s="98">
        <f t="shared" si="72"/>
        <v>0</v>
      </c>
      <c r="Q920" s="111">
        <v>0</v>
      </c>
      <c r="R920" s="111">
        <v>1.65</v>
      </c>
      <c r="S920" s="111">
        <v>0</v>
      </c>
      <c r="T920" s="112" t="s">
        <v>48</v>
      </c>
      <c r="U920" s="137" t="s">
        <v>428</v>
      </c>
      <c r="V920" s="137" t="s">
        <v>429</v>
      </c>
      <c r="W920" s="69">
        <v>43</v>
      </c>
      <c r="X920" s="69">
        <v>1</v>
      </c>
      <c r="Y920" s="69">
        <v>1</v>
      </c>
      <c r="Z920"/>
      <c r="AA920" t="s">
        <v>4556</v>
      </c>
      <c r="AB920" t="s">
        <v>4594</v>
      </c>
      <c r="AC920" t="s">
        <v>223</v>
      </c>
      <c r="AD920" t="s">
        <v>4737</v>
      </c>
      <c r="AE920" t="s">
        <v>223</v>
      </c>
      <c r="AF920" t="s">
        <v>4737</v>
      </c>
      <c r="AG920" t="s">
        <v>4353</v>
      </c>
      <c r="AH920" t="s">
        <v>4506</v>
      </c>
      <c r="AI920" t="s">
        <v>4353</v>
      </c>
      <c r="AJ920" t="s">
        <v>4506</v>
      </c>
      <c r="AK920" t="s">
        <v>4518</v>
      </c>
      <c r="AL920" t="s">
        <v>4552</v>
      </c>
      <c r="AM920" t="s">
        <v>4528</v>
      </c>
      <c r="AN920" t="s">
        <v>4557</v>
      </c>
      <c r="AO920" s="134">
        <v>109.267605633803</v>
      </c>
      <c r="AP920" s="135">
        <v>118.65313653136501</v>
      </c>
      <c r="AQ920">
        <v>0.36162361623616202</v>
      </c>
      <c r="AR920" s="136">
        <v>1.33948339483395</v>
      </c>
      <c r="AS920">
        <v>9.2988929889298895</v>
      </c>
      <c r="AU920"/>
      <c r="AV920"/>
      <c r="AW920"/>
      <c r="AX920"/>
    </row>
    <row r="921" spans="1:50" s="69" customFormat="1" ht="241">
      <c r="A921" s="65">
        <v>1157</v>
      </c>
      <c r="B921" s="69" t="s">
        <v>3117</v>
      </c>
      <c r="C921" s="69" t="s">
        <v>45</v>
      </c>
      <c r="D921" s="31">
        <f t="shared" si="70"/>
        <v>4</v>
      </c>
      <c r="E921" s="69" t="s">
        <v>46</v>
      </c>
      <c r="F921" s="31">
        <f t="shared" si="71"/>
        <v>6</v>
      </c>
      <c r="G921" s="139" t="s">
        <v>3130</v>
      </c>
      <c r="H921" s="138">
        <v>136</v>
      </c>
      <c r="I921" s="92">
        <f t="shared" si="73"/>
        <v>0.37544212449018288</v>
      </c>
      <c r="J921" s="95">
        <v>8.8424898036576504E-4</v>
      </c>
      <c r="K921" s="137">
        <v>0.643968498544915</v>
      </c>
      <c r="L921" s="137">
        <v>0.75</v>
      </c>
      <c r="M921" s="137">
        <v>0.48492124636228701</v>
      </c>
      <c r="N921" s="136">
        <v>1</v>
      </c>
      <c r="O921" s="157">
        <v>42991</v>
      </c>
      <c r="P921" s="98">
        <f t="shared" si="72"/>
        <v>1</v>
      </c>
      <c r="Q921" s="113">
        <v>5.0999999999999996</v>
      </c>
      <c r="R921" s="113">
        <v>1.65</v>
      </c>
      <c r="S921" s="113">
        <v>0</v>
      </c>
      <c r="T921" s="119" t="s">
        <v>73</v>
      </c>
      <c r="U921" s="89" t="s">
        <v>3140</v>
      </c>
      <c r="V921" s="136" t="s">
        <v>4468</v>
      </c>
      <c r="W921" s="69">
        <v>304</v>
      </c>
      <c r="X921" s="69">
        <v>2</v>
      </c>
      <c r="Y921" s="69">
        <v>13</v>
      </c>
      <c r="AA921" t="s">
        <v>4556</v>
      </c>
      <c r="AB921" t="s">
        <v>4594</v>
      </c>
      <c r="AC921" t="s">
        <v>4513</v>
      </c>
      <c r="AD921" t="s">
        <v>4772</v>
      </c>
      <c r="AE921" t="s">
        <v>4513</v>
      </c>
      <c r="AF921" t="s">
        <v>4772</v>
      </c>
      <c r="AG921" t="s">
        <v>223</v>
      </c>
      <c r="AH921" t="s">
        <v>4943</v>
      </c>
      <c r="AI921" t="s">
        <v>223</v>
      </c>
      <c r="AJ921" t="s">
        <v>4943</v>
      </c>
      <c r="AK921" t="s">
        <v>4740</v>
      </c>
      <c r="AL921" t="s">
        <v>4519</v>
      </c>
      <c r="AM921" t="s">
        <v>4520</v>
      </c>
      <c r="AN921" t="s">
        <v>4873</v>
      </c>
      <c r="AO921" s="134">
        <v>109.173144876325</v>
      </c>
      <c r="AP921" s="135">
        <v>118.65313653136501</v>
      </c>
      <c r="AQ921">
        <v>0.36162361623616202</v>
      </c>
      <c r="AR921" s="136">
        <v>1.33948339483395</v>
      </c>
      <c r="AS921">
        <v>9.2988929889298895</v>
      </c>
      <c r="AU921"/>
      <c r="AV921"/>
      <c r="AW921"/>
      <c r="AX921"/>
    </row>
    <row r="922" spans="1:50" s="69" customFormat="1" ht="106">
      <c r="A922" s="65">
        <v>880</v>
      </c>
      <c r="B922" s="69" t="s">
        <v>2355</v>
      </c>
      <c r="C922" s="69" t="s">
        <v>45</v>
      </c>
      <c r="D922" s="31">
        <f t="shared" si="70"/>
        <v>4</v>
      </c>
      <c r="E922" s="69" t="s">
        <v>46</v>
      </c>
      <c r="F922" s="31">
        <f t="shared" si="71"/>
        <v>6</v>
      </c>
      <c r="G922" s="137" t="s">
        <v>2394</v>
      </c>
      <c r="H922" s="138">
        <v>160</v>
      </c>
      <c r="I922" s="92">
        <f t="shared" si="73"/>
        <v>0.75605775873622949</v>
      </c>
      <c r="J922" s="95">
        <v>0.99985542594865595</v>
      </c>
      <c r="K922" s="137">
        <v>0.50132455345919702</v>
      </c>
      <c r="L922" s="137">
        <v>0.51226009152380303</v>
      </c>
      <c r="M922" s="137">
        <v>0.48492124636228701</v>
      </c>
      <c r="N922" s="136">
        <v>1</v>
      </c>
      <c r="O922" s="154">
        <v>42990</v>
      </c>
      <c r="P922" s="98">
        <f t="shared" si="72"/>
        <v>2</v>
      </c>
      <c r="Q922" s="111">
        <v>0</v>
      </c>
      <c r="R922" s="111">
        <v>1.65</v>
      </c>
      <c r="S922" s="111">
        <v>0</v>
      </c>
      <c r="T922" s="112" t="s">
        <v>64</v>
      </c>
      <c r="U922" s="137" t="s">
        <v>2395</v>
      </c>
      <c r="V922" s="137" t="s">
        <v>2396</v>
      </c>
      <c r="W922" s="69">
        <v>146</v>
      </c>
      <c r="X922" s="69">
        <v>3</v>
      </c>
      <c r="Y922" s="69">
        <v>13</v>
      </c>
      <c r="AA922" t="s">
        <v>4663</v>
      </c>
      <c r="AB922" t="s">
        <v>51</v>
      </c>
      <c r="AC922" t="s">
        <v>4513</v>
      </c>
      <c r="AD922" t="s">
        <v>4614</v>
      </c>
      <c r="AE922" t="s">
        <v>4530</v>
      </c>
      <c r="AF922" t="s">
        <v>5013</v>
      </c>
      <c r="AG922" t="s">
        <v>4353</v>
      </c>
      <c r="AH922" t="s">
        <v>4506</v>
      </c>
      <c r="AI922" t="s">
        <v>4353</v>
      </c>
      <c r="AJ922" t="s">
        <v>4506</v>
      </c>
      <c r="AK922" t="s">
        <v>4519</v>
      </c>
      <c r="AL922" t="s">
        <v>4519</v>
      </c>
      <c r="AM922" t="s">
        <v>4519</v>
      </c>
      <c r="AN922" t="s">
        <v>4564</v>
      </c>
      <c r="AO922" s="134">
        <v>108.992907801418</v>
      </c>
      <c r="AP922" s="135">
        <v>119.093632958801</v>
      </c>
      <c r="AQ922">
        <v>0.37262357414448699</v>
      </c>
      <c r="AR922" s="136">
        <v>1.34456928838951</v>
      </c>
      <c r="AS922">
        <v>9.3370786516853901</v>
      </c>
      <c r="AU922"/>
      <c r="AV922"/>
      <c r="AW922"/>
      <c r="AX922"/>
    </row>
    <row r="923" spans="1:50" s="69" customFormat="1" ht="46">
      <c r="A923" s="65">
        <v>957</v>
      </c>
      <c r="B923" s="69" t="s">
        <v>2510</v>
      </c>
      <c r="C923" s="69" t="s">
        <v>45</v>
      </c>
      <c r="D923" s="31">
        <f t="shared" si="70"/>
        <v>4</v>
      </c>
      <c r="E923" s="69" t="s">
        <v>46</v>
      </c>
      <c r="F923" s="31">
        <f t="shared" si="71"/>
        <v>6</v>
      </c>
      <c r="G923" s="152" t="s">
        <v>2596</v>
      </c>
      <c r="H923" s="138">
        <v>80</v>
      </c>
      <c r="I923" s="92">
        <f t="shared" si="73"/>
        <v>0.60259814359046304</v>
      </c>
      <c r="J923" s="95">
        <v>0.58536157643712405</v>
      </c>
      <c r="K923" s="137">
        <v>0.67292649458520204</v>
      </c>
      <c r="L923" s="137">
        <v>0.61983471074380203</v>
      </c>
      <c r="M923" s="137">
        <v>0.75256417034730305</v>
      </c>
      <c r="N923" s="136">
        <v>1</v>
      </c>
      <c r="O923" s="154">
        <v>42990</v>
      </c>
      <c r="P923" s="98">
        <f t="shared" si="72"/>
        <v>0</v>
      </c>
      <c r="Q923" s="111">
        <v>2.5499999999999998</v>
      </c>
      <c r="R923" s="111">
        <v>0</v>
      </c>
      <c r="S923" s="111">
        <v>0</v>
      </c>
      <c r="T923" s="112" t="s">
        <v>48</v>
      </c>
      <c r="U923" s="137" t="s">
        <v>2597</v>
      </c>
      <c r="V923" s="137" t="s">
        <v>2598</v>
      </c>
      <c r="W923" s="69">
        <v>26</v>
      </c>
      <c r="X923" s="171">
        <v>1</v>
      </c>
      <c r="Y923" s="171">
        <v>3</v>
      </c>
      <c r="AA923" t="s">
        <v>4564</v>
      </c>
      <c r="AB923" t="s">
        <v>4594</v>
      </c>
      <c r="AC923" t="s">
        <v>223</v>
      </c>
      <c r="AD923" t="s">
        <v>4609</v>
      </c>
      <c r="AE923" t="s">
        <v>223</v>
      </c>
      <c r="AF923" t="s">
        <v>4609</v>
      </c>
      <c r="AG923" t="s">
        <v>4353</v>
      </c>
      <c r="AH923" t="s">
        <v>4506</v>
      </c>
      <c r="AI923" t="s">
        <v>4353</v>
      </c>
      <c r="AJ923" t="s">
        <v>4506</v>
      </c>
      <c r="AK923" t="s">
        <v>4519</v>
      </c>
      <c r="AL923" t="s">
        <v>4519</v>
      </c>
      <c r="AM923" t="s">
        <v>4528</v>
      </c>
      <c r="AN923" t="s">
        <v>4529</v>
      </c>
      <c r="AO923" s="134">
        <v>109.09608540925301</v>
      </c>
      <c r="AP923" s="135">
        <v>119.093632958801</v>
      </c>
      <c r="AQ923">
        <v>0.367041198501873</v>
      </c>
      <c r="AR923" s="136">
        <v>1.34456928838951</v>
      </c>
      <c r="AS923">
        <v>9.3370786516853901</v>
      </c>
      <c r="AU923"/>
      <c r="AV923"/>
      <c r="AW923"/>
      <c r="AX923"/>
    </row>
    <row r="924" spans="1:50" s="69" customFormat="1" ht="329">
      <c r="A924">
        <v>135</v>
      </c>
      <c r="B924" s="69" t="s">
        <v>217</v>
      </c>
      <c r="C924" s="69" t="s">
        <v>59</v>
      </c>
      <c r="D924" s="31">
        <f t="shared" si="70"/>
        <v>5</v>
      </c>
      <c r="E924" s="69" t="s">
        <v>46</v>
      </c>
      <c r="F924" s="31">
        <f t="shared" si="71"/>
        <v>6</v>
      </c>
      <c r="G924" s="137" t="s">
        <v>430</v>
      </c>
      <c r="H924" s="138">
        <v>218</v>
      </c>
      <c r="I924" s="92">
        <f t="shared" si="73"/>
        <v>0.78171425238330849</v>
      </c>
      <c r="J924" s="95">
        <v>0.999942404090434</v>
      </c>
      <c r="K924" s="137">
        <v>0.58690587120201898</v>
      </c>
      <c r="L924" s="137">
        <v>0.56348610067618299</v>
      </c>
      <c r="M924" s="137">
        <v>0.62203552699077302</v>
      </c>
      <c r="N924" s="136">
        <v>1</v>
      </c>
      <c r="O924" s="154">
        <v>42989</v>
      </c>
      <c r="P924" s="98">
        <f t="shared" si="72"/>
        <v>0</v>
      </c>
      <c r="Q924" s="111">
        <v>5.0999999999999996</v>
      </c>
      <c r="R924" s="111">
        <v>0</v>
      </c>
      <c r="S924" s="111">
        <v>0</v>
      </c>
      <c r="T924" s="112" t="s">
        <v>48</v>
      </c>
      <c r="U924" s="137" t="s">
        <v>431</v>
      </c>
      <c r="V924" s="137" t="s">
        <v>4357</v>
      </c>
      <c r="W924" s="69">
        <v>490</v>
      </c>
      <c r="X924" s="69">
        <v>3</v>
      </c>
      <c r="Y924" s="69">
        <v>7</v>
      </c>
      <c r="Z924"/>
      <c r="AA924" t="s">
        <v>4505</v>
      </c>
      <c r="AB924" t="s">
        <v>51</v>
      </c>
      <c r="AC924" t="s">
        <v>4513</v>
      </c>
      <c r="AD924" t="s">
        <v>5041</v>
      </c>
      <c r="AE924" t="s">
        <v>4538</v>
      </c>
      <c r="AF924" t="s">
        <v>5042</v>
      </c>
      <c r="AG924" t="s">
        <v>4530</v>
      </c>
      <c r="AH924" t="s">
        <v>4574</v>
      </c>
      <c r="AI924" t="s">
        <v>4530</v>
      </c>
      <c r="AJ924" t="s">
        <v>4574</v>
      </c>
      <c r="AK924" t="s">
        <v>4519</v>
      </c>
      <c r="AL924" t="s">
        <v>4552</v>
      </c>
      <c r="AM924" t="s">
        <v>4562</v>
      </c>
      <c r="AN924" t="s">
        <v>4742</v>
      </c>
      <c r="AO924" s="134">
        <v>108.707142857143</v>
      </c>
      <c r="AP924" s="135">
        <v>119.463878326996</v>
      </c>
      <c r="AQ924">
        <v>0.37262357414448699</v>
      </c>
      <c r="AR924" s="136">
        <v>1.3498098859315599</v>
      </c>
      <c r="AS924">
        <v>9.3688212927756709</v>
      </c>
      <c r="AU924"/>
      <c r="AV924"/>
      <c r="AW924"/>
      <c r="AX924"/>
    </row>
    <row r="925" spans="1:50" s="69" customFormat="1" ht="91">
      <c r="A925">
        <v>914</v>
      </c>
      <c r="B925" s="69" t="s">
        <v>2418</v>
      </c>
      <c r="C925" s="69" t="s">
        <v>59</v>
      </c>
      <c r="D925" s="31">
        <f t="shared" si="70"/>
        <v>5</v>
      </c>
      <c r="E925" s="69" t="s">
        <v>46</v>
      </c>
      <c r="F925" s="31">
        <f t="shared" si="71"/>
        <v>6</v>
      </c>
      <c r="G925" s="137" t="s">
        <v>2495</v>
      </c>
      <c r="H925" s="138">
        <v>142</v>
      </c>
      <c r="I925" s="92">
        <f t="shared" si="73"/>
        <v>0.87373984492249446</v>
      </c>
      <c r="J925" s="95">
        <v>0.99747968984498903</v>
      </c>
      <c r="K925" s="137">
        <v>0.76918779643582302</v>
      </c>
      <c r="L925" s="137">
        <v>0.75</v>
      </c>
      <c r="M925" s="137">
        <v>0.79796949108955795</v>
      </c>
      <c r="N925" s="136">
        <v>1</v>
      </c>
      <c r="O925" s="154">
        <v>42989</v>
      </c>
      <c r="P925" s="98">
        <f t="shared" si="72"/>
        <v>1</v>
      </c>
      <c r="Q925" s="111">
        <v>5.0999999999999996</v>
      </c>
      <c r="R925" s="111">
        <v>4.95</v>
      </c>
      <c r="S925" s="111">
        <v>5.61</v>
      </c>
      <c r="T925" s="112" t="s">
        <v>73</v>
      </c>
      <c r="U925" s="147" t="s">
        <v>2496</v>
      </c>
      <c r="V925" s="137" t="s">
        <v>2497</v>
      </c>
      <c r="W925" s="69">
        <v>122</v>
      </c>
      <c r="X925" s="171">
        <v>1</v>
      </c>
      <c r="Y925" s="171">
        <v>2</v>
      </c>
      <c r="AA925" t="s">
        <v>4564</v>
      </c>
      <c r="AB925" t="s">
        <v>4597</v>
      </c>
      <c r="AC925" t="s">
        <v>4515</v>
      </c>
      <c r="AD925" t="s">
        <v>4750</v>
      </c>
      <c r="AE925" t="s">
        <v>223</v>
      </c>
      <c r="AF925" t="s">
        <v>4681</v>
      </c>
      <c r="AG925" t="s">
        <v>4515</v>
      </c>
      <c r="AH925" t="s">
        <v>4750</v>
      </c>
      <c r="AI925" t="s">
        <v>4353</v>
      </c>
      <c r="AJ925" t="s">
        <v>4506</v>
      </c>
      <c r="AK925" t="s">
        <v>4519</v>
      </c>
      <c r="AL925" t="s">
        <v>4519</v>
      </c>
      <c r="AM925" t="s">
        <v>4510</v>
      </c>
      <c r="AN925" t="s">
        <v>4550</v>
      </c>
      <c r="AO925" s="134">
        <v>108.587813620072</v>
      </c>
      <c r="AP925" s="135">
        <v>119.463878326996</v>
      </c>
      <c r="AQ925">
        <v>0.37262357414448699</v>
      </c>
      <c r="AR925" s="136">
        <v>1.3498098859315599</v>
      </c>
      <c r="AS925">
        <v>9.3688212927756709</v>
      </c>
      <c r="AU925"/>
      <c r="AV925"/>
      <c r="AW925"/>
      <c r="AX925"/>
    </row>
    <row r="926" spans="1:50" s="69" customFormat="1" ht="76">
      <c r="A926">
        <v>958</v>
      </c>
      <c r="B926" s="69" t="s">
        <v>2510</v>
      </c>
      <c r="C926" s="69" t="s">
        <v>45</v>
      </c>
      <c r="D926" s="31">
        <f t="shared" si="70"/>
        <v>4</v>
      </c>
      <c r="E926" s="69" t="s">
        <v>46</v>
      </c>
      <c r="F926" s="31">
        <f t="shared" si="71"/>
        <v>6</v>
      </c>
      <c r="G926" s="136" t="s">
        <v>2599</v>
      </c>
      <c r="H926" s="138">
        <v>86</v>
      </c>
      <c r="I926" s="92">
        <f t="shared" si="73"/>
        <v>0.41250541880981856</v>
      </c>
      <c r="J926" s="95">
        <v>1.08376196371607E-5</v>
      </c>
      <c r="K926" s="137">
        <v>0.81418779643582295</v>
      </c>
      <c r="L926" s="137">
        <v>0.82499999999999996</v>
      </c>
      <c r="M926" s="137">
        <v>0.79796949108955795</v>
      </c>
      <c r="N926" s="136">
        <v>1</v>
      </c>
      <c r="O926" s="154">
        <v>42989</v>
      </c>
      <c r="P926" s="98">
        <f t="shared" si="72"/>
        <v>0</v>
      </c>
      <c r="Q926" s="111">
        <v>0</v>
      </c>
      <c r="R926" s="111">
        <v>0</v>
      </c>
      <c r="S926" s="111">
        <v>0</v>
      </c>
      <c r="T926" s="112" t="s">
        <v>48</v>
      </c>
      <c r="U926" s="137" t="s">
        <v>2600</v>
      </c>
      <c r="V926" s="137" t="s">
        <v>2601</v>
      </c>
      <c r="W926" s="69">
        <v>91</v>
      </c>
      <c r="X926" s="69">
        <v>1</v>
      </c>
      <c r="Y926" s="69">
        <v>2</v>
      </c>
      <c r="AA926" t="s">
        <v>4556</v>
      </c>
      <c r="AB926" t="s">
        <v>51</v>
      </c>
      <c r="AC926" t="s">
        <v>4513</v>
      </c>
      <c r="AD926" t="s">
        <v>4751</v>
      </c>
      <c r="AE926" t="s">
        <v>4530</v>
      </c>
      <c r="AF926" t="s">
        <v>4838</v>
      </c>
      <c r="AG926" t="s">
        <v>223</v>
      </c>
      <c r="AH926" t="s">
        <v>4689</v>
      </c>
      <c r="AI926" t="s">
        <v>223</v>
      </c>
      <c r="AJ926" t="s">
        <v>4689</v>
      </c>
      <c r="AK926" t="s">
        <v>4519</v>
      </c>
      <c r="AL926" t="s">
        <v>4519</v>
      </c>
      <c r="AM926" t="s">
        <v>4528</v>
      </c>
      <c r="AN926" t="s">
        <v>4529</v>
      </c>
      <c r="AO926" s="134">
        <v>108.669064748201</v>
      </c>
      <c r="AP926" s="135">
        <v>119.463878326996</v>
      </c>
      <c r="AQ926">
        <v>0.37262357414448699</v>
      </c>
      <c r="AR926" s="136">
        <v>1.3498098859315599</v>
      </c>
      <c r="AS926">
        <v>9.3688212927756709</v>
      </c>
      <c r="AU926"/>
      <c r="AV926"/>
      <c r="AW926"/>
      <c r="AX926"/>
    </row>
    <row r="927" spans="1:50" s="69" customFormat="1" ht="46">
      <c r="A927">
        <v>959</v>
      </c>
      <c r="B927" s="69" t="s">
        <v>2510</v>
      </c>
      <c r="C927" s="69" t="s">
        <v>45</v>
      </c>
      <c r="D927" s="31">
        <f t="shared" si="70"/>
        <v>4</v>
      </c>
      <c r="E927" s="69" t="s">
        <v>80</v>
      </c>
      <c r="F927" s="31">
        <f t="shared" si="71"/>
        <v>4</v>
      </c>
      <c r="G927" s="136" t="s">
        <v>2602</v>
      </c>
      <c r="H927" s="138">
        <v>25</v>
      </c>
      <c r="I927" s="92">
        <f t="shared" si="73"/>
        <v>0.41526837753376361</v>
      </c>
      <c r="J927" s="95">
        <v>8.0536755067527194E-2</v>
      </c>
      <c r="K927" s="137">
        <v>0.63619100647005999</v>
      </c>
      <c r="L927" s="137">
        <v>0.75</v>
      </c>
      <c r="M927" s="137">
        <v>0.46547751617515098</v>
      </c>
      <c r="N927" s="136">
        <v>1</v>
      </c>
      <c r="O927" s="154">
        <v>42988</v>
      </c>
      <c r="P927" s="98">
        <f t="shared" si="72"/>
        <v>0</v>
      </c>
      <c r="Q927" s="111">
        <v>0</v>
      </c>
      <c r="R927" s="111">
        <v>0</v>
      </c>
      <c r="S927" s="111">
        <v>0</v>
      </c>
      <c r="T927" s="112" t="s">
        <v>48</v>
      </c>
      <c r="U927" s="169" t="s">
        <v>2603</v>
      </c>
      <c r="V927" s="137" t="s">
        <v>2604</v>
      </c>
      <c r="W927" s="69">
        <v>63</v>
      </c>
      <c r="X927" s="69">
        <v>2</v>
      </c>
      <c r="Y927" s="69">
        <v>14</v>
      </c>
      <c r="AA927" t="s">
        <v>4564</v>
      </c>
      <c r="AB927" t="s">
        <v>4827</v>
      </c>
      <c r="AC927" t="s">
        <v>4515</v>
      </c>
      <c r="AD927" t="s">
        <v>4724</v>
      </c>
      <c r="AE927" t="s">
        <v>4515</v>
      </c>
      <c r="AF927" t="s">
        <v>4724</v>
      </c>
      <c r="AG927" t="s">
        <v>223</v>
      </c>
      <c r="AH927" t="s">
        <v>4684</v>
      </c>
      <c r="AI927" t="s">
        <v>4515</v>
      </c>
      <c r="AJ927" t="s">
        <v>4724</v>
      </c>
      <c r="AK927" t="s">
        <v>4519</v>
      </c>
      <c r="AL927" t="s">
        <v>4519</v>
      </c>
      <c r="AM927" t="s">
        <v>4510</v>
      </c>
      <c r="AN927" t="s">
        <v>4550</v>
      </c>
      <c r="AO927" s="134">
        <v>108.94584837545101</v>
      </c>
      <c r="AP927" s="135">
        <v>119.463878326996</v>
      </c>
      <c r="AQ927">
        <v>0.37262357414448699</v>
      </c>
      <c r="AR927" s="136">
        <v>1.3498098859315599</v>
      </c>
      <c r="AS927">
        <v>9.3688212927756709</v>
      </c>
      <c r="AU927"/>
      <c r="AV927"/>
      <c r="AW927"/>
      <c r="AX927"/>
    </row>
    <row r="928" spans="1:50" s="69" customFormat="1" ht="46">
      <c r="A928" s="65">
        <v>544</v>
      </c>
      <c r="B928" s="69" t="s">
        <v>1222</v>
      </c>
      <c r="C928" s="69" t="s">
        <v>45</v>
      </c>
      <c r="D928" s="31">
        <f t="shared" si="70"/>
        <v>4</v>
      </c>
      <c r="E928" s="69" t="s">
        <v>80</v>
      </c>
      <c r="F928" s="31">
        <f t="shared" si="71"/>
        <v>4</v>
      </c>
      <c r="G928" s="147" t="s">
        <v>1524</v>
      </c>
      <c r="H928" s="138">
        <v>32</v>
      </c>
      <c r="I928" s="92">
        <f t="shared" si="73"/>
        <v>0.37870659558142689</v>
      </c>
      <c r="J928" s="95">
        <v>7.4131911628537699E-3</v>
      </c>
      <c r="K928" s="137">
        <v>0.79285714285714304</v>
      </c>
      <c r="L928" s="137">
        <v>0.75</v>
      </c>
      <c r="M928" s="137">
        <v>0.85714285714285698</v>
      </c>
      <c r="N928" s="136">
        <v>1</v>
      </c>
      <c r="O928" s="194">
        <v>42988</v>
      </c>
      <c r="P928" s="98">
        <f t="shared" si="72"/>
        <v>1</v>
      </c>
      <c r="Q928" s="111">
        <v>5.0999999999999996</v>
      </c>
      <c r="R928" s="111">
        <v>0</v>
      </c>
      <c r="S928" s="111">
        <v>0</v>
      </c>
      <c r="T928" s="112" t="s">
        <v>73</v>
      </c>
      <c r="U928" s="169" t="s">
        <v>1525</v>
      </c>
      <c r="V928" s="137" t="s">
        <v>1526</v>
      </c>
      <c r="W928" s="69">
        <v>60</v>
      </c>
      <c r="X928" s="147">
        <v>1</v>
      </c>
      <c r="Y928" s="147">
        <v>1</v>
      </c>
      <c r="Z928"/>
      <c r="AA928" t="s">
        <v>4564</v>
      </c>
      <c r="AB928" t="s">
        <v>51</v>
      </c>
      <c r="AC928" t="s">
        <v>223</v>
      </c>
      <c r="AD928" t="s">
        <v>4643</v>
      </c>
      <c r="AE928" t="s">
        <v>4513</v>
      </c>
      <c r="AF928" t="s">
        <v>4784</v>
      </c>
      <c r="AG928" t="s">
        <v>223</v>
      </c>
      <c r="AH928" t="s">
        <v>4643</v>
      </c>
      <c r="AI928" t="s">
        <v>4353</v>
      </c>
      <c r="AJ928" t="s">
        <v>4506</v>
      </c>
      <c r="AK928" t="s">
        <v>4519</v>
      </c>
      <c r="AL928" t="s">
        <v>4519</v>
      </c>
      <c r="AM928" t="s">
        <v>4562</v>
      </c>
      <c r="AN928" t="s">
        <v>4563</v>
      </c>
      <c r="AO928" s="134">
        <v>109.25</v>
      </c>
      <c r="AP928" s="135">
        <v>119.463878326996</v>
      </c>
      <c r="AQ928">
        <v>0.37262357414448699</v>
      </c>
      <c r="AR928" s="136">
        <v>1.3498098859315599</v>
      </c>
      <c r="AS928">
        <v>9.3688212927756709</v>
      </c>
      <c r="AU928"/>
      <c r="AV928"/>
      <c r="AW928"/>
      <c r="AX928"/>
    </row>
    <row r="929" spans="1:50" s="69" customFormat="1" ht="76">
      <c r="A929" s="65">
        <v>960</v>
      </c>
      <c r="B929" s="69" t="s">
        <v>2510</v>
      </c>
      <c r="C929" s="69" t="s">
        <v>45</v>
      </c>
      <c r="D929" s="31">
        <f t="shared" ref="D929:D992" si="74">IF(C929="投诉",4,IF(C929="建议",1,IF(C929="举报",2,IF(C929="求助",3,5))))</f>
        <v>4</v>
      </c>
      <c r="E929" s="69" t="s">
        <v>46</v>
      </c>
      <c r="F929" s="31">
        <f t="shared" ref="F929:F992" si="75">IF(E929="12345app",1,IF(E929="e福州app",2,IF(E929="qq",3,IF(E929="电话",4,IF(E929="短信",5,IF(E929="网站",6,IF(E929="微博",7,IF(E929="微信",8,9))))))))</f>
        <v>6</v>
      </c>
      <c r="G929" s="147" t="s">
        <v>2605</v>
      </c>
      <c r="H929" s="138">
        <v>136</v>
      </c>
      <c r="I929" s="92">
        <f t="shared" si="73"/>
        <v>0.5085652743476955</v>
      </c>
      <c r="J929" s="95">
        <v>0.19213054869539101</v>
      </c>
      <c r="K929" s="137">
        <v>0.78071428571428603</v>
      </c>
      <c r="L929" s="137">
        <v>0.82499999999999996</v>
      </c>
      <c r="M929" s="137">
        <v>0.71428571428571397</v>
      </c>
      <c r="N929" s="136">
        <v>1</v>
      </c>
      <c r="O929" s="154">
        <v>42987</v>
      </c>
      <c r="P929" s="98">
        <f t="shared" ref="P929:P992" si="76">IF(T929="利己",0,IF(T929="生态",2,1))</f>
        <v>0</v>
      </c>
      <c r="Q929" s="111">
        <v>0</v>
      </c>
      <c r="R929" s="111">
        <v>0</v>
      </c>
      <c r="S929" s="111">
        <v>0</v>
      </c>
      <c r="T929" s="112" t="s">
        <v>48</v>
      </c>
      <c r="U929" s="137" t="s">
        <v>2606</v>
      </c>
      <c r="V929" s="137" t="s">
        <v>2601</v>
      </c>
      <c r="W929" s="69">
        <v>91</v>
      </c>
      <c r="X929" s="171">
        <v>1</v>
      </c>
      <c r="Y929" s="171">
        <v>4</v>
      </c>
      <c r="AA929" t="s">
        <v>4556</v>
      </c>
      <c r="AB929" t="s">
        <v>51</v>
      </c>
      <c r="AC929" t="s">
        <v>4513</v>
      </c>
      <c r="AD929" t="s">
        <v>4751</v>
      </c>
      <c r="AE929" t="s">
        <v>4530</v>
      </c>
      <c r="AF929" t="s">
        <v>4838</v>
      </c>
      <c r="AG929" t="s">
        <v>223</v>
      </c>
      <c r="AH929" t="s">
        <v>4689</v>
      </c>
      <c r="AI929" t="s">
        <v>223</v>
      </c>
      <c r="AJ929" t="s">
        <v>4689</v>
      </c>
      <c r="AK929" t="s">
        <v>4518</v>
      </c>
      <c r="AL929" t="s">
        <v>4519</v>
      </c>
      <c r="AM929" t="s">
        <v>4510</v>
      </c>
      <c r="AN929" t="s">
        <v>4523</v>
      </c>
      <c r="AO929" s="134">
        <v>108.967272727273</v>
      </c>
      <c r="AP929" s="135">
        <v>119.463878326996</v>
      </c>
      <c r="AQ929">
        <v>0.37262357414448699</v>
      </c>
      <c r="AR929" s="136">
        <v>1.3498098859315599</v>
      </c>
      <c r="AS929">
        <v>9.3688212927756709</v>
      </c>
      <c r="AU929"/>
      <c r="AV929"/>
      <c r="AW929"/>
      <c r="AX929"/>
    </row>
    <row r="930" spans="1:50" s="69" customFormat="1" ht="76">
      <c r="A930" s="65">
        <v>961</v>
      </c>
      <c r="B930" s="69" t="s">
        <v>2510</v>
      </c>
      <c r="C930" s="69" t="s">
        <v>45</v>
      </c>
      <c r="D930" s="31">
        <f t="shared" si="74"/>
        <v>4</v>
      </c>
      <c r="E930" s="69" t="s">
        <v>80</v>
      </c>
      <c r="F930" s="31">
        <f t="shared" si="75"/>
        <v>4</v>
      </c>
      <c r="G930" s="169" t="s">
        <v>159</v>
      </c>
      <c r="H930" s="138">
        <v>35</v>
      </c>
      <c r="I930" s="92">
        <f t="shared" si="73"/>
        <v>0.41979857756675742</v>
      </c>
      <c r="J930" s="95">
        <v>1.4597155133514899E-2</v>
      </c>
      <c r="K930" s="137">
        <v>0.733375592871646</v>
      </c>
      <c r="L930" s="137">
        <v>0.82499999999999996</v>
      </c>
      <c r="M930" s="137">
        <v>0.59593898217911601</v>
      </c>
      <c r="N930" s="136">
        <v>1</v>
      </c>
      <c r="O930" s="194">
        <v>42987</v>
      </c>
      <c r="P930" s="98">
        <f t="shared" si="76"/>
        <v>0</v>
      </c>
      <c r="Q930" s="107">
        <v>0</v>
      </c>
      <c r="R930" s="107">
        <v>0</v>
      </c>
      <c r="S930" s="107">
        <v>0</v>
      </c>
      <c r="T930" s="108" t="s">
        <v>48</v>
      </c>
      <c r="U930" s="169" t="s">
        <v>2607</v>
      </c>
      <c r="V930" s="137" t="s">
        <v>2601</v>
      </c>
      <c r="W930" s="69">
        <v>91</v>
      </c>
      <c r="X930" s="69">
        <v>1</v>
      </c>
      <c r="Y930" s="69">
        <v>8</v>
      </c>
      <c r="AA930" t="s">
        <v>4556</v>
      </c>
      <c r="AB930" t="s">
        <v>51</v>
      </c>
      <c r="AC930" t="s">
        <v>4513</v>
      </c>
      <c r="AD930" t="s">
        <v>4751</v>
      </c>
      <c r="AE930" t="s">
        <v>4530</v>
      </c>
      <c r="AF930" t="s">
        <v>4838</v>
      </c>
      <c r="AG930" t="s">
        <v>223</v>
      </c>
      <c r="AH930" t="s">
        <v>4689</v>
      </c>
      <c r="AI930" t="s">
        <v>223</v>
      </c>
      <c r="AJ930" t="s">
        <v>4689</v>
      </c>
      <c r="AK930" t="s">
        <v>4518</v>
      </c>
      <c r="AL930" t="s">
        <v>4552</v>
      </c>
      <c r="AM930" t="s">
        <v>4528</v>
      </c>
      <c r="AN930" t="s">
        <v>4557</v>
      </c>
      <c r="AO930" s="134">
        <v>108.868613138686</v>
      </c>
      <c r="AP930" s="135">
        <v>119.463878326996</v>
      </c>
      <c r="AQ930">
        <v>0.37262357414448699</v>
      </c>
      <c r="AR930" s="136">
        <v>1.3498098859315599</v>
      </c>
      <c r="AS930">
        <v>9.3688212927756709</v>
      </c>
      <c r="AU930"/>
      <c r="AV930"/>
      <c r="AW930"/>
      <c r="AX930"/>
    </row>
    <row r="931" spans="1:50" s="69" customFormat="1" ht="151">
      <c r="A931" s="65">
        <v>136</v>
      </c>
      <c r="B931" s="69" t="s">
        <v>217</v>
      </c>
      <c r="C931" s="69" t="s">
        <v>59</v>
      </c>
      <c r="D931" s="31">
        <f t="shared" si="74"/>
        <v>5</v>
      </c>
      <c r="E931" s="69" t="s">
        <v>46</v>
      </c>
      <c r="F931" s="31">
        <f t="shared" si="75"/>
        <v>6</v>
      </c>
      <c r="G931" s="209" t="s">
        <v>433</v>
      </c>
      <c r="H931" s="138">
        <v>187</v>
      </c>
      <c r="I931" s="92">
        <f t="shared" si="73"/>
        <v>0.28373086713326617</v>
      </c>
      <c r="J931" s="95">
        <v>3.9756335903493598E-3</v>
      </c>
      <c r="K931" s="137">
        <v>0.65727945684153299</v>
      </c>
      <c r="L931" s="137">
        <v>0.56348610067618299</v>
      </c>
      <c r="M931" s="137">
        <v>0.79796949108955795</v>
      </c>
      <c r="N931" s="136">
        <v>1</v>
      </c>
      <c r="O931" s="154">
        <v>42987</v>
      </c>
      <c r="P931" s="98">
        <f t="shared" si="76"/>
        <v>0</v>
      </c>
      <c r="Q931" s="111">
        <v>2.5499999999999998</v>
      </c>
      <c r="R931" s="111">
        <v>3.3</v>
      </c>
      <c r="S931" s="111">
        <v>0</v>
      </c>
      <c r="T931" s="112" t="s">
        <v>48</v>
      </c>
      <c r="U931" s="137" t="s">
        <v>434</v>
      </c>
      <c r="V931" s="137" t="s">
        <v>435</v>
      </c>
      <c r="W931" s="69">
        <v>153</v>
      </c>
      <c r="X931" s="171">
        <v>1</v>
      </c>
      <c r="Y931" s="171">
        <v>2</v>
      </c>
      <c r="Z931"/>
      <c r="AA931" t="s">
        <v>4678</v>
      </c>
      <c r="AB931" t="s">
        <v>4732</v>
      </c>
      <c r="AC931" t="s">
        <v>4515</v>
      </c>
      <c r="AD931" t="s">
        <v>4635</v>
      </c>
      <c r="AE931" t="s">
        <v>4515</v>
      </c>
      <c r="AF931" t="s">
        <v>4635</v>
      </c>
      <c r="AG931" t="s">
        <v>4515</v>
      </c>
      <c r="AH931" t="s">
        <v>4635</v>
      </c>
      <c r="AI931" t="s">
        <v>4353</v>
      </c>
      <c r="AJ931" t="s">
        <v>4506</v>
      </c>
      <c r="AK931" t="s">
        <v>4519</v>
      </c>
      <c r="AL931" t="s">
        <v>4519</v>
      </c>
      <c r="AM931" t="s">
        <v>4592</v>
      </c>
      <c r="AN931" t="s">
        <v>4626</v>
      </c>
      <c r="AO931" s="134">
        <v>109.139194139194</v>
      </c>
      <c r="AP931" s="135">
        <v>119.463878326996</v>
      </c>
      <c r="AQ931">
        <v>0.37262357414448699</v>
      </c>
      <c r="AR931" s="136">
        <v>1.3498098859315599</v>
      </c>
      <c r="AS931">
        <v>9.3688212927756709</v>
      </c>
      <c r="AU931"/>
      <c r="AV931"/>
      <c r="AW931"/>
      <c r="AX931"/>
    </row>
    <row r="932" spans="1:50" s="69" customFormat="1" ht="76">
      <c r="A932">
        <v>962</v>
      </c>
      <c r="B932" s="69" t="s">
        <v>2510</v>
      </c>
      <c r="C932" s="69" t="s">
        <v>45</v>
      </c>
      <c r="D932" s="31">
        <f t="shared" si="74"/>
        <v>4</v>
      </c>
      <c r="E932" s="69" t="s">
        <v>46</v>
      </c>
      <c r="F932" s="31">
        <f t="shared" si="75"/>
        <v>6</v>
      </c>
      <c r="G932" s="136" t="s">
        <v>2608</v>
      </c>
      <c r="H932" s="138">
        <v>98</v>
      </c>
      <c r="I932" s="92">
        <f t="shared" si="73"/>
        <v>0.23363363190029221</v>
      </c>
      <c r="J932" s="95">
        <v>1.57627150621842E-3</v>
      </c>
      <c r="K932" s="137">
        <v>0.50798602394804804</v>
      </c>
      <c r="L932" s="137">
        <v>0.465690992294366</v>
      </c>
      <c r="M932" s="137">
        <v>0.57142857142857095</v>
      </c>
      <c r="N932" s="136">
        <v>1</v>
      </c>
      <c r="O932" s="154">
        <v>42986</v>
      </c>
      <c r="P932" s="98">
        <f t="shared" si="76"/>
        <v>0</v>
      </c>
      <c r="Q932" s="111">
        <v>0</v>
      </c>
      <c r="R932" s="111">
        <v>0</v>
      </c>
      <c r="S932" s="111">
        <v>1.87</v>
      </c>
      <c r="T932" s="112" t="s">
        <v>48</v>
      </c>
      <c r="U932" s="137" t="s">
        <v>2609</v>
      </c>
      <c r="V932" s="137" t="s">
        <v>2601</v>
      </c>
      <c r="W932" s="69">
        <v>91</v>
      </c>
      <c r="X932" s="69">
        <v>1</v>
      </c>
      <c r="Y932" s="69">
        <v>9</v>
      </c>
      <c r="AA932" t="s">
        <v>5043</v>
      </c>
      <c r="AB932" t="s">
        <v>51</v>
      </c>
      <c r="AC932" t="s">
        <v>4513</v>
      </c>
      <c r="AD932" t="s">
        <v>4751</v>
      </c>
      <c r="AE932" t="s">
        <v>4530</v>
      </c>
      <c r="AF932" t="s">
        <v>4838</v>
      </c>
      <c r="AG932" t="s">
        <v>223</v>
      </c>
      <c r="AH932" t="s">
        <v>4689</v>
      </c>
      <c r="AI932" t="s">
        <v>223</v>
      </c>
      <c r="AJ932" t="s">
        <v>4689</v>
      </c>
      <c r="AK932" t="s">
        <v>4519</v>
      </c>
      <c r="AL932" t="s">
        <v>4519</v>
      </c>
      <c r="AM932" t="s">
        <v>4528</v>
      </c>
      <c r="AN932" t="s">
        <v>4529</v>
      </c>
      <c r="AO932" s="134">
        <v>109.18014705882401</v>
      </c>
      <c r="AP932" s="135">
        <v>119.38167938931301</v>
      </c>
      <c r="AQ932">
        <v>0.37404580152671801</v>
      </c>
      <c r="AR932" s="136">
        <v>1.35114503816794</v>
      </c>
      <c r="AS932">
        <v>9.3969465648855</v>
      </c>
      <c r="AU932"/>
      <c r="AV932"/>
      <c r="AW932"/>
      <c r="AX932"/>
    </row>
    <row r="933" spans="1:50" s="69" customFormat="1" ht="121">
      <c r="A933">
        <v>963</v>
      </c>
      <c r="B933" s="69" t="s">
        <v>2510</v>
      </c>
      <c r="C933" s="69" t="s">
        <v>45</v>
      </c>
      <c r="D933" s="31">
        <f t="shared" si="74"/>
        <v>4</v>
      </c>
      <c r="E933" s="69" t="s">
        <v>46</v>
      </c>
      <c r="F933" s="31">
        <f t="shared" si="75"/>
        <v>6</v>
      </c>
      <c r="G933" s="137" t="s">
        <v>2610</v>
      </c>
      <c r="H933" s="138">
        <v>119</v>
      </c>
      <c r="I933" s="92">
        <f t="shared" si="73"/>
        <v>0.25613005567027086</v>
      </c>
      <c r="J933" s="95">
        <v>1.98167386944448E-8</v>
      </c>
      <c r="K933" s="137">
        <v>0.59307034062856701</v>
      </c>
      <c r="L933" s="137">
        <v>0.51226009152380303</v>
      </c>
      <c r="M933" s="137">
        <v>0.71428571428571397</v>
      </c>
      <c r="N933" s="136">
        <v>1</v>
      </c>
      <c r="O933" s="154">
        <v>42986</v>
      </c>
      <c r="P933" s="98">
        <f t="shared" si="76"/>
        <v>0</v>
      </c>
      <c r="Q933" s="107">
        <v>0</v>
      </c>
      <c r="R933" s="107">
        <v>0</v>
      </c>
      <c r="S933" s="107">
        <v>0</v>
      </c>
      <c r="T933" s="108" t="s">
        <v>48</v>
      </c>
      <c r="U933" s="147" t="s">
        <v>2611</v>
      </c>
      <c r="V933" s="137" t="s">
        <v>2612</v>
      </c>
      <c r="W933" s="69">
        <v>166</v>
      </c>
      <c r="X933" s="171">
        <v>1</v>
      </c>
      <c r="Y933" s="171">
        <v>4</v>
      </c>
      <c r="AA933" t="s">
        <v>4543</v>
      </c>
      <c r="AB933" t="s">
        <v>4566</v>
      </c>
      <c r="AC933" t="s">
        <v>223</v>
      </c>
      <c r="AD933" t="s">
        <v>4787</v>
      </c>
      <c r="AE933" t="s">
        <v>4513</v>
      </c>
      <c r="AF933" t="s">
        <v>4983</v>
      </c>
      <c r="AG933" t="s">
        <v>4515</v>
      </c>
      <c r="AH933" t="s">
        <v>4631</v>
      </c>
      <c r="AI933" t="s">
        <v>4513</v>
      </c>
      <c r="AJ933" t="s">
        <v>4983</v>
      </c>
      <c r="AK933" t="s">
        <v>4519</v>
      </c>
      <c r="AL933" t="s">
        <v>4519</v>
      </c>
      <c r="AM933" t="s">
        <v>4528</v>
      </c>
      <c r="AN933" t="s">
        <v>4529</v>
      </c>
      <c r="AO933" s="134">
        <v>109.14391143911401</v>
      </c>
      <c r="AP933" s="135">
        <v>119.38167938931301</v>
      </c>
      <c r="AQ933">
        <v>0.37404580152671801</v>
      </c>
      <c r="AR933" s="136">
        <v>1.35114503816794</v>
      </c>
      <c r="AS933">
        <v>9.3969465648855</v>
      </c>
      <c r="AU933"/>
      <c r="AV933"/>
      <c r="AW933"/>
      <c r="AX933"/>
    </row>
    <row r="934" spans="1:50" s="69" customFormat="1" ht="226">
      <c r="A934">
        <v>1158</v>
      </c>
      <c r="B934" s="69" t="s">
        <v>3117</v>
      </c>
      <c r="C934" s="69" t="s">
        <v>45</v>
      </c>
      <c r="D934" s="31">
        <f t="shared" si="74"/>
        <v>4</v>
      </c>
      <c r="E934" s="69" t="s">
        <v>46</v>
      </c>
      <c r="F934" s="31">
        <f t="shared" si="75"/>
        <v>6</v>
      </c>
      <c r="G934" s="139" t="s">
        <v>3127</v>
      </c>
      <c r="H934" s="138">
        <v>140</v>
      </c>
      <c r="I934" s="92">
        <f t="shared" si="73"/>
        <v>0.60166120100697096</v>
      </c>
      <c r="J934" s="95">
        <v>0.37832240201394202</v>
      </c>
      <c r="K934" s="137">
        <v>0.68119100647006003</v>
      </c>
      <c r="L934" s="137">
        <v>0.82499999999999996</v>
      </c>
      <c r="M934" s="137">
        <v>0.46547751617515098</v>
      </c>
      <c r="N934" s="136">
        <v>1</v>
      </c>
      <c r="O934" s="204">
        <v>42985</v>
      </c>
      <c r="P934" s="98">
        <f t="shared" si="76"/>
        <v>1</v>
      </c>
      <c r="Q934" s="113">
        <v>2.5499999999999998</v>
      </c>
      <c r="R934" s="113">
        <v>0</v>
      </c>
      <c r="S934" s="113">
        <v>0</v>
      </c>
      <c r="T934" s="119" t="s">
        <v>73</v>
      </c>
      <c r="U934" s="89" t="s">
        <v>3142</v>
      </c>
      <c r="V934" s="136" t="s">
        <v>4469</v>
      </c>
      <c r="W934" s="69">
        <v>303</v>
      </c>
      <c r="X934" s="69">
        <v>2</v>
      </c>
      <c r="Y934" s="69">
        <v>14</v>
      </c>
      <c r="AA934" t="s">
        <v>4556</v>
      </c>
      <c r="AB934" t="s">
        <v>4594</v>
      </c>
      <c r="AC934" t="s">
        <v>4513</v>
      </c>
      <c r="AD934" t="s">
        <v>4615</v>
      </c>
      <c r="AE934" t="s">
        <v>4513</v>
      </c>
      <c r="AF934" t="s">
        <v>4615</v>
      </c>
      <c r="AG934" t="s">
        <v>223</v>
      </c>
      <c r="AH934" t="s">
        <v>5044</v>
      </c>
      <c r="AI934" t="s">
        <v>223</v>
      </c>
      <c r="AJ934" t="s">
        <v>5044</v>
      </c>
      <c r="AK934" t="s">
        <v>5045</v>
      </c>
      <c r="AL934" t="s">
        <v>4519</v>
      </c>
      <c r="AM934" t="s">
        <v>4520</v>
      </c>
      <c r="AN934" t="s">
        <v>5046</v>
      </c>
      <c r="AO934" s="134">
        <v>109.4</v>
      </c>
      <c r="AP934" s="135">
        <v>118.747126436782</v>
      </c>
      <c r="AQ934">
        <v>0.37547892720306503</v>
      </c>
      <c r="AR934" s="136">
        <v>1.3486590038314199</v>
      </c>
      <c r="AS934">
        <v>9.3831417624521105</v>
      </c>
      <c r="AU934"/>
      <c r="AV934"/>
      <c r="AW934"/>
      <c r="AX934"/>
    </row>
    <row r="935" spans="1:50" s="69" customFormat="1" ht="61">
      <c r="A935" s="65">
        <v>964</v>
      </c>
      <c r="B935" s="69" t="s">
        <v>2510</v>
      </c>
      <c r="C935" s="69" t="s">
        <v>45</v>
      </c>
      <c r="D935" s="31">
        <f t="shared" si="74"/>
        <v>4</v>
      </c>
      <c r="E935" s="69" t="s">
        <v>80</v>
      </c>
      <c r="F935" s="31">
        <f t="shared" si="75"/>
        <v>4</v>
      </c>
      <c r="G935" s="169" t="s">
        <v>200</v>
      </c>
      <c r="H935" s="138">
        <v>40</v>
      </c>
      <c r="I935" s="92">
        <f t="shared" si="73"/>
        <v>0.4666687205055865</v>
      </c>
      <c r="J935" s="95">
        <v>0.108337441011173</v>
      </c>
      <c r="K935" s="137">
        <v>0.76722468700001201</v>
      </c>
      <c r="L935" s="137">
        <v>0.82499999999999996</v>
      </c>
      <c r="M935" s="137">
        <v>0.68056171750003003</v>
      </c>
      <c r="N935" s="136">
        <v>1</v>
      </c>
      <c r="O935" s="154">
        <v>42985</v>
      </c>
      <c r="P935" s="98">
        <f t="shared" si="76"/>
        <v>0</v>
      </c>
      <c r="Q935" s="111">
        <v>5.0999999999999996</v>
      </c>
      <c r="R935" s="111">
        <v>0</v>
      </c>
      <c r="S935" s="111">
        <v>5.61</v>
      </c>
      <c r="T935" s="112" t="s">
        <v>48</v>
      </c>
      <c r="U935" s="137" t="s">
        <v>2613</v>
      </c>
      <c r="V935" s="137" t="s">
        <v>2614</v>
      </c>
      <c r="W935" s="69">
        <v>77</v>
      </c>
      <c r="X935" s="69">
        <v>1</v>
      </c>
      <c r="Y935" s="69">
        <v>5</v>
      </c>
      <c r="AA935" t="s">
        <v>4543</v>
      </c>
      <c r="AB935" t="s">
        <v>51</v>
      </c>
      <c r="AC935" t="s">
        <v>4515</v>
      </c>
      <c r="AD935" t="s">
        <v>4769</v>
      </c>
      <c r="AE935" t="s">
        <v>4530</v>
      </c>
      <c r="AF935" t="s">
        <v>4886</v>
      </c>
      <c r="AG935" t="s">
        <v>223</v>
      </c>
      <c r="AH935" t="s">
        <v>4685</v>
      </c>
      <c r="AI935" t="s">
        <v>223</v>
      </c>
      <c r="AJ935" t="s">
        <v>4685</v>
      </c>
      <c r="AK935" t="s">
        <v>4519</v>
      </c>
      <c r="AL935" t="s">
        <v>4519</v>
      </c>
      <c r="AM935" t="s">
        <v>4528</v>
      </c>
      <c r="AN935" t="s">
        <v>4529</v>
      </c>
      <c r="AO935" s="134">
        <v>109.28624535316</v>
      </c>
      <c r="AP935" s="135">
        <v>118.747126436782</v>
      </c>
      <c r="AQ935">
        <v>0.37547892720306503</v>
      </c>
      <c r="AR935" s="136">
        <v>1.3486590038314199</v>
      </c>
      <c r="AS935">
        <v>9.3831417624521105</v>
      </c>
      <c r="AU935"/>
      <c r="AV935"/>
      <c r="AW935"/>
      <c r="AX935"/>
    </row>
    <row r="936" spans="1:50" s="69" customFormat="1" ht="76">
      <c r="A936" s="65">
        <v>916</v>
      </c>
      <c r="B936" s="69" t="s">
        <v>2418</v>
      </c>
      <c r="C936" s="69" t="s">
        <v>45</v>
      </c>
      <c r="D936" s="31">
        <f t="shared" si="74"/>
        <v>4</v>
      </c>
      <c r="E936" s="69" t="s">
        <v>46</v>
      </c>
      <c r="F936" s="31">
        <f t="shared" si="75"/>
        <v>6</v>
      </c>
      <c r="G936" s="137" t="s">
        <v>2501</v>
      </c>
      <c r="H936" s="138">
        <v>126</v>
      </c>
      <c r="I936" s="92">
        <f t="shared" si="73"/>
        <v>0.79892759824008452</v>
      </c>
      <c r="J936" s="95">
        <v>0.91603701466198695</v>
      </c>
      <c r="K936" s="137">
        <v>0.66912006664615598</v>
      </c>
      <c r="L936" s="137">
        <v>0.68181818181818199</v>
      </c>
      <c r="M936" s="137">
        <v>0.65007289388811795</v>
      </c>
      <c r="N936" s="136">
        <v>1</v>
      </c>
      <c r="O936" s="154">
        <v>42984</v>
      </c>
      <c r="P936" s="98">
        <f t="shared" si="76"/>
        <v>1</v>
      </c>
      <c r="Q936" s="111">
        <v>2.5499999999999998</v>
      </c>
      <c r="R936" s="111">
        <v>1.65</v>
      </c>
      <c r="S936" s="111">
        <v>0</v>
      </c>
      <c r="T936" s="112" t="s">
        <v>73</v>
      </c>
      <c r="U936" s="137" t="s">
        <v>2502</v>
      </c>
      <c r="V936" s="137" t="s">
        <v>2503</v>
      </c>
      <c r="W936" s="69">
        <v>61</v>
      </c>
      <c r="X936" s="69">
        <v>1</v>
      </c>
      <c r="Y936" s="69">
        <v>6</v>
      </c>
      <c r="AA936" t="s">
        <v>4564</v>
      </c>
      <c r="AB936" t="s">
        <v>87</v>
      </c>
      <c r="AC936" t="s">
        <v>4538</v>
      </c>
      <c r="AD936" t="s">
        <v>5047</v>
      </c>
      <c r="AE936" t="s">
        <v>223</v>
      </c>
      <c r="AF936" t="s">
        <v>4507</v>
      </c>
      <c r="AG936" t="s">
        <v>4353</v>
      </c>
      <c r="AH936" t="s">
        <v>4506</v>
      </c>
      <c r="AI936" t="s">
        <v>4353</v>
      </c>
      <c r="AJ936" t="s">
        <v>4506</v>
      </c>
      <c r="AK936" t="s">
        <v>4519</v>
      </c>
      <c r="AL936" t="s">
        <v>4519</v>
      </c>
      <c r="AM936" t="s">
        <v>4562</v>
      </c>
      <c r="AN936" t="s">
        <v>4563</v>
      </c>
      <c r="AO936" s="134">
        <v>109.261194029851</v>
      </c>
      <c r="AP936" s="135">
        <v>118.984615384615</v>
      </c>
      <c r="AQ936">
        <v>0.37692307692307703</v>
      </c>
      <c r="AR936" s="136">
        <v>1.35</v>
      </c>
      <c r="AS936">
        <v>9.4115384615384592</v>
      </c>
      <c r="AU936"/>
      <c r="AV936"/>
      <c r="AW936"/>
      <c r="AX936"/>
    </row>
    <row r="937" spans="1:50" s="69" customFormat="1" ht="106">
      <c r="A937">
        <v>915</v>
      </c>
      <c r="B937" s="69" t="s">
        <v>2418</v>
      </c>
      <c r="C937" s="69" t="s">
        <v>59</v>
      </c>
      <c r="D937" s="31">
        <f t="shared" si="74"/>
        <v>5</v>
      </c>
      <c r="E937" s="69" t="s">
        <v>46</v>
      </c>
      <c r="F937" s="31">
        <f t="shared" si="75"/>
        <v>6</v>
      </c>
      <c r="G937" s="147" t="s">
        <v>2498</v>
      </c>
      <c r="H937" s="138">
        <v>38</v>
      </c>
      <c r="I937" s="92">
        <f t="shared" si="73"/>
        <v>0.41277671001499472</v>
      </c>
      <c r="J937" s="95">
        <v>7.5553420029989396E-2</v>
      </c>
      <c r="K937" s="137">
        <v>0.76918779643582302</v>
      </c>
      <c r="L937" s="137">
        <v>0.75</v>
      </c>
      <c r="M937" s="137">
        <v>0.79796949108955795</v>
      </c>
      <c r="N937" s="136">
        <v>1</v>
      </c>
      <c r="O937" s="154">
        <v>42984</v>
      </c>
      <c r="P937" s="98">
        <f t="shared" si="76"/>
        <v>1</v>
      </c>
      <c r="Q937" s="111">
        <v>0</v>
      </c>
      <c r="R937" s="111">
        <v>0</v>
      </c>
      <c r="S937" s="111">
        <v>1.87</v>
      </c>
      <c r="T937" s="112" t="s">
        <v>73</v>
      </c>
      <c r="U937" s="147" t="s">
        <v>4440</v>
      </c>
      <c r="V937" s="137" t="s">
        <v>2500</v>
      </c>
      <c r="W937" s="69">
        <v>141</v>
      </c>
      <c r="X937" s="171">
        <v>1</v>
      </c>
      <c r="Y937" s="171">
        <v>2</v>
      </c>
      <c r="AA937" t="s">
        <v>4522</v>
      </c>
      <c r="AB937" t="s">
        <v>87</v>
      </c>
      <c r="AC937" t="s">
        <v>4515</v>
      </c>
      <c r="AD937" t="s">
        <v>4568</v>
      </c>
      <c r="AE937" t="s">
        <v>4353</v>
      </c>
      <c r="AF937" t="s">
        <v>4506</v>
      </c>
      <c r="AG937" t="s">
        <v>223</v>
      </c>
      <c r="AH937" t="s">
        <v>4710</v>
      </c>
      <c r="AI937" t="s">
        <v>4353</v>
      </c>
      <c r="AJ937" t="s">
        <v>4506</v>
      </c>
      <c r="AK937" t="s">
        <v>4519</v>
      </c>
      <c r="AL937" t="s">
        <v>4519</v>
      </c>
      <c r="AM937" t="s">
        <v>4562</v>
      </c>
      <c r="AN937" t="s">
        <v>4563</v>
      </c>
      <c r="AO937" s="134">
        <v>109.52808988763999</v>
      </c>
      <c r="AP937" s="135">
        <v>118.984615384615</v>
      </c>
      <c r="AQ937">
        <v>0.37692307692307703</v>
      </c>
      <c r="AR937" s="136">
        <v>1.35</v>
      </c>
      <c r="AS937">
        <v>9.4115384615384592</v>
      </c>
      <c r="AU937"/>
      <c r="AV937"/>
      <c r="AW937"/>
      <c r="AX937"/>
    </row>
    <row r="938" spans="1:50" s="69" customFormat="1" ht="61">
      <c r="A938" s="65">
        <v>376</v>
      </c>
      <c r="B938" s="69" t="s">
        <v>589</v>
      </c>
      <c r="C938" s="69" t="s">
        <v>45</v>
      </c>
      <c r="D938" s="31">
        <f t="shared" si="74"/>
        <v>4</v>
      </c>
      <c r="E938" s="69" t="s">
        <v>80</v>
      </c>
      <c r="F938" s="31">
        <f t="shared" si="75"/>
        <v>4</v>
      </c>
      <c r="G938" s="137" t="s">
        <v>1087</v>
      </c>
      <c r="H938" s="138">
        <v>116</v>
      </c>
      <c r="I938" s="92">
        <f t="shared" si="73"/>
        <v>0.3750113771248948</v>
      </c>
      <c r="J938" s="95">
        <v>2.2754249789591602E-5</v>
      </c>
      <c r="K938" s="137">
        <v>0.65205133627784295</v>
      </c>
      <c r="L938" s="137">
        <v>0.75</v>
      </c>
      <c r="M938" s="137">
        <v>0.50512834069460699</v>
      </c>
      <c r="N938" s="136">
        <v>1</v>
      </c>
      <c r="O938" s="154">
        <v>42984</v>
      </c>
      <c r="P938" s="98">
        <f t="shared" si="76"/>
        <v>0</v>
      </c>
      <c r="Q938" s="111">
        <v>5.0999999999999996</v>
      </c>
      <c r="R938" s="111">
        <v>0</v>
      </c>
      <c r="S938" s="111">
        <v>0</v>
      </c>
      <c r="T938" s="112" t="s">
        <v>48</v>
      </c>
      <c r="U938" s="137" t="s">
        <v>1088</v>
      </c>
      <c r="V938" s="137" t="s">
        <v>1089</v>
      </c>
      <c r="W938" s="69">
        <v>39</v>
      </c>
      <c r="X938" s="69">
        <v>1</v>
      </c>
      <c r="Y938" s="69">
        <v>12</v>
      </c>
      <c r="Z938"/>
      <c r="AA938" t="s">
        <v>4619</v>
      </c>
      <c r="AB938" t="s">
        <v>51</v>
      </c>
      <c r="AC938" t="s">
        <v>4353</v>
      </c>
      <c r="AD938" t="s">
        <v>4506</v>
      </c>
      <c r="AE938" t="s">
        <v>4515</v>
      </c>
      <c r="AF938" t="s">
        <v>4623</v>
      </c>
      <c r="AG938" t="s">
        <v>4353</v>
      </c>
      <c r="AH938" t="s">
        <v>4506</v>
      </c>
      <c r="AI938" t="s">
        <v>4353</v>
      </c>
      <c r="AJ938" t="s">
        <v>4506</v>
      </c>
      <c r="AK938" t="s">
        <v>4519</v>
      </c>
      <c r="AL938" t="s">
        <v>4552</v>
      </c>
      <c r="AM938" t="s">
        <v>4520</v>
      </c>
      <c r="AN938" t="s">
        <v>4652</v>
      </c>
      <c r="AO938" s="134">
        <v>109.466165413534</v>
      </c>
      <c r="AP938" s="135">
        <v>118.984615384615</v>
      </c>
      <c r="AQ938">
        <v>0.37692307692307703</v>
      </c>
      <c r="AR938" s="136">
        <v>1.35</v>
      </c>
      <c r="AS938">
        <v>9.4115384615384592</v>
      </c>
      <c r="AU938"/>
      <c r="AV938"/>
      <c r="AW938"/>
      <c r="AX938"/>
    </row>
    <row r="939" spans="1:50" s="69" customFormat="1" ht="60">
      <c r="A939">
        <v>1114</v>
      </c>
      <c r="B939" s="69" t="s">
        <v>3001</v>
      </c>
      <c r="C939" s="69" t="s">
        <v>45</v>
      </c>
      <c r="D939" s="31">
        <f t="shared" si="74"/>
        <v>4</v>
      </c>
      <c r="E939" s="69" t="s">
        <v>46</v>
      </c>
      <c r="F939" s="31">
        <f t="shared" si="75"/>
        <v>6</v>
      </c>
      <c r="G939" s="91" t="s">
        <v>3027</v>
      </c>
      <c r="H939" s="138">
        <v>59</v>
      </c>
      <c r="I939" s="92">
        <f t="shared" si="73"/>
        <v>0.35143904038350443</v>
      </c>
      <c r="J939" s="95">
        <v>2.10598989488269E-2</v>
      </c>
      <c r="K939" s="137">
        <v>0.72827870552673202</v>
      </c>
      <c r="L939" s="137">
        <v>0.68181818181818199</v>
      </c>
      <c r="M939" s="137">
        <v>0.79796949108955795</v>
      </c>
      <c r="N939" s="136">
        <v>1</v>
      </c>
      <c r="O939" s="157">
        <v>42982</v>
      </c>
      <c r="P939" s="98">
        <f t="shared" si="76"/>
        <v>1</v>
      </c>
      <c r="Q939" s="113">
        <v>2.5499999999999998</v>
      </c>
      <c r="R939" s="113">
        <v>0</v>
      </c>
      <c r="S939" s="113">
        <v>0</v>
      </c>
      <c r="T939" s="119" t="s">
        <v>73</v>
      </c>
      <c r="U939" s="89" t="s">
        <v>3028</v>
      </c>
      <c r="V939" s="172" t="s">
        <v>3029</v>
      </c>
      <c r="W939" s="69">
        <v>57</v>
      </c>
      <c r="X939" s="171">
        <v>1</v>
      </c>
      <c r="Y939" s="171">
        <v>2</v>
      </c>
      <c r="AA939" t="s">
        <v>4564</v>
      </c>
      <c r="AB939" t="s">
        <v>51</v>
      </c>
      <c r="AC939" t="s">
        <v>4353</v>
      </c>
      <c r="AD939" t="s">
        <v>4506</v>
      </c>
      <c r="AE939" t="s">
        <v>4515</v>
      </c>
      <c r="AF939" t="s">
        <v>4751</v>
      </c>
      <c r="AG939" t="s">
        <v>4353</v>
      </c>
      <c r="AH939" t="s">
        <v>4506</v>
      </c>
      <c r="AI939" t="s">
        <v>4353</v>
      </c>
      <c r="AJ939" t="s">
        <v>4506</v>
      </c>
      <c r="AK939" t="s">
        <v>4519</v>
      </c>
      <c r="AL939" t="s">
        <v>4519</v>
      </c>
      <c r="AM939" t="s">
        <v>4510</v>
      </c>
      <c r="AN939" t="s">
        <v>4550</v>
      </c>
      <c r="AO939" s="134">
        <v>109.656603773585</v>
      </c>
      <c r="AP939" s="135">
        <v>119.011627906977</v>
      </c>
      <c r="AQ939">
        <v>0.37984496124030998</v>
      </c>
      <c r="AR939" s="136">
        <v>1.3527131782945701</v>
      </c>
      <c r="AS939">
        <v>9.4689922480620208</v>
      </c>
      <c r="AU939"/>
      <c r="AV939"/>
      <c r="AW939"/>
      <c r="AX939"/>
    </row>
    <row r="940" spans="1:50" s="69" customFormat="1" ht="46">
      <c r="A940" s="65">
        <v>377</v>
      </c>
      <c r="B940" s="69" t="s">
        <v>589</v>
      </c>
      <c r="C940" s="69" t="s">
        <v>45</v>
      </c>
      <c r="D940" s="31">
        <f t="shared" si="74"/>
        <v>4</v>
      </c>
      <c r="E940" s="69" t="s">
        <v>80</v>
      </c>
      <c r="F940" s="31">
        <f t="shared" si="75"/>
        <v>4</v>
      </c>
      <c r="G940" s="137" t="s">
        <v>1087</v>
      </c>
      <c r="H940" s="138">
        <v>38</v>
      </c>
      <c r="I940" s="92">
        <f t="shared" si="73"/>
        <v>0.45784506153697202</v>
      </c>
      <c r="J940" s="95">
        <v>0.16569012307394401</v>
      </c>
      <c r="K940" s="137">
        <v>0.79285714285714304</v>
      </c>
      <c r="L940" s="137">
        <v>0.75</v>
      </c>
      <c r="M940" s="137">
        <v>0.85714285714285698</v>
      </c>
      <c r="N940" s="136">
        <v>1</v>
      </c>
      <c r="O940" s="154">
        <v>42981</v>
      </c>
      <c r="P940" s="98">
        <f t="shared" si="76"/>
        <v>0</v>
      </c>
      <c r="Q940" s="111">
        <v>2.5499999999999998</v>
      </c>
      <c r="R940" s="111">
        <v>1.65</v>
      </c>
      <c r="S940" s="111">
        <v>0</v>
      </c>
      <c r="T940" s="112" t="s">
        <v>48</v>
      </c>
      <c r="U940" s="137" t="s">
        <v>1090</v>
      </c>
      <c r="V940" s="137" t="s">
        <v>1091</v>
      </c>
      <c r="W940" s="69">
        <v>60</v>
      </c>
      <c r="X940" s="69">
        <v>1</v>
      </c>
      <c r="Y940" s="69">
        <v>1</v>
      </c>
      <c r="Z940"/>
      <c r="AA940" t="s">
        <v>4512</v>
      </c>
      <c r="AB940" t="s">
        <v>4576</v>
      </c>
      <c r="AC940" t="s">
        <v>4353</v>
      </c>
      <c r="AD940" t="s">
        <v>4506</v>
      </c>
      <c r="AE940" t="s">
        <v>4515</v>
      </c>
      <c r="AF940" t="s">
        <v>4782</v>
      </c>
      <c r="AG940" t="s">
        <v>4515</v>
      </c>
      <c r="AH940" t="s">
        <v>4782</v>
      </c>
      <c r="AI940" t="s">
        <v>4353</v>
      </c>
      <c r="AJ940" t="s">
        <v>4506</v>
      </c>
      <c r="AK940" t="s">
        <v>4519</v>
      </c>
      <c r="AL940" t="s">
        <v>4552</v>
      </c>
      <c r="AM940" t="s">
        <v>4520</v>
      </c>
      <c r="AN940" t="s">
        <v>4652</v>
      </c>
      <c r="AO940" s="134">
        <v>109.92803030303</v>
      </c>
      <c r="AP940" s="135">
        <v>119.011627906977</v>
      </c>
      <c r="AQ940">
        <v>0.37984496124030998</v>
      </c>
      <c r="AR940" s="136">
        <v>1.3527131782945701</v>
      </c>
      <c r="AS940">
        <v>9.4689922480620208</v>
      </c>
      <c r="AU940"/>
      <c r="AV940"/>
      <c r="AW940"/>
      <c r="AX940"/>
    </row>
    <row r="941" spans="1:50" s="69" customFormat="1" ht="121">
      <c r="A941">
        <v>767</v>
      </c>
      <c r="B941" s="69" t="s">
        <v>2053</v>
      </c>
      <c r="C941" s="69" t="s">
        <v>59</v>
      </c>
      <c r="D941" s="31">
        <f t="shared" si="74"/>
        <v>5</v>
      </c>
      <c r="E941" s="69" t="s">
        <v>80</v>
      </c>
      <c r="F941" s="31">
        <f t="shared" si="75"/>
        <v>4</v>
      </c>
      <c r="G941" s="137" t="s">
        <v>2092</v>
      </c>
      <c r="H941" s="138">
        <v>100</v>
      </c>
      <c r="I941" s="92">
        <f t="shared" si="73"/>
        <v>0.86680722658036546</v>
      </c>
      <c r="J941" s="95">
        <v>0.98361445316073104</v>
      </c>
      <c r="K941" s="137">
        <v>0.75102566813892102</v>
      </c>
      <c r="L941" s="137">
        <v>0.75</v>
      </c>
      <c r="M941" s="137">
        <v>0.75256417034730305</v>
      </c>
      <c r="N941" s="136">
        <v>1</v>
      </c>
      <c r="O941" s="154">
        <v>42979</v>
      </c>
      <c r="P941" s="98">
        <f t="shared" si="76"/>
        <v>1</v>
      </c>
      <c r="Q941" s="111">
        <v>5.0999999999999996</v>
      </c>
      <c r="R941" s="111">
        <v>0</v>
      </c>
      <c r="S941" s="111">
        <v>0</v>
      </c>
      <c r="T941" s="112" t="s">
        <v>73</v>
      </c>
      <c r="U941" s="137" t="s">
        <v>2093</v>
      </c>
      <c r="V941" s="137" t="s">
        <v>2094</v>
      </c>
      <c r="W941" s="69">
        <v>171</v>
      </c>
      <c r="X941" s="69">
        <v>1</v>
      </c>
      <c r="Y941" s="69">
        <v>3</v>
      </c>
      <c r="AA941" t="s">
        <v>4564</v>
      </c>
      <c r="AB941" t="s">
        <v>358</v>
      </c>
      <c r="AC941" t="s">
        <v>223</v>
      </c>
      <c r="AD941" t="s">
        <v>5016</v>
      </c>
      <c r="AE941" t="s">
        <v>223</v>
      </c>
      <c r="AF941" t="s">
        <v>5016</v>
      </c>
      <c r="AG941" t="s">
        <v>4515</v>
      </c>
      <c r="AH941" t="s">
        <v>4799</v>
      </c>
      <c r="AI941" t="s">
        <v>4530</v>
      </c>
      <c r="AJ941" t="s">
        <v>4737</v>
      </c>
      <c r="AK941" t="s">
        <v>4519</v>
      </c>
      <c r="AL941" t="s">
        <v>4519</v>
      </c>
      <c r="AM941" t="s">
        <v>4528</v>
      </c>
      <c r="AN941" t="s">
        <v>4529</v>
      </c>
      <c r="AO941" s="134">
        <v>109.965779467681</v>
      </c>
      <c r="AP941" s="135">
        <v>119.011627906977</v>
      </c>
      <c r="AQ941">
        <v>0.37984496124030998</v>
      </c>
      <c r="AR941" s="136">
        <v>1.3527131782945701</v>
      </c>
      <c r="AS941">
        <v>9.4689922480620208</v>
      </c>
      <c r="AU941"/>
      <c r="AV941"/>
      <c r="AW941"/>
      <c r="AX941"/>
    </row>
    <row r="942" spans="1:50" s="69" customFormat="1" ht="151">
      <c r="A942">
        <v>611</v>
      </c>
      <c r="B942" s="69" t="s">
        <v>1628</v>
      </c>
      <c r="C942" s="69" t="s">
        <v>45</v>
      </c>
      <c r="D942" s="31">
        <f t="shared" si="74"/>
        <v>4</v>
      </c>
      <c r="E942" s="69" t="s">
        <v>46</v>
      </c>
      <c r="F942" s="31">
        <f t="shared" si="75"/>
        <v>6</v>
      </c>
      <c r="G942" s="137" t="s">
        <v>1695</v>
      </c>
      <c r="H942" s="138">
        <v>284</v>
      </c>
      <c r="I942" s="92">
        <f t="shared" si="73"/>
        <v>0.54876698579484795</v>
      </c>
      <c r="J942" s="95">
        <v>0.85856085830692896</v>
      </c>
      <c r="K942" s="137">
        <v>0.34543520424750301</v>
      </c>
      <c r="L942" s="137">
        <v>0.23897311328276699</v>
      </c>
      <c r="M942" s="137">
        <v>0.50512834069460699</v>
      </c>
      <c r="N942" s="136">
        <v>1</v>
      </c>
      <c r="O942" s="154">
        <v>42978</v>
      </c>
      <c r="P942" s="98">
        <f t="shared" si="76"/>
        <v>1</v>
      </c>
      <c r="Q942" s="111">
        <v>2.5499999999999998</v>
      </c>
      <c r="R942" s="111">
        <v>1.65</v>
      </c>
      <c r="S942" s="111">
        <v>0</v>
      </c>
      <c r="T942" s="112" t="s">
        <v>73</v>
      </c>
      <c r="U942" s="147" t="s">
        <v>1696</v>
      </c>
      <c r="V942" s="137" t="s">
        <v>1697</v>
      </c>
      <c r="W942" s="69">
        <v>53</v>
      </c>
      <c r="X942" s="171">
        <v>1</v>
      </c>
      <c r="Y942" s="171">
        <v>12</v>
      </c>
      <c r="AA942" t="s">
        <v>5048</v>
      </c>
      <c r="AB942" t="s">
        <v>71</v>
      </c>
      <c r="AC942" t="s">
        <v>4353</v>
      </c>
      <c r="AD942" t="s">
        <v>4506</v>
      </c>
      <c r="AE942" t="s">
        <v>4353</v>
      </c>
      <c r="AF942" t="s">
        <v>4506</v>
      </c>
      <c r="AG942" t="s">
        <v>4515</v>
      </c>
      <c r="AH942" t="s">
        <v>4812</v>
      </c>
      <c r="AI942" t="s">
        <v>4353</v>
      </c>
      <c r="AJ942" t="s">
        <v>4506</v>
      </c>
      <c r="AK942" t="s">
        <v>4519</v>
      </c>
      <c r="AL942" t="s">
        <v>4519</v>
      </c>
      <c r="AM942" t="s">
        <v>4592</v>
      </c>
      <c r="AN942" t="s">
        <v>4626</v>
      </c>
      <c r="AO942" s="134">
        <v>109.301526717557</v>
      </c>
      <c r="AP942" s="135">
        <v>119.011627906977</v>
      </c>
      <c r="AQ942">
        <v>0.37984496124030998</v>
      </c>
      <c r="AR942" s="136">
        <v>1.3527131782945701</v>
      </c>
      <c r="AS942">
        <v>9.4689922480620208</v>
      </c>
      <c r="AU942"/>
      <c r="AV942"/>
      <c r="AW942"/>
      <c r="AX942"/>
    </row>
    <row r="943" spans="1:50" s="69" customFormat="1" ht="136">
      <c r="A943">
        <v>1159</v>
      </c>
      <c r="B943" s="69" t="s">
        <v>3117</v>
      </c>
      <c r="C943" s="69" t="s">
        <v>45</v>
      </c>
      <c r="D943" s="31">
        <f t="shared" si="74"/>
        <v>4</v>
      </c>
      <c r="E943" s="69" t="s">
        <v>46</v>
      </c>
      <c r="F943" s="31">
        <f t="shared" si="75"/>
        <v>6</v>
      </c>
      <c r="G943" s="139" t="s">
        <v>3144</v>
      </c>
      <c r="H943" s="138">
        <v>55</v>
      </c>
      <c r="I943" s="92">
        <f t="shared" si="73"/>
        <v>0.4837628328716565</v>
      </c>
      <c r="J943" s="95">
        <v>0.217525665743313</v>
      </c>
      <c r="K943" s="137">
        <v>0.63619100647005999</v>
      </c>
      <c r="L943" s="137">
        <v>0.75</v>
      </c>
      <c r="M943" s="137">
        <v>0.46547751617515098</v>
      </c>
      <c r="N943" s="136">
        <v>1</v>
      </c>
      <c r="O943" s="157">
        <v>42978</v>
      </c>
      <c r="P943" s="98">
        <f t="shared" si="76"/>
        <v>1</v>
      </c>
      <c r="Q943" s="113">
        <v>0</v>
      </c>
      <c r="R943" s="113">
        <v>0</v>
      </c>
      <c r="S943" s="113">
        <v>0</v>
      </c>
      <c r="T943" s="119" t="s">
        <v>73</v>
      </c>
      <c r="U943" s="89" t="s">
        <v>3145</v>
      </c>
      <c r="V943" s="172" t="s">
        <v>3146</v>
      </c>
      <c r="W943" s="69">
        <v>198</v>
      </c>
      <c r="X943" s="69">
        <v>2</v>
      </c>
      <c r="Y943" s="69">
        <v>14</v>
      </c>
      <c r="AA943" t="s">
        <v>4564</v>
      </c>
      <c r="AB943" t="s">
        <v>4594</v>
      </c>
      <c r="AC943" t="s">
        <v>4515</v>
      </c>
      <c r="AD943" t="s">
        <v>4647</v>
      </c>
      <c r="AE943" t="s">
        <v>4515</v>
      </c>
      <c r="AF943" t="s">
        <v>4647</v>
      </c>
      <c r="AG943" t="s">
        <v>223</v>
      </c>
      <c r="AH943" t="s">
        <v>4608</v>
      </c>
      <c r="AI943" t="s">
        <v>223</v>
      </c>
      <c r="AJ943" t="s">
        <v>4608</v>
      </c>
      <c r="AK943" t="s">
        <v>4591</v>
      </c>
      <c r="AL943" t="s">
        <v>4519</v>
      </c>
      <c r="AM943" t="s">
        <v>4520</v>
      </c>
      <c r="AN943" t="s">
        <v>4870</v>
      </c>
      <c r="AO943" s="134">
        <v>109.509578544061</v>
      </c>
      <c r="AP943" s="135">
        <v>119.011627906977</v>
      </c>
      <c r="AQ943">
        <v>0.37984496124030998</v>
      </c>
      <c r="AR943" s="136">
        <v>1.3527131782945701</v>
      </c>
      <c r="AS943">
        <v>9.4689922480620208</v>
      </c>
      <c r="AU943"/>
      <c r="AV943"/>
      <c r="AW943"/>
      <c r="AX943"/>
    </row>
    <row r="944" spans="1:50" s="69" customFormat="1" ht="121">
      <c r="A944" s="65">
        <v>545</v>
      </c>
      <c r="B944" s="69" t="s">
        <v>1222</v>
      </c>
      <c r="C944" s="69" t="s">
        <v>45</v>
      </c>
      <c r="D944" s="31">
        <f t="shared" si="74"/>
        <v>4</v>
      </c>
      <c r="E944" s="69" t="s">
        <v>46</v>
      </c>
      <c r="F944" s="31">
        <f t="shared" si="75"/>
        <v>6</v>
      </c>
      <c r="G944" s="137" t="s">
        <v>1527</v>
      </c>
      <c r="H944" s="138">
        <v>207</v>
      </c>
      <c r="I944" s="92">
        <f t="shared" si="73"/>
        <v>0.2071422312776989</v>
      </c>
      <c r="J944" s="95">
        <v>9.6211248776034805E-2</v>
      </c>
      <c r="K944" s="137">
        <v>0.39289526454546098</v>
      </c>
      <c r="L944" s="137">
        <v>0.31807321377936298</v>
      </c>
      <c r="M944" s="137">
        <v>0.50512834069460699</v>
      </c>
      <c r="N944" s="136">
        <v>1</v>
      </c>
      <c r="O944" s="154">
        <v>42977</v>
      </c>
      <c r="P944" s="98">
        <f t="shared" si="76"/>
        <v>1</v>
      </c>
      <c r="Q944" s="210">
        <v>0</v>
      </c>
      <c r="R944" s="210">
        <v>1.65</v>
      </c>
      <c r="S944" s="210">
        <v>3.74</v>
      </c>
      <c r="T944" s="211" t="s">
        <v>73</v>
      </c>
      <c r="U944" s="137" t="s">
        <v>1528</v>
      </c>
      <c r="V944" s="137" t="s">
        <v>1526</v>
      </c>
      <c r="W944" s="69">
        <v>60</v>
      </c>
      <c r="X944" s="69">
        <v>1</v>
      </c>
      <c r="Y944" s="69">
        <v>12</v>
      </c>
      <c r="Z944"/>
      <c r="AA944" t="s">
        <v>4832</v>
      </c>
      <c r="AB944" t="s">
        <v>51</v>
      </c>
      <c r="AC944" t="s">
        <v>223</v>
      </c>
      <c r="AD944" t="s">
        <v>4643</v>
      </c>
      <c r="AE944" t="s">
        <v>4513</v>
      </c>
      <c r="AF944" t="s">
        <v>4784</v>
      </c>
      <c r="AG944" t="s">
        <v>223</v>
      </c>
      <c r="AH944" t="s">
        <v>4643</v>
      </c>
      <c r="AI944" t="s">
        <v>4353</v>
      </c>
      <c r="AJ944" t="s">
        <v>4506</v>
      </c>
      <c r="AK944" t="s">
        <v>4519</v>
      </c>
      <c r="AL944" t="s">
        <v>4519</v>
      </c>
      <c r="AM944" t="s">
        <v>4528</v>
      </c>
      <c r="AN944" t="s">
        <v>4529</v>
      </c>
      <c r="AO944" s="134">
        <v>109.134615384615</v>
      </c>
      <c r="AP944" s="135">
        <v>119.156862745098</v>
      </c>
      <c r="AQ944">
        <v>0.37254901960784298</v>
      </c>
      <c r="AR944" s="136">
        <v>1.3568627450980399</v>
      </c>
      <c r="AS944">
        <v>9.5176470588235293</v>
      </c>
      <c r="AU944"/>
      <c r="AV944"/>
      <c r="AW944"/>
      <c r="AX944"/>
    </row>
    <row r="945" spans="1:50" s="69" customFormat="1" ht="91">
      <c r="A945">
        <v>183</v>
      </c>
      <c r="B945" s="69" t="s">
        <v>499</v>
      </c>
      <c r="C945" s="69" t="s">
        <v>59</v>
      </c>
      <c r="D945" s="31">
        <f t="shared" si="74"/>
        <v>5</v>
      </c>
      <c r="E945" s="69" t="s">
        <v>46</v>
      </c>
      <c r="F945" s="31">
        <f t="shared" si="75"/>
        <v>6</v>
      </c>
      <c r="G945" s="137" t="s">
        <v>565</v>
      </c>
      <c r="H945" s="138">
        <v>32</v>
      </c>
      <c r="I945" s="92">
        <f t="shared" si="73"/>
        <v>0.80986683991610253</v>
      </c>
      <c r="J945" s="95">
        <v>0.99989896908840303</v>
      </c>
      <c r="K945" s="137">
        <v>0.771900826446281</v>
      </c>
      <c r="L945" s="137">
        <v>0.61983471074380203</v>
      </c>
      <c r="M945" s="137">
        <v>1</v>
      </c>
      <c r="N945" s="136">
        <v>1</v>
      </c>
      <c r="O945" s="154">
        <v>42976</v>
      </c>
      <c r="P945" s="98">
        <f t="shared" si="76"/>
        <v>1</v>
      </c>
      <c r="Q945" s="111">
        <v>0</v>
      </c>
      <c r="R945" s="111">
        <v>3.3</v>
      </c>
      <c r="S945" s="111">
        <v>0</v>
      </c>
      <c r="T945" s="112" t="s">
        <v>73</v>
      </c>
      <c r="U945" s="137" t="s">
        <v>566</v>
      </c>
      <c r="V945" s="169" t="s">
        <v>567</v>
      </c>
      <c r="W945" s="69">
        <v>15</v>
      </c>
      <c r="X945" s="69">
        <v>3</v>
      </c>
      <c r="Y945" s="69">
        <v>0</v>
      </c>
      <c r="Z945"/>
      <c r="AA945" t="s">
        <v>4564</v>
      </c>
      <c r="AB945" t="s">
        <v>87</v>
      </c>
      <c r="AC945" t="s">
        <v>223</v>
      </c>
      <c r="AD945" t="s">
        <v>4516</v>
      </c>
      <c r="AE945" t="s">
        <v>4353</v>
      </c>
      <c r="AF945" t="s">
        <v>4506</v>
      </c>
      <c r="AG945" t="s">
        <v>4353</v>
      </c>
      <c r="AH945" t="s">
        <v>4506</v>
      </c>
      <c r="AI945" t="s">
        <v>4353</v>
      </c>
      <c r="AJ945" t="s">
        <v>4506</v>
      </c>
      <c r="AK945" t="s">
        <v>4519</v>
      </c>
      <c r="AL945" t="s">
        <v>4519</v>
      </c>
      <c r="AM945" t="s">
        <v>4562</v>
      </c>
      <c r="AN945" t="s">
        <v>4563</v>
      </c>
      <c r="AO945" s="134">
        <v>109.43243243243199</v>
      </c>
      <c r="AP945" s="135">
        <v>119.913043478261</v>
      </c>
      <c r="AQ945">
        <v>0.36758893280632399</v>
      </c>
      <c r="AR945" s="136">
        <v>1.35177865612648</v>
      </c>
      <c r="AS945">
        <v>9.5928853754940704</v>
      </c>
      <c r="AU945"/>
      <c r="AV945"/>
      <c r="AW945"/>
      <c r="AX945"/>
    </row>
    <row r="946" spans="1:50" s="69" customFormat="1" ht="91">
      <c r="A946" s="65">
        <v>184</v>
      </c>
      <c r="B946" s="69" t="s">
        <v>499</v>
      </c>
      <c r="C946" s="69" t="s">
        <v>59</v>
      </c>
      <c r="D946" s="31">
        <f t="shared" si="74"/>
        <v>5</v>
      </c>
      <c r="E946" s="69" t="s">
        <v>46</v>
      </c>
      <c r="F946" s="31">
        <f t="shared" si="75"/>
        <v>6</v>
      </c>
      <c r="G946" s="137" t="s">
        <v>565</v>
      </c>
      <c r="H946" s="138">
        <v>32</v>
      </c>
      <c r="I946" s="92">
        <f t="shared" si="73"/>
        <v>0.80986683991610253</v>
      </c>
      <c r="J946" s="95">
        <v>0.99989896908840303</v>
      </c>
      <c r="K946" s="137">
        <v>0.771900826446281</v>
      </c>
      <c r="L946" s="137">
        <v>0.61983471074380203</v>
      </c>
      <c r="M946" s="137">
        <v>1</v>
      </c>
      <c r="N946" s="136">
        <v>1</v>
      </c>
      <c r="O946" s="154">
        <v>42976</v>
      </c>
      <c r="P946" s="98">
        <f t="shared" si="76"/>
        <v>1</v>
      </c>
      <c r="Q946" s="111">
        <v>2.5499999999999998</v>
      </c>
      <c r="R946" s="111">
        <v>0</v>
      </c>
      <c r="S946" s="111">
        <v>0</v>
      </c>
      <c r="T946" s="112" t="s">
        <v>73</v>
      </c>
      <c r="U946" s="137" t="s">
        <v>566</v>
      </c>
      <c r="V946" s="137" t="s">
        <v>568</v>
      </c>
      <c r="W946" s="69">
        <v>32</v>
      </c>
      <c r="X946" s="69">
        <v>3</v>
      </c>
      <c r="Y946" s="69">
        <v>0</v>
      </c>
      <c r="Z946"/>
      <c r="AA946" t="s">
        <v>4564</v>
      </c>
      <c r="AB946" t="s">
        <v>4594</v>
      </c>
      <c r="AC946" t="s">
        <v>223</v>
      </c>
      <c r="AD946" t="s">
        <v>4517</v>
      </c>
      <c r="AE946" t="s">
        <v>223</v>
      </c>
      <c r="AF946" t="s">
        <v>4517</v>
      </c>
      <c r="AG946" t="s">
        <v>4353</v>
      </c>
      <c r="AH946" t="s">
        <v>4506</v>
      </c>
      <c r="AI946" t="s">
        <v>4353</v>
      </c>
      <c r="AJ946" t="s">
        <v>4506</v>
      </c>
      <c r="AK946" t="s">
        <v>4519</v>
      </c>
      <c r="AL946" t="s">
        <v>4519</v>
      </c>
      <c r="AM946" t="s">
        <v>4562</v>
      </c>
      <c r="AN946" t="s">
        <v>4563</v>
      </c>
      <c r="AO946" s="134">
        <v>109.732558139535</v>
      </c>
      <c r="AP946" s="135">
        <v>119.913043478261</v>
      </c>
      <c r="AQ946">
        <v>0.36758893280632399</v>
      </c>
      <c r="AR946" s="136">
        <v>1.35177865612648</v>
      </c>
      <c r="AS946">
        <v>9.5928853754940704</v>
      </c>
      <c r="AU946"/>
      <c r="AV946"/>
      <c r="AW946"/>
      <c r="AX946"/>
    </row>
    <row r="947" spans="1:50" s="69" customFormat="1" ht="31">
      <c r="A947" s="65">
        <v>648</v>
      </c>
      <c r="B947" s="69" t="s">
        <v>1779</v>
      </c>
      <c r="C947" s="69" t="s">
        <v>45</v>
      </c>
      <c r="D947" s="31">
        <f t="shared" si="74"/>
        <v>4</v>
      </c>
      <c r="E947" s="69" t="s">
        <v>46</v>
      </c>
      <c r="F947" s="31">
        <f t="shared" si="75"/>
        <v>6</v>
      </c>
      <c r="G947" s="147" t="s">
        <v>1780</v>
      </c>
      <c r="H947" s="138">
        <v>37</v>
      </c>
      <c r="I947" s="92">
        <f t="shared" si="73"/>
        <v>0.54413819230961102</v>
      </c>
      <c r="J947" s="95">
        <v>0.33827638461922199</v>
      </c>
      <c r="K947" s="137">
        <v>0.85</v>
      </c>
      <c r="L947" s="137">
        <v>0.75</v>
      </c>
      <c r="M947" s="137">
        <v>1</v>
      </c>
      <c r="N947" s="136">
        <v>1</v>
      </c>
      <c r="O947" s="154">
        <v>42975</v>
      </c>
      <c r="P947" s="98">
        <f t="shared" si="76"/>
        <v>0</v>
      </c>
      <c r="Q947" s="111">
        <v>12.75</v>
      </c>
      <c r="R947" s="111">
        <v>0</v>
      </c>
      <c r="S947" s="111">
        <v>0</v>
      </c>
      <c r="T947" s="112" t="s">
        <v>48</v>
      </c>
      <c r="U947" s="137" t="s">
        <v>1781</v>
      </c>
      <c r="V947" s="137" t="s">
        <v>1782</v>
      </c>
      <c r="W947" s="69">
        <v>46</v>
      </c>
      <c r="X947" s="147">
        <v>1</v>
      </c>
      <c r="Y947" s="147">
        <v>0</v>
      </c>
      <c r="AA947" t="s">
        <v>4543</v>
      </c>
      <c r="AB947" t="s">
        <v>51</v>
      </c>
      <c r="AC947" t="s">
        <v>223</v>
      </c>
      <c r="AD947" t="s">
        <v>4648</v>
      </c>
      <c r="AE947" t="s">
        <v>4513</v>
      </c>
      <c r="AF947" t="s">
        <v>4735</v>
      </c>
      <c r="AG947" t="s">
        <v>223</v>
      </c>
      <c r="AH947" t="s">
        <v>4648</v>
      </c>
      <c r="AI947" t="s">
        <v>4353</v>
      </c>
      <c r="AJ947" t="s">
        <v>4506</v>
      </c>
      <c r="AK947" t="s">
        <v>4519</v>
      </c>
      <c r="AL947" t="s">
        <v>4519</v>
      </c>
      <c r="AM947" t="s">
        <v>4510</v>
      </c>
      <c r="AN947" t="s">
        <v>4550</v>
      </c>
      <c r="AO947" s="134">
        <v>110.015564202335</v>
      </c>
      <c r="AP947" s="135">
        <v>120.206349206349</v>
      </c>
      <c r="AQ947">
        <v>0.36904761904761901</v>
      </c>
      <c r="AR947" s="136">
        <v>1.3531746031745999</v>
      </c>
      <c r="AS947">
        <v>9.6309523809523796</v>
      </c>
      <c r="AU947"/>
      <c r="AV947"/>
      <c r="AW947"/>
      <c r="AX947"/>
    </row>
    <row r="948" spans="1:50" s="69" customFormat="1" ht="76">
      <c r="A948">
        <v>1102</v>
      </c>
      <c r="B948" s="69" t="s">
        <v>2948</v>
      </c>
      <c r="C948" s="69" t="s">
        <v>45</v>
      </c>
      <c r="D948" s="31">
        <f t="shared" si="74"/>
        <v>4</v>
      </c>
      <c r="E948" s="69" t="s">
        <v>80</v>
      </c>
      <c r="F948" s="31">
        <f t="shared" si="75"/>
        <v>4</v>
      </c>
      <c r="G948" s="139" t="s">
        <v>159</v>
      </c>
      <c r="H948" s="138">
        <v>37</v>
      </c>
      <c r="I948" s="92">
        <f t="shared" si="73"/>
        <v>0.44060538441069519</v>
      </c>
      <c r="J948" s="95">
        <v>5.6210768821390401E-2</v>
      </c>
      <c r="K948" s="137">
        <v>0.68119100647006003</v>
      </c>
      <c r="L948" s="137">
        <v>0.82499999999999996</v>
      </c>
      <c r="M948" s="137">
        <v>0.46547751617515098</v>
      </c>
      <c r="N948" s="136">
        <v>1</v>
      </c>
      <c r="O948" s="157">
        <v>42975</v>
      </c>
      <c r="P948" s="98">
        <f t="shared" si="76"/>
        <v>0</v>
      </c>
      <c r="Q948" s="113">
        <v>2.5499999999999998</v>
      </c>
      <c r="R948" s="113">
        <v>0</v>
      </c>
      <c r="S948" s="113">
        <v>0</v>
      </c>
      <c r="T948" s="119" t="s">
        <v>48</v>
      </c>
      <c r="U948" s="89" t="s">
        <v>2994</v>
      </c>
      <c r="V948" s="172" t="s">
        <v>2995</v>
      </c>
      <c r="W948" s="69">
        <v>106</v>
      </c>
      <c r="X948" s="69">
        <v>1</v>
      </c>
      <c r="Y948" s="69">
        <v>14</v>
      </c>
      <c r="AA948" t="s">
        <v>4556</v>
      </c>
      <c r="AB948" t="s">
        <v>4594</v>
      </c>
      <c r="AC948" t="s">
        <v>4515</v>
      </c>
      <c r="AD948" t="s">
        <v>4607</v>
      </c>
      <c r="AE948" t="s">
        <v>4515</v>
      </c>
      <c r="AF948" t="s">
        <v>4607</v>
      </c>
      <c r="AG948" t="s">
        <v>4353</v>
      </c>
      <c r="AH948" t="s">
        <v>4506</v>
      </c>
      <c r="AI948" t="s">
        <v>223</v>
      </c>
      <c r="AJ948" t="s">
        <v>4606</v>
      </c>
      <c r="AK948" t="s">
        <v>4519</v>
      </c>
      <c r="AL948" t="s">
        <v>4519</v>
      </c>
      <c r="AM948" t="s">
        <v>4528</v>
      </c>
      <c r="AN948" t="s">
        <v>4529</v>
      </c>
      <c r="AO948" s="134">
        <v>109.9765625</v>
      </c>
      <c r="AP948" s="135">
        <v>120.206349206349</v>
      </c>
      <c r="AQ948">
        <v>0.36904761904761901</v>
      </c>
      <c r="AR948" s="136">
        <v>1.3531746031745999</v>
      </c>
      <c r="AS948">
        <v>9.6309523809523796</v>
      </c>
      <c r="AU948"/>
      <c r="AV948"/>
      <c r="AW948"/>
      <c r="AX948"/>
    </row>
    <row r="949" spans="1:50" s="69" customFormat="1" ht="76">
      <c r="A949" s="65">
        <v>768</v>
      </c>
      <c r="B949" s="69" t="s">
        <v>2053</v>
      </c>
      <c r="C949" s="69" t="s">
        <v>45</v>
      </c>
      <c r="D949" s="31">
        <f t="shared" si="74"/>
        <v>4</v>
      </c>
      <c r="E949" s="69" t="s">
        <v>80</v>
      </c>
      <c r="F949" s="31">
        <f t="shared" si="75"/>
        <v>4</v>
      </c>
      <c r="G949" s="169" t="s">
        <v>2095</v>
      </c>
      <c r="H949" s="138">
        <v>120</v>
      </c>
      <c r="I949" s="92">
        <f t="shared" si="73"/>
        <v>0.3829445560931734</v>
      </c>
      <c r="J949" s="95">
        <v>1.5889112186346799E-2</v>
      </c>
      <c r="K949" s="137">
        <v>0.76918779643582302</v>
      </c>
      <c r="L949" s="137">
        <v>0.75</v>
      </c>
      <c r="M949" s="137">
        <v>0.79796949108955795</v>
      </c>
      <c r="N949" s="136">
        <v>1</v>
      </c>
      <c r="O949" s="154">
        <v>42975</v>
      </c>
      <c r="P949" s="98">
        <f t="shared" si="76"/>
        <v>1</v>
      </c>
      <c r="Q949" s="111">
        <v>0</v>
      </c>
      <c r="R949" s="111">
        <v>0</v>
      </c>
      <c r="S949" s="111">
        <v>0</v>
      </c>
      <c r="T949" s="112" t="s">
        <v>73</v>
      </c>
      <c r="U949" s="147" t="s">
        <v>2096</v>
      </c>
      <c r="V949" s="137" t="s">
        <v>2097</v>
      </c>
      <c r="W949" s="69">
        <v>56</v>
      </c>
      <c r="X949" s="147">
        <v>3</v>
      </c>
      <c r="Y949" s="147">
        <v>2</v>
      </c>
      <c r="AA949" t="s">
        <v>4522</v>
      </c>
      <c r="AB949" t="s">
        <v>67</v>
      </c>
      <c r="AC949" t="s">
        <v>4353</v>
      </c>
      <c r="AD949" t="s">
        <v>4506</v>
      </c>
      <c r="AE949" t="s">
        <v>4353</v>
      </c>
      <c r="AF949" t="s">
        <v>4506</v>
      </c>
      <c r="AG949" t="s">
        <v>4353</v>
      </c>
      <c r="AH949" t="s">
        <v>4506</v>
      </c>
      <c r="AI949" t="s">
        <v>4353</v>
      </c>
      <c r="AJ949" t="s">
        <v>4506</v>
      </c>
      <c r="AK949" t="s">
        <v>4519</v>
      </c>
      <c r="AL949" t="s">
        <v>4519</v>
      </c>
      <c r="AM949" t="s">
        <v>4510</v>
      </c>
      <c r="AN949" t="s">
        <v>4550</v>
      </c>
      <c r="AO949" s="134">
        <v>110.26274509803901</v>
      </c>
      <c r="AP949" s="135">
        <v>120.206349206349</v>
      </c>
      <c r="AQ949">
        <v>0.36904761904761901</v>
      </c>
      <c r="AR949" s="136">
        <v>1.3531746031745999</v>
      </c>
      <c r="AS949">
        <v>9.6309523809523796</v>
      </c>
      <c r="AU949"/>
      <c r="AV949"/>
      <c r="AW949"/>
      <c r="AX949"/>
    </row>
    <row r="950" spans="1:50" s="69" customFormat="1" ht="226">
      <c r="A950" s="65">
        <v>1160</v>
      </c>
      <c r="B950" s="69" t="s">
        <v>3117</v>
      </c>
      <c r="C950" s="69" t="s">
        <v>45</v>
      </c>
      <c r="D950" s="31">
        <f t="shared" si="74"/>
        <v>4</v>
      </c>
      <c r="E950" s="69" t="s">
        <v>46</v>
      </c>
      <c r="F950" s="31">
        <f t="shared" si="75"/>
        <v>6</v>
      </c>
      <c r="G950" s="139" t="s">
        <v>3147</v>
      </c>
      <c r="H950" s="138">
        <v>162</v>
      </c>
      <c r="I950" s="92">
        <f t="shared" si="73"/>
        <v>0.38444584936310522</v>
      </c>
      <c r="J950" s="95">
        <v>1.8891698726210399E-2</v>
      </c>
      <c r="K950" s="137">
        <v>0.643968498544915</v>
      </c>
      <c r="L950" s="137">
        <v>0.75</v>
      </c>
      <c r="M950" s="137">
        <v>0.48492124636228701</v>
      </c>
      <c r="N950" s="136">
        <v>1</v>
      </c>
      <c r="O950" s="157">
        <v>42972</v>
      </c>
      <c r="P950" s="98">
        <f t="shared" si="76"/>
        <v>1</v>
      </c>
      <c r="Q950" s="113">
        <v>0</v>
      </c>
      <c r="R950" s="113">
        <v>1.65</v>
      </c>
      <c r="S950" s="113">
        <v>0</v>
      </c>
      <c r="T950" s="119" t="s">
        <v>73</v>
      </c>
      <c r="U950" s="89" t="s">
        <v>3148</v>
      </c>
      <c r="V950" s="136" t="s">
        <v>4470</v>
      </c>
      <c r="W950" s="69">
        <v>285</v>
      </c>
      <c r="X950" s="69">
        <v>2</v>
      </c>
      <c r="Y950" s="69">
        <v>13</v>
      </c>
      <c r="AA950" t="s">
        <v>4556</v>
      </c>
      <c r="AB950" t="s">
        <v>4594</v>
      </c>
      <c r="AC950" t="s">
        <v>4513</v>
      </c>
      <c r="AD950" t="s">
        <v>4847</v>
      </c>
      <c r="AE950" t="s">
        <v>4513</v>
      </c>
      <c r="AF950" t="s">
        <v>4847</v>
      </c>
      <c r="AG950" t="s">
        <v>223</v>
      </c>
      <c r="AH950" t="s">
        <v>4848</v>
      </c>
      <c r="AI950" t="s">
        <v>223</v>
      </c>
      <c r="AJ950" t="s">
        <v>4848</v>
      </c>
      <c r="AK950" t="s">
        <v>4740</v>
      </c>
      <c r="AL950" t="s">
        <v>4552</v>
      </c>
      <c r="AM950" t="s">
        <v>4520</v>
      </c>
      <c r="AN950" t="s">
        <v>5049</v>
      </c>
      <c r="AO950" s="134">
        <v>110.05905511811</v>
      </c>
      <c r="AP950" s="135">
        <v>120.206349206349</v>
      </c>
      <c r="AQ950">
        <v>0.36904761904761901</v>
      </c>
      <c r="AR950" s="136">
        <v>1.3531746031745999</v>
      </c>
      <c r="AS950">
        <v>9.6309523809523796</v>
      </c>
      <c r="AU950"/>
      <c r="AV950"/>
      <c r="AW950"/>
      <c r="AX950"/>
    </row>
    <row r="951" spans="1:50" s="69" customFormat="1" ht="91">
      <c r="A951" s="65">
        <v>917</v>
      </c>
      <c r="B951" s="69" t="s">
        <v>2418</v>
      </c>
      <c r="C951" s="69" t="s">
        <v>45</v>
      </c>
      <c r="D951" s="31">
        <f t="shared" si="74"/>
        <v>4</v>
      </c>
      <c r="E951" s="69" t="s">
        <v>46</v>
      </c>
      <c r="F951" s="31">
        <f t="shared" si="75"/>
        <v>6</v>
      </c>
      <c r="G951" s="147" t="s">
        <v>2504</v>
      </c>
      <c r="H951" s="138">
        <v>138</v>
      </c>
      <c r="I951" s="92">
        <f t="shared" si="73"/>
        <v>0.30992789985624747</v>
      </c>
      <c r="J951" s="95">
        <v>2.10889686929061E-5</v>
      </c>
      <c r="K951" s="137">
        <v>0.631929984001528</v>
      </c>
      <c r="L951" s="137">
        <v>0.61983471074380203</v>
      </c>
      <c r="M951" s="137">
        <v>0.65007289388811795</v>
      </c>
      <c r="N951" s="136">
        <v>1</v>
      </c>
      <c r="O951" s="154">
        <v>42971</v>
      </c>
      <c r="P951" s="98">
        <f t="shared" si="76"/>
        <v>0</v>
      </c>
      <c r="Q951" s="111">
        <v>5.0999999999999996</v>
      </c>
      <c r="R951" s="111">
        <v>0</v>
      </c>
      <c r="S951" s="111">
        <v>0</v>
      </c>
      <c r="T951" s="112" t="s">
        <v>48</v>
      </c>
      <c r="U951" s="137" t="s">
        <v>2505</v>
      </c>
      <c r="V951" s="137" t="s">
        <v>2506</v>
      </c>
      <c r="W951" s="69">
        <v>132</v>
      </c>
      <c r="X951" s="171">
        <v>1</v>
      </c>
      <c r="Y951" s="171">
        <v>6</v>
      </c>
      <c r="AA951" t="s">
        <v>4564</v>
      </c>
      <c r="AB951" t="s">
        <v>71</v>
      </c>
      <c r="AC951" t="s">
        <v>223</v>
      </c>
      <c r="AD951" t="s">
        <v>4574</v>
      </c>
      <c r="AE951" t="s">
        <v>223</v>
      </c>
      <c r="AF951" t="s">
        <v>4574</v>
      </c>
      <c r="AG951" t="s">
        <v>4515</v>
      </c>
      <c r="AH951" t="s">
        <v>4575</v>
      </c>
      <c r="AI951" t="s">
        <v>4353</v>
      </c>
      <c r="AJ951" t="s">
        <v>4506</v>
      </c>
      <c r="AK951" t="s">
        <v>4519</v>
      </c>
      <c r="AL951" t="s">
        <v>4509</v>
      </c>
      <c r="AM951" t="s">
        <v>4528</v>
      </c>
      <c r="AN951" t="s">
        <v>4688</v>
      </c>
      <c r="AO951" s="134">
        <v>109.948616600791</v>
      </c>
      <c r="AP951" s="135">
        <v>120.341365461847</v>
      </c>
      <c r="AQ951">
        <v>0.365461847389558</v>
      </c>
      <c r="AR951" s="136">
        <v>1.3534136546184701</v>
      </c>
      <c r="AS951">
        <v>9.6506024096385499</v>
      </c>
      <c r="AU951"/>
      <c r="AV951"/>
      <c r="AW951"/>
      <c r="AX951"/>
    </row>
    <row r="952" spans="1:50" s="69" customFormat="1" ht="31">
      <c r="A952" s="65">
        <v>1069</v>
      </c>
      <c r="B952" s="69" t="s">
        <v>2833</v>
      </c>
      <c r="C952" s="69" t="s">
        <v>59</v>
      </c>
      <c r="D952" s="31">
        <f t="shared" si="74"/>
        <v>5</v>
      </c>
      <c r="E952" s="69" t="s">
        <v>46</v>
      </c>
      <c r="F952" s="31">
        <f t="shared" si="75"/>
        <v>6</v>
      </c>
      <c r="G952" s="139" t="s">
        <v>2833</v>
      </c>
      <c r="H952" s="138">
        <v>28</v>
      </c>
      <c r="I952" s="92">
        <f t="shared" si="73"/>
        <v>0.64643598498945654</v>
      </c>
      <c r="J952" s="95">
        <v>0.61105378816073097</v>
      </c>
      <c r="K952" s="137">
        <v>0.72827870552673202</v>
      </c>
      <c r="L952" s="137">
        <v>0.68181818181818199</v>
      </c>
      <c r="M952" s="137">
        <v>0.79796949108955795</v>
      </c>
      <c r="N952" s="136">
        <v>1</v>
      </c>
      <c r="O952" s="157">
        <v>42969</v>
      </c>
      <c r="P952" s="98">
        <f t="shared" si="76"/>
        <v>1</v>
      </c>
      <c r="Q952" s="113">
        <v>2.5499999999999998</v>
      </c>
      <c r="R952" s="113">
        <v>4.95</v>
      </c>
      <c r="S952" s="113">
        <v>3.74</v>
      </c>
      <c r="T952" s="119" t="s">
        <v>73</v>
      </c>
      <c r="U952" s="89" t="s">
        <v>2906</v>
      </c>
      <c r="V952" s="172" t="s">
        <v>2907</v>
      </c>
      <c r="W952" s="69">
        <v>45</v>
      </c>
      <c r="X952" s="69">
        <v>3</v>
      </c>
      <c r="Y952" s="69">
        <v>2</v>
      </c>
      <c r="AA952" t="s">
        <v>4564</v>
      </c>
      <c r="AB952" t="s">
        <v>4594</v>
      </c>
      <c r="AC952" t="s">
        <v>223</v>
      </c>
      <c r="AD952" t="s">
        <v>4554</v>
      </c>
      <c r="AE952" t="s">
        <v>223</v>
      </c>
      <c r="AF952" t="s">
        <v>4554</v>
      </c>
      <c r="AG952" t="s">
        <v>4353</v>
      </c>
      <c r="AH952" t="s">
        <v>4506</v>
      </c>
      <c r="AI952" t="s">
        <v>4353</v>
      </c>
      <c r="AJ952" t="s">
        <v>4506</v>
      </c>
      <c r="AK952" t="s">
        <v>4519</v>
      </c>
      <c r="AL952" t="s">
        <v>4519</v>
      </c>
      <c r="AM952" t="s">
        <v>4528</v>
      </c>
      <c r="AN952" t="s">
        <v>4529</v>
      </c>
      <c r="AO952" s="134">
        <v>109.579365079365</v>
      </c>
      <c r="AP952" s="135">
        <v>118.94262295082</v>
      </c>
      <c r="AQ952">
        <v>0.37295081967213101</v>
      </c>
      <c r="AR952" s="136">
        <v>1.3483606557377099</v>
      </c>
      <c r="AS952">
        <v>9.7090163934426208</v>
      </c>
      <c r="AU952"/>
      <c r="AV952"/>
      <c r="AW952"/>
      <c r="AX952"/>
    </row>
    <row r="953" spans="1:50" s="69" customFormat="1" ht="91">
      <c r="A953">
        <v>918</v>
      </c>
      <c r="B953" s="69" t="s">
        <v>2418</v>
      </c>
      <c r="C953" s="69" t="s">
        <v>119</v>
      </c>
      <c r="D953" s="31">
        <f t="shared" si="74"/>
        <v>1</v>
      </c>
      <c r="E953" s="69" t="s">
        <v>46</v>
      </c>
      <c r="F953" s="31">
        <f t="shared" si="75"/>
        <v>6</v>
      </c>
      <c r="G953" s="137" t="s">
        <v>2507</v>
      </c>
      <c r="H953" s="138">
        <v>166</v>
      </c>
      <c r="I953" s="92">
        <f t="shared" si="73"/>
        <v>0.41250000009354981</v>
      </c>
      <c r="J953" s="95">
        <v>1.8709966909113999E-10</v>
      </c>
      <c r="K953" s="137">
        <v>0.733375592871646</v>
      </c>
      <c r="L953" s="137">
        <v>0.82499999999999996</v>
      </c>
      <c r="M953" s="137">
        <v>0.59593898217911601</v>
      </c>
      <c r="N953" s="136">
        <v>1</v>
      </c>
      <c r="O953" s="154">
        <v>42969</v>
      </c>
      <c r="P953" s="98">
        <f t="shared" si="76"/>
        <v>0</v>
      </c>
      <c r="Q953" s="111">
        <v>2.5499999999999998</v>
      </c>
      <c r="R953" s="111">
        <v>3.3</v>
      </c>
      <c r="S953" s="111">
        <v>0</v>
      </c>
      <c r="T953" s="112" t="s">
        <v>48</v>
      </c>
      <c r="U953" s="137" t="s">
        <v>2508</v>
      </c>
      <c r="V953" s="137" t="s">
        <v>2506</v>
      </c>
      <c r="W953" s="69">
        <v>132</v>
      </c>
      <c r="X953" s="69">
        <v>2</v>
      </c>
      <c r="Y953" s="69">
        <v>8</v>
      </c>
      <c r="AA953" t="s">
        <v>4564</v>
      </c>
      <c r="AB953" t="s">
        <v>71</v>
      </c>
      <c r="AC953" t="s">
        <v>223</v>
      </c>
      <c r="AD953" t="s">
        <v>4574</v>
      </c>
      <c r="AE953" t="s">
        <v>223</v>
      </c>
      <c r="AF953" t="s">
        <v>4574</v>
      </c>
      <c r="AG953" t="s">
        <v>4515</v>
      </c>
      <c r="AH953" t="s">
        <v>4575</v>
      </c>
      <c r="AI953" t="s">
        <v>4353</v>
      </c>
      <c r="AJ953" t="s">
        <v>4506</v>
      </c>
      <c r="AK953" t="s">
        <v>4519</v>
      </c>
      <c r="AL953" t="s">
        <v>4519</v>
      </c>
      <c r="AM953" t="s">
        <v>4592</v>
      </c>
      <c r="AN953" t="s">
        <v>4626</v>
      </c>
      <c r="AO953" s="134">
        <v>109.354581673307</v>
      </c>
      <c r="AP953" s="135">
        <v>118.94262295082</v>
      </c>
      <c r="AQ953">
        <v>0.37295081967213101</v>
      </c>
      <c r="AR953" s="136">
        <v>1.3483606557377099</v>
      </c>
      <c r="AS953">
        <v>9.7090163934426208</v>
      </c>
      <c r="AU953"/>
      <c r="AV953"/>
      <c r="AW953"/>
      <c r="AX953"/>
    </row>
    <row r="954" spans="1:50" s="69" customFormat="1" ht="106">
      <c r="A954">
        <v>378</v>
      </c>
      <c r="B954" s="69" t="s">
        <v>589</v>
      </c>
      <c r="C954" s="69" t="s">
        <v>45</v>
      </c>
      <c r="D954" s="31">
        <f t="shared" si="74"/>
        <v>4</v>
      </c>
      <c r="E954" s="69" t="s">
        <v>46</v>
      </c>
      <c r="F954" s="31">
        <f t="shared" si="75"/>
        <v>6</v>
      </c>
      <c r="G954" s="137" t="s">
        <v>1092</v>
      </c>
      <c r="H954" s="138">
        <v>203</v>
      </c>
      <c r="I954" s="92">
        <f t="shared" si="73"/>
        <v>0.34090909092928584</v>
      </c>
      <c r="J954" s="95">
        <v>4.0389691591258302E-11</v>
      </c>
      <c r="K954" s="137">
        <v>0.80909090909090897</v>
      </c>
      <c r="L954" s="137">
        <v>0.68181818181818199</v>
      </c>
      <c r="M954" s="137">
        <v>1</v>
      </c>
      <c r="N954" s="136">
        <v>1</v>
      </c>
      <c r="O954" s="154">
        <v>42969</v>
      </c>
      <c r="P954" s="98">
        <f t="shared" si="76"/>
        <v>0</v>
      </c>
      <c r="Q954" s="111">
        <v>5.0999999999999996</v>
      </c>
      <c r="R954" s="111">
        <v>0</v>
      </c>
      <c r="S954" s="111">
        <v>0</v>
      </c>
      <c r="T954" s="112" t="s">
        <v>48</v>
      </c>
      <c r="U954" s="147" t="s">
        <v>1093</v>
      </c>
      <c r="V954" s="137" t="s">
        <v>1094</v>
      </c>
      <c r="W954" s="69">
        <v>57</v>
      </c>
      <c r="X954" s="171">
        <v>1</v>
      </c>
      <c r="Y954" s="171">
        <v>0</v>
      </c>
      <c r="Z954"/>
      <c r="AA954" t="s">
        <v>4543</v>
      </c>
      <c r="AB954" t="s">
        <v>4576</v>
      </c>
      <c r="AC954" t="s">
        <v>4353</v>
      </c>
      <c r="AD954" t="s">
        <v>4506</v>
      </c>
      <c r="AE954" t="s">
        <v>4515</v>
      </c>
      <c r="AF954" t="s">
        <v>4751</v>
      </c>
      <c r="AG954" t="s">
        <v>4515</v>
      </c>
      <c r="AH954" t="s">
        <v>4751</v>
      </c>
      <c r="AI954" t="s">
        <v>4353</v>
      </c>
      <c r="AJ954" t="s">
        <v>4506</v>
      </c>
      <c r="AK954" t="s">
        <v>4519</v>
      </c>
      <c r="AL954" t="s">
        <v>4519</v>
      </c>
      <c r="AM954" t="s">
        <v>4528</v>
      </c>
      <c r="AN954" t="s">
        <v>4529</v>
      </c>
      <c r="AO954" s="134">
        <v>109.68</v>
      </c>
      <c r="AP954" s="135">
        <v>118.94262295082</v>
      </c>
      <c r="AQ954">
        <v>0.37295081967213101</v>
      </c>
      <c r="AR954" s="136">
        <v>1.3483606557377099</v>
      </c>
      <c r="AS954">
        <v>9.7090163934426208</v>
      </c>
      <c r="AU954"/>
      <c r="AV954"/>
      <c r="AW954"/>
      <c r="AX954"/>
    </row>
    <row r="955" spans="1:50" s="69" customFormat="1" ht="91">
      <c r="A955">
        <v>379</v>
      </c>
      <c r="B955" s="69" t="s">
        <v>589</v>
      </c>
      <c r="C955" s="69" t="s">
        <v>59</v>
      </c>
      <c r="D955" s="31">
        <f t="shared" si="74"/>
        <v>5</v>
      </c>
      <c r="E955" s="69" t="s">
        <v>46</v>
      </c>
      <c r="F955" s="31">
        <f t="shared" si="75"/>
        <v>6</v>
      </c>
      <c r="G955" s="137" t="s">
        <v>1095</v>
      </c>
      <c r="H955" s="138">
        <v>174</v>
      </c>
      <c r="I955" s="92">
        <f t="shared" si="73"/>
        <v>0.78189211042172502</v>
      </c>
      <c r="J955" s="95">
        <v>0.81378422084345003</v>
      </c>
      <c r="K955" s="137">
        <v>0.79285714285714304</v>
      </c>
      <c r="L955" s="137">
        <v>0.75</v>
      </c>
      <c r="M955" s="137">
        <v>0.85714285714285698</v>
      </c>
      <c r="N955" s="136">
        <v>1</v>
      </c>
      <c r="O955" s="154">
        <v>42968</v>
      </c>
      <c r="P955" s="98">
        <f t="shared" si="76"/>
        <v>1</v>
      </c>
      <c r="Q955" s="111">
        <v>7.65</v>
      </c>
      <c r="R955" s="111">
        <v>0</v>
      </c>
      <c r="S955" s="111">
        <v>0</v>
      </c>
      <c r="T955" s="112" t="s">
        <v>73</v>
      </c>
      <c r="U955" s="147" t="s">
        <v>1096</v>
      </c>
      <c r="V955" s="137" t="s">
        <v>1097</v>
      </c>
      <c r="W955" s="69">
        <v>65</v>
      </c>
      <c r="X955" s="171">
        <v>1</v>
      </c>
      <c r="Y955" s="171">
        <v>1</v>
      </c>
      <c r="Z955"/>
      <c r="AA955" t="s">
        <v>4556</v>
      </c>
      <c r="AB955" t="s">
        <v>4576</v>
      </c>
      <c r="AC955" t="s">
        <v>4353</v>
      </c>
      <c r="AD955" t="s">
        <v>4506</v>
      </c>
      <c r="AE955" t="s">
        <v>4515</v>
      </c>
      <c r="AF955" t="s">
        <v>4620</v>
      </c>
      <c r="AG955" t="s">
        <v>4515</v>
      </c>
      <c r="AH955" t="s">
        <v>4620</v>
      </c>
      <c r="AI955" t="s">
        <v>4353</v>
      </c>
      <c r="AJ955" t="s">
        <v>4506</v>
      </c>
      <c r="AK955" t="s">
        <v>4519</v>
      </c>
      <c r="AL955" t="s">
        <v>4552</v>
      </c>
      <c r="AM955" t="s">
        <v>4528</v>
      </c>
      <c r="AN955" t="s">
        <v>4618</v>
      </c>
      <c r="AO955" s="134">
        <v>109.421686746988</v>
      </c>
      <c r="AP955" s="135">
        <v>119.76348547717799</v>
      </c>
      <c r="AQ955">
        <v>0.365145228215768</v>
      </c>
      <c r="AR955" s="136">
        <v>1.3526970954356801</v>
      </c>
      <c r="AS955">
        <v>9.7593360995850595</v>
      </c>
      <c r="AU955"/>
      <c r="AV955"/>
      <c r="AW955"/>
      <c r="AX955"/>
    </row>
    <row r="956" spans="1:50" s="69" customFormat="1" ht="31">
      <c r="A956" s="65">
        <v>881</v>
      </c>
      <c r="B956" s="69" t="s">
        <v>2355</v>
      </c>
      <c r="C956" s="69" t="s">
        <v>59</v>
      </c>
      <c r="D956" s="31">
        <f t="shared" si="74"/>
        <v>5</v>
      </c>
      <c r="E956" s="69" t="s">
        <v>46</v>
      </c>
      <c r="F956" s="31">
        <f t="shared" si="75"/>
        <v>6</v>
      </c>
      <c r="G956" s="152" t="s">
        <v>2397</v>
      </c>
      <c r="H956" s="138">
        <v>15</v>
      </c>
      <c r="I956" s="92">
        <f t="shared" si="73"/>
        <v>0.43424109276203049</v>
      </c>
      <c r="J956" s="95">
        <v>0.18666400370587899</v>
      </c>
      <c r="K956" s="137">
        <v>0.80909090909090897</v>
      </c>
      <c r="L956" s="137">
        <v>0.68181818181818199</v>
      </c>
      <c r="M956" s="137">
        <v>1</v>
      </c>
      <c r="N956" s="136">
        <v>1</v>
      </c>
      <c r="O956" s="154">
        <v>42968</v>
      </c>
      <c r="P956" s="98">
        <f t="shared" si="76"/>
        <v>1</v>
      </c>
      <c r="Q956" s="111">
        <v>0</v>
      </c>
      <c r="R956" s="111">
        <v>0</v>
      </c>
      <c r="S956" s="111">
        <v>0</v>
      </c>
      <c r="T956" s="112" t="s">
        <v>73</v>
      </c>
      <c r="U956" s="169" t="s">
        <v>2398</v>
      </c>
      <c r="V956" s="137" t="s">
        <v>2399</v>
      </c>
      <c r="W956" s="69">
        <v>46</v>
      </c>
      <c r="X956" s="171">
        <v>1</v>
      </c>
      <c r="Y956" s="171">
        <v>0</v>
      </c>
      <c r="AA956" t="s">
        <v>4543</v>
      </c>
      <c r="AB956" t="s">
        <v>87</v>
      </c>
      <c r="AC956" t="s">
        <v>4515</v>
      </c>
      <c r="AD956" t="s">
        <v>4812</v>
      </c>
      <c r="AE956" t="s">
        <v>223</v>
      </c>
      <c r="AF956" t="s">
        <v>4648</v>
      </c>
      <c r="AG956" t="s">
        <v>223</v>
      </c>
      <c r="AH956" t="s">
        <v>4648</v>
      </c>
      <c r="AI956" t="s">
        <v>4353</v>
      </c>
      <c r="AJ956" t="s">
        <v>4506</v>
      </c>
      <c r="AK956" t="s">
        <v>4519</v>
      </c>
      <c r="AL956" t="s">
        <v>4519</v>
      </c>
      <c r="AM956" t="s">
        <v>4562</v>
      </c>
      <c r="AN956" t="s">
        <v>4563</v>
      </c>
      <c r="AO956" s="134">
        <v>109.802419354839</v>
      </c>
      <c r="AP956" s="135">
        <v>119.76348547717799</v>
      </c>
      <c r="AQ956">
        <v>0.365145228215768</v>
      </c>
      <c r="AR956" s="136">
        <v>1.3526970954356801</v>
      </c>
      <c r="AS956">
        <v>9.7593360995850595</v>
      </c>
      <c r="AU956"/>
      <c r="AV956"/>
      <c r="AW956"/>
      <c r="AX956"/>
    </row>
    <row r="957" spans="1:50" s="69" customFormat="1" ht="91">
      <c r="A957">
        <v>1103</v>
      </c>
      <c r="B957" s="69" t="s">
        <v>2948</v>
      </c>
      <c r="C957" s="69" t="s">
        <v>45</v>
      </c>
      <c r="D957" s="31">
        <f t="shared" si="74"/>
        <v>4</v>
      </c>
      <c r="E957" s="69" t="s">
        <v>80</v>
      </c>
      <c r="F957" s="31">
        <f t="shared" si="75"/>
        <v>4</v>
      </c>
      <c r="G957" s="139" t="s">
        <v>2996</v>
      </c>
      <c r="H957" s="138">
        <v>94</v>
      </c>
      <c r="I957" s="92">
        <f t="shared" si="73"/>
        <v>0.3756750568267207</v>
      </c>
      <c r="J957" s="95">
        <v>1.3501136534414E-3</v>
      </c>
      <c r="K957" s="137">
        <v>0.75102566813892102</v>
      </c>
      <c r="L957" s="137">
        <v>0.75</v>
      </c>
      <c r="M957" s="137">
        <v>0.75256417034730305</v>
      </c>
      <c r="N957" s="136">
        <v>1</v>
      </c>
      <c r="O957" s="157">
        <v>42968</v>
      </c>
      <c r="P957" s="98">
        <f t="shared" si="76"/>
        <v>0</v>
      </c>
      <c r="Q957" s="113">
        <v>0</v>
      </c>
      <c r="R957" s="113">
        <v>0</v>
      </c>
      <c r="S957" s="113">
        <v>0</v>
      </c>
      <c r="T957" s="119" t="s">
        <v>48</v>
      </c>
      <c r="U957" s="89" t="s">
        <v>2997</v>
      </c>
      <c r="V957" s="172" t="s">
        <v>2998</v>
      </c>
      <c r="W957" s="69">
        <v>125</v>
      </c>
      <c r="X957" s="69">
        <v>1</v>
      </c>
      <c r="Y957" s="69">
        <v>3</v>
      </c>
      <c r="AA957" t="s">
        <v>4522</v>
      </c>
      <c r="AB957" t="s">
        <v>4594</v>
      </c>
      <c r="AC957" t="s">
        <v>4515</v>
      </c>
      <c r="AD957" t="s">
        <v>4858</v>
      </c>
      <c r="AE957" t="s">
        <v>4515</v>
      </c>
      <c r="AF957" t="s">
        <v>4858</v>
      </c>
      <c r="AG957" t="s">
        <v>4353</v>
      </c>
      <c r="AH957" t="s">
        <v>4506</v>
      </c>
      <c r="AI957" t="s">
        <v>223</v>
      </c>
      <c r="AJ957" t="s">
        <v>4702</v>
      </c>
      <c r="AK957" t="s">
        <v>4518</v>
      </c>
      <c r="AL957" t="s">
        <v>4552</v>
      </c>
      <c r="AM957" t="s">
        <v>4510</v>
      </c>
      <c r="AN957" t="s">
        <v>4553</v>
      </c>
      <c r="AO957" s="134">
        <v>109.866396761134</v>
      </c>
      <c r="AP957" s="135">
        <v>119.76348547717799</v>
      </c>
      <c r="AQ957">
        <v>0.365145228215768</v>
      </c>
      <c r="AR957" s="136">
        <v>1.3526970954356801</v>
      </c>
      <c r="AS957">
        <v>9.7593360995850595</v>
      </c>
      <c r="AU957"/>
      <c r="AV957"/>
      <c r="AW957"/>
      <c r="AX957"/>
    </row>
    <row r="958" spans="1:50" s="69" customFormat="1" ht="46">
      <c r="A958" s="65">
        <v>861</v>
      </c>
      <c r="B958" s="69" t="s">
        <v>2287</v>
      </c>
      <c r="C958" s="69" t="s">
        <v>59</v>
      </c>
      <c r="D958" s="31">
        <f t="shared" si="74"/>
        <v>5</v>
      </c>
      <c r="E958" s="69" t="s">
        <v>46</v>
      </c>
      <c r="F958" s="31">
        <f t="shared" si="75"/>
        <v>6</v>
      </c>
      <c r="G958" s="137" t="s">
        <v>2340</v>
      </c>
      <c r="H958" s="138">
        <v>58</v>
      </c>
      <c r="I958" s="92">
        <f t="shared" si="73"/>
        <v>0.86750653816932399</v>
      </c>
      <c r="J958" s="95">
        <v>0.98501307633864799</v>
      </c>
      <c r="K958" s="137">
        <v>0.75102566813892102</v>
      </c>
      <c r="L958" s="137">
        <v>0.75</v>
      </c>
      <c r="M958" s="137">
        <v>0.75256417034730305</v>
      </c>
      <c r="N958" s="136">
        <v>1</v>
      </c>
      <c r="O958" s="154">
        <v>42965</v>
      </c>
      <c r="P958" s="98">
        <f t="shared" si="76"/>
        <v>2</v>
      </c>
      <c r="Q958" s="111">
        <v>0</v>
      </c>
      <c r="R958" s="111">
        <v>0</v>
      </c>
      <c r="S958" s="111">
        <v>0</v>
      </c>
      <c r="T958" s="112" t="s">
        <v>64</v>
      </c>
      <c r="U958" s="147" t="s">
        <v>2341</v>
      </c>
      <c r="V958" s="137" t="s">
        <v>2342</v>
      </c>
      <c r="W958" s="69">
        <v>37</v>
      </c>
      <c r="X958" s="171">
        <v>2</v>
      </c>
      <c r="Y958" s="171">
        <v>3</v>
      </c>
      <c r="AA958" t="s">
        <v>4564</v>
      </c>
      <c r="AB958" t="s">
        <v>4594</v>
      </c>
      <c r="AC958" t="s">
        <v>223</v>
      </c>
      <c r="AD958" t="s">
        <v>4737</v>
      </c>
      <c r="AE958" t="s">
        <v>223</v>
      </c>
      <c r="AF958" t="s">
        <v>4737</v>
      </c>
      <c r="AG958" t="s">
        <v>4353</v>
      </c>
      <c r="AH958" t="s">
        <v>4506</v>
      </c>
      <c r="AI958" t="s">
        <v>4353</v>
      </c>
      <c r="AJ958" t="s">
        <v>4506</v>
      </c>
      <c r="AK958" t="s">
        <v>4519</v>
      </c>
      <c r="AL958" t="s">
        <v>4519</v>
      </c>
      <c r="AM958" t="s">
        <v>4562</v>
      </c>
      <c r="AN958" t="s">
        <v>4563</v>
      </c>
      <c r="AO958" s="134">
        <v>110.07723577235799</v>
      </c>
      <c r="AP958" s="135">
        <v>119.075</v>
      </c>
      <c r="AQ958">
        <v>0.36666666666666697</v>
      </c>
      <c r="AR958" s="136">
        <v>1.35</v>
      </c>
      <c r="AS958">
        <v>9.75416666666667</v>
      </c>
      <c r="AU958"/>
      <c r="AV958"/>
      <c r="AW958"/>
      <c r="AX958"/>
    </row>
    <row r="959" spans="1:50" s="69" customFormat="1" ht="211">
      <c r="A959" s="65">
        <v>1161</v>
      </c>
      <c r="B959" s="69" t="s">
        <v>3117</v>
      </c>
      <c r="C959" s="69" t="s">
        <v>45</v>
      </c>
      <c r="D959" s="31">
        <f t="shared" si="74"/>
        <v>4</v>
      </c>
      <c r="E959" s="69" t="s">
        <v>46</v>
      </c>
      <c r="F959" s="31">
        <f t="shared" si="75"/>
        <v>6</v>
      </c>
      <c r="G959" s="139" t="s">
        <v>3130</v>
      </c>
      <c r="H959" s="138">
        <v>87</v>
      </c>
      <c r="I959" s="92">
        <f t="shared" si="73"/>
        <v>0.77646164800433048</v>
      </c>
      <c r="J959" s="95">
        <v>0.80292329600866097</v>
      </c>
      <c r="K959" s="137">
        <v>0.67857142857142805</v>
      </c>
      <c r="L959" s="137">
        <v>0.75</v>
      </c>
      <c r="M959" s="137">
        <v>0.57142857142857095</v>
      </c>
      <c r="N959" s="136">
        <v>1</v>
      </c>
      <c r="O959" s="157">
        <v>42961</v>
      </c>
      <c r="P959" s="98">
        <f t="shared" si="76"/>
        <v>1</v>
      </c>
      <c r="Q959" s="113">
        <v>0</v>
      </c>
      <c r="R959" s="113">
        <v>0</v>
      </c>
      <c r="S959" s="113">
        <v>0</v>
      </c>
      <c r="T959" s="119" t="s">
        <v>73</v>
      </c>
      <c r="U959" s="89" t="s">
        <v>3150</v>
      </c>
      <c r="V959" s="136" t="s">
        <v>3151</v>
      </c>
      <c r="W959" s="69">
        <v>279</v>
      </c>
      <c r="X959" s="69">
        <v>2</v>
      </c>
      <c r="Y959" s="69">
        <v>9</v>
      </c>
      <c r="AA959" t="s">
        <v>4564</v>
      </c>
      <c r="AB959" t="s">
        <v>4594</v>
      </c>
      <c r="AC959" t="s">
        <v>4513</v>
      </c>
      <c r="AD959" t="s">
        <v>4540</v>
      </c>
      <c r="AE959" t="s">
        <v>4513</v>
      </c>
      <c r="AF959" t="s">
        <v>4540</v>
      </c>
      <c r="AG959" t="s">
        <v>223</v>
      </c>
      <c r="AH959" t="s">
        <v>5050</v>
      </c>
      <c r="AI959" t="s">
        <v>223</v>
      </c>
      <c r="AJ959" t="s">
        <v>5050</v>
      </c>
      <c r="AK959" t="s">
        <v>4740</v>
      </c>
      <c r="AL959" t="s">
        <v>4519</v>
      </c>
      <c r="AM959" t="s">
        <v>4510</v>
      </c>
      <c r="AN959" t="s">
        <v>4741</v>
      </c>
      <c r="AO959" s="134">
        <v>110.171428571429</v>
      </c>
      <c r="AP959" s="135">
        <v>118.386554621849</v>
      </c>
      <c r="AQ959">
        <v>0.369747899159664</v>
      </c>
      <c r="AR959" s="136">
        <v>1.3445378151260501</v>
      </c>
      <c r="AS959">
        <v>9.6932773109243708</v>
      </c>
      <c r="AU959"/>
      <c r="AV959"/>
      <c r="AW959"/>
      <c r="AX959"/>
    </row>
    <row r="960" spans="1:50" s="69" customFormat="1" ht="226">
      <c r="A960">
        <v>1162</v>
      </c>
      <c r="B960" s="69" t="s">
        <v>3117</v>
      </c>
      <c r="C960" s="69" t="s">
        <v>45</v>
      </c>
      <c r="D960" s="31">
        <f t="shared" si="74"/>
        <v>4</v>
      </c>
      <c r="E960" s="69" t="s">
        <v>46</v>
      </c>
      <c r="F960" s="31">
        <f t="shared" si="75"/>
        <v>6</v>
      </c>
      <c r="G960" s="139" t="s">
        <v>3130</v>
      </c>
      <c r="H960" s="138">
        <v>111</v>
      </c>
      <c r="I960" s="92">
        <f t="shared" si="73"/>
        <v>0.37651258516037034</v>
      </c>
      <c r="J960" s="95">
        <v>3.0251703207406799E-3</v>
      </c>
      <c r="K960" s="137">
        <v>0.65205133627784295</v>
      </c>
      <c r="L960" s="137">
        <v>0.75</v>
      </c>
      <c r="M960" s="137">
        <v>0.50512834069460699</v>
      </c>
      <c r="N960" s="136">
        <v>1</v>
      </c>
      <c r="O960" s="157">
        <v>42958</v>
      </c>
      <c r="P960" s="98">
        <f t="shared" si="76"/>
        <v>1</v>
      </c>
      <c r="Q960" s="113">
        <v>2.5499999999999998</v>
      </c>
      <c r="R960" s="113">
        <v>1.65</v>
      </c>
      <c r="S960" s="113">
        <v>0</v>
      </c>
      <c r="T960" s="119" t="s">
        <v>73</v>
      </c>
      <c r="U960" s="89" t="s">
        <v>3152</v>
      </c>
      <c r="V960" s="136" t="s">
        <v>4470</v>
      </c>
      <c r="W960" s="69">
        <v>285</v>
      </c>
      <c r="X960" s="69">
        <v>2</v>
      </c>
      <c r="Y960" s="69">
        <v>12</v>
      </c>
      <c r="AA960" t="s">
        <v>4564</v>
      </c>
      <c r="AB960" t="s">
        <v>4594</v>
      </c>
      <c r="AC960" t="s">
        <v>4513</v>
      </c>
      <c r="AD960" t="s">
        <v>4847</v>
      </c>
      <c r="AE960" t="s">
        <v>4513</v>
      </c>
      <c r="AF960" t="s">
        <v>4847</v>
      </c>
      <c r="AG960" t="s">
        <v>223</v>
      </c>
      <c r="AH960" t="s">
        <v>4848</v>
      </c>
      <c r="AI960" t="s">
        <v>223</v>
      </c>
      <c r="AJ960" t="s">
        <v>4848</v>
      </c>
      <c r="AK960" t="s">
        <v>4591</v>
      </c>
      <c r="AL960" t="s">
        <v>4519</v>
      </c>
      <c r="AM960" t="s">
        <v>4520</v>
      </c>
      <c r="AN960" t="s">
        <v>4870</v>
      </c>
      <c r="AO960" s="134">
        <v>110.16803278688499</v>
      </c>
      <c r="AP960" s="135">
        <v>118.386554621849</v>
      </c>
      <c r="AQ960">
        <v>0.369747899159664</v>
      </c>
      <c r="AR960" s="136">
        <v>1.3445378151260501</v>
      </c>
      <c r="AS960">
        <v>9.6932773109243708</v>
      </c>
      <c r="AU960"/>
      <c r="AV960"/>
      <c r="AW960"/>
      <c r="AX960"/>
    </row>
    <row r="961" spans="1:50" s="69" customFormat="1" ht="211">
      <c r="A961">
        <v>1163</v>
      </c>
      <c r="B961" s="69" t="s">
        <v>3117</v>
      </c>
      <c r="C961" s="69" t="s">
        <v>45</v>
      </c>
      <c r="D961" s="31">
        <f t="shared" si="74"/>
        <v>4</v>
      </c>
      <c r="E961" s="69" t="s">
        <v>46</v>
      </c>
      <c r="F961" s="31">
        <f t="shared" si="75"/>
        <v>6</v>
      </c>
      <c r="G961" s="139" t="s">
        <v>3130</v>
      </c>
      <c r="H961" s="138">
        <v>74</v>
      </c>
      <c r="I961" s="92">
        <f t="shared" si="73"/>
        <v>0.50217129925947002</v>
      </c>
      <c r="J961" s="95">
        <v>0.25434259851893998</v>
      </c>
      <c r="K961" s="137">
        <v>0.65205133627784295</v>
      </c>
      <c r="L961" s="137">
        <v>0.75</v>
      </c>
      <c r="M961" s="137">
        <v>0.50512834069460699</v>
      </c>
      <c r="N961" s="136">
        <v>1</v>
      </c>
      <c r="O961" s="157">
        <v>42957</v>
      </c>
      <c r="P961" s="98">
        <f t="shared" si="76"/>
        <v>1</v>
      </c>
      <c r="Q961" s="113">
        <v>0</v>
      </c>
      <c r="R961" s="113">
        <v>1.65</v>
      </c>
      <c r="S961" s="113">
        <v>0</v>
      </c>
      <c r="T961" s="119" t="s">
        <v>73</v>
      </c>
      <c r="U961" s="89" t="s">
        <v>3153</v>
      </c>
      <c r="V961" s="136" t="s">
        <v>4471</v>
      </c>
      <c r="W961" s="69">
        <v>257</v>
      </c>
      <c r="X961" s="171">
        <v>2</v>
      </c>
      <c r="Y961" s="171">
        <v>12</v>
      </c>
      <c r="AA961" t="s">
        <v>4564</v>
      </c>
      <c r="AB961" t="s">
        <v>4992</v>
      </c>
      <c r="AC961" t="s">
        <v>223</v>
      </c>
      <c r="AD961" t="s">
        <v>5051</v>
      </c>
      <c r="AE961" t="s">
        <v>223</v>
      </c>
      <c r="AF961" t="s">
        <v>5051</v>
      </c>
      <c r="AG961" t="s">
        <v>4515</v>
      </c>
      <c r="AH961" t="s">
        <v>4681</v>
      </c>
      <c r="AI961" t="s">
        <v>4515</v>
      </c>
      <c r="AJ961" t="s">
        <v>4681</v>
      </c>
      <c r="AK961" t="s">
        <v>4591</v>
      </c>
      <c r="AL961" t="s">
        <v>4519</v>
      </c>
      <c r="AM961" t="s">
        <v>4520</v>
      </c>
      <c r="AN961" t="s">
        <v>4870</v>
      </c>
      <c r="AO961" s="134">
        <v>110.31687242798399</v>
      </c>
      <c r="AP961" s="135">
        <v>118.386554621849</v>
      </c>
      <c r="AQ961">
        <v>0.369747899159664</v>
      </c>
      <c r="AR961" s="136">
        <v>1.3445378151260501</v>
      </c>
      <c r="AS961">
        <v>9.6932773109243708</v>
      </c>
      <c r="AU961"/>
      <c r="AV961"/>
      <c r="AW961"/>
      <c r="AX961"/>
    </row>
    <row r="962" spans="1:50" s="69" customFormat="1" ht="61">
      <c r="A962" s="65">
        <v>1145</v>
      </c>
      <c r="B962" s="69" t="s">
        <v>3082</v>
      </c>
      <c r="C962" s="69" t="s">
        <v>59</v>
      </c>
      <c r="D962" s="31">
        <f t="shared" si="74"/>
        <v>5</v>
      </c>
      <c r="E962" s="69" t="s">
        <v>46</v>
      </c>
      <c r="F962" s="31">
        <f t="shared" si="75"/>
        <v>6</v>
      </c>
      <c r="G962" s="139" t="s">
        <v>3111</v>
      </c>
      <c r="H962" s="138">
        <v>59</v>
      </c>
      <c r="I962" s="92">
        <f t="shared" si="73"/>
        <v>0.5561193621468925</v>
      </c>
      <c r="J962" s="95">
        <v>0.43042054247560302</v>
      </c>
      <c r="K962" s="137">
        <v>0.75194805194805203</v>
      </c>
      <c r="L962" s="137">
        <v>0.68181818181818199</v>
      </c>
      <c r="M962" s="137">
        <v>0.85714285714285698</v>
      </c>
      <c r="N962" s="136">
        <v>0</v>
      </c>
      <c r="O962" s="157">
        <v>42955</v>
      </c>
      <c r="P962" s="98">
        <f t="shared" si="76"/>
        <v>2</v>
      </c>
      <c r="Q962" s="113">
        <v>2.5499999999999998</v>
      </c>
      <c r="R962" s="113">
        <v>0</v>
      </c>
      <c r="S962" s="113">
        <v>0</v>
      </c>
      <c r="T962" s="119" t="s">
        <v>64</v>
      </c>
      <c r="U962" s="89" t="s">
        <v>3112</v>
      </c>
      <c r="V962" s="172" t="s">
        <v>3113</v>
      </c>
      <c r="W962" s="69">
        <v>85</v>
      </c>
      <c r="X962" s="69">
        <v>2</v>
      </c>
      <c r="Y962" s="69">
        <v>1</v>
      </c>
      <c r="AA962" t="s">
        <v>4543</v>
      </c>
      <c r="AB962" t="s">
        <v>51</v>
      </c>
      <c r="AC962" t="s">
        <v>223</v>
      </c>
      <c r="AD962" t="s">
        <v>4540</v>
      </c>
      <c r="AE962" t="s">
        <v>4538</v>
      </c>
      <c r="AF962" t="s">
        <v>4539</v>
      </c>
      <c r="AG962" t="s">
        <v>4353</v>
      </c>
      <c r="AH962" t="s">
        <v>4506</v>
      </c>
      <c r="AI962" t="s">
        <v>4353</v>
      </c>
      <c r="AJ962" t="s">
        <v>4506</v>
      </c>
      <c r="AK962" t="s">
        <v>4519</v>
      </c>
      <c r="AL962" t="s">
        <v>4519</v>
      </c>
      <c r="AM962" t="s">
        <v>4562</v>
      </c>
      <c r="AN962" t="s">
        <v>4563</v>
      </c>
      <c r="AO962" s="134">
        <v>110.52892561983499</v>
      </c>
      <c r="AP962" s="135">
        <v>118.66382978723399</v>
      </c>
      <c r="AQ962">
        <v>0.36170212765957399</v>
      </c>
      <c r="AR962" s="136">
        <v>1.34893617021277</v>
      </c>
      <c r="AS962">
        <v>9.7702127659574494</v>
      </c>
      <c r="AU962"/>
      <c r="AV962"/>
      <c r="AW962"/>
      <c r="AX962"/>
    </row>
    <row r="963" spans="1:50" s="69" customFormat="1" ht="136">
      <c r="A963">
        <v>882</v>
      </c>
      <c r="B963" s="69" t="s">
        <v>2355</v>
      </c>
      <c r="C963" s="69" t="s">
        <v>45</v>
      </c>
      <c r="D963" s="31">
        <f t="shared" si="74"/>
        <v>4</v>
      </c>
      <c r="E963" s="69" t="s">
        <v>46</v>
      </c>
      <c r="F963" s="31">
        <f t="shared" si="75"/>
        <v>6</v>
      </c>
      <c r="G963" s="137" t="s">
        <v>2400</v>
      </c>
      <c r="H963" s="138">
        <v>262</v>
      </c>
      <c r="I963" s="92">
        <f t="shared" si="73"/>
        <v>0.16222709947528149</v>
      </c>
      <c r="J963" s="95">
        <v>6.3809851712E-3</v>
      </c>
      <c r="K963" s="137">
        <v>0.37703493473767902</v>
      </c>
      <c r="L963" s="137">
        <v>0.31807321377936298</v>
      </c>
      <c r="M963" s="137">
        <v>0.46547751617515098</v>
      </c>
      <c r="N963" s="136">
        <v>1</v>
      </c>
      <c r="O963" s="154">
        <v>42954</v>
      </c>
      <c r="P963" s="98">
        <f t="shared" si="76"/>
        <v>0</v>
      </c>
      <c r="Q963" s="111">
        <v>0</v>
      </c>
      <c r="R963" s="111">
        <v>0</v>
      </c>
      <c r="S963" s="111">
        <v>0</v>
      </c>
      <c r="T963" s="112" t="s">
        <v>48</v>
      </c>
      <c r="U963" s="137" t="s">
        <v>2401</v>
      </c>
      <c r="V963" s="137" t="s">
        <v>2402</v>
      </c>
      <c r="W963" s="69">
        <v>76</v>
      </c>
      <c r="X963" s="69">
        <v>3</v>
      </c>
      <c r="Y963" s="69">
        <v>14</v>
      </c>
      <c r="AA963" t="s">
        <v>4832</v>
      </c>
      <c r="AB963" t="s">
        <v>67</v>
      </c>
      <c r="AC963" t="s">
        <v>4353</v>
      </c>
      <c r="AD963" t="s">
        <v>4506</v>
      </c>
      <c r="AE963" t="s">
        <v>4353</v>
      </c>
      <c r="AF963" t="s">
        <v>4506</v>
      </c>
      <c r="AG963" t="s">
        <v>4353</v>
      </c>
      <c r="AH963" t="s">
        <v>4506</v>
      </c>
      <c r="AI963" t="s">
        <v>4353</v>
      </c>
      <c r="AJ963" t="s">
        <v>4506</v>
      </c>
      <c r="AK963" t="s">
        <v>4519</v>
      </c>
      <c r="AL963" t="s">
        <v>4519</v>
      </c>
      <c r="AM963" t="s">
        <v>4528</v>
      </c>
      <c r="AN963" t="s">
        <v>4529</v>
      </c>
      <c r="AO963" s="134">
        <v>109.900414937759</v>
      </c>
      <c r="AP963" s="135">
        <v>118.66382978723399</v>
      </c>
      <c r="AQ963">
        <v>0.36170212765957399</v>
      </c>
      <c r="AR963" s="136">
        <v>1.34893617021277</v>
      </c>
      <c r="AS963">
        <v>9.7702127659574494</v>
      </c>
      <c r="AU963"/>
      <c r="AV963"/>
      <c r="AW963"/>
      <c r="AX963"/>
    </row>
    <row r="964" spans="1:50" s="69" customFormat="1" ht="226">
      <c r="A964" s="65">
        <v>1164</v>
      </c>
      <c r="B964" s="69" t="s">
        <v>3117</v>
      </c>
      <c r="C964" s="69" t="s">
        <v>45</v>
      </c>
      <c r="D964" s="31">
        <f t="shared" si="74"/>
        <v>4</v>
      </c>
      <c r="E964" s="69" t="s">
        <v>46</v>
      </c>
      <c r="F964" s="31">
        <f t="shared" si="75"/>
        <v>6</v>
      </c>
      <c r="G964" s="139" t="s">
        <v>3130</v>
      </c>
      <c r="H964" s="138">
        <v>121</v>
      </c>
      <c r="I964" s="92">
        <f t="shared" ref="I964:I1027" si="77">(J964+L964)/2</f>
        <v>0.37543487699423878</v>
      </c>
      <c r="J964" s="95">
        <v>8.6975398847755102E-4</v>
      </c>
      <c r="K964" s="137">
        <v>0.66047858340826304</v>
      </c>
      <c r="L964" s="137">
        <v>0.75</v>
      </c>
      <c r="M964" s="137">
        <v>0.526196458520657</v>
      </c>
      <c r="N964" s="136">
        <v>1</v>
      </c>
      <c r="O964" s="157">
        <v>42954</v>
      </c>
      <c r="P964" s="98">
        <f t="shared" si="76"/>
        <v>1</v>
      </c>
      <c r="Q964" s="113">
        <v>2.5499999999999998</v>
      </c>
      <c r="R964" s="113">
        <v>1.65</v>
      </c>
      <c r="S964" s="113">
        <v>0</v>
      </c>
      <c r="T964" s="119" t="s">
        <v>73</v>
      </c>
      <c r="U964" s="89" t="s">
        <v>3155</v>
      </c>
      <c r="V964" s="136" t="s">
        <v>4470</v>
      </c>
      <c r="W964" s="69">
        <v>285</v>
      </c>
      <c r="X964" s="69">
        <v>2</v>
      </c>
      <c r="Y964" s="69">
        <v>11</v>
      </c>
      <c r="AA964" t="s">
        <v>4543</v>
      </c>
      <c r="AB964" t="s">
        <v>4594</v>
      </c>
      <c r="AC964" t="s">
        <v>4513</v>
      </c>
      <c r="AD964" t="s">
        <v>4847</v>
      </c>
      <c r="AE964" t="s">
        <v>4513</v>
      </c>
      <c r="AF964" t="s">
        <v>4847</v>
      </c>
      <c r="AG964" t="s">
        <v>223</v>
      </c>
      <c r="AH964" t="s">
        <v>4848</v>
      </c>
      <c r="AI964" t="s">
        <v>223</v>
      </c>
      <c r="AJ964" t="s">
        <v>4848</v>
      </c>
      <c r="AK964" t="s">
        <v>4740</v>
      </c>
      <c r="AL964" t="s">
        <v>4509</v>
      </c>
      <c r="AM964" t="s">
        <v>4671</v>
      </c>
      <c r="AN964" t="s">
        <v>5030</v>
      </c>
      <c r="AO964" s="134">
        <v>109.854166666667</v>
      </c>
      <c r="AP964" s="135">
        <v>118.66382978723399</v>
      </c>
      <c r="AQ964">
        <v>0.36170212765957399</v>
      </c>
      <c r="AR964" s="136">
        <v>1.34893617021277</v>
      </c>
      <c r="AS964">
        <v>9.7702127659574494</v>
      </c>
      <c r="AU964"/>
      <c r="AV964"/>
      <c r="AW964"/>
      <c r="AX964"/>
    </row>
    <row r="965" spans="1:50" s="69" customFormat="1" ht="121">
      <c r="A965" s="65">
        <v>137</v>
      </c>
      <c r="B965" s="69" t="s">
        <v>217</v>
      </c>
      <c r="C965" s="69" t="s">
        <v>45</v>
      </c>
      <c r="D965" s="31">
        <f t="shared" si="74"/>
        <v>4</v>
      </c>
      <c r="E965" s="69" t="s">
        <v>46</v>
      </c>
      <c r="F965" s="31">
        <f t="shared" si="75"/>
        <v>6</v>
      </c>
      <c r="G965" s="137" t="s">
        <v>436</v>
      </c>
      <c r="H965" s="138">
        <v>203</v>
      </c>
      <c r="I965" s="92">
        <f t="shared" si="77"/>
        <v>0.73284446721755747</v>
      </c>
      <c r="J965" s="95">
        <v>0.999997942140749</v>
      </c>
      <c r="K965" s="137">
        <v>0.43033465574572399</v>
      </c>
      <c r="L965" s="137">
        <v>0.465690992294366</v>
      </c>
      <c r="M965" s="137">
        <v>0.37730015092276098</v>
      </c>
      <c r="N965" s="136">
        <v>1</v>
      </c>
      <c r="O965" s="154">
        <v>42952</v>
      </c>
      <c r="P965" s="98">
        <f t="shared" si="76"/>
        <v>0</v>
      </c>
      <c r="Q965" s="111">
        <v>0</v>
      </c>
      <c r="R965" s="111">
        <v>1.65</v>
      </c>
      <c r="S965" s="111">
        <v>0</v>
      </c>
      <c r="T965" s="112" t="s">
        <v>48</v>
      </c>
      <c r="U965" s="137" t="s">
        <v>437</v>
      </c>
      <c r="V965" s="137" t="s">
        <v>438</v>
      </c>
      <c r="W965" s="69">
        <v>157</v>
      </c>
      <c r="X965" s="69">
        <v>2</v>
      </c>
      <c r="Y965" s="69">
        <v>19</v>
      </c>
      <c r="Z965"/>
      <c r="AA965" t="s">
        <v>4599</v>
      </c>
      <c r="AB965" t="s">
        <v>4732</v>
      </c>
      <c r="AC965" t="s">
        <v>223</v>
      </c>
      <c r="AD965" t="s">
        <v>4712</v>
      </c>
      <c r="AE965" t="s">
        <v>223</v>
      </c>
      <c r="AF965" t="s">
        <v>4712</v>
      </c>
      <c r="AG965" t="s">
        <v>223</v>
      </c>
      <c r="AH965" t="s">
        <v>4712</v>
      </c>
      <c r="AI965" t="s">
        <v>4353</v>
      </c>
      <c r="AJ965" t="s">
        <v>4506</v>
      </c>
      <c r="AK965" t="s">
        <v>4519</v>
      </c>
      <c r="AL965" t="s">
        <v>4552</v>
      </c>
      <c r="AM965" t="s">
        <v>4562</v>
      </c>
      <c r="AN965" t="s">
        <v>4742</v>
      </c>
      <c r="AO965" s="134">
        <v>109.464435146444</v>
      </c>
      <c r="AP965" s="135">
        <v>118.66382978723399</v>
      </c>
      <c r="AQ965">
        <v>0.36170212765957399</v>
      </c>
      <c r="AR965" s="136">
        <v>1.34893617021277</v>
      </c>
      <c r="AS965">
        <v>9.7702127659574494</v>
      </c>
      <c r="AU965"/>
      <c r="AV965"/>
      <c r="AW965"/>
      <c r="AX965"/>
    </row>
    <row r="966" spans="1:50" s="69" customFormat="1" ht="105">
      <c r="A966">
        <v>1035</v>
      </c>
      <c r="B966" s="69" t="s">
        <v>2752</v>
      </c>
      <c r="C966" s="69" t="s">
        <v>59</v>
      </c>
      <c r="D966" s="31">
        <f t="shared" si="74"/>
        <v>5</v>
      </c>
      <c r="E966" s="69" t="s">
        <v>80</v>
      </c>
      <c r="F966" s="31">
        <f t="shared" si="75"/>
        <v>4</v>
      </c>
      <c r="G966" s="89" t="s">
        <v>2807</v>
      </c>
      <c r="H966" s="138">
        <v>35</v>
      </c>
      <c r="I966" s="92">
        <f t="shared" si="77"/>
        <v>0.8032643730107335</v>
      </c>
      <c r="J966" s="95">
        <v>0.856528746021467</v>
      </c>
      <c r="K966" s="137">
        <v>0.73571428571428599</v>
      </c>
      <c r="L966" s="137">
        <v>0.75</v>
      </c>
      <c r="M966" s="137">
        <v>0.71428571428571397</v>
      </c>
      <c r="N966" s="136">
        <v>1</v>
      </c>
      <c r="O966" s="157">
        <v>42952</v>
      </c>
      <c r="P966" s="98">
        <f t="shared" si="76"/>
        <v>0</v>
      </c>
      <c r="Q966" s="113">
        <v>10.199999999999999</v>
      </c>
      <c r="R966" s="113">
        <v>0</v>
      </c>
      <c r="S966" s="113">
        <v>0</v>
      </c>
      <c r="T966" s="119" t="s">
        <v>48</v>
      </c>
      <c r="U966" s="91" t="s">
        <v>2808</v>
      </c>
      <c r="V966" s="172" t="s">
        <v>2809</v>
      </c>
      <c r="W966" s="69">
        <v>52</v>
      </c>
      <c r="X966" s="171">
        <v>2</v>
      </c>
      <c r="Y966" s="171">
        <v>4</v>
      </c>
      <c r="AA966" t="s">
        <v>4603</v>
      </c>
      <c r="AB966" t="s">
        <v>67</v>
      </c>
      <c r="AC966" t="s">
        <v>4353</v>
      </c>
      <c r="AD966" t="s">
        <v>4506</v>
      </c>
      <c r="AE966" t="s">
        <v>4353</v>
      </c>
      <c r="AF966" t="s">
        <v>4506</v>
      </c>
      <c r="AG966" t="s">
        <v>4353</v>
      </c>
      <c r="AH966" t="s">
        <v>4506</v>
      </c>
      <c r="AI966" t="s">
        <v>4353</v>
      </c>
      <c r="AJ966" t="s">
        <v>4506</v>
      </c>
      <c r="AK966" t="s">
        <v>4519</v>
      </c>
      <c r="AL966" t="s">
        <v>4519</v>
      </c>
      <c r="AM966" t="s">
        <v>4528</v>
      </c>
      <c r="AN966" t="s">
        <v>4529</v>
      </c>
      <c r="AO966" s="134">
        <v>109.77731092437</v>
      </c>
      <c r="AP966" s="135">
        <v>118.66382978723399</v>
      </c>
      <c r="AQ966">
        <v>0.36170212765957399</v>
      </c>
      <c r="AR966" s="136">
        <v>1.34893617021277</v>
      </c>
      <c r="AS966">
        <v>9.7702127659574494</v>
      </c>
      <c r="AU966"/>
      <c r="AV966"/>
      <c r="AW966"/>
      <c r="AX966"/>
    </row>
    <row r="967" spans="1:50" s="69" customFormat="1" ht="211">
      <c r="A967" s="65">
        <v>1165</v>
      </c>
      <c r="B967" s="69" t="s">
        <v>3117</v>
      </c>
      <c r="C967" s="69" t="s">
        <v>45</v>
      </c>
      <c r="D967" s="31">
        <f t="shared" si="74"/>
        <v>4</v>
      </c>
      <c r="E967" s="69" t="s">
        <v>46</v>
      </c>
      <c r="F967" s="31">
        <f t="shared" si="75"/>
        <v>6</v>
      </c>
      <c r="G967" s="191" t="s">
        <v>3156</v>
      </c>
      <c r="H967" s="138">
        <v>82</v>
      </c>
      <c r="I967" s="92">
        <f t="shared" si="77"/>
        <v>0.48550551446610701</v>
      </c>
      <c r="J967" s="95">
        <v>0.221011028932214</v>
      </c>
      <c r="K967" s="137">
        <v>0.65205133627784295</v>
      </c>
      <c r="L967" s="137">
        <v>0.75</v>
      </c>
      <c r="M967" s="137">
        <v>0.50512834069460699</v>
      </c>
      <c r="N967" s="136">
        <v>1</v>
      </c>
      <c r="O967" s="157">
        <v>42950</v>
      </c>
      <c r="P967" s="98">
        <f t="shared" si="76"/>
        <v>1</v>
      </c>
      <c r="Q967" s="113">
        <v>5.0999999999999996</v>
      </c>
      <c r="R967" s="113">
        <v>1.65</v>
      </c>
      <c r="S967" s="113">
        <v>0</v>
      </c>
      <c r="T967" s="119" t="s">
        <v>73</v>
      </c>
      <c r="U967" s="89" t="s">
        <v>3157</v>
      </c>
      <c r="V967" s="136" t="s">
        <v>4472</v>
      </c>
      <c r="W967" s="69">
        <v>284</v>
      </c>
      <c r="X967" s="171">
        <v>2</v>
      </c>
      <c r="Y967" s="171">
        <v>12</v>
      </c>
      <c r="AA967" t="s">
        <v>4564</v>
      </c>
      <c r="AB967" t="s">
        <v>4594</v>
      </c>
      <c r="AC967" t="s">
        <v>4513</v>
      </c>
      <c r="AD967" t="s">
        <v>4693</v>
      </c>
      <c r="AE967" t="s">
        <v>4513</v>
      </c>
      <c r="AF967" t="s">
        <v>4693</v>
      </c>
      <c r="AG967" t="s">
        <v>223</v>
      </c>
      <c r="AH967" t="s">
        <v>4866</v>
      </c>
      <c r="AI967" t="s">
        <v>223</v>
      </c>
      <c r="AJ967" t="s">
        <v>4866</v>
      </c>
      <c r="AK967" t="s">
        <v>4591</v>
      </c>
      <c r="AL967" t="s">
        <v>4519</v>
      </c>
      <c r="AM967" t="s">
        <v>4520</v>
      </c>
      <c r="AN967" t="s">
        <v>4870</v>
      </c>
      <c r="AO967" s="134">
        <v>109.89451476793199</v>
      </c>
      <c r="AP967" s="135">
        <v>117.331896551724</v>
      </c>
      <c r="AQ967">
        <v>0.36637931034482801</v>
      </c>
      <c r="AR967" s="136">
        <v>1.3448275862068999</v>
      </c>
      <c r="AS967">
        <v>9.8620689655172402</v>
      </c>
      <c r="AU967"/>
      <c r="AV967"/>
      <c r="AW967"/>
      <c r="AX967"/>
    </row>
    <row r="968" spans="1:50" s="69" customFormat="1" ht="76">
      <c r="A968" s="65">
        <v>380</v>
      </c>
      <c r="B968" s="69" t="s">
        <v>589</v>
      </c>
      <c r="C968" s="69" t="s">
        <v>59</v>
      </c>
      <c r="D968" s="31">
        <f t="shared" si="74"/>
        <v>5</v>
      </c>
      <c r="E968" s="69" t="s">
        <v>46</v>
      </c>
      <c r="F968" s="31">
        <f t="shared" si="75"/>
        <v>6</v>
      </c>
      <c r="G968" s="137" t="s">
        <v>1098</v>
      </c>
      <c r="H968" s="138">
        <v>92</v>
      </c>
      <c r="I968" s="92">
        <f t="shared" si="77"/>
        <v>0.83709948522936606</v>
      </c>
      <c r="J968" s="95">
        <v>0.99238078864055002</v>
      </c>
      <c r="K968" s="137">
        <v>0.75194805194805203</v>
      </c>
      <c r="L968" s="137">
        <v>0.68181818181818199</v>
      </c>
      <c r="M968" s="137">
        <v>0.85714285714285698</v>
      </c>
      <c r="N968" s="136">
        <v>1</v>
      </c>
      <c r="O968" s="154">
        <v>42949</v>
      </c>
      <c r="P968" s="98">
        <f t="shared" si="76"/>
        <v>0</v>
      </c>
      <c r="Q968" s="111">
        <v>2.5499999999999998</v>
      </c>
      <c r="R968" s="111">
        <v>0</v>
      </c>
      <c r="S968" s="111">
        <v>0</v>
      </c>
      <c r="T968" s="112" t="s">
        <v>48</v>
      </c>
      <c r="U968" s="137" t="s">
        <v>1099</v>
      </c>
      <c r="V968" s="137" t="s">
        <v>1100</v>
      </c>
      <c r="W968" s="69">
        <v>95</v>
      </c>
      <c r="X968" s="69">
        <v>1</v>
      </c>
      <c r="Y968" s="69">
        <v>1</v>
      </c>
      <c r="Z968"/>
      <c r="AA968" t="s">
        <v>4564</v>
      </c>
      <c r="AB968" t="s">
        <v>4597</v>
      </c>
      <c r="AC968" t="s">
        <v>223</v>
      </c>
      <c r="AD968" t="s">
        <v>4606</v>
      </c>
      <c r="AE968" t="s">
        <v>4353</v>
      </c>
      <c r="AF968" t="s">
        <v>4506</v>
      </c>
      <c r="AG968" t="s">
        <v>223</v>
      </c>
      <c r="AH968" t="s">
        <v>4606</v>
      </c>
      <c r="AI968" t="s">
        <v>4353</v>
      </c>
      <c r="AJ968" t="s">
        <v>4506</v>
      </c>
      <c r="AK968" t="s">
        <v>4519</v>
      </c>
      <c r="AL968" t="s">
        <v>4519</v>
      </c>
      <c r="AM968" t="s">
        <v>4528</v>
      </c>
      <c r="AN968" t="s">
        <v>4529</v>
      </c>
      <c r="AO968" s="134">
        <v>109.58898305084701</v>
      </c>
      <c r="AP968" s="135">
        <v>114.429824561404</v>
      </c>
      <c r="AQ968">
        <v>0.37280701754385998</v>
      </c>
      <c r="AR968" s="136">
        <v>1.3333333333333299</v>
      </c>
      <c r="AS968">
        <v>9.8903508771929793</v>
      </c>
      <c r="AU968"/>
      <c r="AV968"/>
      <c r="AW968"/>
      <c r="AX968"/>
    </row>
    <row r="969" spans="1:50" s="69" customFormat="1" ht="106">
      <c r="A969" s="65">
        <v>185</v>
      </c>
      <c r="B969" s="69" t="s">
        <v>499</v>
      </c>
      <c r="C969" s="69" t="s">
        <v>119</v>
      </c>
      <c r="D969" s="31">
        <f t="shared" si="74"/>
        <v>1</v>
      </c>
      <c r="E969" s="69" t="s">
        <v>80</v>
      </c>
      <c r="F969" s="31">
        <f t="shared" si="75"/>
        <v>4</v>
      </c>
      <c r="G969" s="147" t="s">
        <v>569</v>
      </c>
      <c r="H969" s="138">
        <v>182</v>
      </c>
      <c r="I969" s="92">
        <f t="shared" si="77"/>
        <v>0.37605228573721949</v>
      </c>
      <c r="J969" s="95">
        <v>2.1045714744389898E-3</v>
      </c>
      <c r="K969" s="137">
        <v>0.71002915755524698</v>
      </c>
      <c r="L969" s="137">
        <v>0.75</v>
      </c>
      <c r="M969" s="137">
        <v>0.65007289388811795</v>
      </c>
      <c r="N969" s="136">
        <v>1</v>
      </c>
      <c r="O969" s="154">
        <v>42949</v>
      </c>
      <c r="P969" s="98">
        <f t="shared" si="76"/>
        <v>1</v>
      </c>
      <c r="Q969" s="111">
        <v>2.5499999999999998</v>
      </c>
      <c r="R969" s="111">
        <v>4.95</v>
      </c>
      <c r="S969" s="111">
        <v>0</v>
      </c>
      <c r="T969" s="112" t="s">
        <v>73</v>
      </c>
      <c r="U969" s="147" t="s">
        <v>570</v>
      </c>
      <c r="V969" s="137" t="s">
        <v>571</v>
      </c>
      <c r="W969" s="69">
        <v>153</v>
      </c>
      <c r="X969" s="171">
        <v>2</v>
      </c>
      <c r="Y969" s="171">
        <v>6</v>
      </c>
      <c r="Z969"/>
      <c r="AA969" t="s">
        <v>4673</v>
      </c>
      <c r="AB969" t="s">
        <v>4594</v>
      </c>
      <c r="AC969" t="s">
        <v>223</v>
      </c>
      <c r="AD969" t="s">
        <v>4536</v>
      </c>
      <c r="AE969" t="s">
        <v>223</v>
      </c>
      <c r="AF969" t="s">
        <v>4536</v>
      </c>
      <c r="AG969" t="s">
        <v>4353</v>
      </c>
      <c r="AH969" t="s">
        <v>4506</v>
      </c>
      <c r="AI969" t="s">
        <v>4353</v>
      </c>
      <c r="AJ969" t="s">
        <v>4506</v>
      </c>
      <c r="AK969" t="s">
        <v>4518</v>
      </c>
      <c r="AL969" t="s">
        <v>4552</v>
      </c>
      <c r="AM969" t="s">
        <v>4562</v>
      </c>
      <c r="AN969" t="s">
        <v>4855</v>
      </c>
      <c r="AO969" s="134">
        <v>109.66382978723399</v>
      </c>
      <c r="AP969" s="135">
        <v>114.429824561404</v>
      </c>
      <c r="AQ969">
        <v>0.37280701754385998</v>
      </c>
      <c r="AR969" s="136">
        <v>1.3333333333333299</v>
      </c>
      <c r="AS969">
        <v>9.8903508771929793</v>
      </c>
      <c r="AU969"/>
      <c r="AV969"/>
      <c r="AW969"/>
      <c r="AX969"/>
    </row>
    <row r="970" spans="1:50" s="69" customFormat="1" ht="226">
      <c r="A970">
        <v>1166</v>
      </c>
      <c r="B970" s="69" t="s">
        <v>3117</v>
      </c>
      <c r="C970" s="69" t="s">
        <v>45</v>
      </c>
      <c r="D970" s="31">
        <f t="shared" si="74"/>
        <v>4</v>
      </c>
      <c r="E970" s="69" t="s">
        <v>46</v>
      </c>
      <c r="F970" s="31">
        <f t="shared" si="75"/>
        <v>6</v>
      </c>
      <c r="G970" s="139" t="s">
        <v>3130</v>
      </c>
      <c r="H970" s="138">
        <v>82</v>
      </c>
      <c r="I970" s="92">
        <f t="shared" si="77"/>
        <v>0.38242739106088114</v>
      </c>
      <c r="J970" s="95">
        <v>1.48547821217623E-2</v>
      </c>
      <c r="K970" s="137">
        <v>0.76918779643582302</v>
      </c>
      <c r="L970" s="137">
        <v>0.75</v>
      </c>
      <c r="M970" s="137">
        <v>0.79796949108955795</v>
      </c>
      <c r="N970" s="136">
        <v>1</v>
      </c>
      <c r="O970" s="157">
        <v>42948</v>
      </c>
      <c r="P970" s="98">
        <f t="shared" si="76"/>
        <v>1</v>
      </c>
      <c r="Q970" s="113">
        <v>2.5499999999999998</v>
      </c>
      <c r="R970" s="113">
        <v>0</v>
      </c>
      <c r="S970" s="113">
        <v>0</v>
      </c>
      <c r="T970" s="119" t="s">
        <v>73</v>
      </c>
      <c r="U970" s="89" t="s">
        <v>3159</v>
      </c>
      <c r="V970" s="136" t="s">
        <v>4470</v>
      </c>
      <c r="W970" s="69">
        <v>285</v>
      </c>
      <c r="X970" s="69">
        <v>2</v>
      </c>
      <c r="Y970" s="69">
        <v>2</v>
      </c>
      <c r="AA970" t="s">
        <v>4564</v>
      </c>
      <c r="AB970" t="s">
        <v>4594</v>
      </c>
      <c r="AC970" t="s">
        <v>4513</v>
      </c>
      <c r="AD970" t="s">
        <v>4847</v>
      </c>
      <c r="AE970" t="s">
        <v>4513</v>
      </c>
      <c r="AF970" t="s">
        <v>4847</v>
      </c>
      <c r="AG970" t="s">
        <v>223</v>
      </c>
      <c r="AH970" t="s">
        <v>4848</v>
      </c>
      <c r="AI970" t="s">
        <v>223</v>
      </c>
      <c r="AJ970" t="s">
        <v>4848</v>
      </c>
      <c r="AK970" t="s">
        <v>4591</v>
      </c>
      <c r="AL970" t="s">
        <v>4519</v>
      </c>
      <c r="AM970" t="s">
        <v>4520</v>
      </c>
      <c r="AN970" t="s">
        <v>4870</v>
      </c>
      <c r="AO970" s="134">
        <v>109.782051282051</v>
      </c>
      <c r="AP970" s="135">
        <v>113.783185840708</v>
      </c>
      <c r="AQ970">
        <v>0.37610619469026502</v>
      </c>
      <c r="AR970" s="136">
        <v>1.33185840707965</v>
      </c>
      <c r="AS970">
        <v>9.8716814159291992</v>
      </c>
      <c r="AU970"/>
      <c r="AV970"/>
      <c r="AW970"/>
      <c r="AX970"/>
    </row>
    <row r="971" spans="1:50" s="69" customFormat="1" ht="226">
      <c r="A971">
        <v>1167</v>
      </c>
      <c r="B971" s="69" t="s">
        <v>3117</v>
      </c>
      <c r="C971" s="69" t="s">
        <v>45</v>
      </c>
      <c r="D971" s="31">
        <f t="shared" si="74"/>
        <v>4</v>
      </c>
      <c r="E971" s="69" t="s">
        <v>46</v>
      </c>
      <c r="F971" s="31">
        <f t="shared" si="75"/>
        <v>6</v>
      </c>
      <c r="G971" s="191" t="s">
        <v>3130</v>
      </c>
      <c r="H971" s="138">
        <v>97</v>
      </c>
      <c r="I971" s="92">
        <f t="shared" si="77"/>
        <v>0.37717342189223507</v>
      </c>
      <c r="J971" s="95">
        <v>4.3468437844701403E-3</v>
      </c>
      <c r="K971" s="137">
        <v>0.72222468700001197</v>
      </c>
      <c r="L971" s="137">
        <v>0.75</v>
      </c>
      <c r="M971" s="137">
        <v>0.68056171750003003</v>
      </c>
      <c r="N971" s="136">
        <v>1</v>
      </c>
      <c r="O971" s="157">
        <v>42945</v>
      </c>
      <c r="P971" s="98">
        <f t="shared" si="76"/>
        <v>1</v>
      </c>
      <c r="Q971" s="113">
        <v>5.0999999999999996</v>
      </c>
      <c r="R971" s="113">
        <v>0</v>
      </c>
      <c r="S971" s="113">
        <v>0</v>
      </c>
      <c r="T971" s="119" t="s">
        <v>73</v>
      </c>
      <c r="U971" s="89" t="s">
        <v>3160</v>
      </c>
      <c r="V971" s="136" t="s">
        <v>4470</v>
      </c>
      <c r="W971" s="69">
        <v>285</v>
      </c>
      <c r="X971" s="171">
        <v>2</v>
      </c>
      <c r="Y971" s="171">
        <v>5</v>
      </c>
      <c r="AA971" t="s">
        <v>4543</v>
      </c>
      <c r="AB971" t="s">
        <v>4594</v>
      </c>
      <c r="AC971" t="s">
        <v>4513</v>
      </c>
      <c r="AD971" t="s">
        <v>4847</v>
      </c>
      <c r="AE971" t="s">
        <v>4513</v>
      </c>
      <c r="AF971" t="s">
        <v>4847</v>
      </c>
      <c r="AG971" t="s">
        <v>223</v>
      </c>
      <c r="AH971" t="s">
        <v>4848</v>
      </c>
      <c r="AI971" t="s">
        <v>223</v>
      </c>
      <c r="AJ971" t="s">
        <v>4848</v>
      </c>
      <c r="AK971" t="s">
        <v>4740</v>
      </c>
      <c r="AL971" t="s">
        <v>4509</v>
      </c>
      <c r="AM971" t="s">
        <v>4520</v>
      </c>
      <c r="AN971" t="s">
        <v>4991</v>
      </c>
      <c r="AO971" s="134">
        <v>109.836909871245</v>
      </c>
      <c r="AP971" s="135">
        <v>113.06696428571399</v>
      </c>
      <c r="AQ971">
        <v>0.37946428571428598</v>
      </c>
      <c r="AR971" s="136">
        <v>1.3348214285714299</v>
      </c>
      <c r="AS971">
        <v>9.9151785714285694</v>
      </c>
      <c r="AU971"/>
      <c r="AV971"/>
      <c r="AW971"/>
      <c r="AX971"/>
    </row>
    <row r="972" spans="1:50" s="69" customFormat="1" ht="226">
      <c r="A972" s="65">
        <v>1168</v>
      </c>
      <c r="B972" s="69" t="s">
        <v>3117</v>
      </c>
      <c r="C972" s="69" t="s">
        <v>45</v>
      </c>
      <c r="D972" s="31">
        <f t="shared" si="74"/>
        <v>4</v>
      </c>
      <c r="E972" s="69" t="s">
        <v>46</v>
      </c>
      <c r="F972" s="31">
        <f t="shared" si="75"/>
        <v>6</v>
      </c>
      <c r="G972" s="139" t="s">
        <v>3161</v>
      </c>
      <c r="H972" s="138">
        <v>74</v>
      </c>
      <c r="I972" s="92">
        <f t="shared" si="77"/>
        <v>0.49844145429383951</v>
      </c>
      <c r="J972" s="95">
        <v>0.246882908587679</v>
      </c>
      <c r="K972" s="137">
        <v>0.72222468700001197</v>
      </c>
      <c r="L972" s="137">
        <v>0.75</v>
      </c>
      <c r="M972" s="137">
        <v>0.68056171750003003</v>
      </c>
      <c r="N972" s="136">
        <v>1</v>
      </c>
      <c r="O972" s="157">
        <v>42944</v>
      </c>
      <c r="P972" s="98">
        <f t="shared" si="76"/>
        <v>1</v>
      </c>
      <c r="Q972" s="113">
        <v>5.0999999999999996</v>
      </c>
      <c r="R972" s="113">
        <v>1.65</v>
      </c>
      <c r="S972" s="113">
        <v>0</v>
      </c>
      <c r="T972" s="119" t="s">
        <v>73</v>
      </c>
      <c r="U972" s="89" t="s">
        <v>3162</v>
      </c>
      <c r="V972" s="136" t="s">
        <v>4470</v>
      </c>
      <c r="W972" s="69">
        <v>285</v>
      </c>
      <c r="X972" s="69">
        <v>2</v>
      </c>
      <c r="Y972" s="69">
        <v>5</v>
      </c>
      <c r="AA972" t="s">
        <v>4564</v>
      </c>
      <c r="AB972" t="s">
        <v>4594</v>
      </c>
      <c r="AC972" t="s">
        <v>4513</v>
      </c>
      <c r="AD972" t="s">
        <v>4847</v>
      </c>
      <c r="AE972" t="s">
        <v>4513</v>
      </c>
      <c r="AF972" t="s">
        <v>4847</v>
      </c>
      <c r="AG972" t="s">
        <v>223</v>
      </c>
      <c r="AH972" t="s">
        <v>4848</v>
      </c>
      <c r="AI972" t="s">
        <v>223</v>
      </c>
      <c r="AJ972" t="s">
        <v>4848</v>
      </c>
      <c r="AK972" t="s">
        <v>4591</v>
      </c>
      <c r="AL972" t="s">
        <v>4519</v>
      </c>
      <c r="AM972" t="s">
        <v>4520</v>
      </c>
      <c r="AN972" t="s">
        <v>4870</v>
      </c>
      <c r="AO972" s="134">
        <v>109.991379310345</v>
      </c>
      <c r="AP972" s="135">
        <v>113.47533632287001</v>
      </c>
      <c r="AQ972">
        <v>0.38116591928251098</v>
      </c>
      <c r="AR972" s="136">
        <v>1.3363228699551599</v>
      </c>
      <c r="AS972">
        <v>9.9551569506726505</v>
      </c>
      <c r="AU972"/>
      <c r="AV972"/>
      <c r="AW972"/>
      <c r="AX972"/>
    </row>
    <row r="973" spans="1:50" s="69" customFormat="1" ht="61">
      <c r="A973">
        <v>883</v>
      </c>
      <c r="B973" s="69" t="s">
        <v>2355</v>
      </c>
      <c r="C973" s="69" t="s">
        <v>59</v>
      </c>
      <c r="D973" s="31">
        <f t="shared" si="74"/>
        <v>5</v>
      </c>
      <c r="E973" s="69" t="s">
        <v>46</v>
      </c>
      <c r="F973" s="31">
        <f t="shared" si="75"/>
        <v>6</v>
      </c>
      <c r="G973" s="137" t="s">
        <v>2403</v>
      </c>
      <c r="H973" s="138">
        <v>71</v>
      </c>
      <c r="I973" s="92">
        <f t="shared" si="77"/>
        <v>0.80809315553579253</v>
      </c>
      <c r="J973" s="95">
        <v>0.99635160032778303</v>
      </c>
      <c r="K973" s="137">
        <v>0.71475796930342395</v>
      </c>
      <c r="L973" s="137">
        <v>0.61983471074380203</v>
      </c>
      <c r="M973" s="137">
        <v>0.85714285714285698</v>
      </c>
      <c r="N973" s="136">
        <v>1</v>
      </c>
      <c r="O973" s="154">
        <v>42943</v>
      </c>
      <c r="P973" s="98">
        <f t="shared" si="76"/>
        <v>1</v>
      </c>
      <c r="Q973" s="107">
        <v>7.65</v>
      </c>
      <c r="R973" s="107">
        <v>1.65</v>
      </c>
      <c r="S973" s="107">
        <v>0</v>
      </c>
      <c r="T973" s="108" t="s">
        <v>73</v>
      </c>
      <c r="U973" s="137" t="s">
        <v>2404</v>
      </c>
      <c r="V973" s="137" t="s">
        <v>2405</v>
      </c>
      <c r="W973" s="69">
        <v>22</v>
      </c>
      <c r="X973" s="69">
        <v>1</v>
      </c>
      <c r="Y973" s="69">
        <v>1</v>
      </c>
      <c r="AA973" t="s">
        <v>4543</v>
      </c>
      <c r="AB973" t="s">
        <v>51</v>
      </c>
      <c r="AC973" t="s">
        <v>4353</v>
      </c>
      <c r="AD973" t="s">
        <v>4506</v>
      </c>
      <c r="AE973" t="s">
        <v>223</v>
      </c>
      <c r="AF973" t="s">
        <v>4723</v>
      </c>
      <c r="AG973" t="s">
        <v>4353</v>
      </c>
      <c r="AH973" t="s">
        <v>4506</v>
      </c>
      <c r="AI973" t="s">
        <v>4353</v>
      </c>
      <c r="AJ973" t="s">
        <v>4506</v>
      </c>
      <c r="AK973" t="s">
        <v>4519</v>
      </c>
      <c r="AL973" t="s">
        <v>4519</v>
      </c>
      <c r="AM973" t="s">
        <v>4562</v>
      </c>
      <c r="AN973" t="s">
        <v>4563</v>
      </c>
      <c r="AO973" s="134">
        <v>110.160173160173</v>
      </c>
      <c r="AP973" s="135">
        <v>112.716216216216</v>
      </c>
      <c r="AQ973">
        <v>0.38288288288288302</v>
      </c>
      <c r="AR973" s="136">
        <v>1.3333333333333299</v>
      </c>
      <c r="AS973">
        <v>9.9954954954955006</v>
      </c>
      <c r="AU973"/>
      <c r="AV973"/>
      <c r="AW973"/>
      <c r="AX973"/>
    </row>
    <row r="974" spans="1:50" s="69" customFormat="1" ht="226">
      <c r="A974" s="65">
        <v>1169</v>
      </c>
      <c r="B974" s="69" t="s">
        <v>3117</v>
      </c>
      <c r="C974" s="69" t="s">
        <v>45</v>
      </c>
      <c r="D974" s="31">
        <f t="shared" si="74"/>
        <v>4</v>
      </c>
      <c r="E974" s="69" t="s">
        <v>46</v>
      </c>
      <c r="F974" s="31">
        <f t="shared" si="75"/>
        <v>6</v>
      </c>
      <c r="G974" s="139" t="s">
        <v>3156</v>
      </c>
      <c r="H974" s="138">
        <v>90</v>
      </c>
      <c r="I974" s="92">
        <f t="shared" si="77"/>
        <v>0.38002386340698857</v>
      </c>
      <c r="J974" s="95">
        <v>1.0047726813977099E-2</v>
      </c>
      <c r="K974" s="137">
        <v>0.79285714285714304</v>
      </c>
      <c r="L974" s="137">
        <v>0.75</v>
      </c>
      <c r="M974" s="137">
        <v>0.85714285714285698</v>
      </c>
      <c r="N974" s="136">
        <v>1</v>
      </c>
      <c r="O974" s="157">
        <v>42942</v>
      </c>
      <c r="P974" s="98">
        <f t="shared" si="76"/>
        <v>1</v>
      </c>
      <c r="Q974" s="113">
        <v>2.5499999999999998</v>
      </c>
      <c r="R974" s="113">
        <v>0</v>
      </c>
      <c r="S974" s="113">
        <v>0</v>
      </c>
      <c r="T974" s="119" t="s">
        <v>73</v>
      </c>
      <c r="U974" s="89" t="s">
        <v>3163</v>
      </c>
      <c r="V974" s="136" t="s">
        <v>4473</v>
      </c>
      <c r="W974" s="69">
        <v>282</v>
      </c>
      <c r="X974" s="69">
        <v>2</v>
      </c>
      <c r="Y974" s="69">
        <v>1</v>
      </c>
      <c r="AA974" t="s">
        <v>4564</v>
      </c>
      <c r="AB974" t="s">
        <v>4594</v>
      </c>
      <c r="AC974" t="s">
        <v>4513</v>
      </c>
      <c r="AD974" t="s">
        <v>4807</v>
      </c>
      <c r="AE974" t="s">
        <v>4513</v>
      </c>
      <c r="AF974" t="s">
        <v>4807</v>
      </c>
      <c r="AG974" t="s">
        <v>223</v>
      </c>
      <c r="AH974" t="s">
        <v>4806</v>
      </c>
      <c r="AI974" t="s">
        <v>223</v>
      </c>
      <c r="AJ974" t="s">
        <v>4806</v>
      </c>
      <c r="AK974" t="s">
        <v>4740</v>
      </c>
      <c r="AL974" t="s">
        <v>4519</v>
      </c>
      <c r="AM974" t="s">
        <v>4520</v>
      </c>
      <c r="AN974" t="s">
        <v>4873</v>
      </c>
      <c r="AO974" s="134">
        <v>110.413043478261</v>
      </c>
      <c r="AP974" s="135">
        <v>109.62385321100901</v>
      </c>
      <c r="AQ974">
        <v>0.38990825688073399</v>
      </c>
      <c r="AR974" s="136">
        <v>1.3211009174311901</v>
      </c>
      <c r="AS974">
        <v>9.9816513761467895</v>
      </c>
      <c r="AU974"/>
      <c r="AV974"/>
      <c r="AW974"/>
      <c r="AX974"/>
    </row>
    <row r="975" spans="1:50" s="65" customFormat="1" ht="151">
      <c r="A975">
        <v>823</v>
      </c>
      <c r="B975" s="69" t="s">
        <v>2179</v>
      </c>
      <c r="C975" s="69" t="s">
        <v>45</v>
      </c>
      <c r="D975" s="31">
        <f t="shared" si="74"/>
        <v>4</v>
      </c>
      <c r="E975" s="69" t="s">
        <v>80</v>
      </c>
      <c r="F975" s="31">
        <f t="shared" si="75"/>
        <v>4</v>
      </c>
      <c r="G975" s="137" t="s">
        <v>2241</v>
      </c>
      <c r="H975" s="138">
        <v>52</v>
      </c>
      <c r="I975" s="92">
        <f t="shared" si="77"/>
        <v>0.37888486132421045</v>
      </c>
      <c r="J975" s="95">
        <v>7.7697226484209096E-3</v>
      </c>
      <c r="K975" s="137">
        <v>0.72222468700001197</v>
      </c>
      <c r="L975" s="137">
        <v>0.75</v>
      </c>
      <c r="M975" s="137">
        <v>0.68056171750003003</v>
      </c>
      <c r="N975" s="136">
        <v>1</v>
      </c>
      <c r="O975" s="199">
        <v>42942</v>
      </c>
      <c r="P975" s="98">
        <f t="shared" si="76"/>
        <v>0</v>
      </c>
      <c r="Q975" s="113">
        <v>0</v>
      </c>
      <c r="R975" s="113">
        <v>0</v>
      </c>
      <c r="S975" s="113">
        <v>0</v>
      </c>
      <c r="T975" s="114" t="s">
        <v>48</v>
      </c>
      <c r="U975" s="136" t="s">
        <v>2242</v>
      </c>
      <c r="V975" s="136" t="s">
        <v>2243</v>
      </c>
      <c r="W975" s="69">
        <v>219</v>
      </c>
      <c r="X975" s="69">
        <v>0</v>
      </c>
      <c r="Y975" s="69">
        <v>5</v>
      </c>
      <c r="Z975" s="69"/>
      <c r="AA975" t="s">
        <v>4543</v>
      </c>
      <c r="AB975" t="s">
        <v>87</v>
      </c>
      <c r="AC975" t="s">
        <v>4513</v>
      </c>
      <c r="AD975" t="s">
        <v>5052</v>
      </c>
      <c r="AE975" t="s">
        <v>223</v>
      </c>
      <c r="AF975" t="s">
        <v>5053</v>
      </c>
      <c r="AG975" t="s">
        <v>4515</v>
      </c>
      <c r="AH975" t="s">
        <v>4952</v>
      </c>
      <c r="AI975" t="s">
        <v>4353</v>
      </c>
      <c r="AJ975" t="s">
        <v>4506</v>
      </c>
      <c r="AK975" t="s">
        <v>4519</v>
      </c>
      <c r="AL975" t="s">
        <v>4552</v>
      </c>
      <c r="AM975" t="s">
        <v>4528</v>
      </c>
      <c r="AN975" t="s">
        <v>4618</v>
      </c>
      <c r="AO975" s="132">
        <v>109.419213973799</v>
      </c>
      <c r="AP975" s="133">
        <v>109.62385321100901</v>
      </c>
      <c r="AQ975" s="65">
        <v>0.38990825688073399</v>
      </c>
      <c r="AR975" s="65">
        <v>1.3211009174311901</v>
      </c>
      <c r="AS975" s="65">
        <v>9.9816513761467895</v>
      </c>
    </row>
    <row r="976" spans="1:50" s="65" customFormat="1" ht="180">
      <c r="A976" s="65">
        <v>1104</v>
      </c>
      <c r="B976" s="69" t="s">
        <v>2948</v>
      </c>
      <c r="C976" s="69" t="s">
        <v>45</v>
      </c>
      <c r="D976" s="31">
        <f t="shared" si="74"/>
        <v>4</v>
      </c>
      <c r="E976" s="69" t="s">
        <v>46</v>
      </c>
      <c r="F976" s="31">
        <f t="shared" si="75"/>
        <v>6</v>
      </c>
      <c r="G976" s="191" t="s">
        <v>359</v>
      </c>
      <c r="H976" s="138">
        <v>338</v>
      </c>
      <c r="I976" s="92">
        <f t="shared" si="77"/>
        <v>0.375</v>
      </c>
      <c r="J976" s="95">
        <v>0</v>
      </c>
      <c r="K976" s="137">
        <v>0.72222468700001197</v>
      </c>
      <c r="L976" s="137">
        <v>0.75</v>
      </c>
      <c r="M976" s="137">
        <v>0.68056171750003003</v>
      </c>
      <c r="N976" s="136">
        <v>1</v>
      </c>
      <c r="O976" s="157">
        <v>42942</v>
      </c>
      <c r="P976" s="98">
        <f t="shared" si="76"/>
        <v>0</v>
      </c>
      <c r="Q976" s="113">
        <v>5.0999999999999996</v>
      </c>
      <c r="R976" s="113">
        <v>0</v>
      </c>
      <c r="S976" s="113">
        <v>0</v>
      </c>
      <c r="T976" s="119" t="s">
        <v>48</v>
      </c>
      <c r="U976" s="89" t="s">
        <v>2999</v>
      </c>
      <c r="V976" s="172" t="s">
        <v>3000</v>
      </c>
      <c r="W976" s="69">
        <v>169</v>
      </c>
      <c r="X976" s="171">
        <v>1</v>
      </c>
      <c r="Y976" s="171">
        <v>5</v>
      </c>
      <c r="Z976" s="69"/>
      <c r="AA976" t="s">
        <v>4619</v>
      </c>
      <c r="AB976" t="s">
        <v>51</v>
      </c>
      <c r="AC976" t="s">
        <v>4515</v>
      </c>
      <c r="AD976" t="s">
        <v>4639</v>
      </c>
      <c r="AE976" t="s">
        <v>4513</v>
      </c>
      <c r="AF976" t="s">
        <v>4641</v>
      </c>
      <c r="AG976" t="s">
        <v>4515</v>
      </c>
      <c r="AH976" t="s">
        <v>4639</v>
      </c>
      <c r="AI976" t="s">
        <v>4515</v>
      </c>
      <c r="AJ976" t="s">
        <v>4639</v>
      </c>
      <c r="AK976" t="s">
        <v>4519</v>
      </c>
      <c r="AL976" t="s">
        <v>4740</v>
      </c>
      <c r="AM976" t="s">
        <v>4592</v>
      </c>
      <c r="AN976" t="s">
        <v>5054</v>
      </c>
      <c r="AO976" s="132">
        <v>109.504385964912</v>
      </c>
      <c r="AP976" s="133">
        <v>109.62385321100901</v>
      </c>
      <c r="AQ976" s="65">
        <v>0.38990825688073399</v>
      </c>
      <c r="AR976" s="65">
        <v>1.3211009174311901</v>
      </c>
      <c r="AS976" s="65">
        <v>9.9816513761467895</v>
      </c>
    </row>
    <row r="977" spans="1:50" s="65" customFormat="1" ht="211">
      <c r="A977">
        <v>1170</v>
      </c>
      <c r="B977" s="69" t="s">
        <v>3117</v>
      </c>
      <c r="C977" s="69" t="s">
        <v>45</v>
      </c>
      <c r="D977" s="31">
        <f t="shared" si="74"/>
        <v>4</v>
      </c>
      <c r="E977" s="69" t="s">
        <v>46</v>
      </c>
      <c r="F977" s="31">
        <f t="shared" si="75"/>
        <v>6</v>
      </c>
      <c r="G977" s="191" t="s">
        <v>3156</v>
      </c>
      <c r="H977" s="138">
        <v>47</v>
      </c>
      <c r="I977" s="92">
        <f t="shared" si="77"/>
        <v>0.55964554804465805</v>
      </c>
      <c r="J977" s="95">
        <v>0.36929109608931598</v>
      </c>
      <c r="K977" s="137">
        <v>0.68837559287164596</v>
      </c>
      <c r="L977" s="137">
        <v>0.75</v>
      </c>
      <c r="M977" s="137">
        <v>0.59593898217911601</v>
      </c>
      <c r="N977" s="136">
        <v>1</v>
      </c>
      <c r="O977" s="157">
        <v>42941</v>
      </c>
      <c r="P977" s="98">
        <f t="shared" si="76"/>
        <v>1</v>
      </c>
      <c r="Q977" s="113">
        <v>5.0999999999999996</v>
      </c>
      <c r="R977" s="113">
        <v>0</v>
      </c>
      <c r="S977" s="113">
        <v>0</v>
      </c>
      <c r="T977" s="119" t="s">
        <v>73</v>
      </c>
      <c r="U977" s="89" t="s">
        <v>3164</v>
      </c>
      <c r="V977" s="136" t="s">
        <v>4472</v>
      </c>
      <c r="W977" s="69">
        <v>284</v>
      </c>
      <c r="X977" s="171">
        <v>2</v>
      </c>
      <c r="Y977" s="171">
        <v>8</v>
      </c>
      <c r="Z977" s="69"/>
      <c r="AA977" t="s">
        <v>4564</v>
      </c>
      <c r="AB977" t="s">
        <v>4594</v>
      </c>
      <c r="AC977" t="s">
        <v>4513</v>
      </c>
      <c r="AD977" t="s">
        <v>4693</v>
      </c>
      <c r="AE977" t="s">
        <v>4513</v>
      </c>
      <c r="AF977" t="s">
        <v>4693</v>
      </c>
      <c r="AG977" t="s">
        <v>223</v>
      </c>
      <c r="AH977" t="s">
        <v>4866</v>
      </c>
      <c r="AI977" t="s">
        <v>223</v>
      </c>
      <c r="AJ977" t="s">
        <v>4866</v>
      </c>
      <c r="AK977" t="s">
        <v>4591</v>
      </c>
      <c r="AL977" t="s">
        <v>4519</v>
      </c>
      <c r="AM977" t="s">
        <v>4520</v>
      </c>
      <c r="AN977" t="s">
        <v>4870</v>
      </c>
      <c r="AO977" s="132">
        <v>109.77973568281899</v>
      </c>
      <c r="AP977" s="133">
        <v>108.834101382488</v>
      </c>
      <c r="AQ977" s="65">
        <v>0.39170506912442399</v>
      </c>
      <c r="AR977" s="65">
        <v>1.3179723502304099</v>
      </c>
      <c r="AS977" s="65">
        <v>10.0046082949309</v>
      </c>
    </row>
    <row r="978" spans="1:50" s="65" customFormat="1" ht="226">
      <c r="A978">
        <v>1171</v>
      </c>
      <c r="B978" s="69" t="s">
        <v>3117</v>
      </c>
      <c r="C978" s="69" t="s">
        <v>45</v>
      </c>
      <c r="D978" s="31">
        <f t="shared" si="74"/>
        <v>4</v>
      </c>
      <c r="E978" s="69" t="s">
        <v>46</v>
      </c>
      <c r="F978" s="31">
        <f t="shared" si="75"/>
        <v>6</v>
      </c>
      <c r="G978" s="191" t="s">
        <v>3156</v>
      </c>
      <c r="H978" s="138">
        <v>84</v>
      </c>
      <c r="I978" s="92">
        <f t="shared" si="77"/>
        <v>0.43485540823225399</v>
      </c>
      <c r="J978" s="95">
        <v>0.119710816464508</v>
      </c>
      <c r="K978" s="137">
        <v>0.67857142857142805</v>
      </c>
      <c r="L978" s="137">
        <v>0.75</v>
      </c>
      <c r="M978" s="137">
        <v>0.57142857142857095</v>
      </c>
      <c r="N978" s="136">
        <v>1</v>
      </c>
      <c r="O978" s="157">
        <v>42940</v>
      </c>
      <c r="P978" s="98">
        <f t="shared" si="76"/>
        <v>1</v>
      </c>
      <c r="Q978" s="113">
        <v>2.5499999999999998</v>
      </c>
      <c r="R978" s="113">
        <v>0</v>
      </c>
      <c r="S978" s="113">
        <v>0</v>
      </c>
      <c r="T978" s="119" t="s">
        <v>73</v>
      </c>
      <c r="U978" s="89" t="s">
        <v>3165</v>
      </c>
      <c r="V978" s="136" t="s">
        <v>4473</v>
      </c>
      <c r="W978" s="69">
        <v>282</v>
      </c>
      <c r="X978" s="171">
        <v>2</v>
      </c>
      <c r="Y978" s="171">
        <v>9</v>
      </c>
      <c r="Z978" s="69"/>
      <c r="AA978" t="s">
        <v>4564</v>
      </c>
      <c r="AB978" t="s">
        <v>4594</v>
      </c>
      <c r="AC978" t="s">
        <v>4513</v>
      </c>
      <c r="AD978" t="s">
        <v>4807</v>
      </c>
      <c r="AE978" t="s">
        <v>4513</v>
      </c>
      <c r="AF978" t="s">
        <v>4807</v>
      </c>
      <c r="AG978" t="s">
        <v>223</v>
      </c>
      <c r="AH978" t="s">
        <v>4806</v>
      </c>
      <c r="AI978" t="s">
        <v>223</v>
      </c>
      <c r="AJ978" t="s">
        <v>4806</v>
      </c>
      <c r="AK978" t="s">
        <v>4740</v>
      </c>
      <c r="AL978" t="s">
        <v>4519</v>
      </c>
      <c r="AM978" t="s">
        <v>4520</v>
      </c>
      <c r="AN978" t="s">
        <v>4873</v>
      </c>
      <c r="AO978" s="132">
        <v>109.893805309735</v>
      </c>
      <c r="AP978" s="133">
        <v>108.834101382488</v>
      </c>
      <c r="AQ978" s="65">
        <v>0.39170506912442399</v>
      </c>
      <c r="AR978" s="65">
        <v>1.3179723502304099</v>
      </c>
      <c r="AS978" s="65">
        <v>10.0046082949309</v>
      </c>
    </row>
    <row r="979" spans="1:50" s="65" customFormat="1" ht="106">
      <c r="A979">
        <v>138</v>
      </c>
      <c r="B979" s="69" t="s">
        <v>217</v>
      </c>
      <c r="C979" s="69" t="s">
        <v>45</v>
      </c>
      <c r="D979" s="31">
        <f t="shared" si="74"/>
        <v>4</v>
      </c>
      <c r="E979" s="69" t="s">
        <v>46</v>
      </c>
      <c r="F979" s="31">
        <f t="shared" si="75"/>
        <v>6</v>
      </c>
      <c r="G979" s="147" t="s">
        <v>439</v>
      </c>
      <c r="H979" s="138">
        <v>182</v>
      </c>
      <c r="I979" s="92">
        <f t="shared" si="77"/>
        <v>0.45375247520583123</v>
      </c>
      <c r="J979" s="95">
        <v>4.9504116624854399E-6</v>
      </c>
      <c r="K979" s="137">
        <v>0.67647624229580405</v>
      </c>
      <c r="L979" s="137">
        <v>0.90749999999999997</v>
      </c>
      <c r="M979" s="137">
        <v>0.32994060573951001</v>
      </c>
      <c r="N979" s="136">
        <v>1</v>
      </c>
      <c r="O979" s="154">
        <v>42939</v>
      </c>
      <c r="P979" s="98">
        <f t="shared" si="76"/>
        <v>0</v>
      </c>
      <c r="Q979" s="111">
        <v>0</v>
      </c>
      <c r="R979" s="111">
        <v>0</v>
      </c>
      <c r="S979" s="111">
        <v>0</v>
      </c>
      <c r="T979" s="112" t="s">
        <v>48</v>
      </c>
      <c r="U979" s="137" t="s">
        <v>4358</v>
      </c>
      <c r="V979" s="137" t="s">
        <v>441</v>
      </c>
      <c r="W979" s="69">
        <v>118</v>
      </c>
      <c r="X979" s="171">
        <v>2</v>
      </c>
      <c r="Y979" s="171">
        <v>22</v>
      </c>
      <c r="Z979"/>
      <c r="AA979" t="s">
        <v>4660</v>
      </c>
      <c r="AB979" t="s">
        <v>51</v>
      </c>
      <c r="AC979" t="s">
        <v>4353</v>
      </c>
      <c r="AD979" t="s">
        <v>4506</v>
      </c>
      <c r="AE979" t="s">
        <v>4530</v>
      </c>
      <c r="AF979" t="s">
        <v>4763</v>
      </c>
      <c r="AG979" t="s">
        <v>223</v>
      </c>
      <c r="AH979" t="s">
        <v>4768</v>
      </c>
      <c r="AI979" t="s">
        <v>223</v>
      </c>
      <c r="AJ979" t="s">
        <v>4768</v>
      </c>
      <c r="AK979" t="s">
        <v>4519</v>
      </c>
      <c r="AL979" t="s">
        <v>4552</v>
      </c>
      <c r="AM979" t="s">
        <v>4519</v>
      </c>
      <c r="AN979" t="s">
        <v>4659</v>
      </c>
      <c r="AO979" s="132">
        <v>109.573333333333</v>
      </c>
      <c r="AP979" s="133">
        <v>108.834101382488</v>
      </c>
      <c r="AQ979" s="65">
        <v>0.39170506912442399</v>
      </c>
      <c r="AR979" s="65">
        <v>1.3179723502304099</v>
      </c>
      <c r="AS979" s="65">
        <v>10.0046082949309</v>
      </c>
    </row>
    <row r="980" spans="1:50" s="65" customFormat="1" ht="211">
      <c r="A980" s="65">
        <v>1172</v>
      </c>
      <c r="B980" s="69" t="s">
        <v>3117</v>
      </c>
      <c r="C980" s="69" t="s">
        <v>45</v>
      </c>
      <c r="D980" s="31">
        <f t="shared" si="74"/>
        <v>4</v>
      </c>
      <c r="E980" s="69" t="s">
        <v>46</v>
      </c>
      <c r="F980" s="31">
        <f t="shared" si="75"/>
        <v>6</v>
      </c>
      <c r="G980" s="139" t="s">
        <v>3156</v>
      </c>
      <c r="H980" s="138">
        <v>65</v>
      </c>
      <c r="I980" s="92">
        <f t="shared" si="77"/>
        <v>0.47325261785022349</v>
      </c>
      <c r="J980" s="95">
        <v>0.19650523570044701</v>
      </c>
      <c r="K980" s="137">
        <v>0.66047858340826304</v>
      </c>
      <c r="L980" s="137">
        <v>0.75</v>
      </c>
      <c r="M980" s="137">
        <v>0.526196458520657</v>
      </c>
      <c r="N980" s="136">
        <v>1</v>
      </c>
      <c r="O980" s="157">
        <v>42938</v>
      </c>
      <c r="P980" s="98">
        <f t="shared" si="76"/>
        <v>1</v>
      </c>
      <c r="Q980" s="113">
        <v>0</v>
      </c>
      <c r="R980" s="113">
        <v>0</v>
      </c>
      <c r="S980" s="113">
        <v>0</v>
      </c>
      <c r="T980" s="119" t="s">
        <v>73</v>
      </c>
      <c r="U980" s="89" t="s">
        <v>3166</v>
      </c>
      <c r="V980" s="136" t="s">
        <v>3158</v>
      </c>
      <c r="W980" s="69">
        <v>280</v>
      </c>
      <c r="X980" s="69">
        <v>2</v>
      </c>
      <c r="Y980" s="69">
        <v>11</v>
      </c>
      <c r="Z980" s="69"/>
      <c r="AA980" t="s">
        <v>4564</v>
      </c>
      <c r="AB980" t="s">
        <v>4594</v>
      </c>
      <c r="AC980" t="s">
        <v>4513</v>
      </c>
      <c r="AD980" t="s">
        <v>5055</v>
      </c>
      <c r="AE980" t="s">
        <v>4513</v>
      </c>
      <c r="AF980" t="s">
        <v>5055</v>
      </c>
      <c r="AG980" t="s">
        <v>223</v>
      </c>
      <c r="AH980" t="s">
        <v>4720</v>
      </c>
      <c r="AI980" t="s">
        <v>223</v>
      </c>
      <c r="AJ980" t="s">
        <v>4720</v>
      </c>
      <c r="AK980" t="s">
        <v>4591</v>
      </c>
      <c r="AL980" t="s">
        <v>4519</v>
      </c>
      <c r="AM980" t="s">
        <v>4510</v>
      </c>
      <c r="AN980" t="s">
        <v>4980</v>
      </c>
      <c r="AO980" s="132">
        <v>109.772321428571</v>
      </c>
      <c r="AP980" s="133">
        <v>108.773148148148</v>
      </c>
      <c r="AQ980" s="65">
        <v>0.39351851851851899</v>
      </c>
      <c r="AR980" s="65">
        <v>1.31944444444444</v>
      </c>
      <c r="AS980" s="65">
        <v>10.023148148148101</v>
      </c>
    </row>
    <row r="981" spans="1:50" s="65" customFormat="1" ht="226">
      <c r="A981" s="65">
        <v>1173</v>
      </c>
      <c r="B981" s="69" t="s">
        <v>3117</v>
      </c>
      <c r="C981" s="69" t="s">
        <v>45</v>
      </c>
      <c r="D981" s="31">
        <f t="shared" si="74"/>
        <v>4</v>
      </c>
      <c r="E981" s="69" t="s">
        <v>46</v>
      </c>
      <c r="F981" s="31">
        <f t="shared" si="75"/>
        <v>6</v>
      </c>
      <c r="G981" s="139" t="s">
        <v>3130</v>
      </c>
      <c r="H981" s="138">
        <v>77</v>
      </c>
      <c r="I981" s="92">
        <f t="shared" si="77"/>
        <v>0.39520615495660083</v>
      </c>
      <c r="J981" s="95">
        <v>4.0412309913201702E-2</v>
      </c>
      <c r="K981" s="137">
        <v>0.66047858340826304</v>
      </c>
      <c r="L981" s="137">
        <v>0.75</v>
      </c>
      <c r="M981" s="137">
        <v>0.526196458520657</v>
      </c>
      <c r="N981" s="136">
        <v>1</v>
      </c>
      <c r="O981" s="157">
        <v>42937</v>
      </c>
      <c r="P981" s="98">
        <f t="shared" si="76"/>
        <v>1</v>
      </c>
      <c r="Q981" s="113">
        <v>2.5499999999999998</v>
      </c>
      <c r="R981" s="113">
        <v>0</v>
      </c>
      <c r="S981" s="113">
        <v>0</v>
      </c>
      <c r="T981" s="119" t="s">
        <v>73</v>
      </c>
      <c r="U981" s="89" t="s">
        <v>3167</v>
      </c>
      <c r="V981" s="136" t="s">
        <v>3149</v>
      </c>
      <c r="W981" s="69">
        <v>281</v>
      </c>
      <c r="X981" s="69">
        <v>2</v>
      </c>
      <c r="Y981" s="69">
        <v>11</v>
      </c>
      <c r="Z981" s="69"/>
      <c r="AA981" t="s">
        <v>4564</v>
      </c>
      <c r="AB981" t="s">
        <v>4594</v>
      </c>
      <c r="AC981" t="s">
        <v>4513</v>
      </c>
      <c r="AD981" t="s">
        <v>4540</v>
      </c>
      <c r="AE981" t="s">
        <v>4513</v>
      </c>
      <c r="AF981" t="s">
        <v>4540</v>
      </c>
      <c r="AG981" t="s">
        <v>223</v>
      </c>
      <c r="AH981" t="s">
        <v>5050</v>
      </c>
      <c r="AI981" t="s">
        <v>223</v>
      </c>
      <c r="AJ981" t="s">
        <v>5050</v>
      </c>
      <c r="AK981" t="s">
        <v>4740</v>
      </c>
      <c r="AL981" t="s">
        <v>4519</v>
      </c>
      <c r="AM981" t="s">
        <v>4520</v>
      </c>
      <c r="AN981" t="s">
        <v>4873</v>
      </c>
      <c r="AO981" s="132">
        <v>109.91928251121099</v>
      </c>
      <c r="AP981" s="133">
        <v>108.773148148148</v>
      </c>
      <c r="AQ981" s="65">
        <v>0.39351851851851899</v>
      </c>
      <c r="AR981" s="65">
        <v>1.31944444444444</v>
      </c>
      <c r="AS981" s="65">
        <v>10.023148148148101</v>
      </c>
    </row>
    <row r="982" spans="1:50" s="65" customFormat="1" ht="226">
      <c r="A982">
        <v>1174</v>
      </c>
      <c r="B982" s="69" t="s">
        <v>3117</v>
      </c>
      <c r="C982" s="69" t="s">
        <v>45</v>
      </c>
      <c r="D982" s="31">
        <f t="shared" si="74"/>
        <v>4</v>
      </c>
      <c r="E982" s="69" t="s">
        <v>46</v>
      </c>
      <c r="F982" s="31">
        <f t="shared" si="75"/>
        <v>6</v>
      </c>
      <c r="G982" s="139" t="s">
        <v>3156</v>
      </c>
      <c r="H982" s="138">
        <v>61</v>
      </c>
      <c r="I982" s="92">
        <f t="shared" si="77"/>
        <v>0.67116552648571193</v>
      </c>
      <c r="J982" s="95">
        <v>0.59233105297142397</v>
      </c>
      <c r="K982" s="137">
        <v>0.72222468700001197</v>
      </c>
      <c r="L982" s="137">
        <v>0.75</v>
      </c>
      <c r="M982" s="137">
        <v>0.68056171750003003</v>
      </c>
      <c r="N982" s="136">
        <v>1</v>
      </c>
      <c r="O982" s="157">
        <v>42936</v>
      </c>
      <c r="P982" s="98">
        <f t="shared" si="76"/>
        <v>1</v>
      </c>
      <c r="Q982" s="113">
        <v>5.0999999999999996</v>
      </c>
      <c r="R982" s="113">
        <v>1.65</v>
      </c>
      <c r="S982" s="113">
        <v>0</v>
      </c>
      <c r="T982" s="119" t="s">
        <v>73</v>
      </c>
      <c r="U982" s="89" t="s">
        <v>3168</v>
      </c>
      <c r="V982" s="136" t="s">
        <v>3149</v>
      </c>
      <c r="W982" s="69">
        <v>281</v>
      </c>
      <c r="X982" s="69">
        <v>2</v>
      </c>
      <c r="Y982" s="69">
        <v>5</v>
      </c>
      <c r="Z982" s="69"/>
      <c r="AA982" t="s">
        <v>4564</v>
      </c>
      <c r="AB982" t="s">
        <v>4594</v>
      </c>
      <c r="AC982" t="s">
        <v>4513</v>
      </c>
      <c r="AD982" t="s">
        <v>4540</v>
      </c>
      <c r="AE982" t="s">
        <v>4513</v>
      </c>
      <c r="AF982" t="s">
        <v>4540</v>
      </c>
      <c r="AG982" t="s">
        <v>223</v>
      </c>
      <c r="AH982" t="s">
        <v>5050</v>
      </c>
      <c r="AI982" t="s">
        <v>223</v>
      </c>
      <c r="AJ982" t="s">
        <v>5050</v>
      </c>
      <c r="AK982" t="s">
        <v>4591</v>
      </c>
      <c r="AL982" t="s">
        <v>4519</v>
      </c>
      <c r="AM982" t="s">
        <v>4520</v>
      </c>
      <c r="AN982" t="s">
        <v>4870</v>
      </c>
      <c r="AO982" s="132">
        <v>110.13963963964</v>
      </c>
      <c r="AP982" s="133">
        <v>107.032710280374</v>
      </c>
      <c r="AQ982" s="65">
        <v>0.39719626168224298</v>
      </c>
      <c r="AR982" s="65">
        <v>1.31308411214953</v>
      </c>
      <c r="AS982" s="65">
        <v>10.0654205607477</v>
      </c>
    </row>
    <row r="983" spans="1:50" s="65" customFormat="1" ht="76">
      <c r="A983">
        <v>546</v>
      </c>
      <c r="B983" s="69" t="s">
        <v>1222</v>
      </c>
      <c r="C983" s="69" t="s">
        <v>45</v>
      </c>
      <c r="D983" s="31">
        <f t="shared" si="74"/>
        <v>4</v>
      </c>
      <c r="E983" s="69" t="s">
        <v>80</v>
      </c>
      <c r="F983" s="31">
        <f t="shared" si="75"/>
        <v>4</v>
      </c>
      <c r="G983" s="137" t="s">
        <v>1529</v>
      </c>
      <c r="H983" s="138">
        <v>100</v>
      </c>
      <c r="I983" s="92">
        <f t="shared" si="77"/>
        <v>0.37500381495838686</v>
      </c>
      <c r="J983" s="95">
        <v>7.6299167737214901E-6</v>
      </c>
      <c r="K983" s="137">
        <v>0.643968498544915</v>
      </c>
      <c r="L983" s="137">
        <v>0.75</v>
      </c>
      <c r="M983" s="137">
        <v>0.48492124636228701</v>
      </c>
      <c r="N983" s="136">
        <v>1</v>
      </c>
      <c r="O983" s="154">
        <v>42935</v>
      </c>
      <c r="P983" s="98">
        <f t="shared" si="76"/>
        <v>1</v>
      </c>
      <c r="Q983" s="111">
        <v>5.0999999999999996</v>
      </c>
      <c r="R983" s="111">
        <v>0</v>
      </c>
      <c r="S983" s="111">
        <v>0</v>
      </c>
      <c r="T983" s="112" t="s">
        <v>73</v>
      </c>
      <c r="U983" s="137" t="s">
        <v>1530</v>
      </c>
      <c r="V983" s="137" t="s">
        <v>1531</v>
      </c>
      <c r="W983" s="69">
        <v>94</v>
      </c>
      <c r="X983" s="69">
        <v>1</v>
      </c>
      <c r="Y983" s="69">
        <v>13</v>
      </c>
      <c r="Z983"/>
      <c r="AA983" t="s">
        <v>4564</v>
      </c>
      <c r="AB983" t="s">
        <v>51</v>
      </c>
      <c r="AC983" t="s">
        <v>223</v>
      </c>
      <c r="AD983" t="s">
        <v>4555</v>
      </c>
      <c r="AE983" t="s">
        <v>4530</v>
      </c>
      <c r="AF983" t="s">
        <v>4577</v>
      </c>
      <c r="AG983" t="s">
        <v>4353</v>
      </c>
      <c r="AH983" t="s">
        <v>4506</v>
      </c>
      <c r="AI983" t="s">
        <v>223</v>
      </c>
      <c r="AJ983" t="s">
        <v>4555</v>
      </c>
      <c r="AK983" t="s">
        <v>4519</v>
      </c>
      <c r="AL983" t="s">
        <v>4519</v>
      </c>
      <c r="AM983" t="s">
        <v>4592</v>
      </c>
      <c r="AN983" t="s">
        <v>4626</v>
      </c>
      <c r="AO983" s="132">
        <v>110.185520361991</v>
      </c>
      <c r="AP983" s="133">
        <v>102.918660287081</v>
      </c>
      <c r="AQ983" s="65">
        <v>0.406698564593301</v>
      </c>
      <c r="AR983" s="65">
        <v>1.2966507177033499</v>
      </c>
      <c r="AS983" s="65">
        <v>10.0239234449761</v>
      </c>
    </row>
    <row r="984" spans="1:50" s="65" customFormat="1" ht="226">
      <c r="A984">
        <v>1175</v>
      </c>
      <c r="B984" s="69" t="s">
        <v>3117</v>
      </c>
      <c r="C984" s="69" t="s">
        <v>45</v>
      </c>
      <c r="D984" s="31">
        <f t="shared" si="74"/>
        <v>4</v>
      </c>
      <c r="E984" s="69" t="s">
        <v>46</v>
      </c>
      <c r="F984" s="31">
        <f t="shared" si="75"/>
        <v>6</v>
      </c>
      <c r="G984" s="139" t="s">
        <v>3156</v>
      </c>
      <c r="H984" s="138">
        <v>55</v>
      </c>
      <c r="I984" s="92">
        <f t="shared" si="77"/>
        <v>0.51765934722143347</v>
      </c>
      <c r="J984" s="95">
        <v>0.285318694442867</v>
      </c>
      <c r="K984" s="137">
        <v>0.76918779643582302</v>
      </c>
      <c r="L984" s="137">
        <v>0.75</v>
      </c>
      <c r="M984" s="137">
        <v>0.79796949108955795</v>
      </c>
      <c r="N984" s="136">
        <v>1</v>
      </c>
      <c r="O984" s="157">
        <v>42934</v>
      </c>
      <c r="P984" s="98">
        <f t="shared" si="76"/>
        <v>1</v>
      </c>
      <c r="Q984" s="113">
        <v>5.0999999999999996</v>
      </c>
      <c r="R984" s="113">
        <v>1.65</v>
      </c>
      <c r="S984" s="113">
        <v>0</v>
      </c>
      <c r="T984" s="119" t="s">
        <v>73</v>
      </c>
      <c r="U984" s="91" t="s">
        <v>3169</v>
      </c>
      <c r="V984" s="136" t="s">
        <v>4474</v>
      </c>
      <c r="W984" s="69">
        <v>295</v>
      </c>
      <c r="X984" s="171">
        <v>2</v>
      </c>
      <c r="Y984" s="171">
        <v>2</v>
      </c>
      <c r="Z984" s="69"/>
      <c r="AA984" t="s">
        <v>4564</v>
      </c>
      <c r="AB984" t="s">
        <v>4594</v>
      </c>
      <c r="AC984" t="s">
        <v>4513</v>
      </c>
      <c r="AD984" t="s">
        <v>4555</v>
      </c>
      <c r="AE984" t="s">
        <v>4513</v>
      </c>
      <c r="AF984" t="s">
        <v>4555</v>
      </c>
      <c r="AG984" t="s">
        <v>223</v>
      </c>
      <c r="AH984" t="s">
        <v>5056</v>
      </c>
      <c r="AI984" t="s">
        <v>223</v>
      </c>
      <c r="AJ984" t="s">
        <v>5056</v>
      </c>
      <c r="AK984" t="s">
        <v>4591</v>
      </c>
      <c r="AL984" t="s">
        <v>4519</v>
      </c>
      <c r="AM984" t="s">
        <v>4510</v>
      </c>
      <c r="AN984" t="s">
        <v>4980</v>
      </c>
      <c r="AO984" s="132">
        <v>110.43636363636401</v>
      </c>
      <c r="AP984" s="133">
        <v>102.665048543689</v>
      </c>
      <c r="AQ984" s="65">
        <v>0.41262135922330101</v>
      </c>
      <c r="AR984" s="65">
        <v>1.2961165048543699</v>
      </c>
      <c r="AS984" s="65">
        <v>10.0873786407767</v>
      </c>
    </row>
    <row r="985" spans="1:50" s="65" customFormat="1" ht="226">
      <c r="A985" s="65">
        <v>1176</v>
      </c>
      <c r="B985" s="69" t="s">
        <v>3117</v>
      </c>
      <c r="C985" s="69" t="s">
        <v>45</v>
      </c>
      <c r="D985" s="31">
        <f t="shared" si="74"/>
        <v>4</v>
      </c>
      <c r="E985" s="69" t="s">
        <v>46</v>
      </c>
      <c r="F985" s="31">
        <f t="shared" si="75"/>
        <v>6</v>
      </c>
      <c r="G985" s="139" t="s">
        <v>3171</v>
      </c>
      <c r="H985" s="138">
        <v>63</v>
      </c>
      <c r="I985" s="92">
        <f t="shared" si="77"/>
        <v>0.4165152456042569</v>
      </c>
      <c r="J985" s="95">
        <v>8.3030491208513801E-2</v>
      </c>
      <c r="K985" s="137">
        <v>0.67857142857142805</v>
      </c>
      <c r="L985" s="137">
        <v>0.75</v>
      </c>
      <c r="M985" s="137">
        <v>0.57142857142857095</v>
      </c>
      <c r="N985" s="136">
        <v>1</v>
      </c>
      <c r="O985" s="157">
        <v>42933</v>
      </c>
      <c r="P985" s="98">
        <f t="shared" si="76"/>
        <v>1</v>
      </c>
      <c r="Q985" s="113">
        <v>5.0999999999999996</v>
      </c>
      <c r="R985" s="113">
        <v>0</v>
      </c>
      <c r="S985" s="113">
        <v>0</v>
      </c>
      <c r="T985" s="119" t="s">
        <v>73</v>
      </c>
      <c r="U985" s="91" t="s">
        <v>3172</v>
      </c>
      <c r="V985" s="209" t="s">
        <v>3149</v>
      </c>
      <c r="W985" s="69">
        <v>281</v>
      </c>
      <c r="X985" s="171">
        <v>2</v>
      </c>
      <c r="Y985" s="171">
        <v>9</v>
      </c>
      <c r="Z985" s="69"/>
      <c r="AA985" t="s">
        <v>4564</v>
      </c>
      <c r="AB985" t="s">
        <v>4594</v>
      </c>
      <c r="AC985" t="s">
        <v>4513</v>
      </c>
      <c r="AD985" t="s">
        <v>4540</v>
      </c>
      <c r="AE985" t="s">
        <v>4513</v>
      </c>
      <c r="AF985" t="s">
        <v>4540</v>
      </c>
      <c r="AG985" t="s">
        <v>223</v>
      </c>
      <c r="AH985" t="s">
        <v>5050</v>
      </c>
      <c r="AI985" t="s">
        <v>223</v>
      </c>
      <c r="AJ985" t="s">
        <v>5050</v>
      </c>
      <c r="AK985" t="s">
        <v>4591</v>
      </c>
      <c r="AL985" t="s">
        <v>4519</v>
      </c>
      <c r="AM985" t="s">
        <v>4520</v>
      </c>
      <c r="AN985" t="s">
        <v>4870</v>
      </c>
      <c r="AO985" s="132">
        <v>110.479452054795</v>
      </c>
      <c r="AP985" s="133">
        <v>101.917073170732</v>
      </c>
      <c r="AQ985" s="65">
        <v>0.41463414634146301</v>
      </c>
      <c r="AR985" s="65">
        <v>1.2975609756097599</v>
      </c>
      <c r="AS985" s="65">
        <v>10.092682926829299</v>
      </c>
    </row>
    <row r="986" spans="1:50" s="65" customFormat="1" ht="91">
      <c r="A986">
        <v>139</v>
      </c>
      <c r="B986" s="69" t="s">
        <v>217</v>
      </c>
      <c r="C986" s="69" t="s">
        <v>119</v>
      </c>
      <c r="D986" s="31">
        <f t="shared" si="74"/>
        <v>1</v>
      </c>
      <c r="E986" s="69" t="s">
        <v>46</v>
      </c>
      <c r="F986" s="31">
        <f t="shared" si="75"/>
        <v>6</v>
      </c>
      <c r="G986" s="136" t="s">
        <v>415</v>
      </c>
      <c r="H986" s="138">
        <v>101</v>
      </c>
      <c r="I986" s="92">
        <f t="shared" si="77"/>
        <v>0.37520422572615969</v>
      </c>
      <c r="J986" s="95">
        <v>4.08451452319381E-4</v>
      </c>
      <c r="K986" s="137">
        <v>0.79285714285714304</v>
      </c>
      <c r="L986" s="137">
        <v>0.75</v>
      </c>
      <c r="M986" s="137">
        <v>0.85714285714285698</v>
      </c>
      <c r="N986" s="136">
        <v>0</v>
      </c>
      <c r="O986" s="154">
        <v>42933</v>
      </c>
      <c r="P986" s="98">
        <f t="shared" si="76"/>
        <v>0</v>
      </c>
      <c r="Q986" s="113">
        <v>2.5499999999999998</v>
      </c>
      <c r="R986" s="113">
        <v>1.65</v>
      </c>
      <c r="S986" s="113">
        <v>1.87</v>
      </c>
      <c r="T986" s="114" t="s">
        <v>48</v>
      </c>
      <c r="U986" s="136" t="s">
        <v>442</v>
      </c>
      <c r="V986" s="137" t="s">
        <v>443</v>
      </c>
      <c r="W986" s="69">
        <v>116</v>
      </c>
      <c r="X986" s="69">
        <v>2</v>
      </c>
      <c r="Y986" s="69">
        <v>1</v>
      </c>
      <c r="Z986"/>
      <c r="AA986" t="s">
        <v>4522</v>
      </c>
      <c r="AB986" t="s">
        <v>87</v>
      </c>
      <c r="AC986" t="s">
        <v>4515</v>
      </c>
      <c r="AD986" t="s">
        <v>4849</v>
      </c>
      <c r="AE986" t="s">
        <v>223</v>
      </c>
      <c r="AF986" t="s">
        <v>4668</v>
      </c>
      <c r="AG986" t="s">
        <v>223</v>
      </c>
      <c r="AH986" t="s">
        <v>4668</v>
      </c>
      <c r="AI986" t="s">
        <v>4353</v>
      </c>
      <c r="AJ986" t="s">
        <v>4506</v>
      </c>
      <c r="AK986" t="s">
        <v>4519</v>
      </c>
      <c r="AL986" t="s">
        <v>4509</v>
      </c>
      <c r="AM986" t="s">
        <v>4528</v>
      </c>
      <c r="AN986" t="s">
        <v>4688</v>
      </c>
      <c r="AO986" s="132">
        <v>110.697247706422</v>
      </c>
      <c r="AP986" s="133">
        <v>101.917073170732</v>
      </c>
      <c r="AQ986" s="65">
        <v>0.41463414634146301</v>
      </c>
      <c r="AR986" s="65">
        <v>1.2975609756097599</v>
      </c>
      <c r="AS986" s="65">
        <v>10.092682926829299</v>
      </c>
    </row>
    <row r="987" spans="1:50" s="69" customFormat="1" ht="91">
      <c r="A987">
        <v>919</v>
      </c>
      <c r="B987" s="69" t="s">
        <v>2418</v>
      </c>
      <c r="C987" s="69" t="s">
        <v>45</v>
      </c>
      <c r="D987" s="31">
        <f t="shared" si="74"/>
        <v>4</v>
      </c>
      <c r="E987" s="69" t="s">
        <v>46</v>
      </c>
      <c r="F987" s="31">
        <f t="shared" si="75"/>
        <v>6</v>
      </c>
      <c r="G987" s="147" t="s">
        <v>2498</v>
      </c>
      <c r="H987" s="138">
        <v>21</v>
      </c>
      <c r="I987" s="92">
        <f t="shared" si="77"/>
        <v>0.58182379973856102</v>
      </c>
      <c r="J987" s="95">
        <v>0.54381288873332001</v>
      </c>
      <c r="K987" s="137">
        <v>0.631929984001528</v>
      </c>
      <c r="L987" s="137">
        <v>0.61983471074380203</v>
      </c>
      <c r="M987" s="137">
        <v>0.65007289388811795</v>
      </c>
      <c r="N987" s="136">
        <v>1</v>
      </c>
      <c r="O987" s="154">
        <v>42932</v>
      </c>
      <c r="P987" s="98">
        <f t="shared" si="76"/>
        <v>1</v>
      </c>
      <c r="Q987" s="111">
        <v>5.0999999999999996</v>
      </c>
      <c r="R987" s="111">
        <v>0</v>
      </c>
      <c r="S987" s="111">
        <v>0</v>
      </c>
      <c r="T987" s="112" t="s">
        <v>73</v>
      </c>
      <c r="U987" s="152" t="s">
        <v>2498</v>
      </c>
      <c r="V987" s="137" t="s">
        <v>2509</v>
      </c>
      <c r="W987" s="69">
        <v>122</v>
      </c>
      <c r="X987" s="171">
        <v>1</v>
      </c>
      <c r="Y987" s="171">
        <v>6</v>
      </c>
      <c r="AA987" t="s">
        <v>4564</v>
      </c>
      <c r="AB987" t="s">
        <v>71</v>
      </c>
      <c r="AC987" t="s">
        <v>223</v>
      </c>
      <c r="AD987" t="s">
        <v>4702</v>
      </c>
      <c r="AE987" t="s">
        <v>223</v>
      </c>
      <c r="AF987" t="s">
        <v>4702</v>
      </c>
      <c r="AG987" t="s">
        <v>4515</v>
      </c>
      <c r="AH987" t="s">
        <v>4858</v>
      </c>
      <c r="AI987" t="s">
        <v>4353</v>
      </c>
      <c r="AJ987" t="s">
        <v>4506</v>
      </c>
      <c r="AK987" t="s">
        <v>4519</v>
      </c>
      <c r="AL987" t="s">
        <v>4519</v>
      </c>
      <c r="AM987" t="s">
        <v>4528</v>
      </c>
      <c r="AN987" t="s">
        <v>4529</v>
      </c>
      <c r="AO987" s="134">
        <v>111.110599078341</v>
      </c>
      <c r="AP987" s="135">
        <v>101.917073170732</v>
      </c>
      <c r="AQ987">
        <v>0.41463414634146301</v>
      </c>
      <c r="AR987" s="136">
        <v>1.2975609756097599</v>
      </c>
      <c r="AS987">
        <v>10.092682926829299</v>
      </c>
      <c r="AU987"/>
      <c r="AV987"/>
      <c r="AW987"/>
      <c r="AX987"/>
    </row>
    <row r="988" spans="1:50" s="69" customFormat="1" ht="211">
      <c r="A988" s="65">
        <v>1177</v>
      </c>
      <c r="B988" s="69" t="s">
        <v>3117</v>
      </c>
      <c r="C988" s="69" t="s">
        <v>45</v>
      </c>
      <c r="D988" s="31">
        <f t="shared" si="74"/>
        <v>4</v>
      </c>
      <c r="E988" s="69" t="s">
        <v>46</v>
      </c>
      <c r="F988" s="31">
        <f t="shared" si="75"/>
        <v>6</v>
      </c>
      <c r="G988" s="139" t="s">
        <v>3171</v>
      </c>
      <c r="H988" s="138">
        <v>45</v>
      </c>
      <c r="I988" s="92">
        <f t="shared" si="77"/>
        <v>0.39588702060953662</v>
      </c>
      <c r="J988" s="95">
        <v>4.1774041219073299E-2</v>
      </c>
      <c r="K988" s="137">
        <v>0.66929841941894996</v>
      </c>
      <c r="L988" s="137">
        <v>0.75</v>
      </c>
      <c r="M988" s="137">
        <v>0.54824604854737402</v>
      </c>
      <c r="N988" s="136">
        <v>1</v>
      </c>
      <c r="O988" s="156">
        <v>42932</v>
      </c>
      <c r="P988" s="98">
        <f t="shared" si="76"/>
        <v>1</v>
      </c>
      <c r="Q988" s="113">
        <v>7.65</v>
      </c>
      <c r="R988" s="113">
        <v>0</v>
      </c>
      <c r="S988" s="113">
        <v>0</v>
      </c>
      <c r="T988" s="119" t="s">
        <v>73</v>
      </c>
      <c r="U988" s="89" t="s">
        <v>3173</v>
      </c>
      <c r="V988" s="136" t="s">
        <v>3158</v>
      </c>
      <c r="W988" s="69">
        <v>280</v>
      </c>
      <c r="X988" s="69">
        <v>2</v>
      </c>
      <c r="Y988" s="69">
        <v>10</v>
      </c>
      <c r="AA988" t="s">
        <v>4564</v>
      </c>
      <c r="AB988" t="s">
        <v>4594</v>
      </c>
      <c r="AC988" t="s">
        <v>4513</v>
      </c>
      <c r="AD988" t="s">
        <v>5055</v>
      </c>
      <c r="AE988" t="s">
        <v>4513</v>
      </c>
      <c r="AF988" t="s">
        <v>5055</v>
      </c>
      <c r="AG988" t="s">
        <v>223</v>
      </c>
      <c r="AH988" t="s">
        <v>4720</v>
      </c>
      <c r="AI988" t="s">
        <v>223</v>
      </c>
      <c r="AJ988" t="s">
        <v>4720</v>
      </c>
      <c r="AK988" t="s">
        <v>4591</v>
      </c>
      <c r="AL988" t="s">
        <v>4519</v>
      </c>
      <c r="AM988" t="s">
        <v>4510</v>
      </c>
      <c r="AN988" t="s">
        <v>4980</v>
      </c>
      <c r="AO988" s="134">
        <v>111.416666666667</v>
      </c>
      <c r="AP988" s="135">
        <v>101.917073170732</v>
      </c>
      <c r="AQ988">
        <v>0.41463414634146301</v>
      </c>
      <c r="AR988" s="136">
        <v>1.2975609756097599</v>
      </c>
      <c r="AS988">
        <v>10.092682926829299</v>
      </c>
      <c r="AU988"/>
      <c r="AV988"/>
      <c r="AW988"/>
      <c r="AX988"/>
    </row>
    <row r="989" spans="1:50" s="69" customFormat="1" ht="226">
      <c r="A989">
        <v>1178</v>
      </c>
      <c r="B989" s="69" t="s">
        <v>3117</v>
      </c>
      <c r="C989" s="69" t="s">
        <v>45</v>
      </c>
      <c r="D989" s="31">
        <f t="shared" si="74"/>
        <v>4</v>
      </c>
      <c r="E989" s="69" t="s">
        <v>46</v>
      </c>
      <c r="F989" s="31">
        <f t="shared" si="75"/>
        <v>6</v>
      </c>
      <c r="G989" s="139" t="s">
        <v>3130</v>
      </c>
      <c r="H989" s="138">
        <v>63</v>
      </c>
      <c r="I989" s="92">
        <f t="shared" si="77"/>
        <v>0.42707469323009001</v>
      </c>
      <c r="J989" s="95">
        <v>0.10414938646018</v>
      </c>
      <c r="K989" s="137">
        <v>0.66047858340826304</v>
      </c>
      <c r="L989" s="137">
        <v>0.75</v>
      </c>
      <c r="M989" s="137">
        <v>0.526196458520657</v>
      </c>
      <c r="N989" s="136">
        <v>1</v>
      </c>
      <c r="O989" s="157">
        <v>42931</v>
      </c>
      <c r="P989" s="98">
        <f t="shared" si="76"/>
        <v>1</v>
      </c>
      <c r="Q989" s="113">
        <v>2.5499999999999998</v>
      </c>
      <c r="R989" s="113">
        <v>0</v>
      </c>
      <c r="S989" s="113">
        <v>0</v>
      </c>
      <c r="T989" s="119" t="s">
        <v>73</v>
      </c>
      <c r="U989" s="89" t="s">
        <v>3174</v>
      </c>
      <c r="V989" s="136" t="s">
        <v>4473</v>
      </c>
      <c r="W989" s="69">
        <v>282</v>
      </c>
      <c r="X989" s="69">
        <v>2</v>
      </c>
      <c r="Y989" s="69">
        <v>11</v>
      </c>
      <c r="AA989" t="s">
        <v>4564</v>
      </c>
      <c r="AB989" t="s">
        <v>4594</v>
      </c>
      <c r="AC989" t="s">
        <v>4513</v>
      </c>
      <c r="AD989" t="s">
        <v>4807</v>
      </c>
      <c r="AE989" t="s">
        <v>4513</v>
      </c>
      <c r="AF989" t="s">
        <v>4807</v>
      </c>
      <c r="AG989" t="s">
        <v>223</v>
      </c>
      <c r="AH989" t="s">
        <v>4806</v>
      </c>
      <c r="AI989" t="s">
        <v>223</v>
      </c>
      <c r="AJ989" t="s">
        <v>4806</v>
      </c>
      <c r="AK989" t="s">
        <v>4591</v>
      </c>
      <c r="AL989" t="s">
        <v>4519</v>
      </c>
      <c r="AM989" t="s">
        <v>4520</v>
      </c>
      <c r="AN989" t="s">
        <v>4870</v>
      </c>
      <c r="AO989" s="134">
        <v>111.641860465116</v>
      </c>
      <c r="AP989" s="135">
        <v>101.917073170732</v>
      </c>
      <c r="AQ989">
        <v>0.41463414634146301</v>
      </c>
      <c r="AR989" s="136">
        <v>1.2975609756097599</v>
      </c>
      <c r="AS989">
        <v>10.092682926829299</v>
      </c>
      <c r="AU989"/>
      <c r="AV989"/>
      <c r="AW989"/>
      <c r="AX989"/>
    </row>
    <row r="990" spans="1:50" s="69" customFormat="1" ht="226">
      <c r="A990">
        <v>1179</v>
      </c>
      <c r="B990" s="69" t="s">
        <v>3117</v>
      </c>
      <c r="C990" s="69" t="s">
        <v>45</v>
      </c>
      <c r="D990" s="31">
        <f t="shared" si="74"/>
        <v>4</v>
      </c>
      <c r="E990" s="69" t="s">
        <v>46</v>
      </c>
      <c r="F990" s="31">
        <f t="shared" si="75"/>
        <v>6</v>
      </c>
      <c r="G990" s="139" t="s">
        <v>3171</v>
      </c>
      <c r="H990" s="138">
        <v>48</v>
      </c>
      <c r="I990" s="92">
        <f t="shared" si="77"/>
        <v>0.3786067263820474</v>
      </c>
      <c r="J990" s="95">
        <v>7.2134527640948E-3</v>
      </c>
      <c r="K990" s="137">
        <v>0.643968498544915</v>
      </c>
      <c r="L990" s="137">
        <v>0.75</v>
      </c>
      <c r="M990" s="137">
        <v>0.48492124636228701</v>
      </c>
      <c r="N990" s="136">
        <v>1</v>
      </c>
      <c r="O990" s="157">
        <v>42929</v>
      </c>
      <c r="P990" s="98">
        <f t="shared" si="76"/>
        <v>1</v>
      </c>
      <c r="Q990" s="113">
        <v>5.0999999999999996</v>
      </c>
      <c r="R990" s="113">
        <v>0</v>
      </c>
      <c r="S990" s="113">
        <v>0</v>
      </c>
      <c r="T990" s="119" t="s">
        <v>73</v>
      </c>
      <c r="U990" s="89" t="s">
        <v>3175</v>
      </c>
      <c r="V990" s="136" t="s">
        <v>4473</v>
      </c>
      <c r="W990" s="69">
        <v>282</v>
      </c>
      <c r="X990" s="69">
        <v>2</v>
      </c>
      <c r="Y990" s="69">
        <v>13</v>
      </c>
      <c r="AA990" t="s">
        <v>4564</v>
      </c>
      <c r="AB990" t="s">
        <v>4594</v>
      </c>
      <c r="AC990" t="s">
        <v>4513</v>
      </c>
      <c r="AD990" t="s">
        <v>4807</v>
      </c>
      <c r="AE990" t="s">
        <v>4513</v>
      </c>
      <c r="AF990" t="s">
        <v>4807</v>
      </c>
      <c r="AG990" t="s">
        <v>223</v>
      </c>
      <c r="AH990" t="s">
        <v>4806</v>
      </c>
      <c r="AI990" t="s">
        <v>223</v>
      </c>
      <c r="AJ990" t="s">
        <v>4806</v>
      </c>
      <c r="AK990" t="s">
        <v>4740</v>
      </c>
      <c r="AL990" t="s">
        <v>4519</v>
      </c>
      <c r="AM990" t="s">
        <v>4528</v>
      </c>
      <c r="AN990" t="s">
        <v>4817</v>
      </c>
      <c r="AO990" s="134">
        <v>111.939252336449</v>
      </c>
      <c r="AP990" s="135">
        <v>98.120603015075403</v>
      </c>
      <c r="AQ990">
        <v>0.42713567839195998</v>
      </c>
      <c r="AR990" s="136">
        <v>1.2814070351758799</v>
      </c>
      <c r="AS990">
        <v>10.165829145728599</v>
      </c>
      <c r="AU990"/>
      <c r="AV990"/>
      <c r="AW990"/>
      <c r="AX990"/>
    </row>
    <row r="991" spans="1:50" s="69" customFormat="1" ht="181">
      <c r="A991" s="65">
        <v>1180</v>
      </c>
      <c r="B991" s="69" t="s">
        <v>3117</v>
      </c>
      <c r="C991" s="69" t="s">
        <v>45</v>
      </c>
      <c r="D991" s="31">
        <f t="shared" si="74"/>
        <v>4</v>
      </c>
      <c r="E991" s="69" t="s">
        <v>46</v>
      </c>
      <c r="F991" s="31">
        <f t="shared" si="75"/>
        <v>6</v>
      </c>
      <c r="G991" s="89" t="s">
        <v>3176</v>
      </c>
      <c r="H991" s="138">
        <v>112</v>
      </c>
      <c r="I991" s="92">
        <f t="shared" si="77"/>
        <v>0.73479700235470702</v>
      </c>
      <c r="J991" s="95">
        <v>0.71959400470941404</v>
      </c>
      <c r="K991" s="137">
        <v>0.79285714285714304</v>
      </c>
      <c r="L991" s="137">
        <v>0.75</v>
      </c>
      <c r="M991" s="137">
        <v>0.85714285714285698</v>
      </c>
      <c r="N991" s="136">
        <v>1</v>
      </c>
      <c r="O991" s="157">
        <v>42928</v>
      </c>
      <c r="P991" s="98">
        <f t="shared" si="76"/>
        <v>2</v>
      </c>
      <c r="Q991" s="113">
        <v>7.65</v>
      </c>
      <c r="R991" s="113">
        <v>0</v>
      </c>
      <c r="S991" s="113">
        <v>0</v>
      </c>
      <c r="T991" s="119" t="s">
        <v>64</v>
      </c>
      <c r="U991" s="89" t="s">
        <v>3177</v>
      </c>
      <c r="V991" s="136" t="s">
        <v>3178</v>
      </c>
      <c r="W991" s="69">
        <v>236</v>
      </c>
      <c r="X991" s="69">
        <v>2</v>
      </c>
      <c r="Y991" s="69">
        <v>1</v>
      </c>
      <c r="AA991" t="s">
        <v>4543</v>
      </c>
      <c r="AB991" t="s">
        <v>87</v>
      </c>
      <c r="AC991" t="s">
        <v>4513</v>
      </c>
      <c r="AD991" t="s">
        <v>5057</v>
      </c>
      <c r="AE991" t="s">
        <v>4515</v>
      </c>
      <c r="AF991" t="s">
        <v>4768</v>
      </c>
      <c r="AG991" t="s">
        <v>223</v>
      </c>
      <c r="AH991" t="s">
        <v>5058</v>
      </c>
      <c r="AI991" t="s">
        <v>223</v>
      </c>
      <c r="AJ991" t="s">
        <v>5058</v>
      </c>
      <c r="AK991" t="s">
        <v>4740</v>
      </c>
      <c r="AL991" t="s">
        <v>4519</v>
      </c>
      <c r="AM991" t="s">
        <v>4520</v>
      </c>
      <c r="AN991" t="s">
        <v>4873</v>
      </c>
      <c r="AO991" s="134">
        <v>111.93896713615</v>
      </c>
      <c r="AP991" s="135">
        <v>98.120603015075403</v>
      </c>
      <c r="AQ991">
        <v>0.42713567839195998</v>
      </c>
      <c r="AR991" s="136">
        <v>1.2814070351758799</v>
      </c>
      <c r="AS991">
        <v>10.165829145728599</v>
      </c>
      <c r="AU991"/>
      <c r="AV991"/>
      <c r="AW991"/>
      <c r="AX991"/>
    </row>
    <row r="992" spans="1:50" s="69" customFormat="1" ht="136">
      <c r="A992" s="65">
        <v>140</v>
      </c>
      <c r="B992" s="69" t="s">
        <v>217</v>
      </c>
      <c r="C992" s="69" t="s">
        <v>45</v>
      </c>
      <c r="D992" s="31">
        <f t="shared" si="74"/>
        <v>4</v>
      </c>
      <c r="E992" s="69" t="s">
        <v>46</v>
      </c>
      <c r="F992" s="31">
        <f t="shared" si="75"/>
        <v>6</v>
      </c>
      <c r="G992" s="137" t="s">
        <v>444</v>
      </c>
      <c r="H992" s="138">
        <v>174</v>
      </c>
      <c r="I992" s="92">
        <f t="shared" si="77"/>
        <v>0.70827035928231197</v>
      </c>
      <c r="J992" s="95">
        <v>0.73472253674644195</v>
      </c>
      <c r="K992" s="137">
        <v>0.657905119887218</v>
      </c>
      <c r="L992" s="137">
        <v>0.68181818181818199</v>
      </c>
      <c r="M992" s="137">
        <v>0.62203552699077302</v>
      </c>
      <c r="N992" s="136">
        <v>1</v>
      </c>
      <c r="O992" s="154">
        <v>42927</v>
      </c>
      <c r="P992" s="98">
        <f t="shared" si="76"/>
        <v>1</v>
      </c>
      <c r="Q992" s="113">
        <v>2.5499999999999998</v>
      </c>
      <c r="R992" s="113">
        <v>0</v>
      </c>
      <c r="S992" s="113">
        <v>0</v>
      </c>
      <c r="T992" s="114" t="s">
        <v>73</v>
      </c>
      <c r="U992" s="136" t="s">
        <v>445</v>
      </c>
      <c r="V992" s="137" t="s">
        <v>446</v>
      </c>
      <c r="W992" s="69">
        <v>197</v>
      </c>
      <c r="X992" s="69">
        <v>1</v>
      </c>
      <c r="Y992" s="69">
        <v>7</v>
      </c>
      <c r="Z992"/>
      <c r="AA992" t="s">
        <v>4564</v>
      </c>
      <c r="AB992" t="s">
        <v>87</v>
      </c>
      <c r="AC992" t="s">
        <v>4513</v>
      </c>
      <c r="AD992" t="s">
        <v>5059</v>
      </c>
      <c r="AE992" t="s">
        <v>223</v>
      </c>
      <c r="AF992" t="s">
        <v>4941</v>
      </c>
      <c r="AG992" t="s">
        <v>223</v>
      </c>
      <c r="AH992" t="s">
        <v>4941</v>
      </c>
      <c r="AI992" t="s">
        <v>4353</v>
      </c>
      <c r="AJ992" t="s">
        <v>4506</v>
      </c>
      <c r="AK992" t="s">
        <v>4519</v>
      </c>
      <c r="AL992" t="s">
        <v>4519</v>
      </c>
      <c r="AM992" t="s">
        <v>4510</v>
      </c>
      <c r="AN992" t="s">
        <v>4550</v>
      </c>
      <c r="AO992" s="134">
        <v>111.64622641509401</v>
      </c>
      <c r="AP992" s="135">
        <v>98.120603015075403</v>
      </c>
      <c r="AQ992">
        <v>0.42713567839195998</v>
      </c>
      <c r="AR992" s="136">
        <v>1.2814070351758799</v>
      </c>
      <c r="AS992">
        <v>10.165829145728599</v>
      </c>
      <c r="AU992"/>
      <c r="AV992"/>
      <c r="AW992"/>
      <c r="AX992"/>
    </row>
    <row r="993" spans="1:50" s="69" customFormat="1" ht="226">
      <c r="A993" s="65">
        <v>1181</v>
      </c>
      <c r="B993" s="69" t="s">
        <v>3117</v>
      </c>
      <c r="C993" s="69" t="s">
        <v>45</v>
      </c>
      <c r="D993" s="31">
        <f t="shared" ref="D993:D1040" si="78">IF(C993="投诉",4,IF(C993="建议",1,IF(C993="举报",2,IF(C993="求助",3,5))))</f>
        <v>4</v>
      </c>
      <c r="E993" s="69" t="s">
        <v>46</v>
      </c>
      <c r="F993" s="31">
        <f t="shared" ref="F993:F1040" si="79">IF(E993="12345app",1,IF(E993="e福州app",2,IF(E993="qq",3,IF(E993="电话",4,IF(E993="短信",5,IF(E993="网站",6,IF(E993="微博",7,IF(E993="微信",8,9))))))))</f>
        <v>6</v>
      </c>
      <c r="G993" s="139" t="s">
        <v>3156</v>
      </c>
      <c r="H993" s="138">
        <v>45</v>
      </c>
      <c r="I993" s="92">
        <f t="shared" si="77"/>
        <v>0.63840828867337451</v>
      </c>
      <c r="J993" s="95">
        <v>0.52681657734674903</v>
      </c>
      <c r="K993" s="137">
        <v>0.67857142857142805</v>
      </c>
      <c r="L993" s="137">
        <v>0.75</v>
      </c>
      <c r="M993" s="137">
        <v>0.57142857142857095</v>
      </c>
      <c r="N993" s="136">
        <v>1</v>
      </c>
      <c r="O993" s="157">
        <v>42927</v>
      </c>
      <c r="P993" s="98">
        <f t="shared" ref="P993:P1040" si="80">IF(T993="利己",0,IF(T993="生态",2,1))</f>
        <v>1</v>
      </c>
      <c r="Q993" s="113">
        <v>7.65</v>
      </c>
      <c r="R993" s="113">
        <v>0</v>
      </c>
      <c r="S993" s="113">
        <v>0</v>
      </c>
      <c r="T993" s="119" t="s">
        <v>73</v>
      </c>
      <c r="U993" s="89" t="s">
        <v>3179</v>
      </c>
      <c r="V993" s="136" t="s">
        <v>4474</v>
      </c>
      <c r="W993" s="69">
        <v>295</v>
      </c>
      <c r="X993" s="69">
        <v>2</v>
      </c>
      <c r="Y993" s="69">
        <v>9</v>
      </c>
      <c r="AA993" t="s">
        <v>4564</v>
      </c>
      <c r="AB993" t="s">
        <v>4594</v>
      </c>
      <c r="AC993" t="s">
        <v>4513</v>
      </c>
      <c r="AD993" t="s">
        <v>4555</v>
      </c>
      <c r="AE993" t="s">
        <v>4513</v>
      </c>
      <c r="AF993" t="s">
        <v>4555</v>
      </c>
      <c r="AG993" t="s">
        <v>223</v>
      </c>
      <c r="AH993" t="s">
        <v>5056</v>
      </c>
      <c r="AI993" t="s">
        <v>223</v>
      </c>
      <c r="AJ993" t="s">
        <v>5056</v>
      </c>
      <c r="AK993" t="s">
        <v>4591</v>
      </c>
      <c r="AL993" t="s">
        <v>4519</v>
      </c>
      <c r="AM993" t="s">
        <v>4510</v>
      </c>
      <c r="AN993" t="s">
        <v>4980</v>
      </c>
      <c r="AO993" s="134">
        <v>111.962085308057</v>
      </c>
      <c r="AP993" s="135">
        <v>98.120603015075403</v>
      </c>
      <c r="AQ993">
        <v>0.42713567839195998</v>
      </c>
      <c r="AR993" s="136">
        <v>1.2814070351758799</v>
      </c>
      <c r="AS993">
        <v>10.165829145728599</v>
      </c>
      <c r="AU993"/>
      <c r="AV993"/>
      <c r="AW993"/>
      <c r="AX993"/>
    </row>
    <row r="994" spans="1:50" s="69" customFormat="1" ht="226">
      <c r="A994">
        <v>1182</v>
      </c>
      <c r="B994" s="69" t="s">
        <v>3117</v>
      </c>
      <c r="C994" s="69" t="s">
        <v>45</v>
      </c>
      <c r="D994" s="31">
        <f t="shared" si="78"/>
        <v>4</v>
      </c>
      <c r="E994" s="69" t="s">
        <v>46</v>
      </c>
      <c r="F994" s="31">
        <f t="shared" si="79"/>
        <v>6</v>
      </c>
      <c r="G994" s="139" t="s">
        <v>3180</v>
      </c>
      <c r="H994" s="138">
        <v>65</v>
      </c>
      <c r="I994" s="92">
        <f t="shared" si="77"/>
        <v>0.80661357530421296</v>
      </c>
      <c r="J994" s="95">
        <v>0.93140896879024404</v>
      </c>
      <c r="K994" s="137">
        <v>0.63766233766233804</v>
      </c>
      <c r="L994" s="137">
        <v>0.68181818181818199</v>
      </c>
      <c r="M994" s="137">
        <v>0.57142857142857095</v>
      </c>
      <c r="N994" s="136">
        <v>1</v>
      </c>
      <c r="O994" s="157">
        <v>42926</v>
      </c>
      <c r="P994" s="98">
        <f t="shared" si="80"/>
        <v>1</v>
      </c>
      <c r="Q994" s="113">
        <v>5.0999999999999996</v>
      </c>
      <c r="R994" s="113">
        <v>0</v>
      </c>
      <c r="S994" s="113">
        <v>0</v>
      </c>
      <c r="T994" s="119" t="s">
        <v>73</v>
      </c>
      <c r="U994" s="89" t="s">
        <v>3181</v>
      </c>
      <c r="V994" s="136" t="s">
        <v>4474</v>
      </c>
      <c r="W994" s="69">
        <v>295</v>
      </c>
      <c r="X994" s="69">
        <v>2</v>
      </c>
      <c r="Y994" s="69">
        <v>9</v>
      </c>
      <c r="AA994" t="s">
        <v>4551</v>
      </c>
      <c r="AB994" t="s">
        <v>4594</v>
      </c>
      <c r="AC994" t="s">
        <v>4513</v>
      </c>
      <c r="AD994" t="s">
        <v>4555</v>
      </c>
      <c r="AE994" t="s">
        <v>4513</v>
      </c>
      <c r="AF994" t="s">
        <v>4555</v>
      </c>
      <c r="AG994" t="s">
        <v>223</v>
      </c>
      <c r="AH994" t="s">
        <v>5056</v>
      </c>
      <c r="AI994" t="s">
        <v>223</v>
      </c>
      <c r="AJ994" t="s">
        <v>5056</v>
      </c>
      <c r="AK994" t="s">
        <v>5045</v>
      </c>
      <c r="AL994" t="s">
        <v>4828</v>
      </c>
      <c r="AM994" t="s">
        <v>4528</v>
      </c>
      <c r="AN994" t="s">
        <v>5060</v>
      </c>
      <c r="AO994" s="134">
        <v>112.185714285714</v>
      </c>
      <c r="AP994" s="135">
        <v>97.782828282828305</v>
      </c>
      <c r="AQ994">
        <v>0.429292929292929</v>
      </c>
      <c r="AR994" s="136">
        <v>1.28282828282828</v>
      </c>
      <c r="AS994">
        <v>10.2121212121212</v>
      </c>
      <c r="AU994"/>
      <c r="AV994"/>
      <c r="AW994"/>
      <c r="AX994"/>
    </row>
    <row r="995" spans="1:50" s="69" customFormat="1" ht="121">
      <c r="A995" s="65">
        <v>141</v>
      </c>
      <c r="B995" s="69" t="s">
        <v>217</v>
      </c>
      <c r="C995" s="69" t="s">
        <v>119</v>
      </c>
      <c r="D995" s="31">
        <f t="shared" si="78"/>
        <v>1</v>
      </c>
      <c r="E995" s="69" t="s">
        <v>46</v>
      </c>
      <c r="F995" s="31">
        <f t="shared" si="79"/>
        <v>6</v>
      </c>
      <c r="G995" s="137" t="s">
        <v>447</v>
      </c>
      <c r="H995" s="138">
        <v>82</v>
      </c>
      <c r="I995" s="92">
        <f t="shared" si="77"/>
        <v>0.84023049990692344</v>
      </c>
      <c r="J995" s="95">
        <v>0.99864281799566501</v>
      </c>
      <c r="K995" s="137">
        <v>0.75194805194805203</v>
      </c>
      <c r="L995" s="137">
        <v>0.68181818181818199</v>
      </c>
      <c r="M995" s="137">
        <v>0.85714285714285698</v>
      </c>
      <c r="N995" s="136">
        <v>1</v>
      </c>
      <c r="O995" s="154">
        <v>42925</v>
      </c>
      <c r="P995" s="98">
        <f t="shared" si="80"/>
        <v>0</v>
      </c>
      <c r="Q995" s="111">
        <v>7.65</v>
      </c>
      <c r="R995" s="111">
        <v>1.65</v>
      </c>
      <c r="S995" s="111">
        <v>0</v>
      </c>
      <c r="T995" s="112" t="s">
        <v>48</v>
      </c>
      <c r="U995" s="137" t="s">
        <v>448</v>
      </c>
      <c r="V995" s="137" t="s">
        <v>449</v>
      </c>
      <c r="W995" s="69">
        <v>165</v>
      </c>
      <c r="X995" s="69">
        <v>1</v>
      </c>
      <c r="Y995" s="69">
        <v>1</v>
      </c>
      <c r="Z995"/>
      <c r="AA995" t="s">
        <v>4564</v>
      </c>
      <c r="AB995" t="s">
        <v>4597</v>
      </c>
      <c r="AC995" t="s">
        <v>4515</v>
      </c>
      <c r="AD995" t="s">
        <v>4799</v>
      </c>
      <c r="AE995" t="s">
        <v>223</v>
      </c>
      <c r="AF995" t="s">
        <v>5016</v>
      </c>
      <c r="AG995" t="s">
        <v>4515</v>
      </c>
      <c r="AH995" t="s">
        <v>4799</v>
      </c>
      <c r="AI995" t="s">
        <v>4353</v>
      </c>
      <c r="AJ995" t="s">
        <v>4506</v>
      </c>
      <c r="AK995" t="s">
        <v>4519</v>
      </c>
      <c r="AL995" t="s">
        <v>4519</v>
      </c>
      <c r="AM995" t="s">
        <v>4528</v>
      </c>
      <c r="AN995" t="s">
        <v>4529</v>
      </c>
      <c r="AO995" s="134">
        <v>112.33014354066999</v>
      </c>
      <c r="AP995" s="135">
        <v>97.782828282828305</v>
      </c>
      <c r="AQ995">
        <v>0.429292929292929</v>
      </c>
      <c r="AR995" s="136">
        <v>1.28282828282828</v>
      </c>
      <c r="AS995">
        <v>10.2121212121212</v>
      </c>
      <c r="AU995"/>
      <c r="AV995"/>
      <c r="AW995"/>
      <c r="AX995"/>
    </row>
    <row r="996" spans="1:50" s="69" customFormat="1" ht="76">
      <c r="A996">
        <v>678</v>
      </c>
      <c r="B996" s="69" t="s">
        <v>1790</v>
      </c>
      <c r="C996" s="69" t="s">
        <v>45</v>
      </c>
      <c r="D996" s="31">
        <f t="shared" si="78"/>
        <v>4</v>
      </c>
      <c r="E996" s="69" t="s">
        <v>80</v>
      </c>
      <c r="F996" s="31">
        <f t="shared" si="79"/>
        <v>4</v>
      </c>
      <c r="G996" s="169" t="s">
        <v>1862</v>
      </c>
      <c r="H996" s="138">
        <v>123</v>
      </c>
      <c r="I996" s="92">
        <f t="shared" si="77"/>
        <v>0.25613494844438056</v>
      </c>
      <c r="J996" s="95">
        <v>9.8053649580931401E-6</v>
      </c>
      <c r="K996" s="137">
        <v>0.53592748348570995</v>
      </c>
      <c r="L996" s="137">
        <v>0.51226009152380303</v>
      </c>
      <c r="M996" s="137">
        <v>0.57142857142857095</v>
      </c>
      <c r="N996" s="136">
        <v>1</v>
      </c>
      <c r="O996" s="154">
        <v>42925</v>
      </c>
      <c r="P996" s="98">
        <f t="shared" si="80"/>
        <v>0</v>
      </c>
      <c r="Q996" s="111">
        <v>5.0999999999999996</v>
      </c>
      <c r="R996" s="111">
        <v>1.65</v>
      </c>
      <c r="S996" s="111">
        <v>0</v>
      </c>
      <c r="T996" s="112" t="s">
        <v>48</v>
      </c>
      <c r="U996" s="137" t="s">
        <v>1863</v>
      </c>
      <c r="V996" s="137" t="s">
        <v>1864</v>
      </c>
      <c r="W996" s="69">
        <v>48</v>
      </c>
      <c r="X996" s="69">
        <v>1</v>
      </c>
      <c r="Y996" s="69">
        <v>9</v>
      </c>
      <c r="AA996" t="s">
        <v>4678</v>
      </c>
      <c r="AB996" t="s">
        <v>4597</v>
      </c>
      <c r="AC996" t="s">
        <v>4515</v>
      </c>
      <c r="AD996" t="s">
        <v>4577</v>
      </c>
      <c r="AE996" t="s">
        <v>4353</v>
      </c>
      <c r="AF996" t="s">
        <v>4506</v>
      </c>
      <c r="AG996" t="s">
        <v>4515</v>
      </c>
      <c r="AH996" t="s">
        <v>4577</v>
      </c>
      <c r="AI996" t="s">
        <v>4353</v>
      </c>
      <c r="AJ996" t="s">
        <v>4506</v>
      </c>
      <c r="AK996" t="s">
        <v>4518</v>
      </c>
      <c r="AL996" t="s">
        <v>4519</v>
      </c>
      <c r="AM996" t="s">
        <v>4898</v>
      </c>
      <c r="AN996" t="s">
        <v>4945</v>
      </c>
      <c r="AO996" s="134">
        <v>112.278846153846</v>
      </c>
      <c r="AP996" s="135">
        <v>97.782828282828305</v>
      </c>
      <c r="AQ996">
        <v>0.429292929292929</v>
      </c>
      <c r="AR996" s="136">
        <v>1.28282828282828</v>
      </c>
      <c r="AS996">
        <v>10.2121212121212</v>
      </c>
      <c r="AU996"/>
      <c r="AV996"/>
      <c r="AW996"/>
      <c r="AX996"/>
    </row>
    <row r="997" spans="1:50" s="69" customFormat="1" ht="226">
      <c r="A997">
        <v>1183</v>
      </c>
      <c r="B997" s="69" t="s">
        <v>3117</v>
      </c>
      <c r="C997" s="69" t="s">
        <v>45</v>
      </c>
      <c r="D997" s="31">
        <f t="shared" si="78"/>
        <v>4</v>
      </c>
      <c r="E997" s="69" t="s">
        <v>46</v>
      </c>
      <c r="F997" s="31">
        <f t="shared" si="79"/>
        <v>6</v>
      </c>
      <c r="G997" s="89" t="s">
        <v>3182</v>
      </c>
      <c r="H997" s="138">
        <v>48</v>
      </c>
      <c r="I997" s="92">
        <f t="shared" si="77"/>
        <v>0.81903569664355391</v>
      </c>
      <c r="J997" s="95">
        <v>0.95625321146892595</v>
      </c>
      <c r="K997" s="137">
        <v>0.61956949249917204</v>
      </c>
      <c r="L997" s="137">
        <v>0.68181818181818199</v>
      </c>
      <c r="M997" s="137">
        <v>0.526196458520657</v>
      </c>
      <c r="N997" s="136">
        <v>1</v>
      </c>
      <c r="O997" s="157">
        <v>42924</v>
      </c>
      <c r="P997" s="98">
        <f t="shared" si="80"/>
        <v>1</v>
      </c>
      <c r="Q997" s="113">
        <v>0</v>
      </c>
      <c r="R997" s="113">
        <v>0</v>
      </c>
      <c r="S997" s="113">
        <v>0</v>
      </c>
      <c r="T997" s="119" t="s">
        <v>73</v>
      </c>
      <c r="U997" s="89" t="s">
        <v>3183</v>
      </c>
      <c r="V997" s="136" t="s">
        <v>4474</v>
      </c>
      <c r="W997" s="69">
        <v>295</v>
      </c>
      <c r="X997" s="69">
        <v>2</v>
      </c>
      <c r="Y997" s="69">
        <v>11</v>
      </c>
      <c r="AA997" t="s">
        <v>4564</v>
      </c>
      <c r="AB997" t="s">
        <v>4594</v>
      </c>
      <c r="AC997" t="s">
        <v>4513</v>
      </c>
      <c r="AD997" t="s">
        <v>4555</v>
      </c>
      <c r="AE997" t="s">
        <v>4513</v>
      </c>
      <c r="AF997" t="s">
        <v>4555</v>
      </c>
      <c r="AG997" t="s">
        <v>223</v>
      </c>
      <c r="AH997" t="s">
        <v>5056</v>
      </c>
      <c r="AI997" t="s">
        <v>223</v>
      </c>
      <c r="AJ997" t="s">
        <v>5056</v>
      </c>
      <c r="AK997" t="s">
        <v>4508</v>
      </c>
      <c r="AL997" t="s">
        <v>4519</v>
      </c>
      <c r="AM997" t="s">
        <v>4510</v>
      </c>
      <c r="AN997" t="s">
        <v>4572</v>
      </c>
      <c r="AO997" s="134">
        <v>111.584541062802</v>
      </c>
      <c r="AP997" s="135">
        <v>97.782828282828305</v>
      </c>
      <c r="AQ997">
        <v>0.429292929292929</v>
      </c>
      <c r="AR997" s="136">
        <v>1.28282828282828</v>
      </c>
      <c r="AS997">
        <v>10.2121212121212</v>
      </c>
      <c r="AU997"/>
      <c r="AV997"/>
      <c r="AW997"/>
      <c r="AX997"/>
    </row>
    <row r="998" spans="1:50" s="69" customFormat="1" ht="181">
      <c r="A998">
        <v>142</v>
      </c>
      <c r="B998" s="69" t="s">
        <v>217</v>
      </c>
      <c r="C998" s="69" t="s">
        <v>45</v>
      </c>
      <c r="D998" s="31">
        <f t="shared" si="78"/>
        <v>4</v>
      </c>
      <c r="E998" s="69" t="s">
        <v>46</v>
      </c>
      <c r="F998" s="31">
        <f t="shared" si="79"/>
        <v>6</v>
      </c>
      <c r="G998" s="137" t="s">
        <v>450</v>
      </c>
      <c r="H998" s="138">
        <v>256</v>
      </c>
      <c r="I998" s="92">
        <f t="shared" si="77"/>
        <v>0.51703568490457097</v>
      </c>
      <c r="J998" s="95">
        <v>0.47058526913295901</v>
      </c>
      <c r="K998" s="137">
        <v>0.56666308897713802</v>
      </c>
      <c r="L998" s="137">
        <v>0.56348610067618299</v>
      </c>
      <c r="M998" s="137">
        <v>0.57142857142857095</v>
      </c>
      <c r="N998" s="136">
        <v>1</v>
      </c>
      <c r="O998" s="154">
        <v>42924</v>
      </c>
      <c r="P998" s="98">
        <f t="shared" si="80"/>
        <v>1</v>
      </c>
      <c r="Q998" s="111">
        <v>5.0999999999999996</v>
      </c>
      <c r="R998" s="111">
        <v>6.6</v>
      </c>
      <c r="S998" s="111">
        <v>0</v>
      </c>
      <c r="T998" s="112" t="s">
        <v>73</v>
      </c>
      <c r="U998" s="137" t="s">
        <v>451</v>
      </c>
      <c r="V998" s="137" t="s">
        <v>452</v>
      </c>
      <c r="W998" s="69">
        <v>256</v>
      </c>
      <c r="X998" s="69">
        <v>1</v>
      </c>
      <c r="Y998" s="69">
        <v>9</v>
      </c>
      <c r="Z998"/>
      <c r="AA998" t="s">
        <v>5061</v>
      </c>
      <c r="AB998" t="s">
        <v>87</v>
      </c>
      <c r="AC998" t="s">
        <v>4530</v>
      </c>
      <c r="AD998" t="s">
        <v>4617</v>
      </c>
      <c r="AE998" t="s">
        <v>4515</v>
      </c>
      <c r="AF998" t="s">
        <v>4600</v>
      </c>
      <c r="AG998" t="s">
        <v>4515</v>
      </c>
      <c r="AH998" t="s">
        <v>4600</v>
      </c>
      <c r="AI998" t="s">
        <v>4353</v>
      </c>
      <c r="AJ998" t="s">
        <v>4506</v>
      </c>
      <c r="AK998" t="s">
        <v>4740</v>
      </c>
      <c r="AL998" t="s">
        <v>4519</v>
      </c>
      <c r="AM998" t="s">
        <v>4740</v>
      </c>
      <c r="AN998" t="s">
        <v>5062</v>
      </c>
      <c r="AO998" s="134">
        <v>111.893203883495</v>
      </c>
      <c r="AP998" s="135">
        <v>97.782828282828305</v>
      </c>
      <c r="AQ998">
        <v>0.429292929292929</v>
      </c>
      <c r="AR998" s="136">
        <v>1.28282828282828</v>
      </c>
      <c r="AS998">
        <v>10.2121212121212</v>
      </c>
      <c r="AU998"/>
      <c r="AV998"/>
      <c r="AW998"/>
      <c r="AX998"/>
    </row>
    <row r="999" spans="1:50" s="69" customFormat="1" ht="166">
      <c r="A999">
        <v>143</v>
      </c>
      <c r="B999" s="69" t="s">
        <v>217</v>
      </c>
      <c r="C999" s="69" t="s">
        <v>119</v>
      </c>
      <c r="D999" s="31">
        <f t="shared" si="78"/>
        <v>1</v>
      </c>
      <c r="E999" s="69" t="s">
        <v>46</v>
      </c>
      <c r="F999" s="31">
        <f t="shared" si="79"/>
        <v>6</v>
      </c>
      <c r="G999" s="137" t="s">
        <v>453</v>
      </c>
      <c r="H999" s="138">
        <v>161</v>
      </c>
      <c r="I999" s="92">
        <f t="shared" si="77"/>
        <v>0.95374998226924601</v>
      </c>
      <c r="J999" s="95">
        <v>0.99999996453849205</v>
      </c>
      <c r="K999" s="137">
        <v>0.79331421079630904</v>
      </c>
      <c r="L999" s="137">
        <v>0.90749999999999997</v>
      </c>
      <c r="M999" s="137">
        <v>0.62203552699077302</v>
      </c>
      <c r="N999" s="136">
        <v>1</v>
      </c>
      <c r="O999" s="154">
        <v>42923</v>
      </c>
      <c r="P999" s="98">
        <f t="shared" si="80"/>
        <v>1</v>
      </c>
      <c r="Q999" s="111">
        <v>7.65</v>
      </c>
      <c r="R999" s="111">
        <v>3.3</v>
      </c>
      <c r="S999" s="111">
        <v>0</v>
      </c>
      <c r="T999" s="112" t="s">
        <v>73</v>
      </c>
      <c r="U999" s="137" t="s">
        <v>454</v>
      </c>
      <c r="V999" s="137" t="s">
        <v>455</v>
      </c>
      <c r="W999" s="69">
        <v>242</v>
      </c>
      <c r="X999" s="69">
        <v>2</v>
      </c>
      <c r="Y999" s="69">
        <v>7</v>
      </c>
      <c r="Z999"/>
      <c r="AA999" t="s">
        <v>4764</v>
      </c>
      <c r="AB999" t="s">
        <v>4576</v>
      </c>
      <c r="AC999" t="s">
        <v>4513</v>
      </c>
      <c r="AD999" t="s">
        <v>5063</v>
      </c>
      <c r="AE999" t="s">
        <v>4530</v>
      </c>
      <c r="AF999" t="s">
        <v>4957</v>
      </c>
      <c r="AG999" t="s">
        <v>4530</v>
      </c>
      <c r="AH999" t="s">
        <v>4957</v>
      </c>
      <c r="AI999" t="s">
        <v>4353</v>
      </c>
      <c r="AJ999" t="s">
        <v>4506</v>
      </c>
      <c r="AK999" t="s">
        <v>4519</v>
      </c>
      <c r="AL999" t="s">
        <v>4552</v>
      </c>
      <c r="AM999" t="s">
        <v>4519</v>
      </c>
      <c r="AN999" t="s">
        <v>4659</v>
      </c>
      <c r="AO999" s="134">
        <v>111.653658536585</v>
      </c>
      <c r="AP999" s="135">
        <v>94.805128205128199</v>
      </c>
      <c r="AQ999">
        <v>0.42564102564102602</v>
      </c>
      <c r="AR999" s="136">
        <v>1.2820512820512799</v>
      </c>
      <c r="AS999">
        <v>10.2974358974359</v>
      </c>
      <c r="AU999"/>
      <c r="AV999"/>
      <c r="AW999"/>
      <c r="AX999"/>
    </row>
    <row r="1000" spans="1:50" s="69" customFormat="1" ht="226">
      <c r="A1000" s="65">
        <v>1184</v>
      </c>
      <c r="B1000" s="69" t="s">
        <v>3117</v>
      </c>
      <c r="C1000" s="69" t="s">
        <v>45</v>
      </c>
      <c r="D1000" s="31">
        <f t="shared" si="78"/>
        <v>4</v>
      </c>
      <c r="E1000" s="69" t="s">
        <v>46</v>
      </c>
      <c r="F1000" s="31">
        <f t="shared" si="79"/>
        <v>6</v>
      </c>
      <c r="G1000" s="191" t="s">
        <v>3130</v>
      </c>
      <c r="H1000" s="138">
        <v>79</v>
      </c>
      <c r="I1000" s="92">
        <f t="shared" si="77"/>
        <v>0.40808893136453744</v>
      </c>
      <c r="J1000" s="95">
        <v>6.6177862729074902E-2</v>
      </c>
      <c r="K1000" s="137">
        <v>0.65205133627784295</v>
      </c>
      <c r="L1000" s="137">
        <v>0.75</v>
      </c>
      <c r="M1000" s="137">
        <v>0.50512834069460699</v>
      </c>
      <c r="N1000" s="136">
        <v>1</v>
      </c>
      <c r="O1000" s="157">
        <v>42923</v>
      </c>
      <c r="P1000" s="98">
        <f t="shared" si="80"/>
        <v>1</v>
      </c>
      <c r="Q1000" s="113">
        <v>0</v>
      </c>
      <c r="R1000" s="113">
        <v>0</v>
      </c>
      <c r="S1000" s="113">
        <v>0</v>
      </c>
      <c r="T1000" s="119" t="s">
        <v>73</v>
      </c>
      <c r="U1000" s="89" t="s">
        <v>3184</v>
      </c>
      <c r="V1000" s="136" t="s">
        <v>4474</v>
      </c>
      <c r="W1000" s="69">
        <v>295</v>
      </c>
      <c r="X1000" s="171">
        <v>2</v>
      </c>
      <c r="Y1000" s="171">
        <v>12</v>
      </c>
      <c r="AA1000" t="s">
        <v>4564</v>
      </c>
      <c r="AB1000" t="s">
        <v>4594</v>
      </c>
      <c r="AC1000" t="s">
        <v>4513</v>
      </c>
      <c r="AD1000" t="s">
        <v>4555</v>
      </c>
      <c r="AE1000" t="s">
        <v>4513</v>
      </c>
      <c r="AF1000" t="s">
        <v>4555</v>
      </c>
      <c r="AG1000" t="s">
        <v>223</v>
      </c>
      <c r="AH1000" t="s">
        <v>5056</v>
      </c>
      <c r="AI1000" t="s">
        <v>223</v>
      </c>
      <c r="AJ1000" t="s">
        <v>5056</v>
      </c>
      <c r="AK1000" t="s">
        <v>4740</v>
      </c>
      <c r="AL1000" t="s">
        <v>4519</v>
      </c>
      <c r="AM1000" t="s">
        <v>4528</v>
      </c>
      <c r="AN1000" t="s">
        <v>4817</v>
      </c>
      <c r="AO1000" s="134">
        <v>111.81372549019601</v>
      </c>
      <c r="AP1000" s="135">
        <v>94.805128205128199</v>
      </c>
      <c r="AQ1000">
        <v>0.42564102564102602</v>
      </c>
      <c r="AR1000" s="136">
        <v>1.2820512820512799</v>
      </c>
      <c r="AS1000">
        <v>10.2974358974359</v>
      </c>
      <c r="AU1000"/>
      <c r="AV1000"/>
      <c r="AW1000"/>
      <c r="AX1000"/>
    </row>
    <row r="1001" spans="1:50" s="69" customFormat="1" ht="256">
      <c r="A1001" s="65">
        <v>144</v>
      </c>
      <c r="B1001" s="69" t="s">
        <v>217</v>
      </c>
      <c r="C1001" s="69" t="s">
        <v>45</v>
      </c>
      <c r="D1001" s="31">
        <f t="shared" si="78"/>
        <v>4</v>
      </c>
      <c r="E1001" s="69" t="s">
        <v>46</v>
      </c>
      <c r="F1001" s="31">
        <f t="shared" si="79"/>
        <v>6</v>
      </c>
      <c r="G1001" s="137" t="s">
        <v>456</v>
      </c>
      <c r="H1001" s="138">
        <v>159</v>
      </c>
      <c r="I1001" s="92">
        <f t="shared" si="77"/>
        <v>0.78164849237259904</v>
      </c>
      <c r="J1001" s="95">
        <v>0.99981088406901497</v>
      </c>
      <c r="K1001" s="137">
        <v>0.68094880326285301</v>
      </c>
      <c r="L1001" s="137">
        <v>0.56348610067618299</v>
      </c>
      <c r="M1001" s="137">
        <v>0.85714285714285698</v>
      </c>
      <c r="N1001" s="136">
        <v>1</v>
      </c>
      <c r="O1001" s="154">
        <v>42922</v>
      </c>
      <c r="P1001" s="98">
        <f t="shared" si="80"/>
        <v>1</v>
      </c>
      <c r="Q1001" s="111">
        <v>2.5499999999999998</v>
      </c>
      <c r="R1001" s="111">
        <v>1.65</v>
      </c>
      <c r="S1001" s="111">
        <v>0</v>
      </c>
      <c r="T1001" s="112" t="s">
        <v>73</v>
      </c>
      <c r="U1001" s="137" t="s">
        <v>457</v>
      </c>
      <c r="V1001" s="137" t="s">
        <v>458</v>
      </c>
      <c r="W1001" s="69">
        <v>370</v>
      </c>
      <c r="X1001" s="69">
        <v>3</v>
      </c>
      <c r="Y1001" s="69">
        <v>1</v>
      </c>
      <c r="Z1001"/>
      <c r="AA1001" t="s">
        <v>4757</v>
      </c>
      <c r="AB1001" t="s">
        <v>87</v>
      </c>
      <c r="AC1001" t="s">
        <v>4513</v>
      </c>
      <c r="AD1001" t="s">
        <v>5064</v>
      </c>
      <c r="AE1001" t="s">
        <v>223</v>
      </c>
      <c r="AF1001" t="s">
        <v>5065</v>
      </c>
      <c r="AG1001" t="s">
        <v>4515</v>
      </c>
      <c r="AH1001" t="s">
        <v>4598</v>
      </c>
      <c r="AI1001" t="s">
        <v>4353</v>
      </c>
      <c r="AJ1001" t="s">
        <v>4506</v>
      </c>
      <c r="AK1001" t="s">
        <v>4578</v>
      </c>
      <c r="AL1001" t="s">
        <v>4519</v>
      </c>
      <c r="AM1001" t="s">
        <v>4528</v>
      </c>
      <c r="AN1001" t="s">
        <v>4874</v>
      </c>
      <c r="AO1001" s="134">
        <v>111.581280788177</v>
      </c>
      <c r="AP1001" s="135">
        <v>93.531578947368402</v>
      </c>
      <c r="AQ1001">
        <v>0.43157894736842101</v>
      </c>
      <c r="AR1001" s="136">
        <v>1.27368421052632</v>
      </c>
      <c r="AS1001">
        <v>10.352631578947401</v>
      </c>
      <c r="AU1001"/>
      <c r="AV1001"/>
      <c r="AW1001"/>
      <c r="AX1001"/>
    </row>
    <row r="1002" spans="1:50" s="69" customFormat="1" ht="181">
      <c r="A1002" s="65">
        <v>1185</v>
      </c>
      <c r="B1002" s="69" t="s">
        <v>3117</v>
      </c>
      <c r="C1002" s="69" t="s">
        <v>45</v>
      </c>
      <c r="D1002" s="31">
        <f t="shared" si="78"/>
        <v>4</v>
      </c>
      <c r="E1002" s="69" t="s">
        <v>46</v>
      </c>
      <c r="F1002" s="31">
        <f t="shared" si="79"/>
        <v>6</v>
      </c>
      <c r="G1002" s="139" t="s">
        <v>3130</v>
      </c>
      <c r="H1002" s="138">
        <v>73</v>
      </c>
      <c r="I1002" s="92">
        <f t="shared" si="77"/>
        <v>0.40210429300373562</v>
      </c>
      <c r="J1002" s="95">
        <v>5.42085860074712E-2</v>
      </c>
      <c r="K1002" s="137">
        <v>0.643968498544915</v>
      </c>
      <c r="L1002" s="137">
        <v>0.75</v>
      </c>
      <c r="M1002" s="137">
        <v>0.48492124636228701</v>
      </c>
      <c r="N1002" s="136">
        <v>1</v>
      </c>
      <c r="O1002" s="157">
        <v>42922</v>
      </c>
      <c r="P1002" s="98">
        <f t="shared" si="80"/>
        <v>1</v>
      </c>
      <c r="Q1002" s="113">
        <v>0</v>
      </c>
      <c r="R1002" s="113">
        <v>0</v>
      </c>
      <c r="S1002" s="113">
        <v>0</v>
      </c>
      <c r="T1002" s="119" t="s">
        <v>73</v>
      </c>
      <c r="U1002" s="89" t="s">
        <v>3185</v>
      </c>
      <c r="V1002" s="136" t="s">
        <v>4475</v>
      </c>
      <c r="W1002" s="69">
        <v>255</v>
      </c>
      <c r="X1002" s="69">
        <v>2</v>
      </c>
      <c r="Y1002" s="69">
        <v>13</v>
      </c>
      <c r="AA1002" t="s">
        <v>4564</v>
      </c>
      <c r="AB1002" t="s">
        <v>4594</v>
      </c>
      <c r="AC1002" t="s">
        <v>4513</v>
      </c>
      <c r="AD1002" t="s">
        <v>5066</v>
      </c>
      <c r="AE1002" t="s">
        <v>4513</v>
      </c>
      <c r="AF1002" t="s">
        <v>5066</v>
      </c>
      <c r="AG1002" t="s">
        <v>223</v>
      </c>
      <c r="AH1002" t="s">
        <v>4955</v>
      </c>
      <c r="AI1002" t="s">
        <v>223</v>
      </c>
      <c r="AJ1002" t="s">
        <v>4955</v>
      </c>
      <c r="AK1002" t="s">
        <v>4740</v>
      </c>
      <c r="AL1002" t="s">
        <v>4519</v>
      </c>
      <c r="AM1002" t="s">
        <v>4510</v>
      </c>
      <c r="AN1002" t="s">
        <v>4741</v>
      </c>
      <c r="AO1002" s="134">
        <v>110.990099009901</v>
      </c>
      <c r="AP1002" s="135">
        <v>93.531578947368402</v>
      </c>
      <c r="AQ1002">
        <v>0.43157894736842101</v>
      </c>
      <c r="AR1002" s="136">
        <v>1.27368421052632</v>
      </c>
      <c r="AS1002">
        <v>10.352631578947401</v>
      </c>
      <c r="AU1002"/>
      <c r="AV1002"/>
      <c r="AW1002"/>
      <c r="AX1002"/>
    </row>
    <row r="1003" spans="1:50" s="69" customFormat="1" ht="166">
      <c r="A1003" s="65">
        <v>145</v>
      </c>
      <c r="B1003" s="69" t="s">
        <v>217</v>
      </c>
      <c r="C1003" s="69" t="s">
        <v>45</v>
      </c>
      <c r="D1003" s="31">
        <f t="shared" si="78"/>
        <v>4</v>
      </c>
      <c r="E1003" s="69" t="s">
        <v>46</v>
      </c>
      <c r="F1003" s="31">
        <f t="shared" si="79"/>
        <v>6</v>
      </c>
      <c r="G1003" s="137" t="s">
        <v>459</v>
      </c>
      <c r="H1003" s="138">
        <v>231</v>
      </c>
      <c r="I1003" s="92">
        <f t="shared" si="77"/>
        <v>0.37648385291175679</v>
      </c>
      <c r="J1003" s="95">
        <v>2.96770582351358E-3</v>
      </c>
      <c r="K1003" s="137">
        <v>0.68837559287164596</v>
      </c>
      <c r="L1003" s="137">
        <v>0.75</v>
      </c>
      <c r="M1003" s="137">
        <v>0.59593898217911601</v>
      </c>
      <c r="N1003" s="136">
        <v>1</v>
      </c>
      <c r="O1003" s="154">
        <v>42922</v>
      </c>
      <c r="P1003" s="98">
        <f t="shared" si="80"/>
        <v>1</v>
      </c>
      <c r="Q1003" s="111">
        <v>5.0999999999999996</v>
      </c>
      <c r="R1003" s="111">
        <v>1.65</v>
      </c>
      <c r="S1003" s="111">
        <v>0</v>
      </c>
      <c r="T1003" s="112" t="s">
        <v>73</v>
      </c>
      <c r="U1003" s="137" t="s">
        <v>460</v>
      </c>
      <c r="V1003" s="137" t="s">
        <v>455</v>
      </c>
      <c r="W1003" s="69">
        <v>242</v>
      </c>
      <c r="X1003" s="69">
        <v>2</v>
      </c>
      <c r="Y1003" s="69">
        <v>8</v>
      </c>
      <c r="Z1003"/>
      <c r="AA1003" t="s">
        <v>5038</v>
      </c>
      <c r="AB1003" t="s">
        <v>4576</v>
      </c>
      <c r="AC1003" t="s">
        <v>4513</v>
      </c>
      <c r="AD1003" t="s">
        <v>5063</v>
      </c>
      <c r="AE1003" t="s">
        <v>4530</v>
      </c>
      <c r="AF1003" t="s">
        <v>4957</v>
      </c>
      <c r="AG1003" t="s">
        <v>4530</v>
      </c>
      <c r="AH1003" t="s">
        <v>4957</v>
      </c>
      <c r="AI1003" t="s">
        <v>4353</v>
      </c>
      <c r="AJ1003" t="s">
        <v>4506</v>
      </c>
      <c r="AK1003" t="s">
        <v>4591</v>
      </c>
      <c r="AL1003" t="s">
        <v>4519</v>
      </c>
      <c r="AM1003" t="s">
        <v>4671</v>
      </c>
      <c r="AN1003" t="s">
        <v>5067</v>
      </c>
      <c r="AO1003" s="134">
        <v>111.179104477612</v>
      </c>
      <c r="AP1003" s="135">
        <v>93.531578947368402</v>
      </c>
      <c r="AQ1003">
        <v>0.43157894736842101</v>
      </c>
      <c r="AR1003" s="136">
        <v>1.27368421052632</v>
      </c>
      <c r="AS1003">
        <v>10.352631578947401</v>
      </c>
      <c r="AU1003"/>
      <c r="AV1003"/>
      <c r="AW1003"/>
      <c r="AX1003"/>
    </row>
    <row r="1004" spans="1:50" s="69" customFormat="1" ht="256">
      <c r="A1004">
        <v>146</v>
      </c>
      <c r="B1004" s="69" t="s">
        <v>217</v>
      </c>
      <c r="C1004" s="69" t="s">
        <v>45</v>
      </c>
      <c r="D1004" s="31">
        <f t="shared" si="78"/>
        <v>4</v>
      </c>
      <c r="E1004" s="69" t="s">
        <v>46</v>
      </c>
      <c r="F1004" s="31">
        <f t="shared" si="79"/>
        <v>6</v>
      </c>
      <c r="G1004" s="136" t="s">
        <v>461</v>
      </c>
      <c r="H1004" s="138">
        <v>149</v>
      </c>
      <c r="I1004" s="92">
        <f t="shared" si="77"/>
        <v>0.87499999510330606</v>
      </c>
      <c r="J1004" s="95">
        <v>0.99999999020661201</v>
      </c>
      <c r="K1004" s="137">
        <v>0.76918779643582302</v>
      </c>
      <c r="L1004" s="137">
        <v>0.75</v>
      </c>
      <c r="M1004" s="137">
        <v>0.79796949108955795</v>
      </c>
      <c r="N1004" s="136">
        <v>1</v>
      </c>
      <c r="O1004" s="154">
        <v>42921</v>
      </c>
      <c r="P1004" s="98">
        <f t="shared" si="80"/>
        <v>1</v>
      </c>
      <c r="Q1004" s="111">
        <v>5.0999999999999996</v>
      </c>
      <c r="R1004" s="111">
        <v>0</v>
      </c>
      <c r="S1004" s="111">
        <v>0</v>
      </c>
      <c r="T1004" s="112" t="s">
        <v>73</v>
      </c>
      <c r="U1004" s="137" t="s">
        <v>462</v>
      </c>
      <c r="V1004" s="137" t="s">
        <v>458</v>
      </c>
      <c r="W1004" s="69">
        <v>370</v>
      </c>
      <c r="X1004" s="69">
        <v>2</v>
      </c>
      <c r="Y1004" s="69">
        <v>2</v>
      </c>
      <c r="Z1004"/>
      <c r="AA1004" t="s">
        <v>4564</v>
      </c>
      <c r="AB1004" t="s">
        <v>87</v>
      </c>
      <c r="AC1004" t="s">
        <v>4513</v>
      </c>
      <c r="AD1004" t="s">
        <v>5064</v>
      </c>
      <c r="AE1004" t="s">
        <v>223</v>
      </c>
      <c r="AF1004" t="s">
        <v>5065</v>
      </c>
      <c r="AG1004" t="s">
        <v>4515</v>
      </c>
      <c r="AH1004" t="s">
        <v>4598</v>
      </c>
      <c r="AI1004" t="s">
        <v>4353</v>
      </c>
      <c r="AJ1004" t="s">
        <v>4506</v>
      </c>
      <c r="AK1004" t="s">
        <v>4519</v>
      </c>
      <c r="AL1004" t="s">
        <v>4519</v>
      </c>
      <c r="AM1004" t="s">
        <v>4510</v>
      </c>
      <c r="AN1004" t="s">
        <v>4550</v>
      </c>
      <c r="AO1004" s="134">
        <v>110.99</v>
      </c>
      <c r="AP1004" s="135">
        <v>93.312169312169303</v>
      </c>
      <c r="AQ1004">
        <v>0.42857142857142899</v>
      </c>
      <c r="AR1004" s="136">
        <v>1.26984126984127</v>
      </c>
      <c r="AS1004">
        <v>10.3703703703704</v>
      </c>
      <c r="AU1004"/>
      <c r="AV1004"/>
      <c r="AW1004"/>
      <c r="AX1004"/>
    </row>
    <row r="1005" spans="1:50" s="69" customFormat="1" ht="91">
      <c r="A1005" s="65">
        <v>381</v>
      </c>
      <c r="B1005" s="69" t="s">
        <v>589</v>
      </c>
      <c r="C1005" s="69" t="s">
        <v>45</v>
      </c>
      <c r="D1005" s="31">
        <f t="shared" si="78"/>
        <v>4</v>
      </c>
      <c r="E1005" s="69" t="s">
        <v>46</v>
      </c>
      <c r="F1005" s="31">
        <f t="shared" si="79"/>
        <v>6</v>
      </c>
      <c r="G1005" s="169" t="s">
        <v>589</v>
      </c>
      <c r="H1005" s="138">
        <v>59</v>
      </c>
      <c r="I1005" s="92">
        <f t="shared" si="77"/>
        <v>0.72835093067370404</v>
      </c>
      <c r="J1005" s="95">
        <v>0.99101086905304203</v>
      </c>
      <c r="K1005" s="137">
        <v>0.62227173823376303</v>
      </c>
      <c r="L1005" s="137">
        <v>0.465690992294366</v>
      </c>
      <c r="M1005" s="137">
        <v>0.85714285714285698</v>
      </c>
      <c r="N1005" s="136">
        <v>1</v>
      </c>
      <c r="O1005" s="154">
        <v>42921</v>
      </c>
      <c r="P1005" s="98">
        <f t="shared" si="80"/>
        <v>0</v>
      </c>
      <c r="Q1005" s="111">
        <v>10.199999999999999</v>
      </c>
      <c r="R1005" s="111">
        <v>0</v>
      </c>
      <c r="S1005" s="111">
        <v>0</v>
      </c>
      <c r="T1005" s="112" t="s">
        <v>48</v>
      </c>
      <c r="U1005" s="137" t="s">
        <v>1101</v>
      </c>
      <c r="V1005" s="137" t="s">
        <v>1102</v>
      </c>
      <c r="W1005" s="69">
        <v>126</v>
      </c>
      <c r="X1005" s="69">
        <v>1</v>
      </c>
      <c r="Y1005" s="69">
        <v>1</v>
      </c>
      <c r="Z1005"/>
      <c r="AA1005" t="s">
        <v>4830</v>
      </c>
      <c r="AB1005" t="s">
        <v>71</v>
      </c>
      <c r="AC1005" t="s">
        <v>223</v>
      </c>
      <c r="AD1005" t="s">
        <v>4675</v>
      </c>
      <c r="AE1005" t="s">
        <v>4353</v>
      </c>
      <c r="AF1005" t="s">
        <v>4506</v>
      </c>
      <c r="AG1005" t="s">
        <v>4515</v>
      </c>
      <c r="AH1005" t="s">
        <v>4684</v>
      </c>
      <c r="AI1005" t="s">
        <v>4353</v>
      </c>
      <c r="AJ1005" t="s">
        <v>4506</v>
      </c>
      <c r="AK1005" t="s">
        <v>4519</v>
      </c>
      <c r="AL1005" t="s">
        <v>4519</v>
      </c>
      <c r="AM1005" t="s">
        <v>4528</v>
      </c>
      <c r="AN1005" t="s">
        <v>4529</v>
      </c>
      <c r="AO1005" s="134">
        <v>111.251256281407</v>
      </c>
      <c r="AP1005" s="135">
        <v>93.312169312169303</v>
      </c>
      <c r="AQ1005">
        <v>0.42857142857142899</v>
      </c>
      <c r="AR1005" s="136">
        <v>1.26984126984127</v>
      </c>
      <c r="AS1005">
        <v>10.3703703703704</v>
      </c>
      <c r="AU1005"/>
      <c r="AV1005"/>
      <c r="AW1005"/>
      <c r="AX1005"/>
    </row>
    <row r="1006" spans="1:50" s="69" customFormat="1" ht="121">
      <c r="A1006">
        <v>634</v>
      </c>
      <c r="B1006" s="69" t="s">
        <v>1707</v>
      </c>
      <c r="C1006" s="69" t="s">
        <v>45</v>
      </c>
      <c r="D1006" s="31">
        <f t="shared" si="78"/>
        <v>4</v>
      </c>
      <c r="E1006" s="69" t="s">
        <v>80</v>
      </c>
      <c r="F1006" s="31">
        <f t="shared" si="79"/>
        <v>4</v>
      </c>
      <c r="G1006" s="152" t="s">
        <v>1753</v>
      </c>
      <c r="H1006" s="138">
        <v>150</v>
      </c>
      <c r="I1006" s="92">
        <f t="shared" si="77"/>
        <v>0.34413356669776851</v>
      </c>
      <c r="J1006" s="95">
        <v>0.26491168585520403</v>
      </c>
      <c r="K1006" s="137">
        <v>0.49238886139584598</v>
      </c>
      <c r="L1006" s="137">
        <v>0.423355447540333</v>
      </c>
      <c r="M1006" s="137">
        <v>0.59593898217911601</v>
      </c>
      <c r="N1006" s="136">
        <v>0</v>
      </c>
      <c r="O1006" s="154">
        <v>42921</v>
      </c>
      <c r="P1006" s="98">
        <f t="shared" si="80"/>
        <v>0</v>
      </c>
      <c r="Q1006" s="111">
        <v>5.0999999999999996</v>
      </c>
      <c r="R1006" s="111">
        <v>0</v>
      </c>
      <c r="S1006" s="111">
        <v>0</v>
      </c>
      <c r="T1006" s="112" t="s">
        <v>48</v>
      </c>
      <c r="U1006" s="137" t="s">
        <v>1754</v>
      </c>
      <c r="V1006" s="137" t="s">
        <v>1755</v>
      </c>
      <c r="W1006" s="69">
        <v>175</v>
      </c>
      <c r="X1006" s="171">
        <v>1</v>
      </c>
      <c r="Y1006" s="171">
        <v>8</v>
      </c>
      <c r="AA1006" t="s">
        <v>5068</v>
      </c>
      <c r="AB1006" t="s">
        <v>71</v>
      </c>
      <c r="AC1006" t="s">
        <v>4353</v>
      </c>
      <c r="AD1006" t="s">
        <v>4506</v>
      </c>
      <c r="AE1006" t="s">
        <v>4353</v>
      </c>
      <c r="AF1006" t="s">
        <v>4506</v>
      </c>
      <c r="AG1006" t="s">
        <v>4513</v>
      </c>
      <c r="AH1006" t="s">
        <v>4944</v>
      </c>
      <c r="AI1006" t="s">
        <v>4353</v>
      </c>
      <c r="AJ1006" t="s">
        <v>4506</v>
      </c>
      <c r="AK1006" t="s">
        <v>4519</v>
      </c>
      <c r="AL1006" t="s">
        <v>4519</v>
      </c>
      <c r="AM1006" t="s">
        <v>4898</v>
      </c>
      <c r="AN1006" t="s">
        <v>4899</v>
      </c>
      <c r="AO1006" s="134">
        <v>111.055555555556</v>
      </c>
      <c r="AP1006" s="135">
        <v>93.312169312169303</v>
      </c>
      <c r="AQ1006">
        <v>0.42857142857142899</v>
      </c>
      <c r="AR1006" s="136">
        <v>1.26984126984127</v>
      </c>
      <c r="AS1006">
        <v>10.3703703703704</v>
      </c>
      <c r="AU1006"/>
      <c r="AV1006"/>
      <c r="AW1006"/>
      <c r="AX1006"/>
    </row>
    <row r="1007" spans="1:50" s="69" customFormat="1" ht="181">
      <c r="A1007">
        <v>1186</v>
      </c>
      <c r="B1007" s="69" t="s">
        <v>3117</v>
      </c>
      <c r="C1007" s="69" t="s">
        <v>45</v>
      </c>
      <c r="D1007" s="31">
        <f t="shared" si="78"/>
        <v>4</v>
      </c>
      <c r="E1007" s="69" t="s">
        <v>46</v>
      </c>
      <c r="F1007" s="31">
        <f t="shared" si="79"/>
        <v>6</v>
      </c>
      <c r="G1007" s="91" t="s">
        <v>3187</v>
      </c>
      <c r="H1007" s="138">
        <v>100</v>
      </c>
      <c r="I1007" s="92">
        <f t="shared" si="77"/>
        <v>0.39573776888803452</v>
      </c>
      <c r="J1007" s="95">
        <v>4.1475537776069001E-2</v>
      </c>
      <c r="K1007" s="137">
        <v>0.63619100647005999</v>
      </c>
      <c r="L1007" s="137">
        <v>0.75</v>
      </c>
      <c r="M1007" s="137">
        <v>0.46547751617515098</v>
      </c>
      <c r="N1007" s="136">
        <v>1</v>
      </c>
      <c r="O1007" s="157">
        <v>42921</v>
      </c>
      <c r="P1007" s="98">
        <f t="shared" si="80"/>
        <v>1</v>
      </c>
      <c r="Q1007" s="113">
        <v>0</v>
      </c>
      <c r="R1007" s="113">
        <v>0</v>
      </c>
      <c r="S1007" s="113">
        <v>1.87</v>
      </c>
      <c r="T1007" s="119" t="s">
        <v>73</v>
      </c>
      <c r="U1007" s="89" t="s">
        <v>3188</v>
      </c>
      <c r="V1007" s="209" t="s">
        <v>4476</v>
      </c>
      <c r="W1007" s="69">
        <v>255</v>
      </c>
      <c r="X1007" s="171">
        <v>2</v>
      </c>
      <c r="Y1007" s="171">
        <v>14</v>
      </c>
      <c r="AA1007" t="s">
        <v>4556</v>
      </c>
      <c r="AB1007" t="s">
        <v>4594</v>
      </c>
      <c r="AC1007" t="s">
        <v>4513</v>
      </c>
      <c r="AD1007" t="s">
        <v>5066</v>
      </c>
      <c r="AE1007" t="s">
        <v>4513</v>
      </c>
      <c r="AF1007" t="s">
        <v>5066</v>
      </c>
      <c r="AG1007" t="s">
        <v>223</v>
      </c>
      <c r="AH1007" t="s">
        <v>4955</v>
      </c>
      <c r="AI1007" t="s">
        <v>223</v>
      </c>
      <c r="AJ1007" t="s">
        <v>4955</v>
      </c>
      <c r="AK1007" t="s">
        <v>4591</v>
      </c>
      <c r="AL1007" t="s">
        <v>4519</v>
      </c>
      <c r="AM1007" t="s">
        <v>4528</v>
      </c>
      <c r="AN1007" t="s">
        <v>5069</v>
      </c>
      <c r="AO1007" s="134">
        <v>111.111675126904</v>
      </c>
      <c r="AP1007" s="135">
        <v>93.312169312169303</v>
      </c>
      <c r="AQ1007">
        <v>0.42857142857142899</v>
      </c>
      <c r="AR1007" s="136">
        <v>1.26984126984127</v>
      </c>
      <c r="AS1007">
        <v>10.3703703703704</v>
      </c>
      <c r="AU1007"/>
      <c r="AV1007"/>
      <c r="AW1007"/>
      <c r="AX1007"/>
    </row>
    <row r="1008" spans="1:50" s="69" customFormat="1" ht="181">
      <c r="A1008">
        <v>1187</v>
      </c>
      <c r="B1008" s="69" t="s">
        <v>3117</v>
      </c>
      <c r="C1008" s="69" t="s">
        <v>45</v>
      </c>
      <c r="D1008" s="31">
        <f t="shared" si="78"/>
        <v>4</v>
      </c>
      <c r="E1008" s="69" t="s">
        <v>46</v>
      </c>
      <c r="F1008" s="31">
        <f t="shared" si="79"/>
        <v>6</v>
      </c>
      <c r="G1008" s="139" t="s">
        <v>3156</v>
      </c>
      <c r="H1008" s="138">
        <v>52</v>
      </c>
      <c r="I1008" s="92">
        <f t="shared" si="77"/>
        <v>0.42803932338489747</v>
      </c>
      <c r="J1008" s="95">
        <v>0.106078646769795</v>
      </c>
      <c r="K1008" s="137">
        <v>0.67857142857142805</v>
      </c>
      <c r="L1008" s="137">
        <v>0.75</v>
      </c>
      <c r="M1008" s="137">
        <v>0.57142857142857095</v>
      </c>
      <c r="N1008" s="136">
        <v>1</v>
      </c>
      <c r="O1008" s="157">
        <v>42920</v>
      </c>
      <c r="P1008" s="98">
        <f t="shared" si="80"/>
        <v>1</v>
      </c>
      <c r="Q1008" s="113">
        <v>2.5499999999999998</v>
      </c>
      <c r="R1008" s="113">
        <v>0</v>
      </c>
      <c r="S1008" s="113">
        <v>0</v>
      </c>
      <c r="T1008" s="119" t="s">
        <v>73</v>
      </c>
      <c r="U1008" s="89" t="s">
        <v>3190</v>
      </c>
      <c r="V1008" s="136" t="s">
        <v>3178</v>
      </c>
      <c r="W1008" s="69">
        <v>236</v>
      </c>
      <c r="X1008" s="69">
        <v>2</v>
      </c>
      <c r="Y1008" s="69">
        <v>9</v>
      </c>
      <c r="AA1008" t="s">
        <v>4564</v>
      </c>
      <c r="AB1008" t="s">
        <v>87</v>
      </c>
      <c r="AC1008" t="s">
        <v>4513</v>
      </c>
      <c r="AD1008" t="s">
        <v>5057</v>
      </c>
      <c r="AE1008" t="s">
        <v>4515</v>
      </c>
      <c r="AF1008" t="s">
        <v>4768</v>
      </c>
      <c r="AG1008" t="s">
        <v>223</v>
      </c>
      <c r="AH1008" t="s">
        <v>5058</v>
      </c>
      <c r="AI1008" t="s">
        <v>223</v>
      </c>
      <c r="AJ1008" t="s">
        <v>5058</v>
      </c>
      <c r="AK1008" t="s">
        <v>4740</v>
      </c>
      <c r="AL1008" t="s">
        <v>4519</v>
      </c>
      <c r="AM1008" t="s">
        <v>4528</v>
      </c>
      <c r="AN1008" t="s">
        <v>4817</v>
      </c>
      <c r="AO1008" s="134">
        <v>111.413265306122</v>
      </c>
      <c r="AP1008" s="135">
        <v>94.107526881720403</v>
      </c>
      <c r="AQ1008">
        <v>0.43010752688171999</v>
      </c>
      <c r="AR1008" s="136">
        <v>1.2741935483871001</v>
      </c>
      <c r="AS1008">
        <v>10.4569892473118</v>
      </c>
      <c r="AU1008"/>
      <c r="AV1008"/>
      <c r="AW1008"/>
      <c r="AX1008"/>
    </row>
    <row r="1009" spans="1:50" s="69" customFormat="1" ht="60">
      <c r="A1009" s="65">
        <v>1036</v>
      </c>
      <c r="B1009" s="69" t="s">
        <v>2752</v>
      </c>
      <c r="C1009" s="69" t="s">
        <v>59</v>
      </c>
      <c r="D1009" s="31">
        <f t="shared" si="78"/>
        <v>5</v>
      </c>
      <c r="E1009" s="69" t="s">
        <v>80</v>
      </c>
      <c r="F1009" s="31">
        <f t="shared" si="79"/>
        <v>4</v>
      </c>
      <c r="G1009" s="89" t="s">
        <v>2810</v>
      </c>
      <c r="H1009" s="138">
        <v>74</v>
      </c>
      <c r="I1009" s="92">
        <f t="shared" si="77"/>
        <v>0.82801988712175401</v>
      </c>
      <c r="J1009" s="95">
        <v>0.97422159242532602</v>
      </c>
      <c r="K1009" s="137">
        <v>0.71011657722983001</v>
      </c>
      <c r="L1009" s="137">
        <v>0.68181818181818199</v>
      </c>
      <c r="M1009" s="137">
        <v>0.75256417034730305</v>
      </c>
      <c r="N1009" s="136">
        <v>1</v>
      </c>
      <c r="O1009" s="157">
        <v>42917</v>
      </c>
      <c r="P1009" s="98">
        <f t="shared" si="80"/>
        <v>0</v>
      </c>
      <c r="Q1009" s="113">
        <v>5.0999999999999996</v>
      </c>
      <c r="R1009" s="113">
        <v>0</v>
      </c>
      <c r="S1009" s="113">
        <v>0</v>
      </c>
      <c r="T1009" s="119" t="s">
        <v>48</v>
      </c>
      <c r="U1009" s="89" t="s">
        <v>2811</v>
      </c>
      <c r="V1009" s="172" t="s">
        <v>2812</v>
      </c>
      <c r="W1009" s="69">
        <v>57</v>
      </c>
      <c r="X1009" s="69">
        <v>2</v>
      </c>
      <c r="Y1009" s="69">
        <v>3</v>
      </c>
      <c r="AA1009" t="s">
        <v>4564</v>
      </c>
      <c r="AB1009" t="s">
        <v>4597</v>
      </c>
      <c r="AC1009" t="s">
        <v>223</v>
      </c>
      <c r="AD1009" t="s">
        <v>4759</v>
      </c>
      <c r="AE1009" t="s">
        <v>4353</v>
      </c>
      <c r="AF1009" t="s">
        <v>4506</v>
      </c>
      <c r="AG1009" t="s">
        <v>223</v>
      </c>
      <c r="AH1009" t="s">
        <v>4759</v>
      </c>
      <c r="AI1009" t="s">
        <v>4353</v>
      </c>
      <c r="AJ1009" t="s">
        <v>4506</v>
      </c>
      <c r="AK1009" t="s">
        <v>4519</v>
      </c>
      <c r="AL1009" t="s">
        <v>4519</v>
      </c>
      <c r="AM1009" t="s">
        <v>4562</v>
      </c>
      <c r="AN1009" t="s">
        <v>4563</v>
      </c>
      <c r="AO1009" s="134">
        <v>111.605128205128</v>
      </c>
      <c r="AP1009" s="135">
        <v>94.107526881720403</v>
      </c>
      <c r="AQ1009">
        <v>0.43010752688171999</v>
      </c>
      <c r="AR1009" s="136">
        <v>1.2741935483871001</v>
      </c>
      <c r="AS1009">
        <v>10.4569892473118</v>
      </c>
      <c r="AU1009"/>
      <c r="AV1009"/>
      <c r="AW1009"/>
      <c r="AX1009"/>
    </row>
    <row r="1010" spans="1:50" s="69" customFormat="1" ht="181">
      <c r="A1010" s="65">
        <v>1188</v>
      </c>
      <c r="B1010" s="69" t="s">
        <v>3117</v>
      </c>
      <c r="C1010" s="69" t="s">
        <v>1191</v>
      </c>
      <c r="D1010" s="31">
        <f t="shared" si="78"/>
        <v>2</v>
      </c>
      <c r="E1010" s="69" t="s">
        <v>46</v>
      </c>
      <c r="F1010" s="31">
        <f t="shared" si="79"/>
        <v>6</v>
      </c>
      <c r="G1010" s="89" t="s">
        <v>3191</v>
      </c>
      <c r="H1010" s="138">
        <v>74</v>
      </c>
      <c r="I1010" s="92">
        <f t="shared" si="77"/>
        <v>0.37556262802478468</v>
      </c>
      <c r="J1010" s="95">
        <v>6.9307074231387406E-2</v>
      </c>
      <c r="K1010" s="137">
        <v>0.603059407635824</v>
      </c>
      <c r="L1010" s="137">
        <v>0.68181818181818199</v>
      </c>
      <c r="M1010" s="137">
        <v>0.48492124636228701</v>
      </c>
      <c r="N1010" s="136">
        <v>1</v>
      </c>
      <c r="O1010" s="157">
        <v>42916</v>
      </c>
      <c r="P1010" s="98">
        <f t="shared" si="80"/>
        <v>1</v>
      </c>
      <c r="Q1010" s="113">
        <v>5.0999999999999996</v>
      </c>
      <c r="R1010" s="113">
        <v>0</v>
      </c>
      <c r="S1010" s="113">
        <v>0</v>
      </c>
      <c r="T1010" s="119" t="s">
        <v>73</v>
      </c>
      <c r="U1010" s="89" t="s">
        <v>3192</v>
      </c>
      <c r="V1010" s="136" t="s">
        <v>3178</v>
      </c>
      <c r="W1010" s="69">
        <v>236</v>
      </c>
      <c r="X1010" s="69">
        <v>2</v>
      </c>
      <c r="Y1010" s="69">
        <v>13</v>
      </c>
      <c r="AA1010" t="s">
        <v>4564</v>
      </c>
      <c r="AB1010" t="s">
        <v>87</v>
      </c>
      <c r="AC1010" t="s">
        <v>4513</v>
      </c>
      <c r="AD1010" t="s">
        <v>5057</v>
      </c>
      <c r="AE1010" t="s">
        <v>4515</v>
      </c>
      <c r="AF1010" t="s">
        <v>4768</v>
      </c>
      <c r="AG1010" t="s">
        <v>223</v>
      </c>
      <c r="AH1010" t="s">
        <v>5058</v>
      </c>
      <c r="AI1010" t="s">
        <v>223</v>
      </c>
      <c r="AJ1010" t="s">
        <v>5058</v>
      </c>
      <c r="AK1010" t="s">
        <v>4740</v>
      </c>
      <c r="AL1010" t="s">
        <v>4519</v>
      </c>
      <c r="AM1010" t="s">
        <v>4510</v>
      </c>
      <c r="AN1010" t="s">
        <v>4741</v>
      </c>
      <c r="AO1010" s="134">
        <v>111.79896907216499</v>
      </c>
      <c r="AP1010" s="135">
        <v>93.679347826086996</v>
      </c>
      <c r="AQ1010">
        <v>0.42934782608695699</v>
      </c>
      <c r="AR1010" s="136">
        <v>1.27717391304348</v>
      </c>
      <c r="AS1010">
        <v>10.4836956521739</v>
      </c>
      <c r="AU1010"/>
      <c r="AV1010"/>
      <c r="AW1010"/>
      <c r="AX1010"/>
    </row>
    <row r="1011" spans="1:50" s="69" customFormat="1" ht="61">
      <c r="A1011" s="65">
        <v>884</v>
      </c>
      <c r="B1011" s="69" t="s">
        <v>2355</v>
      </c>
      <c r="C1011" s="69" t="s">
        <v>59</v>
      </c>
      <c r="D1011" s="31">
        <f t="shared" si="78"/>
        <v>5</v>
      </c>
      <c r="E1011" s="69" t="s">
        <v>46</v>
      </c>
      <c r="F1011" s="31">
        <f t="shared" si="79"/>
        <v>6</v>
      </c>
      <c r="G1011" s="137" t="s">
        <v>2406</v>
      </c>
      <c r="H1011" s="138">
        <v>111</v>
      </c>
      <c r="I1011" s="92">
        <f t="shared" si="77"/>
        <v>0.37148647858943601</v>
      </c>
      <c r="J1011" s="95">
        <v>0.23071286565506899</v>
      </c>
      <c r="K1011" s="137">
        <v>0.57958074191429398</v>
      </c>
      <c r="L1011" s="137">
        <v>0.51226009152380303</v>
      </c>
      <c r="M1011" s="137">
        <v>0.68056171750003003</v>
      </c>
      <c r="N1011" s="136">
        <v>1</v>
      </c>
      <c r="O1011" s="154">
        <v>42915</v>
      </c>
      <c r="P1011" s="98">
        <f t="shared" si="80"/>
        <v>0</v>
      </c>
      <c r="Q1011" s="111">
        <v>2.5499999999999998</v>
      </c>
      <c r="R1011" s="111">
        <v>1.65</v>
      </c>
      <c r="S1011" s="111">
        <v>3.74</v>
      </c>
      <c r="T1011" s="112" t="s">
        <v>48</v>
      </c>
      <c r="U1011" s="137" t="s">
        <v>2407</v>
      </c>
      <c r="V1011" s="137" t="s">
        <v>2408</v>
      </c>
      <c r="W1011" s="69">
        <v>28</v>
      </c>
      <c r="X1011" s="69">
        <v>1</v>
      </c>
      <c r="Y1011" s="69">
        <v>5</v>
      </c>
      <c r="AA1011" t="s">
        <v>4599</v>
      </c>
      <c r="AB1011" t="s">
        <v>87</v>
      </c>
      <c r="AC1011" t="s">
        <v>223</v>
      </c>
      <c r="AD1011" t="s">
        <v>4763</v>
      </c>
      <c r="AE1011" t="s">
        <v>4353</v>
      </c>
      <c r="AF1011" t="s">
        <v>4506</v>
      </c>
      <c r="AG1011" t="s">
        <v>4353</v>
      </c>
      <c r="AH1011" t="s">
        <v>4506</v>
      </c>
      <c r="AI1011" t="s">
        <v>4353</v>
      </c>
      <c r="AJ1011" t="s">
        <v>4506</v>
      </c>
      <c r="AK1011" t="s">
        <v>4519</v>
      </c>
      <c r="AL1011" t="s">
        <v>4552</v>
      </c>
      <c r="AM1011" t="s">
        <v>4528</v>
      </c>
      <c r="AN1011" t="s">
        <v>4618</v>
      </c>
      <c r="AO1011" s="134">
        <v>111.80310880829001</v>
      </c>
      <c r="AP1011" s="135">
        <v>93.679347826086996</v>
      </c>
      <c r="AQ1011">
        <v>0.42934782608695699</v>
      </c>
      <c r="AR1011" s="136">
        <v>1.27717391304348</v>
      </c>
      <c r="AS1011">
        <v>10.4836956521739</v>
      </c>
      <c r="AU1011"/>
      <c r="AV1011"/>
      <c r="AW1011"/>
      <c r="AX1011"/>
    </row>
    <row r="1012" spans="1:50" s="69" customFormat="1" ht="106">
      <c r="A1012">
        <v>547</v>
      </c>
      <c r="B1012" s="69" t="s">
        <v>1222</v>
      </c>
      <c r="C1012" s="69" t="s">
        <v>59</v>
      </c>
      <c r="D1012" s="31">
        <f t="shared" si="78"/>
        <v>5</v>
      </c>
      <c r="E1012" s="69" t="s">
        <v>46</v>
      </c>
      <c r="F1012" s="31">
        <f t="shared" si="79"/>
        <v>6</v>
      </c>
      <c r="G1012" s="169" t="s">
        <v>1532</v>
      </c>
      <c r="H1012" s="138">
        <v>121</v>
      </c>
      <c r="I1012" s="92">
        <f t="shared" si="77"/>
        <v>0.42450415258920604</v>
      </c>
      <c r="J1012" s="95">
        <v>0.22917359443461</v>
      </c>
      <c r="K1012" s="137">
        <v>0.62071503724259003</v>
      </c>
      <c r="L1012" s="137">
        <v>0.61983471074380203</v>
      </c>
      <c r="M1012" s="137">
        <v>0.62203552699077302</v>
      </c>
      <c r="N1012" s="136">
        <v>1</v>
      </c>
      <c r="O1012" s="154">
        <v>42914</v>
      </c>
      <c r="P1012" s="98">
        <f t="shared" si="80"/>
        <v>1</v>
      </c>
      <c r="Q1012" s="111">
        <v>5.0999999999999996</v>
      </c>
      <c r="R1012" s="111">
        <v>1.65</v>
      </c>
      <c r="S1012" s="111">
        <v>0</v>
      </c>
      <c r="T1012" s="112" t="s">
        <v>73</v>
      </c>
      <c r="U1012" s="137" t="s">
        <v>1533</v>
      </c>
      <c r="V1012" s="137" t="s">
        <v>1534</v>
      </c>
      <c r="W1012" s="69">
        <v>135</v>
      </c>
      <c r="X1012" s="69">
        <v>3</v>
      </c>
      <c r="Y1012" s="69">
        <v>7</v>
      </c>
      <c r="Z1012"/>
      <c r="AA1012" t="s">
        <v>4543</v>
      </c>
      <c r="AB1012" t="s">
        <v>4597</v>
      </c>
      <c r="AC1012" t="s">
        <v>4513</v>
      </c>
      <c r="AD1012" t="s">
        <v>4752</v>
      </c>
      <c r="AE1012" t="s">
        <v>223</v>
      </c>
      <c r="AF1012" t="s">
        <v>4800</v>
      </c>
      <c r="AG1012" t="s">
        <v>4513</v>
      </c>
      <c r="AH1012" t="s">
        <v>4752</v>
      </c>
      <c r="AI1012" t="s">
        <v>4353</v>
      </c>
      <c r="AJ1012" t="s">
        <v>4506</v>
      </c>
      <c r="AK1012" t="s">
        <v>4519</v>
      </c>
      <c r="AL1012" t="s">
        <v>4519</v>
      </c>
      <c r="AM1012" t="s">
        <v>4562</v>
      </c>
      <c r="AN1012" t="s">
        <v>4563</v>
      </c>
      <c r="AO1012" s="134">
        <v>111.755208333333</v>
      </c>
      <c r="AP1012" s="135">
        <v>93.679347826086996</v>
      </c>
      <c r="AQ1012">
        <v>0.42934782608695699</v>
      </c>
      <c r="AR1012" s="136">
        <v>1.27717391304348</v>
      </c>
      <c r="AS1012">
        <v>10.4836956521739</v>
      </c>
      <c r="AU1012"/>
      <c r="AV1012"/>
      <c r="AW1012"/>
      <c r="AX1012"/>
    </row>
    <row r="1013" spans="1:50" s="69" customFormat="1" ht="31">
      <c r="A1013" s="65">
        <v>548</v>
      </c>
      <c r="B1013" s="69" t="s">
        <v>1222</v>
      </c>
      <c r="C1013" s="69" t="s">
        <v>59</v>
      </c>
      <c r="D1013" s="31">
        <f t="shared" si="78"/>
        <v>5</v>
      </c>
      <c r="E1013" s="69" t="s">
        <v>46</v>
      </c>
      <c r="F1013" s="31">
        <f t="shared" si="79"/>
        <v>6</v>
      </c>
      <c r="G1013" s="169" t="s">
        <v>1535</v>
      </c>
      <c r="H1013" s="138">
        <v>57</v>
      </c>
      <c r="I1013" s="92">
        <f t="shared" si="77"/>
        <v>0.30991856828223607</v>
      </c>
      <c r="J1013" s="95">
        <v>2.4258206701155399E-6</v>
      </c>
      <c r="K1013" s="137">
        <v>0.61027641931792698</v>
      </c>
      <c r="L1013" s="137">
        <v>0.61983471074380203</v>
      </c>
      <c r="M1013" s="137">
        <v>0.59593898217911601</v>
      </c>
      <c r="N1013" s="136">
        <v>1</v>
      </c>
      <c r="O1013" s="154">
        <v>42914</v>
      </c>
      <c r="P1013" s="98">
        <f t="shared" si="80"/>
        <v>1</v>
      </c>
      <c r="Q1013" s="107">
        <v>5.0999999999999996</v>
      </c>
      <c r="R1013" s="107">
        <v>1.65</v>
      </c>
      <c r="S1013" s="107">
        <v>0</v>
      </c>
      <c r="T1013" s="108" t="s">
        <v>73</v>
      </c>
      <c r="U1013" s="137" t="s">
        <v>1536</v>
      </c>
      <c r="V1013" s="137" t="s">
        <v>1537</v>
      </c>
      <c r="W1013" s="69">
        <v>41</v>
      </c>
      <c r="X1013" s="69">
        <v>2</v>
      </c>
      <c r="Y1013" s="69">
        <v>8</v>
      </c>
      <c r="Z1013"/>
      <c r="AA1013" t="s">
        <v>4522</v>
      </c>
      <c r="AB1013" t="s">
        <v>71</v>
      </c>
      <c r="AC1013" t="s">
        <v>223</v>
      </c>
      <c r="AD1013" t="s">
        <v>4737</v>
      </c>
      <c r="AE1013" t="s">
        <v>223</v>
      </c>
      <c r="AF1013" t="s">
        <v>4737</v>
      </c>
      <c r="AG1013" t="s">
        <v>4515</v>
      </c>
      <c r="AH1013" t="s">
        <v>4646</v>
      </c>
      <c r="AI1013" t="s">
        <v>4353</v>
      </c>
      <c r="AJ1013" t="s">
        <v>4506</v>
      </c>
      <c r="AK1013" t="s">
        <v>4519</v>
      </c>
      <c r="AL1013" t="s">
        <v>4519</v>
      </c>
      <c r="AM1013" t="s">
        <v>4562</v>
      </c>
      <c r="AN1013" t="s">
        <v>4563</v>
      </c>
      <c r="AO1013" s="134">
        <v>112.04188481675401</v>
      </c>
      <c r="AP1013" s="135">
        <v>93.679347826086996</v>
      </c>
      <c r="AQ1013">
        <v>0.42934782608695699</v>
      </c>
      <c r="AR1013" s="136">
        <v>1.27717391304348</v>
      </c>
      <c r="AS1013">
        <v>10.4836956521739</v>
      </c>
      <c r="AU1013"/>
      <c r="AV1013"/>
      <c r="AW1013"/>
      <c r="AX1013"/>
    </row>
    <row r="1014" spans="1:50" s="69" customFormat="1" ht="106">
      <c r="A1014">
        <v>382</v>
      </c>
      <c r="B1014" s="69" t="s">
        <v>589</v>
      </c>
      <c r="C1014" s="69" t="s">
        <v>45</v>
      </c>
      <c r="D1014" s="31">
        <f t="shared" si="78"/>
        <v>4</v>
      </c>
      <c r="E1014" s="69" t="s">
        <v>46</v>
      </c>
      <c r="F1014" s="31">
        <f t="shared" si="79"/>
        <v>6</v>
      </c>
      <c r="G1014" s="137" t="s">
        <v>1103</v>
      </c>
      <c r="H1014" s="138">
        <v>205</v>
      </c>
      <c r="I1014" s="92">
        <f t="shared" si="77"/>
        <v>0.37500059511881723</v>
      </c>
      <c r="J1014" s="95">
        <v>1.19023763445192E-6</v>
      </c>
      <c r="K1014" s="137">
        <v>0.69881421079630901</v>
      </c>
      <c r="L1014" s="137">
        <v>0.75</v>
      </c>
      <c r="M1014" s="137">
        <v>0.62203552699077302</v>
      </c>
      <c r="N1014" s="136">
        <v>1</v>
      </c>
      <c r="O1014" s="154">
        <v>42913</v>
      </c>
      <c r="P1014" s="98">
        <f t="shared" si="80"/>
        <v>0</v>
      </c>
      <c r="Q1014" s="111">
        <v>5.0999999999999996</v>
      </c>
      <c r="R1014" s="111">
        <v>0</v>
      </c>
      <c r="S1014" s="111">
        <v>0</v>
      </c>
      <c r="T1014" s="112" t="s">
        <v>48</v>
      </c>
      <c r="U1014" s="137" t="s">
        <v>1104</v>
      </c>
      <c r="V1014" s="137" t="s">
        <v>1105</v>
      </c>
      <c r="W1014" s="69">
        <v>47</v>
      </c>
      <c r="X1014" s="69">
        <v>1</v>
      </c>
      <c r="Y1014" s="69">
        <v>7</v>
      </c>
      <c r="Z1014"/>
      <c r="AA1014" t="s">
        <v>4564</v>
      </c>
      <c r="AB1014" t="s">
        <v>71</v>
      </c>
      <c r="AC1014" t="s">
        <v>4353</v>
      </c>
      <c r="AD1014" t="s">
        <v>4506</v>
      </c>
      <c r="AE1014" t="s">
        <v>4353</v>
      </c>
      <c r="AF1014" t="s">
        <v>4506</v>
      </c>
      <c r="AG1014" t="s">
        <v>223</v>
      </c>
      <c r="AH1014" t="s">
        <v>4554</v>
      </c>
      <c r="AI1014" t="s">
        <v>4353</v>
      </c>
      <c r="AJ1014" t="s">
        <v>4506</v>
      </c>
      <c r="AK1014" t="s">
        <v>4519</v>
      </c>
      <c r="AL1014" t="s">
        <v>4519</v>
      </c>
      <c r="AM1014" t="s">
        <v>4528</v>
      </c>
      <c r="AN1014" t="s">
        <v>4529</v>
      </c>
      <c r="AO1014" s="134">
        <v>111.552631578947</v>
      </c>
      <c r="AP1014" s="135">
        <v>93.814207650273204</v>
      </c>
      <c r="AQ1014">
        <v>0.43169398907103801</v>
      </c>
      <c r="AR1014" s="136">
        <v>1.27868852459016</v>
      </c>
      <c r="AS1014">
        <v>10.5300546448087</v>
      </c>
      <c r="AU1014"/>
      <c r="AV1014"/>
      <c r="AW1014"/>
      <c r="AX1014"/>
    </row>
    <row r="1015" spans="1:50" s="69" customFormat="1" ht="136">
      <c r="A1015" s="65">
        <v>1189</v>
      </c>
      <c r="B1015" s="69" t="s">
        <v>3117</v>
      </c>
      <c r="C1015" s="69" t="s">
        <v>1191</v>
      </c>
      <c r="D1015" s="31">
        <f t="shared" si="78"/>
        <v>2</v>
      </c>
      <c r="E1015" s="69" t="s">
        <v>46</v>
      </c>
      <c r="F1015" s="31">
        <f t="shared" si="79"/>
        <v>6</v>
      </c>
      <c r="G1015" s="139" t="s">
        <v>3193</v>
      </c>
      <c r="H1015" s="138">
        <v>70</v>
      </c>
      <c r="I1015" s="92">
        <f t="shared" si="77"/>
        <v>0.59212137106621399</v>
      </c>
      <c r="J1015" s="95">
        <v>0.43424274213242797</v>
      </c>
      <c r="K1015" s="137">
        <v>0.66929841941894996</v>
      </c>
      <c r="L1015" s="137">
        <v>0.75</v>
      </c>
      <c r="M1015" s="137">
        <v>0.54824604854737402</v>
      </c>
      <c r="N1015" s="136">
        <v>1</v>
      </c>
      <c r="O1015" s="157">
        <v>42912</v>
      </c>
      <c r="P1015" s="98">
        <f t="shared" si="80"/>
        <v>1</v>
      </c>
      <c r="Q1015" s="113">
        <v>5.0999999999999996</v>
      </c>
      <c r="R1015" s="113">
        <v>0</v>
      </c>
      <c r="S1015" s="113">
        <v>1.87</v>
      </c>
      <c r="T1015" s="119" t="s">
        <v>73</v>
      </c>
      <c r="U1015" s="89" t="s">
        <v>3194</v>
      </c>
      <c r="V1015" s="136" t="s">
        <v>3195</v>
      </c>
      <c r="W1015" s="69">
        <v>183</v>
      </c>
      <c r="X1015" s="69">
        <v>2</v>
      </c>
      <c r="Y1015" s="69">
        <v>10</v>
      </c>
      <c r="AA1015" t="s">
        <v>4564</v>
      </c>
      <c r="AB1015" t="s">
        <v>4594</v>
      </c>
      <c r="AC1015" t="s">
        <v>4515</v>
      </c>
      <c r="AD1015" t="s">
        <v>4540</v>
      </c>
      <c r="AE1015" t="s">
        <v>4515</v>
      </c>
      <c r="AF1015" t="s">
        <v>4540</v>
      </c>
      <c r="AG1015" t="s">
        <v>223</v>
      </c>
      <c r="AH1015" t="s">
        <v>4802</v>
      </c>
      <c r="AI1015" t="s">
        <v>223</v>
      </c>
      <c r="AJ1015" t="s">
        <v>4802</v>
      </c>
      <c r="AK1015" t="s">
        <v>4591</v>
      </c>
      <c r="AL1015" t="s">
        <v>4519</v>
      </c>
      <c r="AM1015" t="s">
        <v>4510</v>
      </c>
      <c r="AN1015" t="s">
        <v>4980</v>
      </c>
      <c r="AO1015" s="134">
        <v>111.62962962963</v>
      </c>
      <c r="AP1015" s="135">
        <v>93.983516483516496</v>
      </c>
      <c r="AQ1015">
        <v>0.43406593406593402</v>
      </c>
      <c r="AR1015" s="136">
        <v>1.2802197802197799</v>
      </c>
      <c r="AS1015">
        <v>10.5494505494505</v>
      </c>
      <c r="AU1015"/>
      <c r="AV1015"/>
      <c r="AW1015"/>
      <c r="AX1015"/>
    </row>
    <row r="1016" spans="1:50" s="65" customFormat="1" ht="91">
      <c r="A1016">
        <v>679</v>
      </c>
      <c r="B1016" s="69" t="s">
        <v>1790</v>
      </c>
      <c r="C1016" s="69" t="s">
        <v>45</v>
      </c>
      <c r="D1016" s="31">
        <f t="shared" si="78"/>
        <v>4</v>
      </c>
      <c r="E1016" s="69" t="s">
        <v>80</v>
      </c>
      <c r="F1016" s="31">
        <f t="shared" si="79"/>
        <v>4</v>
      </c>
      <c r="G1016" s="147" t="s">
        <v>1865</v>
      </c>
      <c r="H1016" s="138">
        <v>97</v>
      </c>
      <c r="I1016" s="92">
        <f t="shared" si="77"/>
        <v>0.5476816913118645</v>
      </c>
      <c r="J1016" s="95">
        <v>0.41354520080554702</v>
      </c>
      <c r="K1016" s="137">
        <v>0.61956949249917204</v>
      </c>
      <c r="L1016" s="137">
        <v>0.68181818181818199</v>
      </c>
      <c r="M1016" s="137">
        <v>0.526196458520657</v>
      </c>
      <c r="N1016" s="136">
        <v>1</v>
      </c>
      <c r="O1016" s="154">
        <v>42912</v>
      </c>
      <c r="P1016" s="98">
        <f t="shared" si="80"/>
        <v>0</v>
      </c>
      <c r="Q1016" s="111">
        <v>5.0999999999999996</v>
      </c>
      <c r="R1016" s="111">
        <v>0</v>
      </c>
      <c r="S1016" s="111">
        <v>0</v>
      </c>
      <c r="T1016" s="112" t="s">
        <v>48</v>
      </c>
      <c r="U1016" s="147" t="s">
        <v>1866</v>
      </c>
      <c r="V1016" s="137" t="s">
        <v>1867</v>
      </c>
      <c r="W1016" s="69">
        <v>134</v>
      </c>
      <c r="X1016" s="171">
        <v>1</v>
      </c>
      <c r="Y1016" s="171">
        <v>11</v>
      </c>
      <c r="Z1016" s="69"/>
      <c r="AA1016" t="s">
        <v>4556</v>
      </c>
      <c r="AB1016" t="s">
        <v>71</v>
      </c>
      <c r="AC1016" t="s">
        <v>223</v>
      </c>
      <c r="AD1016" t="s">
        <v>4600</v>
      </c>
      <c r="AE1016" t="s">
        <v>4353</v>
      </c>
      <c r="AF1016" t="s">
        <v>4506</v>
      </c>
      <c r="AG1016" t="s">
        <v>4515</v>
      </c>
      <c r="AH1016" t="s">
        <v>4617</v>
      </c>
      <c r="AI1016" t="s">
        <v>4353</v>
      </c>
      <c r="AJ1016" t="s">
        <v>4506</v>
      </c>
      <c r="AK1016" t="s">
        <v>4519</v>
      </c>
      <c r="AL1016" t="s">
        <v>4552</v>
      </c>
      <c r="AM1016" t="s">
        <v>4510</v>
      </c>
      <c r="AN1016" t="s">
        <v>4634</v>
      </c>
      <c r="AO1016" s="132">
        <v>111.85106382978699</v>
      </c>
      <c r="AP1016" s="133">
        <v>93.983516483516496</v>
      </c>
      <c r="AQ1016" s="65">
        <v>0.43406593406593402</v>
      </c>
      <c r="AR1016" s="65">
        <v>1.2802197802197799</v>
      </c>
      <c r="AS1016" s="65">
        <v>10.5494505494505</v>
      </c>
    </row>
    <row r="1017" spans="1:50" s="65" customFormat="1" ht="136">
      <c r="A1017">
        <v>1191</v>
      </c>
      <c r="B1017" s="69" t="s">
        <v>3117</v>
      </c>
      <c r="C1017" s="69" t="s">
        <v>1191</v>
      </c>
      <c r="D1017" s="31">
        <f t="shared" si="78"/>
        <v>2</v>
      </c>
      <c r="E1017" s="69" t="s">
        <v>46</v>
      </c>
      <c r="F1017" s="31">
        <f t="shared" si="79"/>
        <v>6</v>
      </c>
      <c r="G1017" s="139" t="s">
        <v>3198</v>
      </c>
      <c r="H1017" s="138">
        <v>107</v>
      </c>
      <c r="I1017" s="92">
        <f t="shared" si="77"/>
        <v>0.43933013543622451</v>
      </c>
      <c r="J1017" s="95">
        <v>0.128660270872449</v>
      </c>
      <c r="K1017" s="137">
        <v>0.66929841941894996</v>
      </c>
      <c r="L1017" s="137">
        <v>0.75</v>
      </c>
      <c r="M1017" s="137">
        <v>0.54824604854737402</v>
      </c>
      <c r="N1017" s="136">
        <v>1</v>
      </c>
      <c r="O1017" s="157">
        <v>42912</v>
      </c>
      <c r="P1017" s="98">
        <f t="shared" si="80"/>
        <v>1</v>
      </c>
      <c r="Q1017" s="113">
        <v>2.5499999999999998</v>
      </c>
      <c r="R1017" s="113">
        <v>0</v>
      </c>
      <c r="S1017" s="113">
        <v>0</v>
      </c>
      <c r="T1017" s="119" t="s">
        <v>73</v>
      </c>
      <c r="U1017" s="89" t="s">
        <v>3199</v>
      </c>
      <c r="V1017" s="172" t="s">
        <v>3195</v>
      </c>
      <c r="W1017" s="69">
        <v>183</v>
      </c>
      <c r="X1017" s="69">
        <v>2</v>
      </c>
      <c r="Y1017" s="69">
        <v>10</v>
      </c>
      <c r="Z1017" s="69"/>
      <c r="AA1017" t="s">
        <v>4512</v>
      </c>
      <c r="AB1017" t="s">
        <v>4594</v>
      </c>
      <c r="AC1017" t="s">
        <v>4515</v>
      </c>
      <c r="AD1017" t="s">
        <v>4540</v>
      </c>
      <c r="AE1017" t="s">
        <v>4515</v>
      </c>
      <c r="AF1017" t="s">
        <v>4540</v>
      </c>
      <c r="AG1017" t="s">
        <v>223</v>
      </c>
      <c r="AH1017" t="s">
        <v>4802</v>
      </c>
      <c r="AI1017" t="s">
        <v>223</v>
      </c>
      <c r="AJ1017" t="s">
        <v>4802</v>
      </c>
      <c r="AK1017" t="s">
        <v>4740</v>
      </c>
      <c r="AL1017" t="s">
        <v>4519</v>
      </c>
      <c r="AM1017" t="s">
        <v>4562</v>
      </c>
      <c r="AN1017" t="s">
        <v>5070</v>
      </c>
      <c r="AO1017" s="132">
        <v>111.87700534759399</v>
      </c>
      <c r="AP1017" s="133">
        <v>93.983516483516496</v>
      </c>
      <c r="AQ1017" s="65">
        <v>0.43406593406593402</v>
      </c>
      <c r="AR1017" s="65">
        <v>1.2802197802197799</v>
      </c>
      <c r="AS1017" s="65">
        <v>10.5494505494505</v>
      </c>
    </row>
    <row r="1018" spans="1:50" s="65" customFormat="1" ht="46">
      <c r="A1018" s="65">
        <v>724</v>
      </c>
      <c r="B1018" s="69" t="s">
        <v>1913</v>
      </c>
      <c r="C1018" s="69" t="s">
        <v>59</v>
      </c>
      <c r="D1018" s="31">
        <f t="shared" si="78"/>
        <v>5</v>
      </c>
      <c r="E1018" s="69" t="s">
        <v>80</v>
      </c>
      <c r="F1018" s="31">
        <f t="shared" si="79"/>
        <v>4</v>
      </c>
      <c r="G1018" s="137" t="s">
        <v>1985</v>
      </c>
      <c r="H1018" s="138">
        <v>30</v>
      </c>
      <c r="I1018" s="92">
        <f t="shared" si="77"/>
        <v>0.37025671766316354</v>
      </c>
      <c r="J1018" s="95">
        <v>0.120678724582525</v>
      </c>
      <c r="K1018" s="137">
        <v>0.69108862288210404</v>
      </c>
      <c r="L1018" s="137">
        <v>0.61983471074380203</v>
      </c>
      <c r="M1018" s="137">
        <v>0.79796949108955795</v>
      </c>
      <c r="N1018" s="136">
        <v>1</v>
      </c>
      <c r="O1018" s="154">
        <v>42911</v>
      </c>
      <c r="P1018" s="98">
        <f t="shared" si="80"/>
        <v>1</v>
      </c>
      <c r="Q1018" s="111">
        <v>2.5499999999999998</v>
      </c>
      <c r="R1018" s="111">
        <v>1.65</v>
      </c>
      <c r="S1018" s="111">
        <v>0</v>
      </c>
      <c r="T1018" s="112" t="s">
        <v>73</v>
      </c>
      <c r="U1018" s="169" t="s">
        <v>1986</v>
      </c>
      <c r="V1018" s="137" t="s">
        <v>1987</v>
      </c>
      <c r="W1018" s="69">
        <v>69</v>
      </c>
      <c r="X1018" s="69">
        <v>1</v>
      </c>
      <c r="Y1018" s="69">
        <v>2</v>
      </c>
      <c r="Z1018" s="69"/>
      <c r="AA1018" t="s">
        <v>4556</v>
      </c>
      <c r="AB1018" t="s">
        <v>71</v>
      </c>
      <c r="AC1018" t="s">
        <v>4353</v>
      </c>
      <c r="AD1018" t="s">
        <v>4506</v>
      </c>
      <c r="AE1018" t="s">
        <v>4353</v>
      </c>
      <c r="AF1018" t="s">
        <v>4506</v>
      </c>
      <c r="AG1018" t="s">
        <v>4515</v>
      </c>
      <c r="AH1018" t="s">
        <v>4782</v>
      </c>
      <c r="AI1018" t="s">
        <v>4353</v>
      </c>
      <c r="AJ1018" t="s">
        <v>4506</v>
      </c>
      <c r="AK1018" t="s">
        <v>4519</v>
      </c>
      <c r="AL1018" t="s">
        <v>4552</v>
      </c>
      <c r="AM1018" t="s">
        <v>4562</v>
      </c>
      <c r="AN1018" t="s">
        <v>4742</v>
      </c>
      <c r="AO1018" s="132">
        <v>112.31720430107499</v>
      </c>
      <c r="AP1018" s="133">
        <v>93.983516483516496</v>
      </c>
      <c r="AQ1018" s="65">
        <v>0.43406593406593402</v>
      </c>
      <c r="AR1018" s="65">
        <v>1.2802197802197799</v>
      </c>
      <c r="AS1018" s="65">
        <v>10.5494505494505</v>
      </c>
    </row>
    <row r="1019" spans="1:50" s="69" customFormat="1" ht="136">
      <c r="A1019">
        <v>1190</v>
      </c>
      <c r="B1019" s="69" t="s">
        <v>3117</v>
      </c>
      <c r="C1019" s="69" t="s">
        <v>1191</v>
      </c>
      <c r="D1019" s="31">
        <f t="shared" si="78"/>
        <v>2</v>
      </c>
      <c r="E1019" s="69" t="s">
        <v>46</v>
      </c>
      <c r="F1019" s="31">
        <f t="shared" si="79"/>
        <v>6</v>
      </c>
      <c r="G1019" s="191" t="s">
        <v>3196</v>
      </c>
      <c r="H1019" s="138">
        <v>50</v>
      </c>
      <c r="I1019" s="92">
        <f t="shared" si="77"/>
        <v>0.86575962460070499</v>
      </c>
      <c r="J1019" s="95">
        <v>0.98151924920140998</v>
      </c>
      <c r="K1019" s="137">
        <v>0.65205133627784295</v>
      </c>
      <c r="L1019" s="137">
        <v>0.75</v>
      </c>
      <c r="M1019" s="137">
        <v>0.50512834069460699</v>
      </c>
      <c r="N1019" s="136">
        <v>1</v>
      </c>
      <c r="O1019" s="157">
        <v>42910</v>
      </c>
      <c r="P1019" s="98">
        <f t="shared" si="80"/>
        <v>1</v>
      </c>
      <c r="Q1019" s="113">
        <v>5.0999999999999996</v>
      </c>
      <c r="R1019" s="113">
        <v>0</v>
      </c>
      <c r="S1019" s="113">
        <v>0</v>
      </c>
      <c r="T1019" s="119" t="s">
        <v>73</v>
      </c>
      <c r="U1019" s="89" t="s">
        <v>3197</v>
      </c>
      <c r="V1019" s="172" t="s">
        <v>3195</v>
      </c>
      <c r="W1019" s="69">
        <v>183</v>
      </c>
      <c r="X1019" s="171">
        <v>2</v>
      </c>
      <c r="Y1019" s="171">
        <v>12</v>
      </c>
      <c r="AA1019" t="s">
        <v>4564</v>
      </c>
      <c r="AB1019" t="s">
        <v>4594</v>
      </c>
      <c r="AC1019" t="s">
        <v>4515</v>
      </c>
      <c r="AD1019" t="s">
        <v>4540</v>
      </c>
      <c r="AE1019" t="s">
        <v>4515</v>
      </c>
      <c r="AF1019" t="s">
        <v>4540</v>
      </c>
      <c r="AG1019" t="s">
        <v>223</v>
      </c>
      <c r="AH1019" t="s">
        <v>4802</v>
      </c>
      <c r="AI1019" t="s">
        <v>223</v>
      </c>
      <c r="AJ1019" t="s">
        <v>4802</v>
      </c>
      <c r="AK1019" t="s">
        <v>4518</v>
      </c>
      <c r="AL1019" t="s">
        <v>4519</v>
      </c>
      <c r="AM1019" t="s">
        <v>4528</v>
      </c>
      <c r="AN1019" t="s">
        <v>4624</v>
      </c>
      <c r="AO1019" s="134">
        <v>112.6</v>
      </c>
      <c r="AP1019" s="135">
        <v>93.983516483516496</v>
      </c>
      <c r="AQ1019">
        <v>0.43406593406593402</v>
      </c>
      <c r="AR1019" s="136">
        <v>1.2802197802197799</v>
      </c>
      <c r="AS1019">
        <v>10.5494505494505</v>
      </c>
      <c r="AU1019"/>
      <c r="AV1019"/>
      <c r="AW1019"/>
      <c r="AX1019"/>
    </row>
    <row r="1020" spans="1:50" s="69" customFormat="1" ht="121">
      <c r="A1020">
        <v>635</v>
      </c>
      <c r="B1020" s="69" t="s">
        <v>1707</v>
      </c>
      <c r="C1020" s="69" t="s">
        <v>45</v>
      </c>
      <c r="D1020" s="31">
        <f t="shared" si="78"/>
        <v>4</v>
      </c>
      <c r="E1020" s="69" t="s">
        <v>80</v>
      </c>
      <c r="F1020" s="31">
        <f t="shared" si="79"/>
        <v>4</v>
      </c>
      <c r="G1020" s="169" t="s">
        <v>1756</v>
      </c>
      <c r="H1020" s="138">
        <v>60</v>
      </c>
      <c r="I1020" s="92">
        <f t="shared" si="77"/>
        <v>0.34092461291735371</v>
      </c>
      <c r="J1020" s="95">
        <v>3.1044016525427798E-5</v>
      </c>
      <c r="K1020" s="137">
        <v>0.66912006664615598</v>
      </c>
      <c r="L1020" s="137">
        <v>0.68181818181818199</v>
      </c>
      <c r="M1020" s="137">
        <v>0.65007289388811795</v>
      </c>
      <c r="N1020" s="136">
        <v>1</v>
      </c>
      <c r="O1020" s="154">
        <v>42910</v>
      </c>
      <c r="P1020" s="98">
        <f t="shared" si="80"/>
        <v>0</v>
      </c>
      <c r="Q1020" s="111">
        <v>0</v>
      </c>
      <c r="R1020" s="111">
        <v>0</v>
      </c>
      <c r="S1020" s="111">
        <v>0</v>
      </c>
      <c r="T1020" s="112" t="s">
        <v>48</v>
      </c>
      <c r="U1020" s="137" t="s">
        <v>1757</v>
      </c>
      <c r="V1020" s="137" t="s">
        <v>1758</v>
      </c>
      <c r="W1020" s="69">
        <v>176</v>
      </c>
      <c r="X1020" s="69">
        <v>1</v>
      </c>
      <c r="Y1020" s="69">
        <v>6</v>
      </c>
      <c r="AA1020" t="s">
        <v>4512</v>
      </c>
      <c r="AB1020" t="s">
        <v>71</v>
      </c>
      <c r="AC1020" t="s">
        <v>4353</v>
      </c>
      <c r="AD1020" t="s">
        <v>4506</v>
      </c>
      <c r="AE1020" t="s">
        <v>4353</v>
      </c>
      <c r="AF1020" t="s">
        <v>4506</v>
      </c>
      <c r="AG1020" t="s">
        <v>4513</v>
      </c>
      <c r="AH1020" t="s">
        <v>5071</v>
      </c>
      <c r="AI1020" t="s">
        <v>4353</v>
      </c>
      <c r="AJ1020" t="s">
        <v>4506</v>
      </c>
      <c r="AK1020" t="s">
        <v>4519</v>
      </c>
      <c r="AL1020" t="s">
        <v>4541</v>
      </c>
      <c r="AM1020" t="s">
        <v>4562</v>
      </c>
      <c r="AN1020" t="s">
        <v>4785</v>
      </c>
      <c r="AO1020" s="134">
        <v>112.940217391304</v>
      </c>
      <c r="AP1020" s="135">
        <v>93.983516483516496</v>
      </c>
      <c r="AQ1020">
        <v>0.43406593406593402</v>
      </c>
      <c r="AR1020" s="136">
        <v>1.2802197802197799</v>
      </c>
      <c r="AS1020">
        <v>10.5494505494505</v>
      </c>
      <c r="AU1020"/>
      <c r="AV1020"/>
      <c r="AW1020"/>
      <c r="AX1020"/>
    </row>
    <row r="1021" spans="1:50" s="69" customFormat="1" ht="61">
      <c r="A1021">
        <v>147</v>
      </c>
      <c r="B1021" s="69" t="s">
        <v>217</v>
      </c>
      <c r="C1021" s="69" t="s">
        <v>119</v>
      </c>
      <c r="D1021" s="31">
        <f t="shared" si="78"/>
        <v>1</v>
      </c>
      <c r="E1021" s="69" t="s">
        <v>46</v>
      </c>
      <c r="F1021" s="31">
        <f t="shared" si="79"/>
        <v>6</v>
      </c>
      <c r="G1021" s="137" t="s">
        <v>463</v>
      </c>
      <c r="H1021" s="138">
        <v>112</v>
      </c>
      <c r="I1021" s="92">
        <f t="shared" si="77"/>
        <v>0.73157415028397654</v>
      </c>
      <c r="J1021" s="95">
        <v>0.95088820904414995</v>
      </c>
      <c r="K1021" s="137">
        <v>0.52665447433323098</v>
      </c>
      <c r="L1021" s="137">
        <v>0.51226009152380303</v>
      </c>
      <c r="M1021" s="137">
        <v>0.54824604854737402</v>
      </c>
      <c r="N1021" s="136">
        <v>1</v>
      </c>
      <c r="O1021" s="154">
        <v>42906</v>
      </c>
      <c r="P1021" s="98">
        <f t="shared" si="80"/>
        <v>1</v>
      </c>
      <c r="Q1021" s="111">
        <v>0</v>
      </c>
      <c r="R1021" s="111">
        <v>1.65</v>
      </c>
      <c r="S1021" s="111">
        <v>0</v>
      </c>
      <c r="T1021" s="112" t="s">
        <v>73</v>
      </c>
      <c r="U1021" s="137" t="s">
        <v>4359</v>
      </c>
      <c r="V1021" s="137" t="s">
        <v>465</v>
      </c>
      <c r="W1021" s="69">
        <v>91</v>
      </c>
      <c r="X1021" s="69">
        <v>2</v>
      </c>
      <c r="Y1021" s="69">
        <v>10</v>
      </c>
      <c r="Z1021"/>
      <c r="AA1021" t="s">
        <v>4599</v>
      </c>
      <c r="AB1021" t="s">
        <v>71</v>
      </c>
      <c r="AC1021" t="s">
        <v>223</v>
      </c>
      <c r="AD1021" t="s">
        <v>4555</v>
      </c>
      <c r="AE1021" t="s">
        <v>4353</v>
      </c>
      <c r="AF1021" t="s">
        <v>4506</v>
      </c>
      <c r="AG1021" t="s">
        <v>4515</v>
      </c>
      <c r="AH1021" t="s">
        <v>4554</v>
      </c>
      <c r="AI1021" t="s">
        <v>4353</v>
      </c>
      <c r="AJ1021" t="s">
        <v>4506</v>
      </c>
      <c r="AK1021" t="s">
        <v>4519</v>
      </c>
      <c r="AL1021" t="s">
        <v>4519</v>
      </c>
      <c r="AM1021" t="s">
        <v>4528</v>
      </c>
      <c r="AN1021" t="s">
        <v>4529</v>
      </c>
      <c r="AO1021" s="134">
        <v>112.94535519125699</v>
      </c>
      <c r="AP1021" s="135">
        <v>93.814606741573002</v>
      </c>
      <c r="AQ1021">
        <v>0.43820224719101097</v>
      </c>
      <c r="AR1021" s="136">
        <v>1.28089887640449</v>
      </c>
      <c r="AS1021">
        <v>10.6179775280899</v>
      </c>
      <c r="AU1021"/>
      <c r="AV1021"/>
      <c r="AW1021"/>
      <c r="AX1021"/>
    </row>
    <row r="1022" spans="1:50" s="69" customFormat="1" ht="91">
      <c r="A1022" s="65">
        <v>885</v>
      </c>
      <c r="B1022" s="69" t="s">
        <v>2355</v>
      </c>
      <c r="C1022" s="69" t="s">
        <v>59</v>
      </c>
      <c r="D1022" s="31">
        <f t="shared" si="78"/>
        <v>5</v>
      </c>
      <c r="E1022" s="69" t="s">
        <v>46</v>
      </c>
      <c r="F1022" s="31">
        <f t="shared" si="79"/>
        <v>6</v>
      </c>
      <c r="G1022" s="137" t="s">
        <v>2409</v>
      </c>
      <c r="H1022" s="138">
        <v>57</v>
      </c>
      <c r="I1022" s="92">
        <f t="shared" si="77"/>
        <v>0.38546417839611602</v>
      </c>
      <c r="J1022" s="95">
        <v>0.15109364604843001</v>
      </c>
      <c r="K1022" s="137">
        <v>0.69108862288210404</v>
      </c>
      <c r="L1022" s="137">
        <v>0.61983471074380203</v>
      </c>
      <c r="M1022" s="137">
        <v>0.79796949108955795</v>
      </c>
      <c r="N1022" s="136">
        <v>1</v>
      </c>
      <c r="O1022" s="154">
        <v>42905</v>
      </c>
      <c r="P1022" s="98">
        <f t="shared" si="80"/>
        <v>1</v>
      </c>
      <c r="Q1022" s="111">
        <v>5.0999999999999996</v>
      </c>
      <c r="R1022" s="111">
        <v>1.65</v>
      </c>
      <c r="S1022" s="111">
        <v>0</v>
      </c>
      <c r="T1022" s="112" t="s">
        <v>73</v>
      </c>
      <c r="U1022" s="137" t="s">
        <v>2410</v>
      </c>
      <c r="V1022" s="137" t="s">
        <v>2411</v>
      </c>
      <c r="W1022" s="69">
        <v>121</v>
      </c>
      <c r="X1022" s="69">
        <v>1</v>
      </c>
      <c r="Y1022" s="69">
        <v>2</v>
      </c>
      <c r="AA1022" t="s">
        <v>4543</v>
      </c>
      <c r="AB1022" t="s">
        <v>4576</v>
      </c>
      <c r="AC1022" t="s">
        <v>4353</v>
      </c>
      <c r="AD1022" t="s">
        <v>4506</v>
      </c>
      <c r="AE1022" t="s">
        <v>223</v>
      </c>
      <c r="AF1022" t="s">
        <v>4545</v>
      </c>
      <c r="AG1022" t="s">
        <v>223</v>
      </c>
      <c r="AH1022" t="s">
        <v>4545</v>
      </c>
      <c r="AI1022" t="s">
        <v>4353</v>
      </c>
      <c r="AJ1022" t="s">
        <v>4506</v>
      </c>
      <c r="AK1022" t="s">
        <v>4519</v>
      </c>
      <c r="AL1022" t="s">
        <v>4519</v>
      </c>
      <c r="AM1022" t="s">
        <v>4562</v>
      </c>
      <c r="AN1022" t="s">
        <v>4563</v>
      </c>
      <c r="AO1022" s="134">
        <v>112.862637362637</v>
      </c>
      <c r="AP1022" s="135">
        <v>93.9491525423729</v>
      </c>
      <c r="AQ1022">
        <v>0.44067796610169502</v>
      </c>
      <c r="AR1022" s="136">
        <v>1.2824858757062101</v>
      </c>
      <c r="AS1022">
        <v>10.6214689265537</v>
      </c>
      <c r="AU1022"/>
      <c r="AV1022"/>
      <c r="AW1022"/>
      <c r="AX1022"/>
    </row>
    <row r="1023" spans="1:50" s="69" customFormat="1" ht="91">
      <c r="A1023" s="65">
        <v>840</v>
      </c>
      <c r="B1023" s="69" t="s">
        <v>2264</v>
      </c>
      <c r="C1023" s="69" t="s">
        <v>45</v>
      </c>
      <c r="D1023" s="31">
        <f t="shared" si="78"/>
        <v>4</v>
      </c>
      <c r="E1023" s="69" t="s">
        <v>46</v>
      </c>
      <c r="F1023" s="31">
        <f t="shared" si="79"/>
        <v>6</v>
      </c>
      <c r="G1023" s="147" t="s">
        <v>2284</v>
      </c>
      <c r="H1023" s="138">
        <v>113</v>
      </c>
      <c r="I1023" s="92">
        <f t="shared" si="77"/>
        <v>0.3752780098755944</v>
      </c>
      <c r="J1023" s="95">
        <v>5.5601975118879697E-4</v>
      </c>
      <c r="K1023" s="137">
        <v>0.76918779643582302</v>
      </c>
      <c r="L1023" s="137">
        <v>0.75</v>
      </c>
      <c r="M1023" s="137">
        <v>0.79796949108955795</v>
      </c>
      <c r="N1023" s="136">
        <v>1</v>
      </c>
      <c r="O1023" s="154">
        <v>42905</v>
      </c>
      <c r="P1023" s="98">
        <f t="shared" si="80"/>
        <v>0</v>
      </c>
      <c r="Q1023" s="113">
        <v>0</v>
      </c>
      <c r="R1023" s="113">
        <v>3.3</v>
      </c>
      <c r="S1023" s="113">
        <v>1.87</v>
      </c>
      <c r="T1023" s="114" t="s">
        <v>48</v>
      </c>
      <c r="U1023" s="137" t="s">
        <v>2285</v>
      </c>
      <c r="V1023" s="137" t="s">
        <v>2286</v>
      </c>
      <c r="W1023" s="69">
        <v>106</v>
      </c>
      <c r="X1023" s="171">
        <v>1</v>
      </c>
      <c r="Y1023" s="171">
        <v>2</v>
      </c>
      <c r="AA1023" t="s">
        <v>4512</v>
      </c>
      <c r="AB1023" t="s">
        <v>71</v>
      </c>
      <c r="AC1023" t="s">
        <v>4515</v>
      </c>
      <c r="AD1023" t="s">
        <v>4781</v>
      </c>
      <c r="AE1023" t="s">
        <v>223</v>
      </c>
      <c r="AF1023" t="s">
        <v>4615</v>
      </c>
      <c r="AG1023" t="s">
        <v>4513</v>
      </c>
      <c r="AH1023" t="s">
        <v>4724</v>
      </c>
      <c r="AI1023" t="s">
        <v>4515</v>
      </c>
      <c r="AJ1023" t="s">
        <v>4781</v>
      </c>
      <c r="AK1023" t="s">
        <v>4519</v>
      </c>
      <c r="AL1023" t="s">
        <v>4519</v>
      </c>
      <c r="AM1023" t="s">
        <v>4510</v>
      </c>
      <c r="AN1023" t="s">
        <v>4550</v>
      </c>
      <c r="AO1023" s="134">
        <v>112.861878453039</v>
      </c>
      <c r="AP1023" s="135">
        <v>93.9491525423729</v>
      </c>
      <c r="AQ1023">
        <v>0.44067796610169502</v>
      </c>
      <c r="AR1023" s="136">
        <v>1.2824858757062101</v>
      </c>
      <c r="AS1023">
        <v>10.6214689265537</v>
      </c>
      <c r="AU1023"/>
      <c r="AV1023"/>
      <c r="AW1023"/>
      <c r="AX1023"/>
    </row>
    <row r="1024" spans="1:50" s="69" customFormat="1" ht="76">
      <c r="A1024" s="65">
        <v>649</v>
      </c>
      <c r="B1024" s="69" t="s">
        <v>1779</v>
      </c>
      <c r="C1024" s="69" t="s">
        <v>45</v>
      </c>
      <c r="D1024" s="31">
        <f t="shared" si="78"/>
        <v>4</v>
      </c>
      <c r="E1024" s="69" t="s">
        <v>46</v>
      </c>
      <c r="F1024" s="31">
        <f t="shared" si="79"/>
        <v>6</v>
      </c>
      <c r="G1024" s="137" t="s">
        <v>1783</v>
      </c>
      <c r="H1024" s="138">
        <v>128</v>
      </c>
      <c r="I1024" s="92">
        <f t="shared" si="77"/>
        <v>0.34091128557428374</v>
      </c>
      <c r="J1024" s="95">
        <v>4.3893303854902704E-6</v>
      </c>
      <c r="K1024" s="137">
        <v>0.657905119887218</v>
      </c>
      <c r="L1024" s="137">
        <v>0.68181818181818199</v>
      </c>
      <c r="M1024" s="137">
        <v>0.62203552699077302</v>
      </c>
      <c r="N1024" s="136">
        <v>1</v>
      </c>
      <c r="O1024" s="154">
        <v>42905</v>
      </c>
      <c r="P1024" s="98">
        <f t="shared" si="80"/>
        <v>0</v>
      </c>
      <c r="Q1024" s="111">
        <v>5.0999999999999996</v>
      </c>
      <c r="R1024" s="111">
        <v>0</v>
      </c>
      <c r="S1024" s="111">
        <v>0</v>
      </c>
      <c r="T1024" s="112" t="s">
        <v>48</v>
      </c>
      <c r="U1024" s="137" t="s">
        <v>1784</v>
      </c>
      <c r="V1024" s="137" t="s">
        <v>1785</v>
      </c>
      <c r="W1024" s="69">
        <v>63</v>
      </c>
      <c r="X1024" s="69">
        <v>1</v>
      </c>
      <c r="Y1024" s="69">
        <v>7</v>
      </c>
      <c r="AA1024" t="s">
        <v>4543</v>
      </c>
      <c r="AB1024" t="s">
        <v>87</v>
      </c>
      <c r="AC1024" t="s">
        <v>4530</v>
      </c>
      <c r="AD1024" t="s">
        <v>4677</v>
      </c>
      <c r="AE1024" t="s">
        <v>4353</v>
      </c>
      <c r="AF1024" t="s">
        <v>4506</v>
      </c>
      <c r="AG1024" t="s">
        <v>4353</v>
      </c>
      <c r="AH1024" t="s">
        <v>4506</v>
      </c>
      <c r="AI1024" t="s">
        <v>4353</v>
      </c>
      <c r="AJ1024" t="s">
        <v>4506</v>
      </c>
      <c r="AK1024" t="s">
        <v>4519</v>
      </c>
      <c r="AL1024" t="s">
        <v>4519</v>
      </c>
      <c r="AM1024" t="s">
        <v>4562</v>
      </c>
      <c r="AN1024" t="s">
        <v>4563</v>
      </c>
      <c r="AO1024" s="134">
        <v>113.172222222222</v>
      </c>
      <c r="AP1024" s="135">
        <v>93.9491525423729</v>
      </c>
      <c r="AQ1024">
        <v>0.44067796610169502</v>
      </c>
      <c r="AR1024" s="136">
        <v>1.2824858757062101</v>
      </c>
      <c r="AS1024">
        <v>10.6214689265537</v>
      </c>
      <c r="AU1024"/>
      <c r="AV1024"/>
      <c r="AW1024"/>
      <c r="AX1024"/>
    </row>
    <row r="1025" spans="1:50" s="69" customFormat="1" ht="106">
      <c r="A1025" s="65">
        <v>1192</v>
      </c>
      <c r="B1025" s="69" t="s">
        <v>3117</v>
      </c>
      <c r="C1025" s="69" t="s">
        <v>1191</v>
      </c>
      <c r="D1025" s="31">
        <f t="shared" si="78"/>
        <v>2</v>
      </c>
      <c r="E1025" s="69" t="s">
        <v>46</v>
      </c>
      <c r="F1025" s="31">
        <f t="shared" si="79"/>
        <v>6</v>
      </c>
      <c r="G1025" s="191" t="s">
        <v>3200</v>
      </c>
      <c r="H1025" s="138">
        <v>67</v>
      </c>
      <c r="I1025" s="92">
        <f t="shared" si="77"/>
        <v>0.50029256802418354</v>
      </c>
      <c r="J1025" s="95">
        <v>0.25058513604836702</v>
      </c>
      <c r="K1025" s="137">
        <v>0.66047858340826304</v>
      </c>
      <c r="L1025" s="137">
        <v>0.75</v>
      </c>
      <c r="M1025" s="137">
        <v>0.526196458520657</v>
      </c>
      <c r="N1025" s="136">
        <v>1</v>
      </c>
      <c r="O1025" s="157">
        <v>42898</v>
      </c>
      <c r="P1025" s="98">
        <f t="shared" si="80"/>
        <v>1</v>
      </c>
      <c r="Q1025" s="113">
        <v>0</v>
      </c>
      <c r="R1025" s="113">
        <v>0</v>
      </c>
      <c r="S1025" s="113">
        <v>0</v>
      </c>
      <c r="T1025" s="119" t="s">
        <v>73</v>
      </c>
      <c r="U1025" s="89" t="s">
        <v>3201</v>
      </c>
      <c r="V1025" s="136" t="s">
        <v>3202</v>
      </c>
      <c r="W1025" s="69">
        <v>121</v>
      </c>
      <c r="X1025" s="171">
        <v>2</v>
      </c>
      <c r="Y1025" s="171">
        <v>11</v>
      </c>
      <c r="AA1025" t="s">
        <v>4564</v>
      </c>
      <c r="AB1025" t="s">
        <v>4576</v>
      </c>
      <c r="AC1025" t="s">
        <v>223</v>
      </c>
      <c r="AD1025" t="s">
        <v>4681</v>
      </c>
      <c r="AE1025" t="s">
        <v>4515</v>
      </c>
      <c r="AF1025" t="s">
        <v>4750</v>
      </c>
      <c r="AG1025" t="s">
        <v>4515</v>
      </c>
      <c r="AH1025" t="s">
        <v>4750</v>
      </c>
      <c r="AI1025" t="s">
        <v>223</v>
      </c>
      <c r="AJ1025" t="s">
        <v>4681</v>
      </c>
      <c r="AK1025" t="s">
        <v>4591</v>
      </c>
      <c r="AL1025" t="s">
        <v>4519</v>
      </c>
      <c r="AM1025" t="s">
        <v>4520</v>
      </c>
      <c r="AN1025" t="s">
        <v>4870</v>
      </c>
      <c r="AO1025" s="134">
        <v>113.43016759776501</v>
      </c>
      <c r="AP1025" s="135">
        <v>94.2457142857143</v>
      </c>
      <c r="AQ1025">
        <v>0.434285714285714</v>
      </c>
      <c r="AR1025" s="136">
        <v>1.28571428571429</v>
      </c>
      <c r="AS1025">
        <v>10.56</v>
      </c>
      <c r="AU1025"/>
      <c r="AV1025"/>
      <c r="AW1025"/>
      <c r="AX1025"/>
    </row>
    <row r="1026" spans="1:50" s="69" customFormat="1" ht="61">
      <c r="A1026" s="65">
        <v>549</v>
      </c>
      <c r="B1026" s="69" t="s">
        <v>1222</v>
      </c>
      <c r="C1026" s="69" t="s">
        <v>45</v>
      </c>
      <c r="D1026" s="31">
        <f t="shared" si="78"/>
        <v>4</v>
      </c>
      <c r="E1026" s="69" t="s">
        <v>80</v>
      </c>
      <c r="F1026" s="31">
        <f t="shared" si="79"/>
        <v>4</v>
      </c>
      <c r="G1026" s="137" t="s">
        <v>1538</v>
      </c>
      <c r="H1026" s="138">
        <v>38</v>
      </c>
      <c r="I1026" s="92">
        <f t="shared" si="77"/>
        <v>0.37500824763755902</v>
      </c>
      <c r="J1026" s="95">
        <v>1.64952751180447E-5</v>
      </c>
      <c r="K1026" s="137">
        <v>0.66929841941894996</v>
      </c>
      <c r="L1026" s="137">
        <v>0.75</v>
      </c>
      <c r="M1026" s="137">
        <v>0.54824604854737402</v>
      </c>
      <c r="N1026" s="136">
        <v>1</v>
      </c>
      <c r="O1026" s="154">
        <v>42895</v>
      </c>
      <c r="P1026" s="98">
        <f t="shared" si="80"/>
        <v>0</v>
      </c>
      <c r="Q1026" s="111">
        <v>2.5499999999999998</v>
      </c>
      <c r="R1026" s="111">
        <v>0</v>
      </c>
      <c r="S1026" s="111">
        <v>0</v>
      </c>
      <c r="T1026" s="112" t="s">
        <v>48</v>
      </c>
      <c r="U1026" s="137" t="s">
        <v>1539</v>
      </c>
      <c r="V1026" s="137" t="s">
        <v>1540</v>
      </c>
      <c r="W1026" s="69">
        <v>70</v>
      </c>
      <c r="X1026" s="69">
        <v>1</v>
      </c>
      <c r="Y1026" s="69">
        <v>10</v>
      </c>
      <c r="Z1026"/>
      <c r="AA1026" t="s">
        <v>4543</v>
      </c>
      <c r="AB1026" t="s">
        <v>71</v>
      </c>
      <c r="AC1026" t="s">
        <v>4353</v>
      </c>
      <c r="AD1026" t="s">
        <v>4506</v>
      </c>
      <c r="AE1026" t="s">
        <v>4353</v>
      </c>
      <c r="AF1026" t="s">
        <v>4506</v>
      </c>
      <c r="AG1026" t="s">
        <v>4513</v>
      </c>
      <c r="AH1026" t="s">
        <v>4784</v>
      </c>
      <c r="AI1026" t="s">
        <v>4353</v>
      </c>
      <c r="AJ1026" t="s">
        <v>4506</v>
      </c>
      <c r="AK1026" t="s">
        <v>4519</v>
      </c>
      <c r="AL1026" t="s">
        <v>4552</v>
      </c>
      <c r="AM1026" t="s">
        <v>4528</v>
      </c>
      <c r="AN1026" t="s">
        <v>4618</v>
      </c>
      <c r="AO1026" s="134">
        <v>113.85393258427</v>
      </c>
      <c r="AP1026" s="135">
        <v>94.2457142857143</v>
      </c>
      <c r="AQ1026">
        <v>0.434285714285714</v>
      </c>
      <c r="AR1026" s="136">
        <v>1.28571428571429</v>
      </c>
      <c r="AS1026">
        <v>10.56</v>
      </c>
      <c r="AU1026"/>
      <c r="AV1026"/>
      <c r="AW1026"/>
      <c r="AX1026"/>
    </row>
    <row r="1027" spans="1:50" s="69" customFormat="1" ht="61">
      <c r="A1027" s="65">
        <v>148</v>
      </c>
      <c r="B1027" s="69" t="s">
        <v>217</v>
      </c>
      <c r="C1027" s="69" t="s">
        <v>45</v>
      </c>
      <c r="D1027" s="31">
        <f t="shared" si="78"/>
        <v>4</v>
      </c>
      <c r="E1027" s="69" t="s">
        <v>46</v>
      </c>
      <c r="F1027" s="31">
        <f t="shared" si="79"/>
        <v>6</v>
      </c>
      <c r="G1027" s="136" t="s">
        <v>466</v>
      </c>
      <c r="H1027" s="138">
        <v>85</v>
      </c>
      <c r="I1027" s="92">
        <f t="shared" si="77"/>
        <v>0.74963024524755351</v>
      </c>
      <c r="J1027" s="95">
        <v>0.98700039897130398</v>
      </c>
      <c r="K1027" s="137">
        <v>0.48604272084528599</v>
      </c>
      <c r="L1027" s="137">
        <v>0.51226009152380303</v>
      </c>
      <c r="M1027" s="137">
        <v>0.44671666482751199</v>
      </c>
      <c r="N1027" s="136">
        <v>1</v>
      </c>
      <c r="O1027" s="194">
        <v>42893</v>
      </c>
      <c r="P1027" s="98">
        <f t="shared" si="80"/>
        <v>0</v>
      </c>
      <c r="Q1027" s="111">
        <v>5.0999999999999996</v>
      </c>
      <c r="R1027" s="111">
        <v>1.65</v>
      </c>
      <c r="S1027" s="111">
        <v>0</v>
      </c>
      <c r="T1027" s="112" t="s">
        <v>48</v>
      </c>
      <c r="U1027" s="137" t="s">
        <v>467</v>
      </c>
      <c r="V1027" s="137" t="s">
        <v>468</v>
      </c>
      <c r="W1027" s="69">
        <v>58</v>
      </c>
      <c r="X1027" s="69">
        <v>2</v>
      </c>
      <c r="Y1027" s="69">
        <v>15</v>
      </c>
      <c r="Z1027"/>
      <c r="AA1027" t="s">
        <v>4830</v>
      </c>
      <c r="AB1027" t="s">
        <v>67</v>
      </c>
      <c r="AC1027" t="s">
        <v>4353</v>
      </c>
      <c r="AD1027" t="s">
        <v>4506</v>
      </c>
      <c r="AE1027" t="s">
        <v>4353</v>
      </c>
      <c r="AF1027" t="s">
        <v>4506</v>
      </c>
      <c r="AG1027" t="s">
        <v>4353</v>
      </c>
      <c r="AH1027" t="s">
        <v>4506</v>
      </c>
      <c r="AI1027" t="s">
        <v>4353</v>
      </c>
      <c r="AJ1027" t="s">
        <v>4506</v>
      </c>
      <c r="AK1027" t="s">
        <v>4519</v>
      </c>
      <c r="AL1027" t="s">
        <v>4552</v>
      </c>
      <c r="AM1027" t="s">
        <v>4528</v>
      </c>
      <c r="AN1027" t="s">
        <v>4618</v>
      </c>
      <c r="AO1027" s="134">
        <v>114.016949152542</v>
      </c>
      <c r="AP1027" s="135">
        <v>93.8779069767442</v>
      </c>
      <c r="AQ1027">
        <v>0.43604651162790697</v>
      </c>
      <c r="AR1027" s="136">
        <v>1.2790697674418601</v>
      </c>
      <c r="AS1027">
        <v>10.4360465116279</v>
      </c>
      <c r="AU1027"/>
      <c r="AV1027"/>
      <c r="AW1027"/>
      <c r="AX1027"/>
    </row>
    <row r="1028" spans="1:50" s="69" customFormat="1" ht="45">
      <c r="A1028" s="65">
        <v>1037</v>
      </c>
      <c r="B1028" s="69" t="s">
        <v>2752</v>
      </c>
      <c r="C1028" s="69" t="s">
        <v>59</v>
      </c>
      <c r="D1028" s="31">
        <f t="shared" si="78"/>
        <v>5</v>
      </c>
      <c r="E1028" s="69" t="s">
        <v>46</v>
      </c>
      <c r="F1028" s="31">
        <f t="shared" si="79"/>
        <v>6</v>
      </c>
      <c r="G1028" s="139" t="s">
        <v>2813</v>
      </c>
      <c r="H1028" s="138">
        <v>71</v>
      </c>
      <c r="I1028" s="92">
        <f t="shared" ref="I1028:I1091" si="81">(J1028+L1028)/2</f>
        <v>0.23519226085627495</v>
      </c>
      <c r="J1028" s="95">
        <v>4.6935294181839103E-3</v>
      </c>
      <c r="K1028" s="137">
        <v>0.51779018824826595</v>
      </c>
      <c r="L1028" s="137">
        <v>0.465690992294366</v>
      </c>
      <c r="M1028" s="137">
        <v>0.59593898217911601</v>
      </c>
      <c r="N1028" s="136">
        <v>1</v>
      </c>
      <c r="O1028" s="157">
        <v>42890</v>
      </c>
      <c r="P1028" s="98">
        <f t="shared" si="80"/>
        <v>0</v>
      </c>
      <c r="Q1028" s="113">
        <v>0</v>
      </c>
      <c r="R1028" s="113">
        <v>0</v>
      </c>
      <c r="S1028" s="113">
        <v>0</v>
      </c>
      <c r="T1028" s="119" t="s">
        <v>48</v>
      </c>
      <c r="U1028" s="89" t="s">
        <v>2814</v>
      </c>
      <c r="V1028" s="172" t="s">
        <v>2815</v>
      </c>
      <c r="W1028" s="69">
        <v>37</v>
      </c>
      <c r="X1028" s="69">
        <v>1</v>
      </c>
      <c r="Y1028" s="69">
        <v>8</v>
      </c>
      <c r="AA1028" t="s">
        <v>4599</v>
      </c>
      <c r="AB1028" t="s">
        <v>4597</v>
      </c>
      <c r="AC1028" t="s">
        <v>223</v>
      </c>
      <c r="AD1028" t="s">
        <v>4531</v>
      </c>
      <c r="AE1028" t="s">
        <v>4353</v>
      </c>
      <c r="AF1028" t="s">
        <v>4506</v>
      </c>
      <c r="AG1028" t="s">
        <v>223</v>
      </c>
      <c r="AH1028" t="s">
        <v>4531</v>
      </c>
      <c r="AI1028" t="s">
        <v>4353</v>
      </c>
      <c r="AJ1028" t="s">
        <v>4506</v>
      </c>
      <c r="AK1028" t="s">
        <v>4519</v>
      </c>
      <c r="AL1028" t="s">
        <v>4519</v>
      </c>
      <c r="AM1028" t="s">
        <v>4562</v>
      </c>
      <c r="AN1028" t="s">
        <v>4563</v>
      </c>
      <c r="AO1028" s="134">
        <v>114.261363636364</v>
      </c>
      <c r="AP1028" s="135">
        <v>93.7777777777778</v>
      </c>
      <c r="AQ1028">
        <v>0.43859649122806998</v>
      </c>
      <c r="AR1028" s="136">
        <v>1.28070175438596</v>
      </c>
      <c r="AS1028">
        <v>10.432748538011699</v>
      </c>
      <c r="AU1028"/>
      <c r="AV1028"/>
      <c r="AW1028"/>
      <c r="AX1028"/>
    </row>
    <row r="1029" spans="1:50" s="69" customFormat="1" ht="76">
      <c r="A1029">
        <v>550</v>
      </c>
      <c r="B1029" s="69" t="s">
        <v>1222</v>
      </c>
      <c r="C1029" s="69" t="s">
        <v>45</v>
      </c>
      <c r="D1029" s="31">
        <f t="shared" si="78"/>
        <v>4</v>
      </c>
      <c r="E1029" s="69" t="s">
        <v>80</v>
      </c>
      <c r="F1029" s="31">
        <f t="shared" si="79"/>
        <v>4</v>
      </c>
      <c r="G1029" s="147" t="s">
        <v>1538</v>
      </c>
      <c r="H1029" s="138">
        <v>80</v>
      </c>
      <c r="I1029" s="92">
        <f t="shared" si="81"/>
        <v>0.34092663681676222</v>
      </c>
      <c r="J1029" s="95">
        <v>3.5091815342447299E-5</v>
      </c>
      <c r="K1029" s="137">
        <v>0.62838932850985896</v>
      </c>
      <c r="L1029" s="137">
        <v>0.68181818181818199</v>
      </c>
      <c r="M1029" s="137">
        <v>0.54824604854737402</v>
      </c>
      <c r="N1029" s="136">
        <v>1</v>
      </c>
      <c r="O1029" s="154">
        <v>42883</v>
      </c>
      <c r="P1029" s="98">
        <f t="shared" si="80"/>
        <v>0</v>
      </c>
      <c r="Q1029" s="111">
        <v>7.65</v>
      </c>
      <c r="R1029" s="111">
        <v>0</v>
      </c>
      <c r="S1029" s="111">
        <v>0</v>
      </c>
      <c r="T1029" s="112" t="s">
        <v>48</v>
      </c>
      <c r="U1029" s="136" t="s">
        <v>1541</v>
      </c>
      <c r="V1029" s="137" t="s">
        <v>1542</v>
      </c>
      <c r="W1029" s="69">
        <v>111</v>
      </c>
      <c r="X1029" s="171">
        <v>1</v>
      </c>
      <c r="Y1029" s="171">
        <v>10</v>
      </c>
      <c r="Z1029"/>
      <c r="AA1029" t="s">
        <v>4522</v>
      </c>
      <c r="AB1029" t="s">
        <v>71</v>
      </c>
      <c r="AC1029" t="s">
        <v>4353</v>
      </c>
      <c r="AD1029" t="s">
        <v>4506</v>
      </c>
      <c r="AE1029" t="s">
        <v>4353</v>
      </c>
      <c r="AF1029" t="s">
        <v>4506</v>
      </c>
      <c r="AG1029" t="s">
        <v>4513</v>
      </c>
      <c r="AH1029" t="s">
        <v>4589</v>
      </c>
      <c r="AI1029" t="s">
        <v>4353</v>
      </c>
      <c r="AJ1029" t="s">
        <v>4506</v>
      </c>
      <c r="AK1029" t="s">
        <v>4519</v>
      </c>
      <c r="AL1029" t="s">
        <v>4552</v>
      </c>
      <c r="AM1029" t="s">
        <v>4519</v>
      </c>
      <c r="AN1029" t="s">
        <v>4659</v>
      </c>
      <c r="AO1029" s="134">
        <v>114.457142857143</v>
      </c>
      <c r="AP1029" s="135">
        <v>93.818749999999994</v>
      </c>
      <c r="AQ1029">
        <v>0.45</v>
      </c>
      <c r="AR1029" s="136">
        <v>1.2625</v>
      </c>
      <c r="AS1029">
        <v>10.331250000000001</v>
      </c>
      <c r="AU1029"/>
      <c r="AV1029"/>
      <c r="AW1029"/>
      <c r="AX1029"/>
    </row>
    <row r="1030" spans="1:50" s="69" customFormat="1" ht="76">
      <c r="A1030">
        <v>551</v>
      </c>
      <c r="B1030" s="69" t="s">
        <v>1222</v>
      </c>
      <c r="C1030" s="69" t="s">
        <v>45</v>
      </c>
      <c r="D1030" s="31">
        <f t="shared" si="78"/>
        <v>4</v>
      </c>
      <c r="E1030" s="69" t="s">
        <v>46</v>
      </c>
      <c r="F1030" s="31">
        <f t="shared" si="79"/>
        <v>6</v>
      </c>
      <c r="G1030" s="147" t="s">
        <v>1543</v>
      </c>
      <c r="H1030" s="138">
        <v>92</v>
      </c>
      <c r="I1030" s="92">
        <f t="shared" si="81"/>
        <v>0.54048298286281604</v>
      </c>
      <c r="J1030" s="95">
        <v>0.33096596572563203</v>
      </c>
      <c r="K1030" s="137">
        <v>0.66047858340826304</v>
      </c>
      <c r="L1030" s="137">
        <v>0.75</v>
      </c>
      <c r="M1030" s="137">
        <v>0.526196458520657</v>
      </c>
      <c r="N1030" s="136">
        <v>0</v>
      </c>
      <c r="O1030" s="154">
        <v>42881</v>
      </c>
      <c r="P1030" s="98">
        <f t="shared" si="80"/>
        <v>2</v>
      </c>
      <c r="Q1030" s="111">
        <v>5.0999999999999996</v>
      </c>
      <c r="R1030" s="111">
        <v>0</v>
      </c>
      <c r="S1030" s="111">
        <v>0</v>
      </c>
      <c r="T1030" s="112" t="s">
        <v>64</v>
      </c>
      <c r="U1030" s="136" t="s">
        <v>1544</v>
      </c>
      <c r="V1030" s="137" t="s">
        <v>1545</v>
      </c>
      <c r="W1030" s="69">
        <v>111</v>
      </c>
      <c r="X1030" s="171">
        <v>1</v>
      </c>
      <c r="Y1030" s="171">
        <v>11</v>
      </c>
      <c r="Z1030"/>
      <c r="AA1030" t="s">
        <v>4543</v>
      </c>
      <c r="AB1030" t="s">
        <v>71</v>
      </c>
      <c r="AC1030" t="s">
        <v>4353</v>
      </c>
      <c r="AD1030" t="s">
        <v>4506</v>
      </c>
      <c r="AE1030" t="s">
        <v>4353</v>
      </c>
      <c r="AF1030" t="s">
        <v>4506</v>
      </c>
      <c r="AG1030" t="s">
        <v>4513</v>
      </c>
      <c r="AH1030" t="s">
        <v>4589</v>
      </c>
      <c r="AI1030" t="s">
        <v>4353</v>
      </c>
      <c r="AJ1030" t="s">
        <v>4506</v>
      </c>
      <c r="AK1030" t="s">
        <v>4519</v>
      </c>
      <c r="AL1030" t="s">
        <v>4519</v>
      </c>
      <c r="AM1030" t="s">
        <v>4528</v>
      </c>
      <c r="AN1030" t="s">
        <v>4529</v>
      </c>
      <c r="AO1030" s="134">
        <v>114.586206896552</v>
      </c>
      <c r="AP1030" s="135">
        <v>93.818749999999994</v>
      </c>
      <c r="AQ1030">
        <v>0.45</v>
      </c>
      <c r="AR1030" s="136">
        <v>1.2625</v>
      </c>
      <c r="AS1030">
        <v>10.331250000000001</v>
      </c>
      <c r="AU1030"/>
      <c r="AV1030"/>
      <c r="AW1030"/>
      <c r="AX1030"/>
    </row>
    <row r="1031" spans="1:50" s="69" customFormat="1" ht="121">
      <c r="A1031" s="65">
        <v>636</v>
      </c>
      <c r="B1031" s="69" t="s">
        <v>1707</v>
      </c>
      <c r="C1031" s="69" t="s">
        <v>45</v>
      </c>
      <c r="D1031" s="31">
        <f t="shared" si="78"/>
        <v>4</v>
      </c>
      <c r="E1031" s="69" t="s">
        <v>46</v>
      </c>
      <c r="F1031" s="31">
        <f t="shared" si="79"/>
        <v>6</v>
      </c>
      <c r="G1031" s="137" t="s">
        <v>1106</v>
      </c>
      <c r="H1031" s="138">
        <v>219</v>
      </c>
      <c r="I1031" s="92">
        <f t="shared" si="81"/>
        <v>0.87499999574690102</v>
      </c>
      <c r="J1031" s="95">
        <v>0.99999999149380203</v>
      </c>
      <c r="K1031" s="137">
        <v>0.68837559287164596</v>
      </c>
      <c r="L1031" s="137">
        <v>0.75</v>
      </c>
      <c r="M1031" s="137">
        <v>0.59593898217911601</v>
      </c>
      <c r="N1031" s="136">
        <v>1</v>
      </c>
      <c r="O1031" s="154">
        <v>42880</v>
      </c>
      <c r="P1031" s="98">
        <f t="shared" si="80"/>
        <v>0</v>
      </c>
      <c r="Q1031" s="111">
        <v>2.5499999999999998</v>
      </c>
      <c r="R1031" s="111">
        <v>0</v>
      </c>
      <c r="S1031" s="111">
        <v>0</v>
      </c>
      <c r="T1031" s="112" t="s">
        <v>48</v>
      </c>
      <c r="U1031" s="136" t="s">
        <v>1759</v>
      </c>
      <c r="V1031" s="137" t="s">
        <v>1108</v>
      </c>
      <c r="W1031" s="69">
        <v>107</v>
      </c>
      <c r="X1031" s="69">
        <v>4</v>
      </c>
      <c r="Y1031" s="69">
        <v>8</v>
      </c>
      <c r="AA1031" t="s">
        <v>4628</v>
      </c>
      <c r="AB1031" t="s">
        <v>4576</v>
      </c>
      <c r="AC1031" t="s">
        <v>4353</v>
      </c>
      <c r="AD1031" t="s">
        <v>4506</v>
      </c>
      <c r="AE1031" t="s">
        <v>223</v>
      </c>
      <c r="AF1031" t="s">
        <v>4668</v>
      </c>
      <c r="AG1031" t="s">
        <v>223</v>
      </c>
      <c r="AH1031" t="s">
        <v>4668</v>
      </c>
      <c r="AI1031" t="s">
        <v>4353</v>
      </c>
      <c r="AJ1031" t="s">
        <v>4506</v>
      </c>
      <c r="AK1031" t="s">
        <v>4519</v>
      </c>
      <c r="AL1031" t="s">
        <v>4509</v>
      </c>
      <c r="AM1031" t="s">
        <v>4510</v>
      </c>
      <c r="AN1031" t="s">
        <v>5072</v>
      </c>
      <c r="AO1031" s="134">
        <v>114.462427745665</v>
      </c>
      <c r="AP1031" s="135">
        <v>94.082278481012693</v>
      </c>
      <c r="AQ1031">
        <v>0.449367088607595</v>
      </c>
      <c r="AR1031" s="136">
        <v>1.25949367088608</v>
      </c>
      <c r="AS1031">
        <v>10.2911392405063</v>
      </c>
      <c r="AU1031"/>
      <c r="AV1031"/>
      <c r="AW1031"/>
      <c r="AX1031"/>
    </row>
    <row r="1032" spans="1:50" s="69" customFormat="1" ht="76">
      <c r="A1032">
        <v>383</v>
      </c>
      <c r="B1032" s="69" t="s">
        <v>589</v>
      </c>
      <c r="C1032" s="69" t="s">
        <v>45</v>
      </c>
      <c r="D1032" s="31">
        <f t="shared" si="78"/>
        <v>4</v>
      </c>
      <c r="E1032" s="69" t="s">
        <v>46</v>
      </c>
      <c r="F1032" s="31">
        <f t="shared" si="79"/>
        <v>6</v>
      </c>
      <c r="G1032" s="147" t="s">
        <v>1106</v>
      </c>
      <c r="H1032" s="138">
        <v>136</v>
      </c>
      <c r="I1032" s="92">
        <f t="shared" si="81"/>
        <v>0.91128492762622693</v>
      </c>
      <c r="J1032" s="95">
        <v>0.99756985525245401</v>
      </c>
      <c r="K1032" s="137">
        <v>0.733375592871646</v>
      </c>
      <c r="L1032" s="137">
        <v>0.82499999999999996</v>
      </c>
      <c r="M1032" s="137">
        <v>0.59593898217911601</v>
      </c>
      <c r="N1032" s="136">
        <v>1</v>
      </c>
      <c r="O1032" s="154">
        <v>42880</v>
      </c>
      <c r="P1032" s="98">
        <f t="shared" si="80"/>
        <v>0</v>
      </c>
      <c r="Q1032" s="111">
        <v>5.0999999999999996</v>
      </c>
      <c r="R1032" s="111">
        <v>0</v>
      </c>
      <c r="S1032" s="111">
        <v>0</v>
      </c>
      <c r="T1032" s="112" t="s">
        <v>48</v>
      </c>
      <c r="U1032" s="147" t="s">
        <v>1107</v>
      </c>
      <c r="V1032" s="137" t="s">
        <v>1108</v>
      </c>
      <c r="W1032" s="69">
        <v>107</v>
      </c>
      <c r="X1032" s="171">
        <v>1</v>
      </c>
      <c r="Y1032" s="171">
        <v>8</v>
      </c>
      <c r="Z1032"/>
      <c r="AA1032" t="s">
        <v>4628</v>
      </c>
      <c r="AB1032" t="s">
        <v>4576</v>
      </c>
      <c r="AC1032" t="s">
        <v>4353</v>
      </c>
      <c r="AD1032" t="s">
        <v>4506</v>
      </c>
      <c r="AE1032" t="s">
        <v>223</v>
      </c>
      <c r="AF1032" t="s">
        <v>4668</v>
      </c>
      <c r="AG1032" t="s">
        <v>223</v>
      </c>
      <c r="AH1032" t="s">
        <v>4668</v>
      </c>
      <c r="AI1032" t="s">
        <v>4353</v>
      </c>
      <c r="AJ1032" t="s">
        <v>4506</v>
      </c>
      <c r="AK1032" t="s">
        <v>4519</v>
      </c>
      <c r="AL1032" t="s">
        <v>4509</v>
      </c>
      <c r="AM1032" t="s">
        <v>4510</v>
      </c>
      <c r="AN1032" t="s">
        <v>5072</v>
      </c>
      <c r="AO1032" s="134">
        <v>113.854651162791</v>
      </c>
      <c r="AP1032" s="135">
        <v>94.082278481012693</v>
      </c>
      <c r="AQ1032">
        <v>0.449367088607595</v>
      </c>
      <c r="AR1032" s="136">
        <v>1.25949367088608</v>
      </c>
      <c r="AS1032">
        <v>10.2911392405063</v>
      </c>
      <c r="AU1032"/>
      <c r="AV1032"/>
      <c r="AW1032"/>
      <c r="AX1032"/>
    </row>
    <row r="1033" spans="1:50" s="69" customFormat="1" ht="136">
      <c r="A1033" s="65">
        <v>1193</v>
      </c>
      <c r="B1033" s="69" t="s">
        <v>3117</v>
      </c>
      <c r="C1033" s="69" t="s">
        <v>1191</v>
      </c>
      <c r="D1033" s="31">
        <f t="shared" si="78"/>
        <v>2</v>
      </c>
      <c r="E1033" s="69" t="s">
        <v>46</v>
      </c>
      <c r="F1033" s="31">
        <f t="shared" si="79"/>
        <v>6</v>
      </c>
      <c r="G1033" s="91" t="s">
        <v>3203</v>
      </c>
      <c r="H1033" s="138">
        <v>104</v>
      </c>
      <c r="I1033" s="92">
        <f t="shared" si="81"/>
        <v>0.50235226870260652</v>
      </c>
      <c r="J1033" s="95">
        <v>0.25470453740521298</v>
      </c>
      <c r="K1033" s="137">
        <v>0.63619100647005999</v>
      </c>
      <c r="L1033" s="137">
        <v>0.75</v>
      </c>
      <c r="M1033" s="137">
        <v>0.46547751617515098</v>
      </c>
      <c r="N1033" s="136">
        <v>1</v>
      </c>
      <c r="O1033" s="157">
        <v>42879</v>
      </c>
      <c r="P1033" s="98">
        <f t="shared" si="80"/>
        <v>1</v>
      </c>
      <c r="Q1033" s="113">
        <v>2.5499999999999998</v>
      </c>
      <c r="R1033" s="113">
        <v>0</v>
      </c>
      <c r="S1033" s="113">
        <v>0</v>
      </c>
      <c r="T1033" s="119" t="s">
        <v>73</v>
      </c>
      <c r="U1033" s="89" t="s">
        <v>3204</v>
      </c>
      <c r="V1033" s="172" t="s">
        <v>3205</v>
      </c>
      <c r="W1033" s="69">
        <v>199</v>
      </c>
      <c r="X1033" s="171">
        <v>2</v>
      </c>
      <c r="Y1033" s="171">
        <v>14</v>
      </c>
      <c r="AA1033" t="s">
        <v>4564</v>
      </c>
      <c r="AB1033" t="s">
        <v>51</v>
      </c>
      <c r="AC1033" t="s">
        <v>4515</v>
      </c>
      <c r="AD1033" t="s">
        <v>4615</v>
      </c>
      <c r="AE1033" t="s">
        <v>4513</v>
      </c>
      <c r="AF1033" t="s">
        <v>4684</v>
      </c>
      <c r="AG1033" t="s">
        <v>223</v>
      </c>
      <c r="AH1033" t="s">
        <v>4746</v>
      </c>
      <c r="AI1033" t="s">
        <v>223</v>
      </c>
      <c r="AJ1033" t="s">
        <v>4746</v>
      </c>
      <c r="AK1033" t="s">
        <v>4591</v>
      </c>
      <c r="AL1033" t="s">
        <v>4519</v>
      </c>
      <c r="AM1033" t="s">
        <v>4510</v>
      </c>
      <c r="AN1033" t="s">
        <v>4980</v>
      </c>
      <c r="AO1033" s="134">
        <v>113.953216374269</v>
      </c>
      <c r="AP1033" s="135">
        <v>94.407643312101897</v>
      </c>
      <c r="AQ1033">
        <v>0.452229299363057</v>
      </c>
      <c r="AR1033" s="136">
        <v>1.2611464968152899</v>
      </c>
      <c r="AS1033">
        <v>10.3375796178344</v>
      </c>
      <c r="AU1033"/>
      <c r="AV1033"/>
      <c r="AW1033"/>
      <c r="AX1033"/>
    </row>
    <row r="1034" spans="1:50" s="69" customFormat="1" ht="76">
      <c r="A1034" s="65">
        <v>384</v>
      </c>
      <c r="B1034" s="69" t="s">
        <v>589</v>
      </c>
      <c r="C1034" s="69" t="s">
        <v>45</v>
      </c>
      <c r="D1034" s="31">
        <f t="shared" si="78"/>
        <v>4</v>
      </c>
      <c r="E1034" s="69" t="s">
        <v>46</v>
      </c>
      <c r="F1034" s="31">
        <f t="shared" si="79"/>
        <v>6</v>
      </c>
      <c r="G1034" s="147" t="s">
        <v>1109</v>
      </c>
      <c r="H1034" s="138">
        <v>97</v>
      </c>
      <c r="I1034" s="92">
        <f t="shared" si="81"/>
        <v>0.43310010453777337</v>
      </c>
      <c r="J1034" s="95">
        <v>4.12002090755468E-2</v>
      </c>
      <c r="K1034" s="137">
        <v>0.74381421079630905</v>
      </c>
      <c r="L1034" s="137">
        <v>0.82499999999999996</v>
      </c>
      <c r="M1034" s="137">
        <v>0.62203552699077302</v>
      </c>
      <c r="N1034" s="136">
        <v>1</v>
      </c>
      <c r="O1034" s="154">
        <v>42879</v>
      </c>
      <c r="P1034" s="98">
        <f t="shared" si="80"/>
        <v>0</v>
      </c>
      <c r="Q1034" s="111">
        <v>10.199999999999999</v>
      </c>
      <c r="R1034" s="111">
        <v>0</v>
      </c>
      <c r="S1034" s="111">
        <v>0</v>
      </c>
      <c r="T1034" s="112" t="s">
        <v>48</v>
      </c>
      <c r="U1034" s="147" t="s">
        <v>1110</v>
      </c>
      <c r="V1034" s="137" t="s">
        <v>1111</v>
      </c>
      <c r="W1034" s="69">
        <v>115</v>
      </c>
      <c r="X1034" s="171">
        <v>1</v>
      </c>
      <c r="Y1034" s="171">
        <v>7</v>
      </c>
      <c r="Z1034"/>
      <c r="AA1034" t="s">
        <v>4619</v>
      </c>
      <c r="AB1034" t="s">
        <v>87</v>
      </c>
      <c r="AC1034" t="s">
        <v>4515</v>
      </c>
      <c r="AD1034" t="s">
        <v>4718</v>
      </c>
      <c r="AE1034" t="s">
        <v>4353</v>
      </c>
      <c r="AF1034" t="s">
        <v>4506</v>
      </c>
      <c r="AG1034" t="s">
        <v>223</v>
      </c>
      <c r="AH1034" t="s">
        <v>4717</v>
      </c>
      <c r="AI1034" t="s">
        <v>4353</v>
      </c>
      <c r="AJ1034" t="s">
        <v>4506</v>
      </c>
      <c r="AK1034" t="s">
        <v>4519</v>
      </c>
      <c r="AL1034" t="s">
        <v>4552</v>
      </c>
      <c r="AM1034" t="s">
        <v>4562</v>
      </c>
      <c r="AN1034" t="s">
        <v>4742</v>
      </c>
      <c r="AO1034" s="134">
        <v>114.011764705882</v>
      </c>
      <c r="AP1034" s="135">
        <v>94.407643312101897</v>
      </c>
      <c r="AQ1034">
        <v>0.452229299363057</v>
      </c>
      <c r="AR1034" s="136">
        <v>1.2611464968152899</v>
      </c>
      <c r="AS1034">
        <v>10.3375796178344</v>
      </c>
      <c r="AU1034"/>
      <c r="AV1034"/>
      <c r="AW1034"/>
      <c r="AX1034"/>
    </row>
    <row r="1035" spans="1:50" s="69" customFormat="1" ht="91">
      <c r="A1035" s="65">
        <v>552</v>
      </c>
      <c r="B1035" s="69" t="s">
        <v>1222</v>
      </c>
      <c r="C1035" s="69" t="s">
        <v>45</v>
      </c>
      <c r="D1035" s="31">
        <f t="shared" si="78"/>
        <v>4</v>
      </c>
      <c r="E1035" s="69" t="s">
        <v>80</v>
      </c>
      <c r="F1035" s="31">
        <f t="shared" si="79"/>
        <v>4</v>
      </c>
      <c r="G1035" s="169" t="s">
        <v>1546</v>
      </c>
      <c r="H1035" s="138">
        <v>84</v>
      </c>
      <c r="I1035" s="92">
        <f t="shared" si="81"/>
        <v>0.38904461223341086</v>
      </c>
      <c r="J1035" s="95">
        <v>2.8089224466821699E-2</v>
      </c>
      <c r="K1035" s="137">
        <v>0.66929841941894996</v>
      </c>
      <c r="L1035" s="137">
        <v>0.75</v>
      </c>
      <c r="M1035" s="137">
        <v>0.54824604854737402</v>
      </c>
      <c r="N1035" s="136">
        <v>1</v>
      </c>
      <c r="O1035" s="154">
        <v>42877</v>
      </c>
      <c r="P1035" s="98">
        <f t="shared" si="80"/>
        <v>2</v>
      </c>
      <c r="Q1035" s="111">
        <v>7.65</v>
      </c>
      <c r="R1035" s="111">
        <v>0</v>
      </c>
      <c r="S1035" s="111">
        <v>0</v>
      </c>
      <c r="T1035" s="112" t="s">
        <v>64</v>
      </c>
      <c r="U1035" s="147" t="s">
        <v>1547</v>
      </c>
      <c r="V1035" s="137" t="s">
        <v>1548</v>
      </c>
      <c r="W1035" s="69">
        <v>121</v>
      </c>
      <c r="X1035" s="147">
        <v>1</v>
      </c>
      <c r="Y1035" s="147">
        <v>10</v>
      </c>
      <c r="Z1035"/>
      <c r="AA1035" t="s">
        <v>4551</v>
      </c>
      <c r="AB1035" t="s">
        <v>71</v>
      </c>
      <c r="AC1035" t="s">
        <v>4353</v>
      </c>
      <c r="AD1035" t="s">
        <v>4506</v>
      </c>
      <c r="AE1035" t="s">
        <v>223</v>
      </c>
      <c r="AF1035" t="s">
        <v>4681</v>
      </c>
      <c r="AG1035" t="s">
        <v>4513</v>
      </c>
      <c r="AH1035" t="s">
        <v>4680</v>
      </c>
      <c r="AI1035" t="s">
        <v>4353</v>
      </c>
      <c r="AJ1035" t="s">
        <v>4506</v>
      </c>
      <c r="AK1035" t="s">
        <v>4519</v>
      </c>
      <c r="AL1035" t="s">
        <v>4541</v>
      </c>
      <c r="AM1035" t="s">
        <v>4528</v>
      </c>
      <c r="AN1035" t="s">
        <v>4542</v>
      </c>
      <c r="AO1035" s="134">
        <v>113.95266272189301</v>
      </c>
      <c r="AP1035" s="135">
        <v>94.161290322580598</v>
      </c>
      <c r="AQ1035">
        <v>0.445161290322581</v>
      </c>
      <c r="AR1035" s="136">
        <v>1.25806451612903</v>
      </c>
      <c r="AS1035">
        <v>10.341935483871</v>
      </c>
      <c r="AU1035"/>
      <c r="AV1035"/>
      <c r="AW1035"/>
      <c r="AX1035"/>
    </row>
    <row r="1036" spans="1:50" s="69" customFormat="1" ht="61">
      <c r="A1036" s="65">
        <v>553</v>
      </c>
      <c r="B1036" s="69" t="s">
        <v>1222</v>
      </c>
      <c r="C1036" s="69" t="s">
        <v>45</v>
      </c>
      <c r="D1036" s="31">
        <f t="shared" si="78"/>
        <v>4</v>
      </c>
      <c r="E1036" s="69" t="s">
        <v>80</v>
      </c>
      <c r="F1036" s="31">
        <f t="shared" si="79"/>
        <v>4</v>
      </c>
      <c r="G1036" s="137" t="s">
        <v>1549</v>
      </c>
      <c r="H1036" s="138">
        <v>56</v>
      </c>
      <c r="I1036" s="92">
        <f t="shared" si="81"/>
        <v>0.37501150461566768</v>
      </c>
      <c r="J1036" s="95">
        <v>2.3009231335358001E-5</v>
      </c>
      <c r="K1036" s="137">
        <v>0.67857142857142805</v>
      </c>
      <c r="L1036" s="137">
        <v>0.75</v>
      </c>
      <c r="M1036" s="137">
        <v>0.57142857142857095</v>
      </c>
      <c r="N1036" s="136">
        <v>1</v>
      </c>
      <c r="O1036" s="154">
        <v>42877</v>
      </c>
      <c r="P1036" s="98">
        <f t="shared" si="80"/>
        <v>0</v>
      </c>
      <c r="Q1036" s="111">
        <v>5.0999999999999996</v>
      </c>
      <c r="R1036" s="111">
        <v>1.65</v>
      </c>
      <c r="S1036" s="111">
        <v>0</v>
      </c>
      <c r="T1036" s="112" t="s">
        <v>48</v>
      </c>
      <c r="U1036" s="137" t="s">
        <v>1550</v>
      </c>
      <c r="V1036" s="137" t="s">
        <v>1551</v>
      </c>
      <c r="W1036" s="69">
        <v>91</v>
      </c>
      <c r="X1036" s="69">
        <v>1</v>
      </c>
      <c r="Y1036" s="69">
        <v>9</v>
      </c>
      <c r="Z1036"/>
      <c r="AA1036" t="s">
        <v>4564</v>
      </c>
      <c r="AB1036" t="s">
        <v>71</v>
      </c>
      <c r="AC1036" t="s">
        <v>4353</v>
      </c>
      <c r="AD1036" t="s">
        <v>4506</v>
      </c>
      <c r="AE1036" t="s">
        <v>223</v>
      </c>
      <c r="AF1036" t="s">
        <v>4639</v>
      </c>
      <c r="AG1036" t="s">
        <v>4513</v>
      </c>
      <c r="AH1036" t="s">
        <v>4837</v>
      </c>
      <c r="AI1036" t="s">
        <v>4353</v>
      </c>
      <c r="AJ1036" t="s">
        <v>4506</v>
      </c>
      <c r="AK1036" t="s">
        <v>4519</v>
      </c>
      <c r="AL1036" t="s">
        <v>4519</v>
      </c>
      <c r="AM1036" t="s">
        <v>4528</v>
      </c>
      <c r="AN1036" t="s">
        <v>4529</v>
      </c>
      <c r="AO1036" s="134">
        <v>114.130952380952</v>
      </c>
      <c r="AP1036" s="135">
        <v>94.161290322580598</v>
      </c>
      <c r="AQ1036">
        <v>0.445161290322581</v>
      </c>
      <c r="AR1036" s="136">
        <v>1.25806451612903</v>
      </c>
      <c r="AS1036">
        <v>10.341935483871</v>
      </c>
      <c r="AU1036"/>
      <c r="AV1036"/>
      <c r="AW1036"/>
      <c r="AX1036"/>
    </row>
    <row r="1037" spans="1:50" s="69" customFormat="1" ht="76">
      <c r="A1037">
        <v>39</v>
      </c>
      <c r="B1037" s="136" t="s">
        <v>115</v>
      </c>
      <c r="C1037" s="136" t="s">
        <v>45</v>
      </c>
      <c r="D1037" s="31">
        <f t="shared" si="78"/>
        <v>4</v>
      </c>
      <c r="E1037" s="136" t="s">
        <v>46</v>
      </c>
      <c r="F1037" s="31">
        <f t="shared" si="79"/>
        <v>6</v>
      </c>
      <c r="G1037" s="137" t="s">
        <v>164</v>
      </c>
      <c r="H1037" s="138">
        <v>124</v>
      </c>
      <c r="I1037" s="92">
        <f t="shared" si="81"/>
        <v>0.37500182631775481</v>
      </c>
      <c r="J1037" s="95">
        <v>3.6526355096100398E-6</v>
      </c>
      <c r="K1037" s="137">
        <v>0.57005831511049398</v>
      </c>
      <c r="L1037" s="137">
        <v>0.75</v>
      </c>
      <c r="M1037" s="137">
        <v>0.30014578777623502</v>
      </c>
      <c r="N1037" s="136">
        <v>0</v>
      </c>
      <c r="O1037" s="154">
        <v>42877</v>
      </c>
      <c r="P1037" s="98">
        <f t="shared" si="80"/>
        <v>1</v>
      </c>
      <c r="Q1037" s="113">
        <v>0</v>
      </c>
      <c r="R1037" s="113">
        <v>3.3</v>
      </c>
      <c r="S1037" s="113">
        <v>0</v>
      </c>
      <c r="T1037" s="114" t="s">
        <v>73</v>
      </c>
      <c r="U1037" s="136" t="s">
        <v>165</v>
      </c>
      <c r="V1037" s="136" t="s">
        <v>166</v>
      </c>
      <c r="W1037" s="69">
        <v>99</v>
      </c>
      <c r="X1037" s="136">
        <v>3</v>
      </c>
      <c r="Y1037" s="136">
        <v>24</v>
      </c>
      <c r="Z1037"/>
      <c r="AA1037" t="s">
        <v>4522</v>
      </c>
      <c r="AB1037" t="s">
        <v>51</v>
      </c>
      <c r="AC1037" t="s">
        <v>4353</v>
      </c>
      <c r="AD1037" t="s">
        <v>4506</v>
      </c>
      <c r="AE1037" t="s">
        <v>4538</v>
      </c>
      <c r="AF1037" t="s">
        <v>4651</v>
      </c>
      <c r="AG1037" t="s">
        <v>4353</v>
      </c>
      <c r="AH1037" t="s">
        <v>4506</v>
      </c>
      <c r="AI1037" t="s">
        <v>4353</v>
      </c>
      <c r="AJ1037" t="s">
        <v>4506</v>
      </c>
      <c r="AK1037" t="s">
        <v>4518</v>
      </c>
      <c r="AL1037" t="s">
        <v>4552</v>
      </c>
      <c r="AM1037" t="s">
        <v>4562</v>
      </c>
      <c r="AN1037" t="s">
        <v>4855</v>
      </c>
      <c r="AO1037" s="134">
        <v>114.479041916168</v>
      </c>
      <c r="AP1037" s="135">
        <v>94.161290322580598</v>
      </c>
      <c r="AQ1037">
        <v>0.445161290322581</v>
      </c>
      <c r="AR1037" s="136">
        <v>1.25806451612903</v>
      </c>
      <c r="AS1037">
        <v>10.341935483871</v>
      </c>
      <c r="AU1037"/>
      <c r="AV1037"/>
      <c r="AW1037"/>
      <c r="AX1037"/>
    </row>
    <row r="1038" spans="1:50" s="69" customFormat="1" ht="46">
      <c r="A1038">
        <v>150</v>
      </c>
      <c r="B1038" s="69" t="s">
        <v>217</v>
      </c>
      <c r="C1038" s="69" t="s">
        <v>45</v>
      </c>
      <c r="D1038" s="31">
        <f t="shared" si="78"/>
        <v>4</v>
      </c>
      <c r="E1038" s="69" t="s">
        <v>80</v>
      </c>
      <c r="F1038" s="31">
        <f t="shared" si="79"/>
        <v>4</v>
      </c>
      <c r="G1038" s="209" t="s">
        <v>472</v>
      </c>
      <c r="H1038" s="138">
        <v>45</v>
      </c>
      <c r="I1038" s="92">
        <f t="shared" si="81"/>
        <v>0.44366536339274149</v>
      </c>
      <c r="J1038" s="95">
        <v>0.137330726785483</v>
      </c>
      <c r="K1038" s="137">
        <v>0.75102566813892102</v>
      </c>
      <c r="L1038" s="137">
        <v>0.75</v>
      </c>
      <c r="M1038" s="137">
        <v>0.75256417034730305</v>
      </c>
      <c r="N1038" s="136">
        <v>1</v>
      </c>
      <c r="O1038" s="154">
        <v>42876</v>
      </c>
      <c r="P1038" s="98">
        <f t="shared" si="80"/>
        <v>1</v>
      </c>
      <c r="Q1038" s="111">
        <v>2.5499999999999998</v>
      </c>
      <c r="R1038" s="111">
        <v>6.6</v>
      </c>
      <c r="S1038" s="111">
        <v>0</v>
      </c>
      <c r="T1038" s="112" t="s">
        <v>473</v>
      </c>
      <c r="U1038" s="137" t="s">
        <v>474</v>
      </c>
      <c r="V1038" s="137" t="s">
        <v>475</v>
      </c>
      <c r="W1038" s="69">
        <v>43</v>
      </c>
      <c r="X1038" s="171">
        <v>1</v>
      </c>
      <c r="Y1038" s="171">
        <v>3</v>
      </c>
      <c r="Z1038"/>
      <c r="AA1038" t="s">
        <v>4522</v>
      </c>
      <c r="AB1038" t="s">
        <v>87</v>
      </c>
      <c r="AC1038" t="s">
        <v>4513</v>
      </c>
      <c r="AD1038" t="s">
        <v>4835</v>
      </c>
      <c r="AE1038" t="s">
        <v>4353</v>
      </c>
      <c r="AF1038" t="s">
        <v>4506</v>
      </c>
      <c r="AG1038" t="s">
        <v>4353</v>
      </c>
      <c r="AH1038" t="s">
        <v>4506</v>
      </c>
      <c r="AI1038" t="s">
        <v>4353</v>
      </c>
      <c r="AJ1038" t="s">
        <v>4506</v>
      </c>
      <c r="AK1038" t="s">
        <v>4519</v>
      </c>
      <c r="AL1038" t="s">
        <v>4552</v>
      </c>
      <c r="AM1038" t="s">
        <v>4510</v>
      </c>
      <c r="AN1038" t="s">
        <v>4634</v>
      </c>
      <c r="AO1038" s="134">
        <v>114.83734939759</v>
      </c>
      <c r="AP1038" s="135">
        <v>94.161290322580598</v>
      </c>
      <c r="AQ1038">
        <v>0.445161290322581</v>
      </c>
      <c r="AR1038" s="136">
        <v>1.25806451612903</v>
      </c>
      <c r="AS1038">
        <v>10.341935483871</v>
      </c>
      <c r="AU1038"/>
      <c r="AV1038"/>
      <c r="AW1038"/>
      <c r="AX1038"/>
    </row>
    <row r="1039" spans="1:50" s="69" customFormat="1" ht="61">
      <c r="A1039" s="65">
        <v>149</v>
      </c>
      <c r="B1039" s="69" t="s">
        <v>217</v>
      </c>
      <c r="C1039" s="69" t="s">
        <v>45</v>
      </c>
      <c r="D1039" s="31">
        <f t="shared" si="78"/>
        <v>4</v>
      </c>
      <c r="E1039" s="69" t="s">
        <v>46</v>
      </c>
      <c r="F1039" s="31">
        <f t="shared" si="79"/>
        <v>6</v>
      </c>
      <c r="G1039" s="209" t="s">
        <v>469</v>
      </c>
      <c r="H1039" s="138">
        <v>55</v>
      </c>
      <c r="I1039" s="92">
        <f t="shared" si="81"/>
        <v>0.25715598120865441</v>
      </c>
      <c r="J1039" s="95">
        <v>2.0518708935057801E-3</v>
      </c>
      <c r="K1039" s="137">
        <v>0.53592748348570995</v>
      </c>
      <c r="L1039" s="137">
        <v>0.51226009152380303</v>
      </c>
      <c r="M1039" s="137">
        <v>0.57142857142857095</v>
      </c>
      <c r="N1039" s="136">
        <v>1</v>
      </c>
      <c r="O1039" s="154">
        <v>42876</v>
      </c>
      <c r="P1039" s="98">
        <f t="shared" si="80"/>
        <v>0</v>
      </c>
      <c r="Q1039" s="113">
        <v>2.5499999999999998</v>
      </c>
      <c r="R1039" s="113">
        <v>8.25</v>
      </c>
      <c r="S1039" s="113">
        <v>1.87</v>
      </c>
      <c r="T1039" s="114" t="s">
        <v>48</v>
      </c>
      <c r="U1039" s="136" t="s">
        <v>470</v>
      </c>
      <c r="V1039" s="137" t="s">
        <v>471</v>
      </c>
      <c r="W1039" s="69">
        <v>74</v>
      </c>
      <c r="X1039" s="171">
        <v>1</v>
      </c>
      <c r="Y1039" s="171">
        <v>9</v>
      </c>
      <c r="Z1039"/>
      <c r="AA1039" t="s">
        <v>4636</v>
      </c>
      <c r="AB1039" t="s">
        <v>71</v>
      </c>
      <c r="AC1039" t="s">
        <v>4353</v>
      </c>
      <c r="AD1039" t="s">
        <v>4506</v>
      </c>
      <c r="AE1039" t="s">
        <v>4353</v>
      </c>
      <c r="AF1039" t="s">
        <v>4506</v>
      </c>
      <c r="AG1039" t="s">
        <v>223</v>
      </c>
      <c r="AH1039" t="s">
        <v>4685</v>
      </c>
      <c r="AI1039" t="s">
        <v>4353</v>
      </c>
      <c r="AJ1039" t="s">
        <v>4506</v>
      </c>
      <c r="AK1039" t="s">
        <v>4519</v>
      </c>
      <c r="AL1039" t="s">
        <v>4519</v>
      </c>
      <c r="AM1039" t="s">
        <v>4519</v>
      </c>
      <c r="AN1039" t="s">
        <v>4564</v>
      </c>
      <c r="AO1039" s="134">
        <v>115.26060606060599</v>
      </c>
      <c r="AP1039" s="135">
        <v>94.161290322580598</v>
      </c>
      <c r="AQ1039">
        <v>0.445161290322581</v>
      </c>
      <c r="AR1039" s="136">
        <v>1.25806451612903</v>
      </c>
      <c r="AS1039">
        <v>10.341935483871</v>
      </c>
      <c r="AU1039"/>
      <c r="AV1039"/>
      <c r="AW1039"/>
      <c r="AX1039"/>
    </row>
    <row r="1040" spans="1:50" s="69" customFormat="1" ht="61">
      <c r="A1040" s="65">
        <v>385</v>
      </c>
      <c r="B1040" s="69" t="s">
        <v>589</v>
      </c>
      <c r="C1040" s="69" t="s">
        <v>45</v>
      </c>
      <c r="D1040" s="31">
        <f t="shared" si="78"/>
        <v>4</v>
      </c>
      <c r="E1040" s="69" t="s">
        <v>46</v>
      </c>
      <c r="F1040" s="31">
        <f t="shared" si="79"/>
        <v>6</v>
      </c>
      <c r="G1040" s="147" t="s">
        <v>1112</v>
      </c>
      <c r="H1040" s="138">
        <v>115</v>
      </c>
      <c r="I1040" s="92">
        <f t="shared" si="81"/>
        <v>0.30999980249390463</v>
      </c>
      <c r="J1040" s="95">
        <v>1.64894244008229E-4</v>
      </c>
      <c r="K1040" s="137">
        <v>0.58237940985454395</v>
      </c>
      <c r="L1040" s="137">
        <v>0.61983471074380103</v>
      </c>
      <c r="M1040" s="137">
        <v>0.526196458520657</v>
      </c>
      <c r="N1040" s="136">
        <v>1</v>
      </c>
      <c r="O1040" s="194">
        <v>42875</v>
      </c>
      <c r="P1040" s="98">
        <f t="shared" si="80"/>
        <v>1</v>
      </c>
      <c r="Q1040" s="111">
        <v>2.5499999999999998</v>
      </c>
      <c r="R1040" s="111">
        <v>0</v>
      </c>
      <c r="S1040" s="111">
        <v>0</v>
      </c>
      <c r="T1040" s="112" t="s">
        <v>73</v>
      </c>
      <c r="U1040" s="147" t="s">
        <v>1113</v>
      </c>
      <c r="V1040" s="137" t="s">
        <v>1114</v>
      </c>
      <c r="W1040" s="69">
        <v>59</v>
      </c>
      <c r="X1040" s="147">
        <v>1</v>
      </c>
      <c r="Y1040" s="147">
        <v>11</v>
      </c>
      <c r="Z1040"/>
      <c r="AA1040" t="s">
        <v>4826</v>
      </c>
      <c r="AB1040" t="s">
        <v>4576</v>
      </c>
      <c r="AC1040" t="s">
        <v>4353</v>
      </c>
      <c r="AD1040" t="s">
        <v>4506</v>
      </c>
      <c r="AE1040" t="s">
        <v>223</v>
      </c>
      <c r="AF1040" t="s">
        <v>4643</v>
      </c>
      <c r="AG1040" t="s">
        <v>223</v>
      </c>
      <c r="AH1040" t="s">
        <v>4643</v>
      </c>
      <c r="AI1040" t="s">
        <v>4353</v>
      </c>
      <c r="AJ1040" t="s">
        <v>4506</v>
      </c>
      <c r="AK1040" t="s">
        <v>4519</v>
      </c>
      <c r="AL1040" t="s">
        <v>4519</v>
      </c>
      <c r="AM1040" t="s">
        <v>4510</v>
      </c>
      <c r="AN1040" t="s">
        <v>4550</v>
      </c>
      <c r="AO1040" s="134">
        <v>115.78048780487801</v>
      </c>
      <c r="AP1040" s="135">
        <v>94.161290322580598</v>
      </c>
      <c r="AQ1040">
        <v>0.445161290322581</v>
      </c>
      <c r="AR1040" s="136">
        <v>1.25806451612903</v>
      </c>
      <c r="AS1040">
        <v>10.341935483871</v>
      </c>
      <c r="AU1040"/>
      <c r="AV1040"/>
      <c r="AW1040"/>
      <c r="AX1040"/>
    </row>
    <row r="1041" spans="1:50" s="70" customFormat="1" ht="40" customHeight="1">
      <c r="A1041" s="67"/>
      <c r="B1041" s="70" t="s">
        <v>589</v>
      </c>
      <c r="C1041" s="70" t="s">
        <v>45</v>
      </c>
      <c r="D1041" s="149">
        <v>4</v>
      </c>
      <c r="E1041" s="70" t="s">
        <v>46</v>
      </c>
      <c r="F1041" s="149">
        <v>6</v>
      </c>
      <c r="G1041" s="223" t="s">
        <v>3234</v>
      </c>
      <c r="H1041" s="224">
        <v>30</v>
      </c>
      <c r="I1041" s="92">
        <f t="shared" si="81"/>
        <v>0.37508244712200411</v>
      </c>
      <c r="J1041" s="95">
        <v>1.64894244008229E-4</v>
      </c>
      <c r="K1041" s="226">
        <v>0.66047858340826304</v>
      </c>
      <c r="L1041" s="226">
        <v>0.75</v>
      </c>
      <c r="M1041" s="226">
        <v>0.526196458520657</v>
      </c>
      <c r="N1041" s="184">
        <v>1</v>
      </c>
      <c r="O1041" s="165">
        <v>42875</v>
      </c>
      <c r="P1041" s="98">
        <v>0</v>
      </c>
      <c r="Q1041" s="227"/>
      <c r="R1041" s="227"/>
      <c r="S1041" s="227"/>
      <c r="T1041" s="228"/>
      <c r="U1041" s="223" t="s">
        <v>3235</v>
      </c>
      <c r="V1041" s="223" t="s">
        <v>3236</v>
      </c>
      <c r="W1041" s="70">
        <v>56</v>
      </c>
      <c r="X1041" s="70">
        <v>0</v>
      </c>
      <c r="Y1041" s="70">
        <v>11</v>
      </c>
      <c r="Z1041" s="67"/>
      <c r="AA1041" s="67"/>
      <c r="AB1041" s="67"/>
      <c r="AC1041" s="67"/>
      <c r="AD1041" s="67"/>
      <c r="AE1041" s="67"/>
      <c r="AF1041" s="67"/>
      <c r="AG1041" s="67"/>
      <c r="AH1041" s="67"/>
      <c r="AI1041" s="67"/>
      <c r="AJ1041" s="67"/>
      <c r="AK1041" s="67"/>
      <c r="AL1041" s="67"/>
      <c r="AM1041" s="67"/>
      <c r="AN1041" s="67"/>
      <c r="AO1041" s="182">
        <v>115.78527607362</v>
      </c>
      <c r="AP1041" s="183">
        <v>94.161290322580598</v>
      </c>
      <c r="AQ1041" s="67">
        <v>0.445161290322581</v>
      </c>
      <c r="AR1041" s="184">
        <v>1.25806451612903</v>
      </c>
      <c r="AS1041" s="67">
        <v>10.341935483871</v>
      </c>
      <c r="AU1041" s="67"/>
      <c r="AV1041" s="67"/>
      <c r="AW1041" s="67"/>
      <c r="AX1041" s="67"/>
    </row>
    <row r="1042" spans="1:50" s="69" customFormat="1" ht="61">
      <c r="A1042">
        <v>386</v>
      </c>
      <c r="B1042" s="69" t="s">
        <v>589</v>
      </c>
      <c r="C1042" s="69" t="s">
        <v>45</v>
      </c>
      <c r="D1042" s="31">
        <f t="shared" ref="D1042:D1076" si="82">IF(C1042="投诉",4,IF(C1042="建议",1,IF(C1042="举报",2,IF(C1042="求助",3,5))))</f>
        <v>4</v>
      </c>
      <c r="E1042" s="69" t="s">
        <v>46</v>
      </c>
      <c r="F1042" s="31">
        <f t="shared" ref="F1042:F1076" si="83">IF(E1042="12345app",1,IF(E1042="e福州app",2,IF(E1042="qq",3,IF(E1042="电话",4,IF(E1042="短信",5,IF(E1042="网站",6,IF(E1042="微博",7,IF(E1042="微信",8,9))))))))</f>
        <v>6</v>
      </c>
      <c r="G1042" s="147" t="s">
        <v>1115</v>
      </c>
      <c r="H1042" s="138">
        <v>78</v>
      </c>
      <c r="I1042" s="92">
        <f t="shared" si="81"/>
        <v>0.83721137882465246</v>
      </c>
      <c r="J1042" s="95">
        <v>0.99260457583112305</v>
      </c>
      <c r="K1042" s="137">
        <v>0.58051948051947999</v>
      </c>
      <c r="L1042" s="137">
        <v>0.68181818181818199</v>
      </c>
      <c r="M1042" s="137">
        <v>0.42857142857142899</v>
      </c>
      <c r="N1042" s="136">
        <v>0</v>
      </c>
      <c r="O1042" s="154">
        <v>42870</v>
      </c>
      <c r="P1042" s="98">
        <f t="shared" ref="P1042:P1076" si="84">IF(T1042="利己",0,IF(T1042="生态",2,1))</f>
        <v>0</v>
      </c>
      <c r="Q1042" s="107">
        <v>5.0999999999999996</v>
      </c>
      <c r="R1042" s="107">
        <v>0</v>
      </c>
      <c r="S1042" s="107">
        <v>0</v>
      </c>
      <c r="T1042" s="108" t="s">
        <v>48</v>
      </c>
      <c r="U1042" s="137" t="s">
        <v>1116</v>
      </c>
      <c r="V1042" s="137" t="s">
        <v>1117</v>
      </c>
      <c r="W1042" s="69">
        <v>72</v>
      </c>
      <c r="X1042" s="147">
        <v>3</v>
      </c>
      <c r="Y1042" s="147">
        <v>16</v>
      </c>
      <c r="Z1042"/>
      <c r="AA1042" t="s">
        <v>4522</v>
      </c>
      <c r="AB1042" t="s">
        <v>4597</v>
      </c>
      <c r="AC1042" t="s">
        <v>223</v>
      </c>
      <c r="AD1042" t="s">
        <v>4535</v>
      </c>
      <c r="AE1042" t="s">
        <v>4353</v>
      </c>
      <c r="AF1042" t="s">
        <v>4506</v>
      </c>
      <c r="AG1042" t="s">
        <v>223</v>
      </c>
      <c r="AH1042" t="s">
        <v>4535</v>
      </c>
      <c r="AI1042" t="s">
        <v>4353</v>
      </c>
      <c r="AJ1042" t="s">
        <v>4506</v>
      </c>
      <c r="AK1042" t="s">
        <v>4519</v>
      </c>
      <c r="AL1042" t="s">
        <v>4552</v>
      </c>
      <c r="AM1042" t="s">
        <v>4562</v>
      </c>
      <c r="AN1042" t="s">
        <v>4742</v>
      </c>
      <c r="AO1042" s="134">
        <v>116.018518518519</v>
      </c>
      <c r="AP1042" s="135">
        <v>93.586666666666702</v>
      </c>
      <c r="AQ1042">
        <v>0.44</v>
      </c>
      <c r="AR1042" s="136">
        <v>1.26</v>
      </c>
      <c r="AS1042">
        <v>10.4133333333333</v>
      </c>
      <c r="AU1042"/>
      <c r="AV1042"/>
      <c r="AW1042"/>
      <c r="AX1042"/>
    </row>
    <row r="1043" spans="1:50" s="69" customFormat="1" ht="136">
      <c r="A1043">
        <v>554</v>
      </c>
      <c r="B1043" s="69" t="s">
        <v>1222</v>
      </c>
      <c r="C1043" s="69" t="s">
        <v>1191</v>
      </c>
      <c r="D1043" s="31">
        <f t="shared" si="82"/>
        <v>2</v>
      </c>
      <c r="E1043" s="69" t="s">
        <v>848</v>
      </c>
      <c r="F1043" s="31">
        <f t="shared" si="83"/>
        <v>9</v>
      </c>
      <c r="G1043" s="137" t="s">
        <v>4400</v>
      </c>
      <c r="H1043" s="138">
        <v>50</v>
      </c>
      <c r="I1043" s="92">
        <f t="shared" si="81"/>
        <v>0.41251420477502199</v>
      </c>
      <c r="J1043" s="95">
        <v>2.8409550044017398E-5</v>
      </c>
      <c r="K1043" s="137">
        <v>0.74381421079630905</v>
      </c>
      <c r="L1043" s="137">
        <v>0.82499999999999996</v>
      </c>
      <c r="M1043" s="137">
        <v>0.62203552699077302</v>
      </c>
      <c r="N1043" s="136">
        <v>1</v>
      </c>
      <c r="O1043" s="154">
        <v>42870</v>
      </c>
      <c r="P1043" s="98">
        <f t="shared" si="84"/>
        <v>2</v>
      </c>
      <c r="Q1043" s="113">
        <v>7.65</v>
      </c>
      <c r="R1043" s="113">
        <v>1.65</v>
      </c>
      <c r="S1043" s="113">
        <v>0</v>
      </c>
      <c r="T1043" s="114" t="s">
        <v>64</v>
      </c>
      <c r="U1043" s="136" t="s">
        <v>4401</v>
      </c>
      <c r="V1043" s="137" t="s">
        <v>1554</v>
      </c>
      <c r="W1043" s="69">
        <v>197</v>
      </c>
      <c r="X1043" s="69">
        <v>2</v>
      </c>
      <c r="Y1043" s="69">
        <v>7</v>
      </c>
      <c r="Z1043"/>
      <c r="AA1043" t="s">
        <v>4564</v>
      </c>
      <c r="AB1043" t="s">
        <v>51</v>
      </c>
      <c r="AC1043" t="s">
        <v>4515</v>
      </c>
      <c r="AD1043" t="s">
        <v>4647</v>
      </c>
      <c r="AE1043" t="s">
        <v>4513</v>
      </c>
      <c r="AF1043" t="s">
        <v>4643</v>
      </c>
      <c r="AG1043" t="s">
        <v>4515</v>
      </c>
      <c r="AH1043" t="s">
        <v>4647</v>
      </c>
      <c r="AI1043" t="s">
        <v>4353</v>
      </c>
      <c r="AJ1043" t="s">
        <v>4506</v>
      </c>
      <c r="AK1043" t="s">
        <v>4519</v>
      </c>
      <c r="AL1043" t="s">
        <v>4519</v>
      </c>
      <c r="AM1043" t="s">
        <v>4510</v>
      </c>
      <c r="AN1043" t="s">
        <v>4550</v>
      </c>
      <c r="AO1043" s="134">
        <v>116.428571428571</v>
      </c>
      <c r="AP1043" s="135">
        <v>93.586666666666702</v>
      </c>
      <c r="AQ1043">
        <v>0.44</v>
      </c>
      <c r="AR1043" s="136">
        <v>1.26</v>
      </c>
      <c r="AS1043">
        <v>10.4133333333333</v>
      </c>
      <c r="AU1043"/>
      <c r="AV1043"/>
      <c r="AW1043"/>
      <c r="AX1043"/>
    </row>
    <row r="1044" spans="1:50" s="69" customFormat="1" ht="121">
      <c r="A1044">
        <v>971</v>
      </c>
      <c r="B1044" s="69" t="s">
        <v>2618</v>
      </c>
      <c r="C1044" s="69" t="s">
        <v>45</v>
      </c>
      <c r="D1044" s="31">
        <f t="shared" si="82"/>
        <v>4</v>
      </c>
      <c r="E1044" s="69" t="s">
        <v>46</v>
      </c>
      <c r="F1044" s="31">
        <f t="shared" si="83"/>
        <v>6</v>
      </c>
      <c r="G1044" s="147" t="s">
        <v>2632</v>
      </c>
      <c r="H1044" s="138">
        <v>79</v>
      </c>
      <c r="I1044" s="92">
        <f t="shared" si="81"/>
        <v>0.31260320354226095</v>
      </c>
      <c r="J1044" s="95">
        <v>5.3716963407198799E-3</v>
      </c>
      <c r="K1044" s="137">
        <v>0.51635020044630497</v>
      </c>
      <c r="L1044" s="137">
        <v>0.61983471074380203</v>
      </c>
      <c r="M1044" s="137">
        <v>0.36112343500006</v>
      </c>
      <c r="N1044" s="136">
        <v>1</v>
      </c>
      <c r="O1044" s="236">
        <v>42868</v>
      </c>
      <c r="P1044" s="98">
        <f t="shared" si="84"/>
        <v>1</v>
      </c>
      <c r="Q1044" s="111">
        <v>0</v>
      </c>
      <c r="R1044" s="111">
        <v>0</v>
      </c>
      <c r="S1044" s="111">
        <v>0</v>
      </c>
      <c r="T1044" s="112" t="s">
        <v>73</v>
      </c>
      <c r="U1044" s="137" t="s">
        <v>2633</v>
      </c>
      <c r="V1044" s="137" t="s">
        <v>2634</v>
      </c>
      <c r="W1044" s="69">
        <v>180</v>
      </c>
      <c r="X1044" s="171">
        <v>3</v>
      </c>
      <c r="Y1044" s="171">
        <v>20</v>
      </c>
      <c r="AA1044" t="s">
        <v>4603</v>
      </c>
      <c r="AB1044" t="s">
        <v>4732</v>
      </c>
      <c r="AC1044" t="s">
        <v>223</v>
      </c>
      <c r="AD1044" t="s">
        <v>5008</v>
      </c>
      <c r="AE1044" t="s">
        <v>223</v>
      </c>
      <c r="AF1044" t="s">
        <v>5008</v>
      </c>
      <c r="AG1044" t="s">
        <v>223</v>
      </c>
      <c r="AH1044" t="s">
        <v>5008</v>
      </c>
      <c r="AI1044" t="s">
        <v>4353</v>
      </c>
      <c r="AJ1044" t="s">
        <v>4506</v>
      </c>
      <c r="AK1044" t="s">
        <v>4519</v>
      </c>
      <c r="AL1044" t="s">
        <v>4519</v>
      </c>
      <c r="AM1044" t="s">
        <v>4528</v>
      </c>
      <c r="AN1044" t="s">
        <v>4529</v>
      </c>
      <c r="AO1044" s="134">
        <v>116.66249999999999</v>
      </c>
      <c r="AP1044" s="135">
        <v>93.586666666666702</v>
      </c>
      <c r="AQ1044">
        <v>0.44</v>
      </c>
      <c r="AR1044" s="136">
        <v>1.26</v>
      </c>
      <c r="AS1044">
        <v>10.4133333333333</v>
      </c>
      <c r="AU1044"/>
      <c r="AV1044"/>
      <c r="AW1044"/>
      <c r="AX1044"/>
    </row>
    <row r="1045" spans="1:50" s="69" customFormat="1" ht="76">
      <c r="A1045">
        <v>387</v>
      </c>
      <c r="B1045" s="69" t="s">
        <v>589</v>
      </c>
      <c r="C1045" s="69" t="s">
        <v>45</v>
      </c>
      <c r="D1045" s="31">
        <f t="shared" si="82"/>
        <v>4</v>
      </c>
      <c r="E1045" s="69" t="s">
        <v>80</v>
      </c>
      <c r="F1045" s="31">
        <f t="shared" si="83"/>
        <v>4</v>
      </c>
      <c r="G1045" s="147" t="s">
        <v>1118</v>
      </c>
      <c r="H1045" s="138">
        <v>122</v>
      </c>
      <c r="I1045" s="92">
        <f t="shared" si="81"/>
        <v>0.37501837716994979</v>
      </c>
      <c r="J1045" s="95">
        <v>3.6754339899580698E-5</v>
      </c>
      <c r="K1045" s="137">
        <v>0.643968498544915</v>
      </c>
      <c r="L1045" s="137">
        <v>0.75</v>
      </c>
      <c r="M1045" s="137">
        <v>0.48492124636228701</v>
      </c>
      <c r="N1045" s="136">
        <v>1</v>
      </c>
      <c r="O1045" s="154">
        <v>42867</v>
      </c>
      <c r="P1045" s="98">
        <f t="shared" si="84"/>
        <v>1</v>
      </c>
      <c r="Q1045" s="111">
        <v>5.0999999999999996</v>
      </c>
      <c r="R1045" s="111">
        <v>0</v>
      </c>
      <c r="S1045" s="111">
        <v>0</v>
      </c>
      <c r="T1045" s="112" t="s">
        <v>73</v>
      </c>
      <c r="U1045" s="137" t="s">
        <v>1119</v>
      </c>
      <c r="V1045" s="137" t="s">
        <v>1120</v>
      </c>
      <c r="W1045" s="69">
        <v>25</v>
      </c>
      <c r="X1045" s="147">
        <v>2</v>
      </c>
      <c r="Y1045" s="147">
        <v>13</v>
      </c>
      <c r="Z1045"/>
      <c r="AA1045" t="s">
        <v>4512</v>
      </c>
      <c r="AB1045" t="s">
        <v>67</v>
      </c>
      <c r="AC1045" t="s">
        <v>4353</v>
      </c>
      <c r="AD1045" t="s">
        <v>4506</v>
      </c>
      <c r="AE1045" t="s">
        <v>4353</v>
      </c>
      <c r="AF1045" t="s">
        <v>4506</v>
      </c>
      <c r="AG1045" t="s">
        <v>4353</v>
      </c>
      <c r="AH1045" t="s">
        <v>4506</v>
      </c>
      <c r="AI1045" t="s">
        <v>4353</v>
      </c>
      <c r="AJ1045" t="s">
        <v>4506</v>
      </c>
      <c r="AK1045" t="s">
        <v>4519</v>
      </c>
      <c r="AL1045" t="s">
        <v>4552</v>
      </c>
      <c r="AM1045" t="s">
        <v>4520</v>
      </c>
      <c r="AN1045" t="s">
        <v>4652</v>
      </c>
      <c r="AO1045" s="134">
        <v>116.62893081761</v>
      </c>
      <c r="AP1045" s="135">
        <v>93.630872483221495</v>
      </c>
      <c r="AQ1045">
        <v>0.44295302013422799</v>
      </c>
      <c r="AR1045" s="136">
        <v>1.2617449664429501</v>
      </c>
      <c r="AS1045">
        <v>10.469798657718099</v>
      </c>
      <c r="AU1045"/>
      <c r="AV1045"/>
      <c r="AW1045"/>
      <c r="AX1045"/>
    </row>
    <row r="1046" spans="1:50" s="69" customFormat="1" ht="91">
      <c r="A1046">
        <v>559</v>
      </c>
      <c r="B1046" s="69" t="s">
        <v>1222</v>
      </c>
      <c r="C1046" s="69" t="s">
        <v>59</v>
      </c>
      <c r="D1046" s="31">
        <f t="shared" si="82"/>
        <v>5</v>
      </c>
      <c r="E1046" s="69" t="s">
        <v>46</v>
      </c>
      <c r="F1046" s="31">
        <f t="shared" si="83"/>
        <v>6</v>
      </c>
      <c r="G1046" s="137" t="s">
        <v>1566</v>
      </c>
      <c r="H1046" s="138">
        <v>155</v>
      </c>
      <c r="I1046" s="92">
        <f t="shared" si="81"/>
        <v>0.84090902579191951</v>
      </c>
      <c r="J1046" s="95">
        <v>0.99999986976565702</v>
      </c>
      <c r="K1046" s="137">
        <v>0.66912006664615598</v>
      </c>
      <c r="L1046" s="137">
        <v>0.68181818181818199</v>
      </c>
      <c r="M1046" s="137">
        <v>0.65007289388811795</v>
      </c>
      <c r="N1046" s="136">
        <v>1</v>
      </c>
      <c r="O1046" s="154">
        <v>42866</v>
      </c>
      <c r="P1046" s="98">
        <f t="shared" si="84"/>
        <v>1</v>
      </c>
      <c r="Q1046" s="111">
        <v>0</v>
      </c>
      <c r="R1046" s="111">
        <v>0</v>
      </c>
      <c r="S1046" s="111">
        <v>0</v>
      </c>
      <c r="T1046" s="112" t="s">
        <v>73</v>
      </c>
      <c r="U1046" s="137" t="s">
        <v>1567</v>
      </c>
      <c r="V1046" s="137" t="s">
        <v>1568</v>
      </c>
      <c r="W1046" s="69">
        <v>121</v>
      </c>
      <c r="X1046" s="69">
        <v>1</v>
      </c>
      <c r="Y1046" s="69">
        <v>6</v>
      </c>
      <c r="Z1046"/>
      <c r="AA1046" t="s">
        <v>4660</v>
      </c>
      <c r="AB1046" t="s">
        <v>87</v>
      </c>
      <c r="AC1046" t="s">
        <v>4515</v>
      </c>
      <c r="AD1046" t="s">
        <v>4858</v>
      </c>
      <c r="AE1046" t="s">
        <v>223</v>
      </c>
      <c r="AF1046" t="s">
        <v>4702</v>
      </c>
      <c r="AG1046" t="s">
        <v>223</v>
      </c>
      <c r="AH1046" t="s">
        <v>4702</v>
      </c>
      <c r="AI1046" t="s">
        <v>4353</v>
      </c>
      <c r="AJ1046" t="s">
        <v>4506</v>
      </c>
      <c r="AK1046" t="s">
        <v>4519</v>
      </c>
      <c r="AL1046" t="s">
        <v>4519</v>
      </c>
      <c r="AM1046" t="s">
        <v>4766</v>
      </c>
      <c r="AN1046" t="s">
        <v>4543</v>
      </c>
      <c r="AO1046" s="134">
        <v>116.80379746835401</v>
      </c>
      <c r="AP1046" s="135">
        <v>93.8716216216216</v>
      </c>
      <c r="AQ1046">
        <v>0.445945945945946</v>
      </c>
      <c r="AR1046" s="136">
        <v>1.26351351351351</v>
      </c>
      <c r="AS1046">
        <v>10.4864864864865</v>
      </c>
      <c r="AU1046"/>
      <c r="AV1046"/>
      <c r="AW1046"/>
      <c r="AX1046"/>
    </row>
    <row r="1047" spans="1:50" s="69" customFormat="1" ht="76">
      <c r="A1047">
        <v>558</v>
      </c>
      <c r="B1047" s="69" t="s">
        <v>1222</v>
      </c>
      <c r="C1047" s="69" t="s">
        <v>45</v>
      </c>
      <c r="D1047" s="31">
        <f t="shared" si="82"/>
        <v>4</v>
      </c>
      <c r="E1047" s="69" t="s">
        <v>46</v>
      </c>
      <c r="F1047" s="31">
        <f t="shared" si="83"/>
        <v>6</v>
      </c>
      <c r="G1047" s="137" t="s">
        <v>1563</v>
      </c>
      <c r="H1047" s="138">
        <v>108</v>
      </c>
      <c r="I1047" s="92">
        <f t="shared" si="81"/>
        <v>0.52511105419191251</v>
      </c>
      <c r="J1047" s="95">
        <v>0.43038739764002298</v>
      </c>
      <c r="K1047" s="137">
        <v>0.50387706874208504</v>
      </c>
      <c r="L1047" s="137">
        <v>0.61983471074380203</v>
      </c>
      <c r="M1047" s="137">
        <v>0.32994060573951001</v>
      </c>
      <c r="N1047" s="136">
        <v>1</v>
      </c>
      <c r="O1047" s="154">
        <v>42866</v>
      </c>
      <c r="P1047" s="98">
        <f t="shared" si="84"/>
        <v>0</v>
      </c>
      <c r="Q1047" s="113">
        <v>5.0999999999999996</v>
      </c>
      <c r="R1047" s="113">
        <v>0</v>
      </c>
      <c r="S1047" s="113">
        <v>0</v>
      </c>
      <c r="T1047" s="114" t="s">
        <v>48</v>
      </c>
      <c r="U1047" s="137" t="s">
        <v>1564</v>
      </c>
      <c r="V1047" s="137" t="s">
        <v>1565</v>
      </c>
      <c r="W1047" s="69">
        <v>43</v>
      </c>
      <c r="X1047" s="69">
        <v>3</v>
      </c>
      <c r="Y1047" s="69">
        <v>22</v>
      </c>
      <c r="Z1047"/>
      <c r="AA1047" t="s">
        <v>4564</v>
      </c>
      <c r="AB1047" t="s">
        <v>51</v>
      </c>
      <c r="AC1047" t="s">
        <v>4353</v>
      </c>
      <c r="AD1047" t="s">
        <v>4506</v>
      </c>
      <c r="AE1047" t="s">
        <v>223</v>
      </c>
      <c r="AF1047" t="s">
        <v>4648</v>
      </c>
      <c r="AG1047" t="s">
        <v>4353</v>
      </c>
      <c r="AH1047" t="s">
        <v>4506</v>
      </c>
      <c r="AI1047" t="s">
        <v>4353</v>
      </c>
      <c r="AJ1047" t="s">
        <v>4506</v>
      </c>
      <c r="AK1047" t="s">
        <v>4519</v>
      </c>
      <c r="AL1047" t="s">
        <v>4519</v>
      </c>
      <c r="AM1047" t="s">
        <v>4528</v>
      </c>
      <c r="AN1047" t="s">
        <v>4529</v>
      </c>
      <c r="AO1047" s="134">
        <v>115.47133757961799</v>
      </c>
      <c r="AP1047" s="135">
        <v>93.8716216216216</v>
      </c>
      <c r="AQ1047">
        <v>0.445945945945946</v>
      </c>
      <c r="AR1047" s="136">
        <v>1.26351351351351</v>
      </c>
      <c r="AS1047">
        <v>10.4864864864865</v>
      </c>
      <c r="AU1047"/>
      <c r="AV1047"/>
      <c r="AW1047"/>
      <c r="AX1047"/>
    </row>
    <row r="1048" spans="1:50" s="69" customFormat="1" ht="91">
      <c r="A1048">
        <v>555</v>
      </c>
      <c r="B1048" s="69" t="s">
        <v>1222</v>
      </c>
      <c r="C1048" s="69" t="s">
        <v>45</v>
      </c>
      <c r="D1048" s="31">
        <f t="shared" si="82"/>
        <v>4</v>
      </c>
      <c r="E1048" s="69" t="s">
        <v>80</v>
      </c>
      <c r="F1048" s="31">
        <f t="shared" si="83"/>
        <v>4</v>
      </c>
      <c r="G1048" s="147" t="s">
        <v>1555</v>
      </c>
      <c r="H1048" s="138">
        <v>89</v>
      </c>
      <c r="I1048" s="92">
        <f t="shared" si="81"/>
        <v>0.41316461634356999</v>
      </c>
      <c r="J1048" s="95">
        <v>7.6329232687139995E-2</v>
      </c>
      <c r="K1048" s="137">
        <v>0.63619100647005999</v>
      </c>
      <c r="L1048" s="137">
        <v>0.75</v>
      </c>
      <c r="M1048" s="137">
        <v>0.46547751617515098</v>
      </c>
      <c r="N1048" s="136">
        <v>1</v>
      </c>
      <c r="O1048" s="154">
        <v>42866</v>
      </c>
      <c r="P1048" s="98">
        <f t="shared" si="84"/>
        <v>2</v>
      </c>
      <c r="Q1048" s="113">
        <v>10.199999999999999</v>
      </c>
      <c r="R1048" s="113">
        <v>0</v>
      </c>
      <c r="S1048" s="113">
        <v>0</v>
      </c>
      <c r="T1048" s="114" t="s">
        <v>64</v>
      </c>
      <c r="U1048" s="147" t="s">
        <v>1556</v>
      </c>
      <c r="V1048" s="137" t="s">
        <v>1548</v>
      </c>
      <c r="W1048" s="69">
        <v>121</v>
      </c>
      <c r="X1048" s="147">
        <v>2</v>
      </c>
      <c r="Y1048" s="147">
        <v>14</v>
      </c>
      <c r="Z1048"/>
      <c r="AA1048" t="s">
        <v>4543</v>
      </c>
      <c r="AB1048" t="s">
        <v>71</v>
      </c>
      <c r="AC1048" t="s">
        <v>4353</v>
      </c>
      <c r="AD1048" t="s">
        <v>4506</v>
      </c>
      <c r="AE1048" t="s">
        <v>223</v>
      </c>
      <c r="AF1048" t="s">
        <v>4681</v>
      </c>
      <c r="AG1048" t="s">
        <v>4513</v>
      </c>
      <c r="AH1048" t="s">
        <v>4680</v>
      </c>
      <c r="AI1048" t="s">
        <v>4353</v>
      </c>
      <c r="AJ1048" t="s">
        <v>4506</v>
      </c>
      <c r="AK1048" t="s">
        <v>4519</v>
      </c>
      <c r="AL1048" t="s">
        <v>4552</v>
      </c>
      <c r="AM1048" t="s">
        <v>4528</v>
      </c>
      <c r="AN1048" t="s">
        <v>4618</v>
      </c>
      <c r="AO1048" s="134">
        <v>115.858974358974</v>
      </c>
      <c r="AP1048" s="135">
        <v>93.8716216216216</v>
      </c>
      <c r="AQ1048">
        <v>0.445945945945946</v>
      </c>
      <c r="AR1048" s="136">
        <v>1.26351351351351</v>
      </c>
      <c r="AS1048">
        <v>10.4864864864865</v>
      </c>
      <c r="AU1048"/>
      <c r="AV1048"/>
      <c r="AW1048"/>
      <c r="AX1048"/>
    </row>
    <row r="1049" spans="1:50" s="69" customFormat="1" ht="181">
      <c r="A1049" s="65">
        <v>556</v>
      </c>
      <c r="B1049" s="69" t="s">
        <v>1222</v>
      </c>
      <c r="C1049" s="69" t="s">
        <v>45</v>
      </c>
      <c r="D1049" s="31">
        <f t="shared" si="82"/>
        <v>4</v>
      </c>
      <c r="E1049" s="69" t="s">
        <v>46</v>
      </c>
      <c r="F1049" s="31">
        <f t="shared" si="83"/>
        <v>6</v>
      </c>
      <c r="G1049" s="137" t="s">
        <v>1557</v>
      </c>
      <c r="H1049" s="138">
        <v>326</v>
      </c>
      <c r="I1049" s="92">
        <f t="shared" si="81"/>
        <v>0.37609283032294233</v>
      </c>
      <c r="J1049" s="95">
        <v>2.1856606458846599E-3</v>
      </c>
      <c r="K1049" s="137">
        <v>0.68837559287164596</v>
      </c>
      <c r="L1049" s="137">
        <v>0.75</v>
      </c>
      <c r="M1049" s="137">
        <v>0.59593898217911601</v>
      </c>
      <c r="N1049" s="136">
        <v>1</v>
      </c>
      <c r="O1049" s="154">
        <v>42866</v>
      </c>
      <c r="P1049" s="98">
        <f t="shared" si="84"/>
        <v>2</v>
      </c>
      <c r="Q1049" s="111">
        <v>5.0999999999999996</v>
      </c>
      <c r="R1049" s="111">
        <v>0</v>
      </c>
      <c r="S1049" s="111">
        <v>0</v>
      </c>
      <c r="T1049" s="112" t="s">
        <v>64</v>
      </c>
      <c r="U1049" s="147" t="s">
        <v>1558</v>
      </c>
      <c r="V1049" s="137" t="s">
        <v>1559</v>
      </c>
      <c r="W1049" s="69">
        <v>100</v>
      </c>
      <c r="X1049" s="171">
        <v>1</v>
      </c>
      <c r="Y1049" s="171">
        <v>8</v>
      </c>
      <c r="Z1049"/>
      <c r="AA1049" t="s">
        <v>4960</v>
      </c>
      <c r="AB1049" t="s">
        <v>71</v>
      </c>
      <c r="AC1049" t="s">
        <v>4353</v>
      </c>
      <c r="AD1049" t="s">
        <v>4506</v>
      </c>
      <c r="AE1049" t="s">
        <v>223</v>
      </c>
      <c r="AF1049" t="s">
        <v>4613</v>
      </c>
      <c r="AG1049" t="s">
        <v>4515</v>
      </c>
      <c r="AH1049" t="s">
        <v>4614</v>
      </c>
      <c r="AI1049" t="s">
        <v>4353</v>
      </c>
      <c r="AJ1049" t="s">
        <v>4506</v>
      </c>
      <c r="AK1049" t="s">
        <v>4519</v>
      </c>
      <c r="AL1049" t="s">
        <v>4541</v>
      </c>
      <c r="AM1049" t="s">
        <v>4592</v>
      </c>
      <c r="AN1049" t="s">
        <v>4690</v>
      </c>
      <c r="AO1049" s="134">
        <v>115.90967741935501</v>
      </c>
      <c r="AP1049" s="135">
        <v>93.8716216216216</v>
      </c>
      <c r="AQ1049">
        <v>0.445945945945946</v>
      </c>
      <c r="AR1049" s="136">
        <v>1.26351351351351</v>
      </c>
      <c r="AS1049">
        <v>10.4864864864865</v>
      </c>
      <c r="AU1049"/>
      <c r="AV1049"/>
      <c r="AW1049"/>
      <c r="AX1049"/>
    </row>
    <row r="1050" spans="1:50" s="69" customFormat="1" ht="76">
      <c r="A1050" s="65">
        <v>557</v>
      </c>
      <c r="B1050" s="69" t="s">
        <v>1222</v>
      </c>
      <c r="C1050" s="69" t="s">
        <v>45</v>
      </c>
      <c r="D1050" s="31">
        <f t="shared" si="82"/>
        <v>4</v>
      </c>
      <c r="E1050" s="69" t="s">
        <v>80</v>
      </c>
      <c r="F1050" s="31">
        <f t="shared" si="83"/>
        <v>4</v>
      </c>
      <c r="G1050" s="169" t="s">
        <v>1560</v>
      </c>
      <c r="H1050" s="138">
        <v>55</v>
      </c>
      <c r="I1050" s="92">
        <f t="shared" si="81"/>
        <v>0.37501283061986379</v>
      </c>
      <c r="J1050" s="95">
        <v>2.5661239727581299E-5</v>
      </c>
      <c r="K1050" s="137">
        <v>0.69881421079630901</v>
      </c>
      <c r="L1050" s="137">
        <v>0.75</v>
      </c>
      <c r="M1050" s="137">
        <v>0.62203552699077302</v>
      </c>
      <c r="N1050" s="136">
        <v>1</v>
      </c>
      <c r="O1050" s="154">
        <v>42866</v>
      </c>
      <c r="P1050" s="98">
        <f t="shared" si="84"/>
        <v>0</v>
      </c>
      <c r="Q1050" s="111">
        <v>10.199999999999999</v>
      </c>
      <c r="R1050" s="111">
        <v>0</v>
      </c>
      <c r="S1050" s="111">
        <v>0</v>
      </c>
      <c r="T1050" s="112" t="s">
        <v>48</v>
      </c>
      <c r="U1050" s="137" t="s">
        <v>1561</v>
      </c>
      <c r="V1050" s="137" t="s">
        <v>1562</v>
      </c>
      <c r="W1050" s="69">
        <v>111</v>
      </c>
      <c r="X1050" s="69">
        <v>1</v>
      </c>
      <c r="Y1050" s="69">
        <v>7</v>
      </c>
      <c r="Z1050"/>
      <c r="AA1050" t="s">
        <v>4660</v>
      </c>
      <c r="AB1050" t="s">
        <v>71</v>
      </c>
      <c r="AC1050" t="s">
        <v>4353</v>
      </c>
      <c r="AD1050" t="s">
        <v>4506</v>
      </c>
      <c r="AE1050" t="s">
        <v>223</v>
      </c>
      <c r="AF1050" t="s">
        <v>4588</v>
      </c>
      <c r="AG1050" t="s">
        <v>4513</v>
      </c>
      <c r="AH1050" t="s">
        <v>4589</v>
      </c>
      <c r="AI1050" t="s">
        <v>4353</v>
      </c>
      <c r="AJ1050" t="s">
        <v>4506</v>
      </c>
      <c r="AK1050" t="s">
        <v>4519</v>
      </c>
      <c r="AL1050" t="s">
        <v>4552</v>
      </c>
      <c r="AM1050" t="s">
        <v>4510</v>
      </c>
      <c r="AN1050" t="s">
        <v>4634</v>
      </c>
      <c r="AO1050" s="134">
        <v>115.65584415584399</v>
      </c>
      <c r="AP1050" s="135">
        <v>93.8716216216216</v>
      </c>
      <c r="AQ1050">
        <v>0.445945945945946</v>
      </c>
      <c r="AR1050" s="136">
        <v>1.26351351351351</v>
      </c>
      <c r="AS1050">
        <v>10.4864864864865</v>
      </c>
      <c r="AU1050"/>
      <c r="AV1050"/>
      <c r="AW1050"/>
      <c r="AX1050"/>
    </row>
    <row r="1051" spans="1:50" s="69" customFormat="1" ht="151">
      <c r="A1051" s="65">
        <v>388</v>
      </c>
      <c r="B1051" s="69" t="s">
        <v>589</v>
      </c>
      <c r="C1051" s="69" t="s">
        <v>45</v>
      </c>
      <c r="D1051" s="31">
        <f t="shared" si="82"/>
        <v>4</v>
      </c>
      <c r="E1051" s="69" t="s">
        <v>46</v>
      </c>
      <c r="F1051" s="31">
        <f t="shared" si="83"/>
        <v>6</v>
      </c>
      <c r="G1051" s="137" t="s">
        <v>1121</v>
      </c>
      <c r="H1051" s="138">
        <v>268</v>
      </c>
      <c r="I1051" s="92">
        <f t="shared" si="81"/>
        <v>0.87296439920127344</v>
      </c>
      <c r="J1051" s="95">
        <v>0.995928798402547</v>
      </c>
      <c r="K1051" s="137">
        <v>0.76918779643582302</v>
      </c>
      <c r="L1051" s="137">
        <v>0.75</v>
      </c>
      <c r="M1051" s="137">
        <v>0.79796949108955795</v>
      </c>
      <c r="N1051" s="136">
        <v>1</v>
      </c>
      <c r="O1051" s="154">
        <v>42865</v>
      </c>
      <c r="P1051" s="98">
        <f t="shared" si="84"/>
        <v>0</v>
      </c>
      <c r="Q1051" s="111">
        <v>5.0999999999999996</v>
      </c>
      <c r="R1051" s="111">
        <v>0</v>
      </c>
      <c r="S1051" s="111">
        <v>0</v>
      </c>
      <c r="T1051" s="112" t="s">
        <v>48</v>
      </c>
      <c r="U1051" s="137" t="s">
        <v>1122</v>
      </c>
      <c r="V1051" s="137" t="s">
        <v>1123</v>
      </c>
      <c r="W1051" s="69">
        <v>87</v>
      </c>
      <c r="X1051" s="69">
        <v>1</v>
      </c>
      <c r="Y1051" s="69">
        <v>2</v>
      </c>
      <c r="Z1051"/>
      <c r="AA1051" t="s">
        <v>4619</v>
      </c>
      <c r="AB1051" t="s">
        <v>71</v>
      </c>
      <c r="AC1051" t="s">
        <v>4353</v>
      </c>
      <c r="AD1051" t="s">
        <v>4506</v>
      </c>
      <c r="AE1051" t="s">
        <v>4353</v>
      </c>
      <c r="AF1051" t="s">
        <v>4506</v>
      </c>
      <c r="AG1051" t="s">
        <v>223</v>
      </c>
      <c r="AH1051" t="s">
        <v>4555</v>
      </c>
      <c r="AI1051" t="s">
        <v>4353</v>
      </c>
      <c r="AJ1051" t="s">
        <v>4506</v>
      </c>
      <c r="AK1051" t="s">
        <v>4519</v>
      </c>
      <c r="AL1051" t="s">
        <v>4541</v>
      </c>
      <c r="AM1051" t="s">
        <v>4562</v>
      </c>
      <c r="AN1051" t="s">
        <v>4785</v>
      </c>
      <c r="AO1051" s="134">
        <v>114.66013071895399</v>
      </c>
      <c r="AP1051" s="135">
        <v>93.986301369863</v>
      </c>
      <c r="AQ1051">
        <v>0.45205479452054798</v>
      </c>
      <c r="AR1051" s="136">
        <v>1.2602739726027401</v>
      </c>
      <c r="AS1051">
        <v>10.5</v>
      </c>
      <c r="AU1051"/>
      <c r="AV1051"/>
      <c r="AW1051"/>
      <c r="AX1051"/>
    </row>
    <row r="1052" spans="1:50" s="69" customFormat="1" ht="61">
      <c r="A1052">
        <v>1070</v>
      </c>
      <c r="B1052" s="69" t="s">
        <v>2833</v>
      </c>
      <c r="C1052" s="69" t="s">
        <v>59</v>
      </c>
      <c r="D1052" s="31">
        <f t="shared" si="82"/>
        <v>5</v>
      </c>
      <c r="E1052" s="69" t="s">
        <v>46</v>
      </c>
      <c r="F1052" s="31">
        <f t="shared" si="83"/>
        <v>6</v>
      </c>
      <c r="G1052" s="191" t="s">
        <v>59</v>
      </c>
      <c r="H1052" s="138">
        <v>82</v>
      </c>
      <c r="I1052" s="92">
        <f t="shared" si="81"/>
        <v>0.58603761722008552</v>
      </c>
      <c r="J1052" s="95">
        <v>0.552240523696369</v>
      </c>
      <c r="K1052" s="137">
        <v>0.56586932499119602</v>
      </c>
      <c r="L1052" s="137">
        <v>0.61983471074380203</v>
      </c>
      <c r="M1052" s="137">
        <v>0.48492124636228701</v>
      </c>
      <c r="N1052" s="136">
        <v>0</v>
      </c>
      <c r="O1052" s="157">
        <v>42865</v>
      </c>
      <c r="P1052" s="98">
        <f t="shared" si="84"/>
        <v>2</v>
      </c>
      <c r="Q1052" s="113">
        <v>0</v>
      </c>
      <c r="R1052" s="113">
        <v>4.95</v>
      </c>
      <c r="S1052" s="113">
        <v>0</v>
      </c>
      <c r="T1052" s="119" t="s">
        <v>64</v>
      </c>
      <c r="U1052" s="136" t="s">
        <v>2908</v>
      </c>
      <c r="V1052" s="172" t="s">
        <v>2909</v>
      </c>
      <c r="W1052" s="69">
        <v>30</v>
      </c>
      <c r="X1052" s="171">
        <v>3</v>
      </c>
      <c r="Y1052" s="171">
        <v>13</v>
      </c>
      <c r="AA1052" t="s">
        <v>4653</v>
      </c>
      <c r="AB1052" t="s">
        <v>67</v>
      </c>
      <c r="AC1052" t="s">
        <v>4353</v>
      </c>
      <c r="AD1052" t="s">
        <v>4506</v>
      </c>
      <c r="AE1052" t="s">
        <v>4353</v>
      </c>
      <c r="AF1052" t="s">
        <v>4506</v>
      </c>
      <c r="AG1052" t="s">
        <v>4353</v>
      </c>
      <c r="AH1052" t="s">
        <v>4506</v>
      </c>
      <c r="AI1052" t="s">
        <v>4353</v>
      </c>
      <c r="AJ1052" t="s">
        <v>4506</v>
      </c>
      <c r="AK1052" t="s">
        <v>4519</v>
      </c>
      <c r="AL1052" t="s">
        <v>4552</v>
      </c>
      <c r="AM1052" t="s">
        <v>4519</v>
      </c>
      <c r="AN1052" t="s">
        <v>4659</v>
      </c>
      <c r="AO1052" s="134">
        <v>114.875</v>
      </c>
      <c r="AP1052" s="135">
        <v>93.986301369863</v>
      </c>
      <c r="AQ1052">
        <v>0.45205479452054798</v>
      </c>
      <c r="AR1052" s="136">
        <v>1.2602739726027401</v>
      </c>
      <c r="AS1052">
        <v>10.5</v>
      </c>
      <c r="AU1052"/>
      <c r="AV1052"/>
      <c r="AW1052"/>
      <c r="AX1052"/>
    </row>
    <row r="1053" spans="1:50" s="69" customFormat="1" ht="76">
      <c r="A1053" s="65">
        <v>680</v>
      </c>
      <c r="B1053" s="69" t="s">
        <v>1790</v>
      </c>
      <c r="C1053" s="69" t="s">
        <v>45</v>
      </c>
      <c r="D1053" s="31">
        <f t="shared" si="82"/>
        <v>4</v>
      </c>
      <c r="E1053" s="69" t="s">
        <v>46</v>
      </c>
      <c r="F1053" s="31">
        <f t="shared" si="83"/>
        <v>6</v>
      </c>
      <c r="G1053" s="147" t="s">
        <v>1868</v>
      </c>
      <c r="H1053" s="138">
        <v>32</v>
      </c>
      <c r="I1053" s="92">
        <f t="shared" si="81"/>
        <v>0.33730340581991153</v>
      </c>
      <c r="J1053" s="95">
        <v>5.4772100896020998E-2</v>
      </c>
      <c r="K1053" s="137">
        <v>0.46417712318145199</v>
      </c>
      <c r="L1053" s="137">
        <v>0.61983471074380203</v>
      </c>
      <c r="M1053" s="137">
        <v>0.23069074183792801</v>
      </c>
      <c r="N1053" s="136">
        <v>0</v>
      </c>
      <c r="O1053" s="154">
        <v>42864</v>
      </c>
      <c r="P1053" s="98">
        <f t="shared" si="84"/>
        <v>0</v>
      </c>
      <c r="Q1053" s="111">
        <v>0</v>
      </c>
      <c r="R1053" s="111">
        <v>0</v>
      </c>
      <c r="S1053" s="111">
        <v>0</v>
      </c>
      <c r="T1053" s="112" t="s">
        <v>48</v>
      </c>
      <c r="U1053" s="169" t="s">
        <v>1869</v>
      </c>
      <c r="V1053" s="137" t="s">
        <v>1870</v>
      </c>
      <c r="W1053" s="69">
        <v>36</v>
      </c>
      <c r="X1053" s="147">
        <v>3</v>
      </c>
      <c r="Y1053" s="147">
        <v>29</v>
      </c>
      <c r="AA1053" t="s">
        <v>4564</v>
      </c>
      <c r="AB1053" t="s">
        <v>87</v>
      </c>
      <c r="AC1053" t="s">
        <v>4515</v>
      </c>
      <c r="AD1053" t="s">
        <v>4623</v>
      </c>
      <c r="AE1053" t="s">
        <v>223</v>
      </c>
      <c r="AF1053" t="s">
        <v>4531</v>
      </c>
      <c r="AG1053" t="s">
        <v>4353</v>
      </c>
      <c r="AH1053" t="s">
        <v>4506</v>
      </c>
      <c r="AI1053" t="s">
        <v>223</v>
      </c>
      <c r="AJ1053" t="s">
        <v>4531</v>
      </c>
      <c r="AK1053" t="s">
        <v>4519</v>
      </c>
      <c r="AL1053" t="s">
        <v>4519</v>
      </c>
      <c r="AM1053" t="s">
        <v>4528</v>
      </c>
      <c r="AN1053" t="s">
        <v>4529</v>
      </c>
      <c r="AO1053" s="134">
        <v>115.42384105960301</v>
      </c>
      <c r="AP1053" s="135">
        <v>93.986301369863</v>
      </c>
      <c r="AQ1053">
        <v>0.45205479452054798</v>
      </c>
      <c r="AR1053" s="136">
        <v>1.2602739726027401</v>
      </c>
      <c r="AS1053">
        <v>10.5</v>
      </c>
      <c r="AU1053"/>
      <c r="AV1053"/>
      <c r="AW1053"/>
      <c r="AX1053"/>
    </row>
    <row r="1054" spans="1:50" s="69" customFormat="1" ht="136">
      <c r="A1054">
        <v>1194</v>
      </c>
      <c r="B1054" s="69" t="s">
        <v>3117</v>
      </c>
      <c r="C1054" s="69" t="s">
        <v>1191</v>
      </c>
      <c r="D1054" s="31">
        <f t="shared" si="82"/>
        <v>2</v>
      </c>
      <c r="E1054" s="69" t="s">
        <v>46</v>
      </c>
      <c r="F1054" s="31">
        <f t="shared" si="83"/>
        <v>6</v>
      </c>
      <c r="G1054" s="89" t="s">
        <v>3206</v>
      </c>
      <c r="H1054" s="138">
        <v>46</v>
      </c>
      <c r="I1054" s="92">
        <f t="shared" si="81"/>
        <v>0.38755811372593879</v>
      </c>
      <c r="J1054" s="95">
        <v>2.5116227451877599E-2</v>
      </c>
      <c r="K1054" s="137">
        <v>0.66929841941894996</v>
      </c>
      <c r="L1054" s="137">
        <v>0.75</v>
      </c>
      <c r="M1054" s="137">
        <v>0.54824604854737402</v>
      </c>
      <c r="N1054" s="136">
        <v>1</v>
      </c>
      <c r="O1054" s="157">
        <v>42860</v>
      </c>
      <c r="P1054" s="98">
        <f t="shared" si="84"/>
        <v>1</v>
      </c>
      <c r="Q1054" s="113">
        <v>2.5499999999999998</v>
      </c>
      <c r="R1054" s="113">
        <v>0</v>
      </c>
      <c r="S1054" s="113">
        <v>0</v>
      </c>
      <c r="T1054" s="119" t="s">
        <v>73</v>
      </c>
      <c r="U1054" s="89" t="s">
        <v>3207</v>
      </c>
      <c r="V1054" s="172" t="s">
        <v>3208</v>
      </c>
      <c r="W1054" s="69">
        <v>189</v>
      </c>
      <c r="X1054" s="69">
        <v>2</v>
      </c>
      <c r="Y1054" s="69">
        <v>10</v>
      </c>
      <c r="AA1054" t="s">
        <v>4564</v>
      </c>
      <c r="AB1054" t="s">
        <v>51</v>
      </c>
      <c r="AC1054" t="s">
        <v>4515</v>
      </c>
      <c r="AD1054" t="s">
        <v>5073</v>
      </c>
      <c r="AE1054" t="s">
        <v>4513</v>
      </c>
      <c r="AF1054" t="s">
        <v>4683</v>
      </c>
      <c r="AG1054" t="s">
        <v>223</v>
      </c>
      <c r="AH1054" t="s">
        <v>4682</v>
      </c>
      <c r="AI1054" t="s">
        <v>223</v>
      </c>
      <c r="AJ1054" t="s">
        <v>4682</v>
      </c>
      <c r="AK1054" t="s">
        <v>4591</v>
      </c>
      <c r="AL1054" t="s">
        <v>4519</v>
      </c>
      <c r="AM1054" t="s">
        <v>4520</v>
      </c>
      <c r="AN1054" t="s">
        <v>4870</v>
      </c>
      <c r="AO1054" s="134">
        <v>115.286666666667</v>
      </c>
      <c r="AP1054" s="135">
        <v>93.875862068965503</v>
      </c>
      <c r="AQ1054">
        <v>0.45517241379310303</v>
      </c>
      <c r="AR1054" s="136">
        <v>1.2551724137931</v>
      </c>
      <c r="AS1054">
        <v>10.4896551724138</v>
      </c>
      <c r="AU1054"/>
      <c r="AV1054"/>
      <c r="AW1054"/>
      <c r="AX1054"/>
    </row>
    <row r="1055" spans="1:50" s="69" customFormat="1" ht="76">
      <c r="A1055" s="65">
        <v>612</v>
      </c>
      <c r="B1055" s="69" t="s">
        <v>1628</v>
      </c>
      <c r="C1055" s="69" t="s">
        <v>45</v>
      </c>
      <c r="D1055" s="31">
        <f t="shared" si="82"/>
        <v>4</v>
      </c>
      <c r="E1055" s="69" t="s">
        <v>80</v>
      </c>
      <c r="F1055" s="31">
        <f t="shared" si="83"/>
        <v>4</v>
      </c>
      <c r="G1055" s="137" t="s">
        <v>1698</v>
      </c>
      <c r="H1055" s="138">
        <v>136</v>
      </c>
      <c r="I1055" s="92">
        <f t="shared" si="81"/>
        <v>0.41250125432847629</v>
      </c>
      <c r="J1055" s="95">
        <v>2.5086569526156002E-6</v>
      </c>
      <c r="K1055" s="137">
        <v>0.71429841941895</v>
      </c>
      <c r="L1055" s="137">
        <v>0.82499999999999996</v>
      </c>
      <c r="M1055" s="137">
        <v>0.54824604854737402</v>
      </c>
      <c r="N1055" s="136">
        <v>1</v>
      </c>
      <c r="O1055" s="154">
        <v>42860</v>
      </c>
      <c r="P1055" s="98">
        <f t="shared" si="84"/>
        <v>0</v>
      </c>
      <c r="Q1055" s="111">
        <v>5.0999999999999996</v>
      </c>
      <c r="R1055" s="111">
        <v>1.65</v>
      </c>
      <c r="S1055" s="111">
        <v>0</v>
      </c>
      <c r="T1055" s="112" t="s">
        <v>48</v>
      </c>
      <c r="U1055" s="137" t="s">
        <v>1699</v>
      </c>
      <c r="V1055" s="137" t="s">
        <v>1700</v>
      </c>
      <c r="W1055" s="69">
        <v>36</v>
      </c>
      <c r="X1055" s="69">
        <v>4</v>
      </c>
      <c r="Y1055" s="69">
        <v>10</v>
      </c>
      <c r="AA1055" t="s">
        <v>4628</v>
      </c>
      <c r="AB1055" t="s">
        <v>51</v>
      </c>
      <c r="AC1055" t="s">
        <v>4353</v>
      </c>
      <c r="AD1055" t="s">
        <v>4506</v>
      </c>
      <c r="AE1055" t="s">
        <v>223</v>
      </c>
      <c r="AF1055" t="s">
        <v>4620</v>
      </c>
      <c r="AG1055" t="s">
        <v>4353</v>
      </c>
      <c r="AH1055" t="s">
        <v>4506</v>
      </c>
      <c r="AI1055" t="s">
        <v>4353</v>
      </c>
      <c r="AJ1055" t="s">
        <v>4506</v>
      </c>
      <c r="AK1055" t="s">
        <v>4519</v>
      </c>
      <c r="AL1055" t="s">
        <v>4552</v>
      </c>
      <c r="AM1055" t="s">
        <v>4510</v>
      </c>
      <c r="AN1055" t="s">
        <v>4634</v>
      </c>
      <c r="AO1055" s="134">
        <v>115.751677852349</v>
      </c>
      <c r="AP1055" s="135">
        <v>93.875862068965503</v>
      </c>
      <c r="AQ1055">
        <v>0.45517241379310303</v>
      </c>
      <c r="AR1055" s="136">
        <v>1.2551724137931</v>
      </c>
      <c r="AS1055">
        <v>10.4896551724138</v>
      </c>
      <c r="AU1055"/>
      <c r="AV1055"/>
      <c r="AW1055"/>
      <c r="AX1055"/>
    </row>
    <row r="1056" spans="1:50" s="69" customFormat="1" ht="256">
      <c r="A1056">
        <v>390</v>
      </c>
      <c r="B1056" s="69" t="s">
        <v>589</v>
      </c>
      <c r="C1056" s="69" t="s">
        <v>45</v>
      </c>
      <c r="D1056" s="31">
        <f t="shared" si="82"/>
        <v>4</v>
      </c>
      <c r="E1056" s="69" t="s">
        <v>833</v>
      </c>
      <c r="F1056" s="31">
        <f t="shared" si="83"/>
        <v>3</v>
      </c>
      <c r="G1056" s="137" t="s">
        <v>1127</v>
      </c>
      <c r="H1056" s="138">
        <v>470</v>
      </c>
      <c r="I1056" s="92">
        <f t="shared" si="81"/>
        <v>0.58127907168505355</v>
      </c>
      <c r="J1056" s="95">
        <v>0.41255814337010699</v>
      </c>
      <c r="K1056" s="137">
        <v>0.69881421079630901</v>
      </c>
      <c r="L1056" s="137">
        <v>0.75</v>
      </c>
      <c r="M1056" s="137">
        <v>0.62203552699077302</v>
      </c>
      <c r="N1056" s="136">
        <v>1</v>
      </c>
      <c r="O1056" s="155">
        <v>42858</v>
      </c>
      <c r="P1056" s="98">
        <f t="shared" si="84"/>
        <v>0</v>
      </c>
      <c r="Q1056" s="111">
        <v>5.0999999999999996</v>
      </c>
      <c r="R1056" s="111">
        <v>0</v>
      </c>
      <c r="S1056" s="111">
        <v>0</v>
      </c>
      <c r="T1056" s="112" t="s">
        <v>48</v>
      </c>
      <c r="U1056" s="136" t="s">
        <v>1128</v>
      </c>
      <c r="V1056" s="137" t="s">
        <v>1129</v>
      </c>
      <c r="W1056" s="69">
        <v>113</v>
      </c>
      <c r="X1056" s="69">
        <v>2</v>
      </c>
      <c r="Y1056" s="69">
        <v>7</v>
      </c>
      <c r="Z1056"/>
      <c r="AA1056" t="s">
        <v>4697</v>
      </c>
      <c r="AB1056" t="s">
        <v>87</v>
      </c>
      <c r="AC1056" t="s">
        <v>4515</v>
      </c>
      <c r="AD1056" t="s">
        <v>4759</v>
      </c>
      <c r="AE1056" t="s">
        <v>4353</v>
      </c>
      <c r="AF1056" t="s">
        <v>4506</v>
      </c>
      <c r="AG1056" t="s">
        <v>223</v>
      </c>
      <c r="AH1056" t="s">
        <v>4704</v>
      </c>
      <c r="AI1056" t="s">
        <v>4353</v>
      </c>
      <c r="AJ1056" t="s">
        <v>4506</v>
      </c>
      <c r="AK1056" t="s">
        <v>4519</v>
      </c>
      <c r="AL1056" t="s">
        <v>4552</v>
      </c>
      <c r="AM1056" t="s">
        <v>4510</v>
      </c>
      <c r="AN1056" t="s">
        <v>4634</v>
      </c>
      <c r="AO1056" s="134">
        <v>116.25</v>
      </c>
      <c r="AP1056" s="135">
        <v>90.894366197183103</v>
      </c>
      <c r="AQ1056">
        <v>0.46478873239436602</v>
      </c>
      <c r="AR1056" s="136">
        <v>1.26056338028169</v>
      </c>
      <c r="AS1056">
        <v>10.647887323943699</v>
      </c>
      <c r="AU1056"/>
      <c r="AV1056"/>
      <c r="AW1056"/>
      <c r="AX1056"/>
    </row>
    <row r="1057" spans="1:50" s="69" customFormat="1" ht="46">
      <c r="A1057" s="65">
        <v>389</v>
      </c>
      <c r="B1057" s="69" t="s">
        <v>589</v>
      </c>
      <c r="C1057" s="69" t="s">
        <v>45</v>
      </c>
      <c r="D1057" s="31">
        <f t="shared" si="82"/>
        <v>4</v>
      </c>
      <c r="E1057" s="69" t="s">
        <v>80</v>
      </c>
      <c r="F1057" s="31">
        <f t="shared" si="83"/>
        <v>4</v>
      </c>
      <c r="G1057" s="137" t="s">
        <v>1124</v>
      </c>
      <c r="H1057" s="138">
        <v>42</v>
      </c>
      <c r="I1057" s="92">
        <f t="shared" si="81"/>
        <v>0.41250000029196388</v>
      </c>
      <c r="J1057" s="95">
        <v>5.8392779500593395E-10</v>
      </c>
      <c r="K1057" s="137">
        <v>0.733375592871646</v>
      </c>
      <c r="L1057" s="137">
        <v>0.82499999999999996</v>
      </c>
      <c r="M1057" s="137">
        <v>0.59593898217911601</v>
      </c>
      <c r="N1057" s="136">
        <v>1</v>
      </c>
      <c r="O1057" s="154">
        <v>42858</v>
      </c>
      <c r="P1057" s="98">
        <f t="shared" si="84"/>
        <v>1</v>
      </c>
      <c r="Q1057" s="111">
        <v>7.65</v>
      </c>
      <c r="R1057" s="111">
        <v>0</v>
      </c>
      <c r="S1057" s="111">
        <v>0</v>
      </c>
      <c r="T1057" s="112" t="s">
        <v>73</v>
      </c>
      <c r="U1057" s="137" t="s">
        <v>1125</v>
      </c>
      <c r="V1057" s="137" t="s">
        <v>1126</v>
      </c>
      <c r="W1057" s="69">
        <v>58</v>
      </c>
      <c r="X1057" s="69">
        <v>1</v>
      </c>
      <c r="Y1057" s="69">
        <v>8</v>
      </c>
      <c r="Z1057"/>
      <c r="AA1057" t="s">
        <v>4543</v>
      </c>
      <c r="AB1057" t="s">
        <v>4576</v>
      </c>
      <c r="AC1057" t="s">
        <v>4353</v>
      </c>
      <c r="AD1057" t="s">
        <v>4506</v>
      </c>
      <c r="AE1057" t="s">
        <v>223</v>
      </c>
      <c r="AF1057" t="s">
        <v>4750</v>
      </c>
      <c r="AG1057" t="s">
        <v>223</v>
      </c>
      <c r="AH1057" t="s">
        <v>4750</v>
      </c>
      <c r="AI1057" t="s">
        <v>4353</v>
      </c>
      <c r="AJ1057" t="s">
        <v>4506</v>
      </c>
      <c r="AK1057" t="s">
        <v>4519</v>
      </c>
      <c r="AL1057" t="s">
        <v>4552</v>
      </c>
      <c r="AM1057" t="s">
        <v>4528</v>
      </c>
      <c r="AN1057" t="s">
        <v>4618</v>
      </c>
      <c r="AO1057" s="134">
        <v>113.84353741496599</v>
      </c>
      <c r="AP1057" s="135">
        <v>90.894366197183103</v>
      </c>
      <c r="AQ1057">
        <v>0.46478873239436602</v>
      </c>
      <c r="AR1057" s="136">
        <v>1.26056338028169</v>
      </c>
      <c r="AS1057">
        <v>10.647887323943699</v>
      </c>
      <c r="AU1057"/>
      <c r="AV1057"/>
      <c r="AW1057"/>
      <c r="AX1057"/>
    </row>
    <row r="1058" spans="1:50" s="69" customFormat="1" ht="196">
      <c r="A1058">
        <v>391</v>
      </c>
      <c r="B1058" s="69" t="s">
        <v>589</v>
      </c>
      <c r="C1058" s="69" t="s">
        <v>59</v>
      </c>
      <c r="D1058" s="31">
        <f t="shared" si="82"/>
        <v>5</v>
      </c>
      <c r="E1058" s="69" t="s">
        <v>46</v>
      </c>
      <c r="F1058" s="31">
        <f t="shared" si="83"/>
        <v>6</v>
      </c>
      <c r="G1058" s="147" t="s">
        <v>1130</v>
      </c>
      <c r="H1058" s="138">
        <v>162</v>
      </c>
      <c r="I1058" s="92">
        <f t="shared" si="81"/>
        <v>0.34723870799899392</v>
      </c>
      <c r="J1058" s="95">
        <v>1.2659234179805801E-2</v>
      </c>
      <c r="K1058" s="137">
        <v>0.71011657722983001</v>
      </c>
      <c r="L1058" s="137">
        <v>0.68181818181818199</v>
      </c>
      <c r="M1058" s="137">
        <v>0.75256417034730305</v>
      </c>
      <c r="N1058" s="136">
        <v>1</v>
      </c>
      <c r="O1058" s="154">
        <v>42856</v>
      </c>
      <c r="P1058" s="98">
        <f t="shared" si="84"/>
        <v>0</v>
      </c>
      <c r="Q1058" s="111">
        <v>5.0999999999999996</v>
      </c>
      <c r="R1058" s="111">
        <v>0</v>
      </c>
      <c r="S1058" s="111">
        <v>0</v>
      </c>
      <c r="T1058" s="112" t="s">
        <v>48</v>
      </c>
      <c r="U1058" s="137" t="s">
        <v>1131</v>
      </c>
      <c r="V1058" s="137" t="s">
        <v>1132</v>
      </c>
      <c r="W1058" s="69">
        <v>272</v>
      </c>
      <c r="X1058" s="171">
        <v>1</v>
      </c>
      <c r="Y1058" s="171">
        <v>3</v>
      </c>
      <c r="Z1058"/>
      <c r="AA1058" t="s">
        <v>4543</v>
      </c>
      <c r="AB1058" t="s">
        <v>4597</v>
      </c>
      <c r="AC1058" t="s">
        <v>4513</v>
      </c>
      <c r="AD1058" t="s">
        <v>4689</v>
      </c>
      <c r="AE1058" t="s">
        <v>223</v>
      </c>
      <c r="AF1058" t="s">
        <v>5074</v>
      </c>
      <c r="AG1058" t="s">
        <v>4513</v>
      </c>
      <c r="AH1058" t="s">
        <v>4689</v>
      </c>
      <c r="AI1058" t="s">
        <v>4353</v>
      </c>
      <c r="AJ1058" t="s">
        <v>4506</v>
      </c>
      <c r="AK1058" t="s">
        <v>4519</v>
      </c>
      <c r="AL1058" t="s">
        <v>4519</v>
      </c>
      <c r="AM1058" t="s">
        <v>4562</v>
      </c>
      <c r="AN1058" t="s">
        <v>4563</v>
      </c>
      <c r="AO1058" s="134">
        <v>113.513698630137</v>
      </c>
      <c r="AP1058" s="135">
        <v>90.894366197183103</v>
      </c>
      <c r="AQ1058">
        <v>0.46478873239436602</v>
      </c>
      <c r="AR1058" s="136">
        <v>1.26056338028169</v>
      </c>
      <c r="AS1058">
        <v>10.647887323943699</v>
      </c>
      <c r="AU1058"/>
      <c r="AV1058"/>
      <c r="AW1058"/>
      <c r="AX1058"/>
    </row>
    <row r="1059" spans="1:50" s="69" customFormat="1" ht="196">
      <c r="A1059" s="65">
        <v>560</v>
      </c>
      <c r="B1059" s="69" t="s">
        <v>1222</v>
      </c>
      <c r="C1059" s="69" t="s">
        <v>59</v>
      </c>
      <c r="D1059" s="31">
        <f t="shared" si="82"/>
        <v>5</v>
      </c>
      <c r="E1059" s="69" t="s">
        <v>46</v>
      </c>
      <c r="F1059" s="31">
        <f t="shared" si="83"/>
        <v>6</v>
      </c>
      <c r="G1059" s="137" t="s">
        <v>1130</v>
      </c>
      <c r="H1059" s="138">
        <v>162</v>
      </c>
      <c r="I1059" s="92">
        <f t="shared" si="81"/>
        <v>0.34481275469003903</v>
      </c>
      <c r="J1059" s="95">
        <v>7.8073275618960603E-3</v>
      </c>
      <c r="K1059" s="137">
        <v>0.71011657722983001</v>
      </c>
      <c r="L1059" s="137">
        <v>0.68181818181818199</v>
      </c>
      <c r="M1059" s="137">
        <v>0.75256417034730305</v>
      </c>
      <c r="N1059" s="136">
        <v>1</v>
      </c>
      <c r="O1059" s="154">
        <v>42856</v>
      </c>
      <c r="P1059" s="98">
        <f t="shared" si="84"/>
        <v>0</v>
      </c>
      <c r="Q1059" s="111">
        <v>0</v>
      </c>
      <c r="R1059" s="111">
        <v>1.65</v>
      </c>
      <c r="S1059" s="111">
        <v>0</v>
      </c>
      <c r="T1059" s="112" t="s">
        <v>48</v>
      </c>
      <c r="U1059" s="137" t="s">
        <v>1131</v>
      </c>
      <c r="V1059" s="137" t="s">
        <v>1569</v>
      </c>
      <c r="W1059" s="69">
        <v>271</v>
      </c>
      <c r="X1059" s="69">
        <v>1</v>
      </c>
      <c r="Y1059" s="69">
        <v>3</v>
      </c>
      <c r="Z1059"/>
      <c r="AA1059" t="s">
        <v>4543</v>
      </c>
      <c r="AB1059" t="s">
        <v>4597</v>
      </c>
      <c r="AC1059" t="s">
        <v>4513</v>
      </c>
      <c r="AD1059" t="s">
        <v>5075</v>
      </c>
      <c r="AE1059" t="s">
        <v>223</v>
      </c>
      <c r="AF1059" t="s">
        <v>4808</v>
      </c>
      <c r="AG1059" t="s">
        <v>4513</v>
      </c>
      <c r="AH1059" t="s">
        <v>5075</v>
      </c>
      <c r="AI1059" t="s">
        <v>4353</v>
      </c>
      <c r="AJ1059" t="s">
        <v>4506</v>
      </c>
      <c r="AK1059" t="s">
        <v>4519</v>
      </c>
      <c r="AL1059" t="s">
        <v>4519</v>
      </c>
      <c r="AM1059" t="s">
        <v>4562</v>
      </c>
      <c r="AN1059" t="s">
        <v>4563</v>
      </c>
      <c r="AO1059" s="134">
        <v>113.179310344828</v>
      </c>
      <c r="AP1059" s="135">
        <v>90.894366197183103</v>
      </c>
      <c r="AQ1059">
        <v>0.46478873239436602</v>
      </c>
      <c r="AR1059" s="136">
        <v>1.26056338028169</v>
      </c>
      <c r="AS1059">
        <v>10.647887323943699</v>
      </c>
      <c r="AU1059"/>
      <c r="AV1059"/>
      <c r="AW1059"/>
      <c r="AX1059"/>
    </row>
    <row r="1060" spans="1:50" s="69" customFormat="1" ht="121">
      <c r="A1060" s="65">
        <v>561</v>
      </c>
      <c r="B1060" s="69" t="s">
        <v>1222</v>
      </c>
      <c r="C1060" s="69" t="s">
        <v>59</v>
      </c>
      <c r="D1060" s="31">
        <f t="shared" si="82"/>
        <v>5</v>
      </c>
      <c r="E1060" s="69" t="s">
        <v>46</v>
      </c>
      <c r="F1060" s="31">
        <f t="shared" si="83"/>
        <v>6</v>
      </c>
      <c r="G1060" s="169" t="s">
        <v>1570</v>
      </c>
      <c r="H1060" s="138">
        <v>51</v>
      </c>
      <c r="I1060" s="92">
        <f t="shared" si="81"/>
        <v>0.31011727826852414</v>
      </c>
      <c r="J1060" s="95">
        <v>3.9984579324625603E-4</v>
      </c>
      <c r="K1060" s="137">
        <v>0.67292649458520204</v>
      </c>
      <c r="L1060" s="137">
        <v>0.61983471074380203</v>
      </c>
      <c r="M1060" s="137">
        <v>0.75256417034730305</v>
      </c>
      <c r="N1060" s="136">
        <v>1</v>
      </c>
      <c r="O1060" s="154">
        <v>42856</v>
      </c>
      <c r="P1060" s="98">
        <f t="shared" si="84"/>
        <v>1</v>
      </c>
      <c r="Q1060" s="111">
        <v>5.0999999999999996</v>
      </c>
      <c r="R1060" s="111">
        <v>0</v>
      </c>
      <c r="S1060" s="111">
        <v>0</v>
      </c>
      <c r="T1060" s="112" t="s">
        <v>73</v>
      </c>
      <c r="U1060" s="137" t="s">
        <v>1571</v>
      </c>
      <c r="V1060" s="137" t="s">
        <v>1572</v>
      </c>
      <c r="W1060" s="69">
        <v>162</v>
      </c>
      <c r="X1060" s="69">
        <v>1</v>
      </c>
      <c r="Y1060" s="69">
        <v>3</v>
      </c>
      <c r="Z1060"/>
      <c r="AA1060" t="s">
        <v>4564</v>
      </c>
      <c r="AB1060" t="s">
        <v>4732</v>
      </c>
      <c r="AC1060" t="s">
        <v>4515</v>
      </c>
      <c r="AD1060" t="s">
        <v>4799</v>
      </c>
      <c r="AE1060" t="s">
        <v>4515</v>
      </c>
      <c r="AF1060" t="s">
        <v>4799</v>
      </c>
      <c r="AG1060" t="s">
        <v>4515</v>
      </c>
      <c r="AH1060" t="s">
        <v>4799</v>
      </c>
      <c r="AI1060" t="s">
        <v>4353</v>
      </c>
      <c r="AJ1060" t="s">
        <v>4506</v>
      </c>
      <c r="AK1060" t="s">
        <v>4519</v>
      </c>
      <c r="AL1060" t="s">
        <v>4519</v>
      </c>
      <c r="AM1060" t="s">
        <v>4562</v>
      </c>
      <c r="AN1060" t="s">
        <v>4563</v>
      </c>
      <c r="AO1060" s="134">
        <v>113.611111111111</v>
      </c>
      <c r="AP1060" s="135">
        <v>90.894366197183103</v>
      </c>
      <c r="AQ1060">
        <v>0.46478873239436602</v>
      </c>
      <c r="AR1060" s="136">
        <v>1.26056338028169</v>
      </c>
      <c r="AS1060">
        <v>10.647887323943699</v>
      </c>
      <c r="AU1060"/>
      <c r="AV1060"/>
      <c r="AW1060"/>
      <c r="AX1060"/>
    </row>
    <row r="1061" spans="1:50" s="69" customFormat="1" ht="91">
      <c r="A1061" s="65">
        <v>392</v>
      </c>
      <c r="B1061" s="69" t="s">
        <v>589</v>
      </c>
      <c r="C1061" s="69" t="s">
        <v>45</v>
      </c>
      <c r="D1061" s="31">
        <f t="shared" si="82"/>
        <v>4</v>
      </c>
      <c r="E1061" s="69" t="s">
        <v>80</v>
      </c>
      <c r="F1061" s="31">
        <f t="shared" si="83"/>
        <v>4</v>
      </c>
      <c r="G1061" s="147" t="s">
        <v>1133</v>
      </c>
      <c r="H1061" s="138">
        <v>157</v>
      </c>
      <c r="I1061" s="92">
        <f t="shared" si="81"/>
        <v>0.34090950494896349</v>
      </c>
      <c r="J1061" s="95">
        <v>8.2807974499665704E-7</v>
      </c>
      <c r="K1061" s="137">
        <v>0.61114224536875195</v>
      </c>
      <c r="L1061" s="137">
        <v>0.68181818181818199</v>
      </c>
      <c r="M1061" s="137">
        <v>0.50512834069460699</v>
      </c>
      <c r="N1061" s="136">
        <v>1</v>
      </c>
      <c r="O1061" s="154">
        <v>42853</v>
      </c>
      <c r="P1061" s="98">
        <f t="shared" si="84"/>
        <v>1</v>
      </c>
      <c r="Q1061" s="113">
        <v>2.5499999999999998</v>
      </c>
      <c r="R1061" s="113">
        <v>3.3</v>
      </c>
      <c r="S1061" s="113">
        <v>0</v>
      </c>
      <c r="T1061" s="114" t="s">
        <v>73</v>
      </c>
      <c r="U1061" s="137" t="s">
        <v>1134</v>
      </c>
      <c r="V1061" s="137" t="s">
        <v>1135</v>
      </c>
      <c r="W1061" s="69">
        <v>58</v>
      </c>
      <c r="X1061" s="147">
        <v>1</v>
      </c>
      <c r="Y1061" s="147">
        <v>12</v>
      </c>
      <c r="Z1061"/>
      <c r="AA1061" t="s">
        <v>4960</v>
      </c>
      <c r="AB1061" t="s">
        <v>71</v>
      </c>
      <c r="AC1061" t="s">
        <v>4353</v>
      </c>
      <c r="AD1061" t="s">
        <v>4506</v>
      </c>
      <c r="AE1061" t="s">
        <v>4353</v>
      </c>
      <c r="AF1061" t="s">
        <v>4506</v>
      </c>
      <c r="AG1061" t="s">
        <v>223</v>
      </c>
      <c r="AH1061" t="s">
        <v>4643</v>
      </c>
      <c r="AI1061" t="s">
        <v>4353</v>
      </c>
      <c r="AJ1061" t="s">
        <v>4506</v>
      </c>
      <c r="AK1061" t="s">
        <v>4519</v>
      </c>
      <c r="AL1061" t="s">
        <v>4541</v>
      </c>
      <c r="AM1061" t="s">
        <v>4520</v>
      </c>
      <c r="AN1061" t="s">
        <v>4926</v>
      </c>
      <c r="AO1061" s="134">
        <v>113.30769230769199</v>
      </c>
      <c r="AP1061" s="135">
        <v>90.894366197183103</v>
      </c>
      <c r="AQ1061">
        <v>0.46478873239436602</v>
      </c>
      <c r="AR1061" s="136">
        <v>1.26056338028169</v>
      </c>
      <c r="AS1061">
        <v>10.647887323943699</v>
      </c>
      <c r="AU1061"/>
      <c r="AV1061"/>
      <c r="AW1061"/>
      <c r="AX1061"/>
    </row>
    <row r="1062" spans="1:50" s="69" customFormat="1" ht="76">
      <c r="A1062" s="65">
        <v>393</v>
      </c>
      <c r="B1062" s="69" t="s">
        <v>589</v>
      </c>
      <c r="C1062" s="69" t="s">
        <v>45</v>
      </c>
      <c r="D1062" s="31">
        <f t="shared" si="82"/>
        <v>4</v>
      </c>
      <c r="E1062" s="69" t="s">
        <v>80</v>
      </c>
      <c r="F1062" s="31">
        <f t="shared" si="83"/>
        <v>4</v>
      </c>
      <c r="G1062" s="137" t="s">
        <v>1136</v>
      </c>
      <c r="H1062" s="138">
        <v>83</v>
      </c>
      <c r="I1062" s="92">
        <f t="shared" si="81"/>
        <v>0.37500000027493574</v>
      </c>
      <c r="J1062" s="95">
        <v>5.4987148168095204E-10</v>
      </c>
      <c r="K1062" s="137">
        <v>0.65205133627784295</v>
      </c>
      <c r="L1062" s="137">
        <v>0.75</v>
      </c>
      <c r="M1062" s="137">
        <v>0.50512834069460699</v>
      </c>
      <c r="N1062" s="136">
        <v>1</v>
      </c>
      <c r="O1062" s="154">
        <v>42851</v>
      </c>
      <c r="P1062" s="98">
        <f t="shared" si="84"/>
        <v>2</v>
      </c>
      <c r="Q1062" s="111">
        <v>0</v>
      </c>
      <c r="R1062" s="111">
        <v>0</v>
      </c>
      <c r="S1062" s="111">
        <v>0</v>
      </c>
      <c r="T1062" s="112" t="s">
        <v>64</v>
      </c>
      <c r="U1062" s="137" t="s">
        <v>1137</v>
      </c>
      <c r="V1062" s="137" t="s">
        <v>1138</v>
      </c>
      <c r="W1062" s="69">
        <v>110</v>
      </c>
      <c r="X1062" s="69">
        <v>2</v>
      </c>
      <c r="Y1062" s="69">
        <v>12</v>
      </c>
      <c r="Z1062"/>
      <c r="AA1062" t="s">
        <v>4556</v>
      </c>
      <c r="AB1062" t="s">
        <v>51</v>
      </c>
      <c r="AC1062" t="s">
        <v>223</v>
      </c>
      <c r="AD1062" t="s">
        <v>4841</v>
      </c>
      <c r="AE1062" t="s">
        <v>4513</v>
      </c>
      <c r="AF1062" t="s">
        <v>4876</v>
      </c>
      <c r="AG1062" t="s">
        <v>223</v>
      </c>
      <c r="AH1062" t="s">
        <v>4841</v>
      </c>
      <c r="AI1062" t="s">
        <v>223</v>
      </c>
      <c r="AJ1062" t="s">
        <v>4841</v>
      </c>
      <c r="AK1062" t="s">
        <v>4519</v>
      </c>
      <c r="AL1062" t="s">
        <v>4541</v>
      </c>
      <c r="AM1062" t="s">
        <v>4528</v>
      </c>
      <c r="AN1062" t="s">
        <v>4542</v>
      </c>
      <c r="AO1062" s="134">
        <v>113.52112676056301</v>
      </c>
      <c r="AP1062" s="135">
        <v>90.879432624113505</v>
      </c>
      <c r="AQ1062">
        <v>0.46099290780141799</v>
      </c>
      <c r="AR1062" s="136">
        <v>1.2624113475177301</v>
      </c>
      <c r="AS1062">
        <v>10.6666666666667</v>
      </c>
      <c r="AU1062"/>
      <c r="AV1062"/>
      <c r="AW1062"/>
      <c r="AX1062"/>
    </row>
    <row r="1063" spans="1:50" s="69" customFormat="1" ht="76">
      <c r="A1063">
        <v>394</v>
      </c>
      <c r="B1063" s="69" t="s">
        <v>589</v>
      </c>
      <c r="C1063" s="69" t="s">
        <v>45</v>
      </c>
      <c r="D1063" s="31">
        <f t="shared" si="82"/>
        <v>4</v>
      </c>
      <c r="E1063" s="69" t="s">
        <v>80</v>
      </c>
      <c r="F1063" s="31">
        <f t="shared" si="83"/>
        <v>4</v>
      </c>
      <c r="G1063" s="137" t="s">
        <v>1136</v>
      </c>
      <c r="H1063" s="138">
        <v>88</v>
      </c>
      <c r="I1063" s="92">
        <f t="shared" si="81"/>
        <v>0.46207868268248498</v>
      </c>
      <c r="J1063" s="95">
        <v>0.17415736536497001</v>
      </c>
      <c r="K1063" s="137">
        <v>0.76918779643582302</v>
      </c>
      <c r="L1063" s="137">
        <v>0.75</v>
      </c>
      <c r="M1063" s="137">
        <v>0.79796949108955795</v>
      </c>
      <c r="N1063" s="136">
        <v>1</v>
      </c>
      <c r="O1063" s="154">
        <v>42848</v>
      </c>
      <c r="P1063" s="98">
        <f t="shared" si="84"/>
        <v>2</v>
      </c>
      <c r="Q1063" s="111">
        <v>0</v>
      </c>
      <c r="R1063" s="111">
        <v>0</v>
      </c>
      <c r="S1063" s="111">
        <v>0</v>
      </c>
      <c r="T1063" s="112" t="s">
        <v>64</v>
      </c>
      <c r="U1063" s="137" t="s">
        <v>1139</v>
      </c>
      <c r="V1063" s="137" t="s">
        <v>1140</v>
      </c>
      <c r="W1063" s="69">
        <v>102</v>
      </c>
      <c r="X1063" s="69">
        <v>1</v>
      </c>
      <c r="Y1063" s="69">
        <v>2</v>
      </c>
      <c r="Z1063"/>
      <c r="AA1063" t="s">
        <v>4512</v>
      </c>
      <c r="AB1063" t="s">
        <v>87</v>
      </c>
      <c r="AC1063" t="s">
        <v>4538</v>
      </c>
      <c r="AD1063" t="s">
        <v>4804</v>
      </c>
      <c r="AE1063" t="s">
        <v>4353</v>
      </c>
      <c r="AF1063" t="s">
        <v>4506</v>
      </c>
      <c r="AG1063" t="s">
        <v>223</v>
      </c>
      <c r="AH1063" t="s">
        <v>4613</v>
      </c>
      <c r="AI1063" t="s">
        <v>4353</v>
      </c>
      <c r="AJ1063" t="s">
        <v>4506</v>
      </c>
      <c r="AK1063" t="s">
        <v>4519</v>
      </c>
      <c r="AL1063" t="s">
        <v>4541</v>
      </c>
      <c r="AM1063" t="s">
        <v>4510</v>
      </c>
      <c r="AN1063" t="s">
        <v>4630</v>
      </c>
      <c r="AO1063" s="134">
        <v>113.702127659574</v>
      </c>
      <c r="AP1063" s="135">
        <v>90.517985611510795</v>
      </c>
      <c r="AQ1063">
        <v>0.46762589928057602</v>
      </c>
      <c r="AR1063" s="136">
        <v>1.2661870503597099</v>
      </c>
      <c r="AS1063">
        <v>10.7194244604317</v>
      </c>
      <c r="AU1063"/>
      <c r="AV1063"/>
      <c r="AW1063"/>
      <c r="AX1063"/>
    </row>
    <row r="1064" spans="1:50" s="69" customFormat="1" ht="196">
      <c r="A1064">
        <v>694</v>
      </c>
      <c r="B1064" s="69" t="s">
        <v>1871</v>
      </c>
      <c r="C1064" s="69" t="s">
        <v>45</v>
      </c>
      <c r="D1064" s="31">
        <f t="shared" si="82"/>
        <v>4</v>
      </c>
      <c r="E1064" s="69" t="s">
        <v>46</v>
      </c>
      <c r="F1064" s="31">
        <f t="shared" si="83"/>
        <v>6</v>
      </c>
      <c r="G1064" s="137" t="s">
        <v>1907</v>
      </c>
      <c r="H1064" s="138">
        <v>294</v>
      </c>
      <c r="I1064" s="92">
        <f t="shared" si="81"/>
        <v>0.99902945291885448</v>
      </c>
      <c r="J1064" s="95">
        <v>0.99980890583770898</v>
      </c>
      <c r="K1064" s="137">
        <v>0.83732559287164698</v>
      </c>
      <c r="L1064" s="137">
        <v>0.99824999999999997</v>
      </c>
      <c r="M1064" s="137">
        <v>0.59593898217911601</v>
      </c>
      <c r="N1064" s="136">
        <v>0</v>
      </c>
      <c r="O1064" s="154">
        <v>42843</v>
      </c>
      <c r="P1064" s="98">
        <f t="shared" si="84"/>
        <v>0</v>
      </c>
      <c r="Q1064" s="111">
        <v>5.0999999999999996</v>
      </c>
      <c r="R1064" s="111">
        <v>0</v>
      </c>
      <c r="S1064" s="111">
        <v>0</v>
      </c>
      <c r="T1064" s="112" t="s">
        <v>48</v>
      </c>
      <c r="U1064" s="136" t="s">
        <v>1908</v>
      </c>
      <c r="V1064" s="137" t="s">
        <v>1909</v>
      </c>
      <c r="W1064" s="69">
        <v>93</v>
      </c>
      <c r="X1064" s="69">
        <v>2</v>
      </c>
      <c r="Y1064" s="69">
        <v>8</v>
      </c>
      <c r="AA1064" t="s">
        <v>4831</v>
      </c>
      <c r="AB1064" t="s">
        <v>51</v>
      </c>
      <c r="AC1064" t="s">
        <v>223</v>
      </c>
      <c r="AD1064" t="s">
        <v>4689</v>
      </c>
      <c r="AE1064" t="s">
        <v>4538</v>
      </c>
      <c r="AF1064" t="s">
        <v>4601</v>
      </c>
      <c r="AG1064" t="s">
        <v>4353</v>
      </c>
      <c r="AH1064" t="s">
        <v>4506</v>
      </c>
      <c r="AI1064" t="s">
        <v>4353</v>
      </c>
      <c r="AJ1064" t="s">
        <v>4506</v>
      </c>
      <c r="AK1064" t="s">
        <v>4519</v>
      </c>
      <c r="AL1064" t="s">
        <v>4519</v>
      </c>
      <c r="AM1064" t="s">
        <v>4715</v>
      </c>
      <c r="AN1064" t="s">
        <v>4716</v>
      </c>
      <c r="AO1064" s="134">
        <v>112.414285714286</v>
      </c>
      <c r="AP1064" s="135">
        <v>90.489051094890499</v>
      </c>
      <c r="AQ1064">
        <v>0.47445255474452602</v>
      </c>
      <c r="AR1064" s="136">
        <v>1.2700729927007299</v>
      </c>
      <c r="AS1064">
        <v>10.737226277372301</v>
      </c>
      <c r="AU1064"/>
      <c r="AV1064"/>
      <c r="AW1064"/>
      <c r="AX1064"/>
    </row>
    <row r="1065" spans="1:50" s="69" customFormat="1" ht="76">
      <c r="A1065">
        <v>395</v>
      </c>
      <c r="B1065" s="69" t="s">
        <v>589</v>
      </c>
      <c r="C1065" s="69" t="s">
        <v>45</v>
      </c>
      <c r="D1065" s="31">
        <f t="shared" si="82"/>
        <v>4</v>
      </c>
      <c r="E1065" s="69" t="s">
        <v>80</v>
      </c>
      <c r="F1065" s="31">
        <f t="shared" si="83"/>
        <v>4</v>
      </c>
      <c r="G1065" s="147" t="s">
        <v>1136</v>
      </c>
      <c r="H1065" s="138">
        <v>130</v>
      </c>
      <c r="I1065" s="92">
        <f t="shared" si="81"/>
        <v>0.645547940826522</v>
      </c>
      <c r="J1065" s="95">
        <v>0.54109588165304401</v>
      </c>
      <c r="K1065" s="137">
        <v>0.69881421079630901</v>
      </c>
      <c r="L1065" s="137">
        <v>0.75</v>
      </c>
      <c r="M1065" s="137">
        <v>0.62203552699077302</v>
      </c>
      <c r="N1065" s="136">
        <v>1</v>
      </c>
      <c r="O1065" s="154">
        <v>42839</v>
      </c>
      <c r="P1065" s="98">
        <f t="shared" si="84"/>
        <v>2</v>
      </c>
      <c r="Q1065" s="111">
        <v>0</v>
      </c>
      <c r="R1065" s="111">
        <v>0</v>
      </c>
      <c r="S1065" s="111">
        <v>0</v>
      </c>
      <c r="T1065" s="112" t="s">
        <v>64</v>
      </c>
      <c r="U1065" s="137" t="s">
        <v>1141</v>
      </c>
      <c r="V1065" s="137" t="s">
        <v>1142</v>
      </c>
      <c r="W1065" s="69">
        <v>111</v>
      </c>
      <c r="X1065" s="147">
        <v>1</v>
      </c>
      <c r="Y1065" s="147">
        <v>7</v>
      </c>
      <c r="Z1065"/>
      <c r="AA1065" t="s">
        <v>4543</v>
      </c>
      <c r="AB1065" t="s">
        <v>87</v>
      </c>
      <c r="AC1065" t="s">
        <v>4538</v>
      </c>
      <c r="AD1065" t="s">
        <v>4816</v>
      </c>
      <c r="AE1065" t="s">
        <v>4353</v>
      </c>
      <c r="AF1065" t="s">
        <v>4506</v>
      </c>
      <c r="AG1065" t="s">
        <v>223</v>
      </c>
      <c r="AH1065" t="s">
        <v>4588</v>
      </c>
      <c r="AI1065" t="s">
        <v>4353</v>
      </c>
      <c r="AJ1065" t="s">
        <v>4506</v>
      </c>
      <c r="AK1065" t="s">
        <v>4519</v>
      </c>
      <c r="AL1065" t="s">
        <v>4552</v>
      </c>
      <c r="AM1065" t="s">
        <v>4528</v>
      </c>
      <c r="AN1065" t="s">
        <v>4618</v>
      </c>
      <c r="AO1065" s="134">
        <v>112.28776978417299</v>
      </c>
      <c r="AP1065" s="135">
        <v>90.489051094890499</v>
      </c>
      <c r="AQ1065">
        <v>0.47445255474452602</v>
      </c>
      <c r="AR1065" s="136">
        <v>1.2700729927007299</v>
      </c>
      <c r="AS1065">
        <v>10.737226277372301</v>
      </c>
      <c r="AU1065"/>
      <c r="AV1065"/>
      <c r="AW1065"/>
      <c r="AX1065"/>
    </row>
    <row r="1066" spans="1:50" s="69" customFormat="1" ht="91">
      <c r="A1066">
        <v>186</v>
      </c>
      <c r="B1066" s="69" t="s">
        <v>499</v>
      </c>
      <c r="C1066" s="69" t="s">
        <v>45</v>
      </c>
      <c r="D1066" s="31">
        <f t="shared" si="82"/>
        <v>4</v>
      </c>
      <c r="E1066" s="69" t="s">
        <v>80</v>
      </c>
      <c r="F1066" s="31">
        <f t="shared" si="83"/>
        <v>4</v>
      </c>
      <c r="G1066" s="147" t="s">
        <v>572</v>
      </c>
      <c r="H1066" s="138">
        <v>51</v>
      </c>
      <c r="I1066" s="92">
        <f t="shared" si="81"/>
        <v>0.3594813382369223</v>
      </c>
      <c r="J1066" s="95">
        <v>3.7144494655662601E-2</v>
      </c>
      <c r="K1066" s="137">
        <v>0.61114224536875195</v>
      </c>
      <c r="L1066" s="137">
        <v>0.68181818181818199</v>
      </c>
      <c r="M1066" s="137">
        <v>0.50512834069460699</v>
      </c>
      <c r="N1066" s="136">
        <v>1</v>
      </c>
      <c r="O1066" s="154">
        <v>42837</v>
      </c>
      <c r="P1066" s="98">
        <f t="shared" si="84"/>
        <v>1</v>
      </c>
      <c r="Q1066" s="111">
        <v>2.5499999999999998</v>
      </c>
      <c r="R1066" s="111">
        <v>0</v>
      </c>
      <c r="S1066" s="111">
        <v>0</v>
      </c>
      <c r="T1066" s="112" t="s">
        <v>73</v>
      </c>
      <c r="U1066" s="137" t="s">
        <v>573</v>
      </c>
      <c r="V1066" s="137" t="s">
        <v>574</v>
      </c>
      <c r="W1066" s="69">
        <v>130</v>
      </c>
      <c r="X1066" s="147">
        <v>1</v>
      </c>
      <c r="Y1066" s="147">
        <v>12</v>
      </c>
      <c r="Z1066"/>
      <c r="AA1066" t="s">
        <v>4556</v>
      </c>
      <c r="AB1066" t="s">
        <v>4576</v>
      </c>
      <c r="AC1066" t="s">
        <v>4353</v>
      </c>
      <c r="AD1066" t="s">
        <v>4506</v>
      </c>
      <c r="AE1066" t="s">
        <v>223</v>
      </c>
      <c r="AF1066" t="s">
        <v>4776</v>
      </c>
      <c r="AG1066" t="s">
        <v>223</v>
      </c>
      <c r="AH1066" t="s">
        <v>4776</v>
      </c>
      <c r="AI1066" t="s">
        <v>4353</v>
      </c>
      <c r="AJ1066" t="s">
        <v>4506</v>
      </c>
      <c r="AK1066" t="s">
        <v>4519</v>
      </c>
      <c r="AL1066" t="s">
        <v>4519</v>
      </c>
      <c r="AM1066" t="s">
        <v>4562</v>
      </c>
      <c r="AN1066" t="s">
        <v>4563</v>
      </c>
      <c r="AO1066" s="134">
        <v>112.731884057971</v>
      </c>
      <c r="AP1066" s="135">
        <v>90.639705882352899</v>
      </c>
      <c r="AQ1066">
        <v>0.47794117647058798</v>
      </c>
      <c r="AR1066" s="136">
        <v>1.2720588235294099</v>
      </c>
      <c r="AS1066">
        <v>10.801470588235301</v>
      </c>
      <c r="AU1066"/>
      <c r="AV1066"/>
      <c r="AW1066"/>
      <c r="AX1066"/>
    </row>
    <row r="1067" spans="1:50" s="69" customFormat="1" ht="61">
      <c r="A1067" s="65">
        <v>396</v>
      </c>
      <c r="B1067" s="69" t="s">
        <v>589</v>
      </c>
      <c r="C1067" s="69" t="s">
        <v>59</v>
      </c>
      <c r="D1067" s="31">
        <f t="shared" si="82"/>
        <v>5</v>
      </c>
      <c r="E1067" s="69" t="s">
        <v>46</v>
      </c>
      <c r="F1067" s="31">
        <f t="shared" si="83"/>
        <v>6</v>
      </c>
      <c r="G1067" s="137" t="s">
        <v>1143</v>
      </c>
      <c r="H1067" s="138">
        <v>26</v>
      </c>
      <c r="I1067" s="92">
        <f t="shared" si="81"/>
        <v>0.37715813396851672</v>
      </c>
      <c r="J1067" s="95">
        <v>4.3162679370334399E-3</v>
      </c>
      <c r="K1067" s="137">
        <v>0.76918779643582302</v>
      </c>
      <c r="L1067" s="137">
        <v>0.75</v>
      </c>
      <c r="M1067" s="137">
        <v>0.79796949108955795</v>
      </c>
      <c r="N1067" s="136">
        <v>1</v>
      </c>
      <c r="O1067" s="154">
        <v>42835</v>
      </c>
      <c r="P1067" s="98">
        <f t="shared" si="84"/>
        <v>1</v>
      </c>
      <c r="Q1067" s="111">
        <v>2.5499999999999998</v>
      </c>
      <c r="R1067" s="111">
        <v>0</v>
      </c>
      <c r="S1067" s="111">
        <v>1.87</v>
      </c>
      <c r="T1067" s="112" t="s">
        <v>73</v>
      </c>
      <c r="U1067" s="169" t="s">
        <v>1144</v>
      </c>
      <c r="V1067" s="137" t="s">
        <v>1145</v>
      </c>
      <c r="W1067" s="69">
        <v>70</v>
      </c>
      <c r="X1067" s="69">
        <v>1</v>
      </c>
      <c r="Y1067" s="69">
        <v>2</v>
      </c>
      <c r="Z1067"/>
      <c r="AA1067" t="s">
        <v>4543</v>
      </c>
      <c r="AB1067" t="s">
        <v>51</v>
      </c>
      <c r="AC1067" t="s">
        <v>223</v>
      </c>
      <c r="AD1067" t="s">
        <v>4734</v>
      </c>
      <c r="AE1067" t="s">
        <v>4515</v>
      </c>
      <c r="AF1067" t="s">
        <v>4561</v>
      </c>
      <c r="AG1067" t="s">
        <v>223</v>
      </c>
      <c r="AH1067" t="s">
        <v>4734</v>
      </c>
      <c r="AI1067" t="s">
        <v>4353</v>
      </c>
      <c r="AJ1067" t="s">
        <v>4506</v>
      </c>
      <c r="AK1067" t="s">
        <v>4519</v>
      </c>
      <c r="AL1067" t="s">
        <v>4519</v>
      </c>
      <c r="AM1067" t="s">
        <v>4562</v>
      </c>
      <c r="AN1067" t="s">
        <v>4563</v>
      </c>
      <c r="AO1067" s="134">
        <v>113.36496350365</v>
      </c>
      <c r="AP1067" s="135">
        <v>90.422222222222203</v>
      </c>
      <c r="AQ1067">
        <v>0.48148148148148101</v>
      </c>
      <c r="AR1067" s="136">
        <v>1.2740740740740699</v>
      </c>
      <c r="AS1067">
        <v>10.8074074074074</v>
      </c>
      <c r="AU1067"/>
      <c r="AV1067"/>
      <c r="AW1067"/>
      <c r="AX1067"/>
    </row>
    <row r="1068" spans="1:50" s="69" customFormat="1" ht="61">
      <c r="A1068" s="65">
        <v>865</v>
      </c>
      <c r="B1068" s="69" t="s">
        <v>2352</v>
      </c>
      <c r="C1068" s="69" t="s">
        <v>45</v>
      </c>
      <c r="D1068" s="31">
        <f t="shared" si="82"/>
        <v>4</v>
      </c>
      <c r="E1068" s="69" t="s">
        <v>80</v>
      </c>
      <c r="F1068" s="31">
        <f t="shared" si="83"/>
        <v>4</v>
      </c>
      <c r="G1068" s="136" t="s">
        <v>159</v>
      </c>
      <c r="H1068" s="138">
        <v>61</v>
      </c>
      <c r="I1068" s="92">
        <f t="shared" si="81"/>
        <v>0.41253779133928986</v>
      </c>
      <c r="J1068" s="95">
        <v>7.5582678579766402E-5</v>
      </c>
      <c r="K1068" s="137">
        <v>0.69705133627784299</v>
      </c>
      <c r="L1068" s="137">
        <v>0.82499999999999996</v>
      </c>
      <c r="M1068" s="137">
        <v>0.50512834069460699</v>
      </c>
      <c r="N1068" s="136">
        <v>1</v>
      </c>
      <c r="O1068" s="154">
        <v>42834</v>
      </c>
      <c r="P1068" s="98">
        <f t="shared" si="84"/>
        <v>0</v>
      </c>
      <c r="Q1068" s="111">
        <v>7.65</v>
      </c>
      <c r="R1068" s="111">
        <v>0</v>
      </c>
      <c r="S1068" s="111">
        <v>0</v>
      </c>
      <c r="T1068" s="112" t="s">
        <v>48</v>
      </c>
      <c r="U1068" s="137" t="s">
        <v>2353</v>
      </c>
      <c r="V1068" s="137" t="s">
        <v>2354</v>
      </c>
      <c r="W1068" s="69">
        <v>74</v>
      </c>
      <c r="X1068" s="69">
        <v>1</v>
      </c>
      <c r="Y1068" s="69">
        <v>12</v>
      </c>
      <c r="AA1068" t="s">
        <v>4564</v>
      </c>
      <c r="AB1068" t="s">
        <v>4908</v>
      </c>
      <c r="AC1068" t="s">
        <v>4515</v>
      </c>
      <c r="AD1068" t="s">
        <v>4534</v>
      </c>
      <c r="AE1068" t="s">
        <v>223</v>
      </c>
      <c r="AF1068" t="s">
        <v>4535</v>
      </c>
      <c r="AG1068" t="s">
        <v>4515</v>
      </c>
      <c r="AH1068" t="s">
        <v>4534</v>
      </c>
      <c r="AI1068" t="s">
        <v>4515</v>
      </c>
      <c r="AJ1068" t="s">
        <v>4534</v>
      </c>
      <c r="AK1068" t="s">
        <v>4519</v>
      </c>
      <c r="AL1068" t="s">
        <v>4519</v>
      </c>
      <c r="AM1068" t="s">
        <v>4510</v>
      </c>
      <c r="AN1068" t="s">
        <v>4550</v>
      </c>
      <c r="AO1068" s="134">
        <v>113.75</v>
      </c>
      <c r="AP1068" s="135">
        <v>90.422222222222203</v>
      </c>
      <c r="AQ1068">
        <v>0.48148148148148101</v>
      </c>
      <c r="AR1068" s="136">
        <v>1.2740740740740699</v>
      </c>
      <c r="AS1068">
        <v>10.8074074074074</v>
      </c>
      <c r="AU1068"/>
      <c r="AV1068"/>
      <c r="AW1068"/>
      <c r="AX1068"/>
    </row>
    <row r="1069" spans="1:50" s="69" customFormat="1" ht="106">
      <c r="A1069" s="65">
        <v>824</v>
      </c>
      <c r="B1069" s="69" t="s">
        <v>2179</v>
      </c>
      <c r="C1069" s="69" t="s">
        <v>119</v>
      </c>
      <c r="D1069" s="31">
        <f t="shared" si="82"/>
        <v>1</v>
      </c>
      <c r="E1069" s="69" t="s">
        <v>46</v>
      </c>
      <c r="F1069" s="31">
        <f t="shared" si="83"/>
        <v>6</v>
      </c>
      <c r="G1069" s="137" t="s">
        <v>4425</v>
      </c>
      <c r="H1069" s="138">
        <v>117</v>
      </c>
      <c r="I1069" s="92">
        <f t="shared" si="81"/>
        <v>0.83900908522704953</v>
      </c>
      <c r="J1069" s="95">
        <v>0.92801817045409896</v>
      </c>
      <c r="K1069" s="137">
        <v>0.66929841941894996</v>
      </c>
      <c r="L1069" s="137">
        <v>0.75</v>
      </c>
      <c r="M1069" s="137">
        <v>0.54824604854737402</v>
      </c>
      <c r="N1069" s="136">
        <v>0</v>
      </c>
      <c r="O1069" s="199">
        <v>42825</v>
      </c>
      <c r="P1069" s="98">
        <f t="shared" si="84"/>
        <v>1</v>
      </c>
      <c r="Q1069" s="113">
        <v>0</v>
      </c>
      <c r="R1069" s="113">
        <v>0</v>
      </c>
      <c r="S1069" s="113">
        <v>0</v>
      </c>
      <c r="T1069" s="114" t="s">
        <v>73</v>
      </c>
      <c r="U1069" s="136" t="s">
        <v>4426</v>
      </c>
      <c r="V1069" s="168" t="s">
        <v>2246</v>
      </c>
      <c r="W1069" s="69">
        <v>120</v>
      </c>
      <c r="X1069" s="69">
        <v>0</v>
      </c>
      <c r="Y1069" s="69">
        <v>10</v>
      </c>
      <c r="AA1069" t="s">
        <v>4603</v>
      </c>
      <c r="AB1069" t="s">
        <v>87</v>
      </c>
      <c r="AC1069" t="s">
        <v>4515</v>
      </c>
      <c r="AD1069" t="s">
        <v>4858</v>
      </c>
      <c r="AE1069" t="s">
        <v>4353</v>
      </c>
      <c r="AF1069" t="s">
        <v>4506</v>
      </c>
      <c r="AG1069" t="s">
        <v>223</v>
      </c>
      <c r="AH1069" t="s">
        <v>4702</v>
      </c>
      <c r="AI1069" t="s">
        <v>4353</v>
      </c>
      <c r="AJ1069" t="s">
        <v>4506</v>
      </c>
      <c r="AK1069" t="s">
        <v>4519</v>
      </c>
      <c r="AL1069" t="s">
        <v>4519</v>
      </c>
      <c r="AM1069" t="s">
        <v>4528</v>
      </c>
      <c r="AN1069" t="s">
        <v>4529</v>
      </c>
      <c r="AO1069" s="134">
        <v>113.72592592592601</v>
      </c>
      <c r="AP1069" s="135">
        <v>89.590909090909093</v>
      </c>
      <c r="AQ1069">
        <v>0.48484848484848497</v>
      </c>
      <c r="AR1069" s="136">
        <v>1.2803030303030301</v>
      </c>
      <c r="AS1069">
        <v>10.7727272727273</v>
      </c>
      <c r="AU1069"/>
      <c r="AV1069"/>
      <c r="AW1069"/>
      <c r="AX1069"/>
    </row>
    <row r="1070" spans="1:50" s="69" customFormat="1" ht="76">
      <c r="A1070">
        <v>562</v>
      </c>
      <c r="B1070" s="69" t="s">
        <v>1222</v>
      </c>
      <c r="C1070" s="69" t="s">
        <v>45</v>
      </c>
      <c r="D1070" s="31">
        <f t="shared" si="82"/>
        <v>4</v>
      </c>
      <c r="E1070" s="69" t="s">
        <v>46</v>
      </c>
      <c r="F1070" s="31">
        <f t="shared" si="83"/>
        <v>6</v>
      </c>
      <c r="G1070" s="169" t="s">
        <v>1573</v>
      </c>
      <c r="H1070" s="138">
        <v>134</v>
      </c>
      <c r="I1070" s="92">
        <f t="shared" si="81"/>
        <v>0.59361912165089192</v>
      </c>
      <c r="J1070" s="95">
        <v>0.96998995849926795</v>
      </c>
      <c r="K1070" s="137">
        <v>0.31653997735157002</v>
      </c>
      <c r="L1070" s="137">
        <v>0.21724828480251601</v>
      </c>
      <c r="M1070" s="137">
        <v>0.46547751617515098</v>
      </c>
      <c r="N1070" s="136">
        <v>1</v>
      </c>
      <c r="O1070" s="154">
        <v>42818</v>
      </c>
      <c r="P1070" s="98">
        <f t="shared" si="84"/>
        <v>0</v>
      </c>
      <c r="Q1070" s="111">
        <v>0</v>
      </c>
      <c r="R1070" s="111">
        <v>0</v>
      </c>
      <c r="S1070" s="111">
        <v>0</v>
      </c>
      <c r="T1070" s="112" t="s">
        <v>48</v>
      </c>
      <c r="U1070" s="137" t="s">
        <v>1574</v>
      </c>
      <c r="V1070" s="137" t="s">
        <v>1575</v>
      </c>
      <c r="W1070" s="69">
        <v>82</v>
      </c>
      <c r="X1070" s="69">
        <v>1</v>
      </c>
      <c r="Y1070" s="69">
        <v>14</v>
      </c>
      <c r="Z1070"/>
      <c r="AA1070" t="s">
        <v>5000</v>
      </c>
      <c r="AB1070" t="s">
        <v>87</v>
      </c>
      <c r="AC1070" t="s">
        <v>4515</v>
      </c>
      <c r="AD1070" t="s">
        <v>4629</v>
      </c>
      <c r="AE1070" t="s">
        <v>4353</v>
      </c>
      <c r="AF1070" t="s">
        <v>4506</v>
      </c>
      <c r="AG1070" t="s">
        <v>4353</v>
      </c>
      <c r="AH1070" t="s">
        <v>4506</v>
      </c>
      <c r="AI1070" t="s">
        <v>4353</v>
      </c>
      <c r="AJ1070" t="s">
        <v>4506</v>
      </c>
      <c r="AK1070" t="s">
        <v>4519</v>
      </c>
      <c r="AL1070" t="s">
        <v>4519</v>
      </c>
      <c r="AM1070" t="s">
        <v>4510</v>
      </c>
      <c r="AN1070" t="s">
        <v>4550</v>
      </c>
      <c r="AO1070" s="134">
        <v>114.320895522388</v>
      </c>
      <c r="AP1070" s="135">
        <v>89.590909090909093</v>
      </c>
      <c r="AQ1070">
        <v>0.48484848484848497</v>
      </c>
      <c r="AR1070" s="136">
        <v>1.2803030303030301</v>
      </c>
      <c r="AS1070">
        <v>10.7727272727273</v>
      </c>
      <c r="AU1070"/>
      <c r="AV1070"/>
      <c r="AW1070"/>
      <c r="AX1070"/>
    </row>
    <row r="1071" spans="1:50" s="69" customFormat="1" ht="46">
      <c r="A1071" s="65">
        <v>397</v>
      </c>
      <c r="B1071" s="69" t="s">
        <v>589</v>
      </c>
      <c r="C1071" s="69" t="s">
        <v>45</v>
      </c>
      <c r="D1071" s="31">
        <f t="shared" si="82"/>
        <v>4</v>
      </c>
      <c r="E1071" s="69" t="s">
        <v>80</v>
      </c>
      <c r="F1071" s="31">
        <f t="shared" si="83"/>
        <v>4</v>
      </c>
      <c r="G1071" s="147" t="s">
        <v>1146</v>
      </c>
      <c r="H1071" s="138">
        <v>34</v>
      </c>
      <c r="I1071" s="92">
        <f t="shared" si="81"/>
        <v>0.37734957803311692</v>
      </c>
      <c r="J1071" s="95">
        <v>4.6991560662338304E-3</v>
      </c>
      <c r="K1071" s="137">
        <v>0.643968498544915</v>
      </c>
      <c r="L1071" s="137">
        <v>0.75</v>
      </c>
      <c r="M1071" s="137">
        <v>0.48492124636228701</v>
      </c>
      <c r="N1071" s="136">
        <v>1</v>
      </c>
      <c r="O1071" s="154">
        <v>42818</v>
      </c>
      <c r="P1071" s="98">
        <f t="shared" si="84"/>
        <v>0</v>
      </c>
      <c r="Q1071" s="111">
        <v>2.5499999999999998</v>
      </c>
      <c r="R1071" s="111">
        <v>0</v>
      </c>
      <c r="S1071" s="111">
        <v>0</v>
      </c>
      <c r="T1071" s="112" t="s">
        <v>48</v>
      </c>
      <c r="U1071" s="169" t="s">
        <v>1147</v>
      </c>
      <c r="V1071" s="137" t="s">
        <v>1148</v>
      </c>
      <c r="W1071" s="69">
        <v>58</v>
      </c>
      <c r="X1071" s="147">
        <v>1</v>
      </c>
      <c r="Y1071" s="147">
        <v>13</v>
      </c>
      <c r="Z1071"/>
      <c r="AA1071" t="s">
        <v>4543</v>
      </c>
      <c r="AB1071" t="s">
        <v>4597</v>
      </c>
      <c r="AC1071" t="s">
        <v>223</v>
      </c>
      <c r="AD1071" t="s">
        <v>4590</v>
      </c>
      <c r="AE1071" t="s">
        <v>4353</v>
      </c>
      <c r="AF1071" t="s">
        <v>4506</v>
      </c>
      <c r="AG1071" t="s">
        <v>223</v>
      </c>
      <c r="AH1071" t="s">
        <v>4590</v>
      </c>
      <c r="AI1071" t="s">
        <v>4353</v>
      </c>
      <c r="AJ1071" t="s">
        <v>4506</v>
      </c>
      <c r="AK1071" t="s">
        <v>4519</v>
      </c>
      <c r="AL1071" t="s">
        <v>4541</v>
      </c>
      <c r="AM1071" t="s">
        <v>4528</v>
      </c>
      <c r="AN1071" t="s">
        <v>4542</v>
      </c>
      <c r="AO1071" s="134">
        <v>114.172932330827</v>
      </c>
      <c r="AP1071" s="135">
        <v>89.590909090909093</v>
      </c>
      <c r="AQ1071">
        <v>0.48484848484848497</v>
      </c>
      <c r="AR1071" s="136">
        <v>1.2803030303030301</v>
      </c>
      <c r="AS1071">
        <v>10.7727272727273</v>
      </c>
      <c r="AU1071"/>
      <c r="AV1071"/>
      <c r="AW1071"/>
      <c r="AX1071"/>
    </row>
    <row r="1072" spans="1:50" s="69" customFormat="1" ht="166">
      <c r="A1072" s="65">
        <v>637</v>
      </c>
      <c r="B1072" s="69" t="s">
        <v>1707</v>
      </c>
      <c r="C1072" s="69" t="s">
        <v>45</v>
      </c>
      <c r="D1072" s="31">
        <f t="shared" si="82"/>
        <v>4</v>
      </c>
      <c r="E1072" s="69" t="s">
        <v>80</v>
      </c>
      <c r="F1072" s="31">
        <f t="shared" si="83"/>
        <v>4</v>
      </c>
      <c r="G1072" s="169" t="s">
        <v>1756</v>
      </c>
      <c r="H1072" s="138">
        <v>194</v>
      </c>
      <c r="I1072" s="92">
        <f t="shared" si="81"/>
        <v>0.87480325174339946</v>
      </c>
      <c r="J1072" s="95">
        <v>0.99960650348679903</v>
      </c>
      <c r="K1072" s="137">
        <v>0.66929841941894996</v>
      </c>
      <c r="L1072" s="137">
        <v>0.75</v>
      </c>
      <c r="M1072" s="137">
        <v>0.54824604854737402</v>
      </c>
      <c r="N1072" s="136">
        <v>1</v>
      </c>
      <c r="O1072" s="154">
        <v>42815</v>
      </c>
      <c r="P1072" s="98">
        <f t="shared" si="84"/>
        <v>0</v>
      </c>
      <c r="Q1072" s="113">
        <v>0</v>
      </c>
      <c r="R1072" s="113">
        <v>0</v>
      </c>
      <c r="S1072" s="113">
        <v>0</v>
      </c>
      <c r="T1072" s="114" t="s">
        <v>48</v>
      </c>
      <c r="U1072" s="137" t="s">
        <v>1760</v>
      </c>
      <c r="V1072" s="137" t="s">
        <v>1761</v>
      </c>
      <c r="W1072" s="69">
        <v>241</v>
      </c>
      <c r="X1072" s="69">
        <v>2</v>
      </c>
      <c r="Y1072" s="69">
        <v>10</v>
      </c>
      <c r="AA1072" t="s">
        <v>4522</v>
      </c>
      <c r="AB1072" t="s">
        <v>71</v>
      </c>
      <c r="AC1072" t="s">
        <v>223</v>
      </c>
      <c r="AD1072" t="s">
        <v>4995</v>
      </c>
      <c r="AE1072" t="s">
        <v>4353</v>
      </c>
      <c r="AF1072" t="s">
        <v>4506</v>
      </c>
      <c r="AG1072" t="s">
        <v>4515</v>
      </c>
      <c r="AH1072" t="s">
        <v>5076</v>
      </c>
      <c r="AI1072" t="s">
        <v>4353</v>
      </c>
      <c r="AJ1072" t="s">
        <v>4506</v>
      </c>
      <c r="AK1072" t="s">
        <v>4519</v>
      </c>
      <c r="AL1072" t="s">
        <v>4541</v>
      </c>
      <c r="AM1072" t="s">
        <v>4528</v>
      </c>
      <c r="AN1072" t="s">
        <v>4542</v>
      </c>
      <c r="AO1072" s="134">
        <v>113.568181818182</v>
      </c>
      <c r="AP1072" s="135">
        <v>89.376923076923106</v>
      </c>
      <c r="AQ1072">
        <v>0.492307692307692</v>
      </c>
      <c r="AR1072" s="136">
        <v>1.2769230769230799</v>
      </c>
      <c r="AS1072">
        <v>10.7615384615385</v>
      </c>
      <c r="AU1072"/>
      <c r="AV1072"/>
      <c r="AW1072"/>
      <c r="AX1072"/>
    </row>
    <row r="1073" spans="1:50" s="69" customFormat="1" ht="61">
      <c r="A1073">
        <v>563</v>
      </c>
      <c r="B1073" s="69" t="s">
        <v>1222</v>
      </c>
      <c r="C1073" s="69" t="s">
        <v>59</v>
      </c>
      <c r="D1073" s="31">
        <f t="shared" si="82"/>
        <v>5</v>
      </c>
      <c r="E1073" s="69" t="s">
        <v>46</v>
      </c>
      <c r="F1073" s="31">
        <f t="shared" si="83"/>
        <v>6</v>
      </c>
      <c r="G1073" s="137" t="s">
        <v>1576</v>
      </c>
      <c r="H1073" s="138">
        <v>117</v>
      </c>
      <c r="I1073" s="92">
        <f t="shared" si="81"/>
        <v>0.3750004140398725</v>
      </c>
      <c r="J1073" s="95">
        <v>8.2807974499665704E-7</v>
      </c>
      <c r="K1073" s="137">
        <v>0.75102566813892102</v>
      </c>
      <c r="L1073" s="137">
        <v>0.75</v>
      </c>
      <c r="M1073" s="137">
        <v>0.75256417034730305</v>
      </c>
      <c r="N1073" s="136">
        <v>1</v>
      </c>
      <c r="O1073" s="168">
        <v>42814</v>
      </c>
      <c r="P1073" s="98">
        <f t="shared" si="84"/>
        <v>0</v>
      </c>
      <c r="Q1073" s="111">
        <v>7.65</v>
      </c>
      <c r="R1073" s="111">
        <v>0</v>
      </c>
      <c r="S1073" s="111">
        <v>0</v>
      </c>
      <c r="T1073" s="112" t="s">
        <v>48</v>
      </c>
      <c r="U1073" s="137" t="s">
        <v>1577</v>
      </c>
      <c r="V1073" s="137" t="s">
        <v>1578</v>
      </c>
      <c r="W1073" s="69">
        <v>83</v>
      </c>
      <c r="X1073" s="69">
        <v>1</v>
      </c>
      <c r="Y1073" s="69">
        <v>3</v>
      </c>
      <c r="Z1073"/>
      <c r="AA1073" t="s">
        <v>4543</v>
      </c>
      <c r="AB1073" t="s">
        <v>67</v>
      </c>
      <c r="AC1073" t="s">
        <v>4353</v>
      </c>
      <c r="AD1073" t="s">
        <v>4506</v>
      </c>
      <c r="AE1073" t="s">
        <v>4353</v>
      </c>
      <c r="AF1073" t="s">
        <v>4506</v>
      </c>
      <c r="AG1073" t="s">
        <v>4353</v>
      </c>
      <c r="AH1073" t="s">
        <v>4506</v>
      </c>
      <c r="AI1073" t="s">
        <v>4353</v>
      </c>
      <c r="AJ1073" t="s">
        <v>4506</v>
      </c>
      <c r="AK1073" t="s">
        <v>4519</v>
      </c>
      <c r="AL1073" t="s">
        <v>4519</v>
      </c>
      <c r="AM1073" t="s">
        <v>4528</v>
      </c>
      <c r="AN1073" t="s">
        <v>4529</v>
      </c>
      <c r="AO1073" s="134">
        <v>113.54198473282401</v>
      </c>
      <c r="AP1073" s="135">
        <v>89.109375</v>
      </c>
      <c r="AQ1073">
        <v>0.4921875</v>
      </c>
      <c r="AR1073" s="136">
        <v>1.28125</v>
      </c>
      <c r="AS1073">
        <v>10.7734375</v>
      </c>
      <c r="AU1073"/>
      <c r="AV1073"/>
      <c r="AW1073"/>
      <c r="AX1073"/>
    </row>
    <row r="1074" spans="1:50" s="69" customFormat="1" ht="166">
      <c r="A1074" s="65">
        <v>52</v>
      </c>
      <c r="B1074" s="136" t="s">
        <v>170</v>
      </c>
      <c r="C1074" s="136" t="s">
        <v>45</v>
      </c>
      <c r="D1074" s="31">
        <f t="shared" si="82"/>
        <v>4</v>
      </c>
      <c r="E1074" s="136" t="s">
        <v>46</v>
      </c>
      <c r="F1074" s="31">
        <f t="shared" si="83"/>
        <v>6</v>
      </c>
      <c r="G1074" s="137" t="s">
        <v>202</v>
      </c>
      <c r="H1074" s="138">
        <v>286</v>
      </c>
      <c r="I1074" s="92">
        <f t="shared" si="81"/>
        <v>0.37531790587384795</v>
      </c>
      <c r="J1074" s="95">
        <v>6.35811747695891E-4</v>
      </c>
      <c r="K1074" s="137">
        <v>0.69881421079630901</v>
      </c>
      <c r="L1074" s="137">
        <v>0.75</v>
      </c>
      <c r="M1074" s="137">
        <v>0.62203552699077302</v>
      </c>
      <c r="N1074" s="136">
        <v>1</v>
      </c>
      <c r="O1074" s="32">
        <v>42807</v>
      </c>
      <c r="P1074" s="98">
        <f t="shared" si="84"/>
        <v>2</v>
      </c>
      <c r="Q1074" s="113">
        <v>2.5499999999999998</v>
      </c>
      <c r="R1074" s="113">
        <v>1.65</v>
      </c>
      <c r="S1074" s="113">
        <v>7.48</v>
      </c>
      <c r="T1074" s="114" t="s">
        <v>64</v>
      </c>
      <c r="U1074" s="136" t="s">
        <v>203</v>
      </c>
      <c r="V1074" s="137" t="s">
        <v>204</v>
      </c>
      <c r="W1074" s="69">
        <v>106</v>
      </c>
      <c r="X1074" s="136">
        <v>1</v>
      </c>
      <c r="Y1074" s="136">
        <v>7</v>
      </c>
      <c r="Z1074"/>
      <c r="AA1074" t="s">
        <v>5038</v>
      </c>
      <c r="AB1074" t="s">
        <v>87</v>
      </c>
      <c r="AC1074" t="s">
        <v>4530</v>
      </c>
      <c r="AD1074" t="s">
        <v>4937</v>
      </c>
      <c r="AE1074" t="s">
        <v>4515</v>
      </c>
      <c r="AF1074" t="s">
        <v>4842</v>
      </c>
      <c r="AG1074" t="s">
        <v>4353</v>
      </c>
      <c r="AH1074" t="s">
        <v>4506</v>
      </c>
      <c r="AI1074" t="s">
        <v>4353</v>
      </c>
      <c r="AJ1074" t="s">
        <v>4506</v>
      </c>
      <c r="AK1074" t="s">
        <v>4519</v>
      </c>
      <c r="AL1074" t="s">
        <v>4552</v>
      </c>
      <c r="AM1074" t="s">
        <v>4520</v>
      </c>
      <c r="AN1074" t="s">
        <v>4652</v>
      </c>
      <c r="AO1074" s="134">
        <v>112.21538461538501</v>
      </c>
      <c r="AP1074" s="135">
        <v>89.109375</v>
      </c>
      <c r="AQ1074">
        <v>0.4921875</v>
      </c>
      <c r="AR1074" s="136">
        <v>1.28125</v>
      </c>
      <c r="AS1074">
        <v>10.7734375</v>
      </c>
      <c r="AU1074"/>
      <c r="AV1074"/>
      <c r="AW1074"/>
      <c r="AX1074"/>
    </row>
    <row r="1075" spans="1:50" s="65" customFormat="1" ht="76">
      <c r="A1075">
        <v>187</v>
      </c>
      <c r="B1075" s="69" t="s">
        <v>499</v>
      </c>
      <c r="C1075" s="69" t="s">
        <v>59</v>
      </c>
      <c r="D1075" s="31">
        <f t="shared" si="82"/>
        <v>5</v>
      </c>
      <c r="E1075" s="69" t="s">
        <v>46</v>
      </c>
      <c r="F1075" s="31">
        <f t="shared" si="83"/>
        <v>6</v>
      </c>
      <c r="G1075" s="137" t="s">
        <v>575</v>
      </c>
      <c r="H1075" s="138">
        <v>98</v>
      </c>
      <c r="I1075" s="92">
        <f t="shared" si="81"/>
        <v>0.29959339797313939</v>
      </c>
      <c r="J1075" s="95">
        <v>8.6926704422475701E-2</v>
      </c>
      <c r="K1075" s="137">
        <v>0.50132455345919702</v>
      </c>
      <c r="L1075" s="137">
        <v>0.51226009152380303</v>
      </c>
      <c r="M1075" s="137">
        <v>0.48492124636228701</v>
      </c>
      <c r="N1075" s="136">
        <v>1</v>
      </c>
      <c r="O1075" s="154">
        <v>42801</v>
      </c>
      <c r="P1075" s="98">
        <f t="shared" si="84"/>
        <v>0</v>
      </c>
      <c r="Q1075" s="111">
        <v>0</v>
      </c>
      <c r="R1075" s="111">
        <v>0</v>
      </c>
      <c r="S1075" s="111">
        <v>0</v>
      </c>
      <c r="T1075" s="112" t="s">
        <v>48</v>
      </c>
      <c r="U1075" s="136" t="s">
        <v>576</v>
      </c>
      <c r="V1075" s="137" t="s">
        <v>577</v>
      </c>
      <c r="W1075" s="69">
        <v>107</v>
      </c>
      <c r="X1075" s="69">
        <v>2</v>
      </c>
      <c r="Y1075" s="69">
        <v>13</v>
      </c>
      <c r="Z1075"/>
      <c r="AA1075" t="s">
        <v>4564</v>
      </c>
      <c r="AB1075" t="s">
        <v>87</v>
      </c>
      <c r="AC1075" t="s">
        <v>223</v>
      </c>
      <c r="AD1075" t="s">
        <v>4747</v>
      </c>
      <c r="AE1075" t="s">
        <v>4353</v>
      </c>
      <c r="AF1075" t="s">
        <v>4506</v>
      </c>
      <c r="AG1075" t="s">
        <v>4353</v>
      </c>
      <c r="AH1075" t="s">
        <v>4506</v>
      </c>
      <c r="AI1075" t="s">
        <v>4353</v>
      </c>
      <c r="AJ1075" t="s">
        <v>4506</v>
      </c>
      <c r="AK1075" t="s">
        <v>4519</v>
      </c>
      <c r="AL1075" t="s">
        <v>4552</v>
      </c>
      <c r="AM1075" t="s">
        <v>4562</v>
      </c>
      <c r="AN1075" t="s">
        <v>4742</v>
      </c>
      <c r="AO1075" s="132">
        <v>112.325581395349</v>
      </c>
      <c r="AP1075" s="133">
        <v>88.864000000000004</v>
      </c>
      <c r="AQ1075" s="65">
        <v>0.504</v>
      </c>
      <c r="AR1075" s="65">
        <v>1.264</v>
      </c>
      <c r="AS1075" s="65">
        <v>10.688000000000001</v>
      </c>
    </row>
    <row r="1076" spans="1:50" s="69" customFormat="1" ht="121">
      <c r="A1076">
        <v>398</v>
      </c>
      <c r="B1076" s="69" t="s">
        <v>589</v>
      </c>
      <c r="C1076" s="69" t="s">
        <v>45</v>
      </c>
      <c r="D1076" s="31">
        <f t="shared" si="82"/>
        <v>4</v>
      </c>
      <c r="E1076" s="69" t="s">
        <v>80</v>
      </c>
      <c r="F1076" s="31">
        <f t="shared" si="83"/>
        <v>4</v>
      </c>
      <c r="G1076" s="137" t="s">
        <v>1146</v>
      </c>
      <c r="H1076" s="138">
        <v>222</v>
      </c>
      <c r="I1076" s="92">
        <f t="shared" si="81"/>
        <v>0.3099356956581939</v>
      </c>
      <c r="J1076" s="95">
        <v>3.6680572586766901E-5</v>
      </c>
      <c r="K1076" s="137">
        <v>0.51635020044630497</v>
      </c>
      <c r="L1076" s="137">
        <v>0.61983471074380103</v>
      </c>
      <c r="M1076" s="137">
        <v>0.36112343500006</v>
      </c>
      <c r="N1076" s="136">
        <v>1</v>
      </c>
      <c r="O1076" s="154">
        <v>42797</v>
      </c>
      <c r="P1076" s="98">
        <f t="shared" si="84"/>
        <v>0</v>
      </c>
      <c r="Q1076" s="107">
        <v>0</v>
      </c>
      <c r="R1076" s="107">
        <v>0</v>
      </c>
      <c r="S1076" s="107">
        <v>0</v>
      </c>
      <c r="T1076" s="108" t="s">
        <v>48</v>
      </c>
      <c r="U1076" s="137" t="s">
        <v>1149</v>
      </c>
      <c r="V1076" s="137" t="s">
        <v>1150</v>
      </c>
      <c r="W1076" s="69">
        <v>124</v>
      </c>
      <c r="X1076" s="69">
        <v>2</v>
      </c>
      <c r="Y1076" s="69">
        <v>20</v>
      </c>
      <c r="Z1076"/>
      <c r="AA1076" t="s">
        <v>5077</v>
      </c>
      <c r="AB1076" t="s">
        <v>87</v>
      </c>
      <c r="AC1076" t="s">
        <v>4515</v>
      </c>
      <c r="AD1076" t="s">
        <v>4643</v>
      </c>
      <c r="AE1076" t="s">
        <v>4353</v>
      </c>
      <c r="AF1076" t="s">
        <v>4506</v>
      </c>
      <c r="AG1076" t="s">
        <v>4353</v>
      </c>
      <c r="AH1076" t="s">
        <v>4506</v>
      </c>
      <c r="AI1076" t="s">
        <v>4353</v>
      </c>
      <c r="AJ1076" t="s">
        <v>4506</v>
      </c>
      <c r="AK1076" t="s">
        <v>4519</v>
      </c>
      <c r="AL1076" t="s">
        <v>4541</v>
      </c>
      <c r="AM1076" t="s">
        <v>4520</v>
      </c>
      <c r="AN1076" t="s">
        <v>4926</v>
      </c>
      <c r="AO1076" s="134">
        <v>113.109375</v>
      </c>
      <c r="AP1076" s="135">
        <v>88.864000000000004</v>
      </c>
      <c r="AQ1076">
        <v>0.504</v>
      </c>
      <c r="AR1076" s="136">
        <v>1.264</v>
      </c>
      <c r="AS1076">
        <v>10.688000000000001</v>
      </c>
      <c r="AU1076"/>
      <c r="AV1076"/>
      <c r="AW1076"/>
      <c r="AX1076"/>
    </row>
    <row r="1077" spans="1:50" s="70" customFormat="1" ht="60">
      <c r="A1077" s="67"/>
      <c r="B1077" s="70" t="s">
        <v>589</v>
      </c>
      <c r="C1077" s="70" t="s">
        <v>59</v>
      </c>
      <c r="D1077" s="149">
        <v>5</v>
      </c>
      <c r="E1077" s="70" t="s">
        <v>46</v>
      </c>
      <c r="F1077" s="149">
        <v>6</v>
      </c>
      <c r="G1077" s="229" t="s">
        <v>3232</v>
      </c>
      <c r="H1077" s="224">
        <v>12</v>
      </c>
      <c r="I1077" s="92">
        <f t="shared" si="81"/>
        <v>0.86518261371182104</v>
      </c>
      <c r="J1077" s="95">
        <v>0.98036522742364196</v>
      </c>
      <c r="K1077" s="226">
        <v>0.71002915755524698</v>
      </c>
      <c r="L1077" s="226">
        <v>0.75</v>
      </c>
      <c r="M1077" s="226">
        <v>0.65007289388811795</v>
      </c>
      <c r="N1077" s="184">
        <v>1</v>
      </c>
      <c r="O1077" s="165">
        <v>42797</v>
      </c>
      <c r="P1077" s="98">
        <v>0</v>
      </c>
      <c r="Q1077" s="227"/>
      <c r="R1077" s="227"/>
      <c r="S1077" s="227"/>
      <c r="T1077" s="228"/>
      <c r="U1077" s="237" t="s">
        <v>3232</v>
      </c>
      <c r="V1077" s="223" t="s">
        <v>3233</v>
      </c>
      <c r="W1077" s="70">
        <v>89</v>
      </c>
      <c r="X1077" s="229">
        <v>0</v>
      </c>
      <c r="Y1077" s="229">
        <v>0</v>
      </c>
      <c r="Z1077" s="67"/>
      <c r="AA1077" s="67"/>
      <c r="AB1077" s="67"/>
      <c r="AC1077" s="67"/>
      <c r="AD1077" s="67"/>
      <c r="AE1077" s="67"/>
      <c r="AF1077" s="67"/>
      <c r="AG1077" s="67"/>
      <c r="AH1077" s="67"/>
      <c r="AI1077" s="67"/>
      <c r="AJ1077" s="67"/>
      <c r="AK1077" s="67"/>
      <c r="AL1077" s="67"/>
      <c r="AM1077" s="67"/>
      <c r="AN1077" s="67"/>
      <c r="AO1077" s="182">
        <v>112.25196850393699</v>
      </c>
      <c r="AP1077" s="183">
        <v>88.864000000000004</v>
      </c>
      <c r="AQ1077" s="67">
        <v>0.504</v>
      </c>
      <c r="AR1077" s="184">
        <v>1.264</v>
      </c>
      <c r="AS1077" s="67">
        <v>10.688000000000001</v>
      </c>
      <c r="AU1077" s="67"/>
      <c r="AV1077" s="67"/>
      <c r="AW1077" s="67"/>
      <c r="AX1077" s="67"/>
    </row>
    <row r="1078" spans="1:50" s="69" customFormat="1" ht="106">
      <c r="A1078" s="65">
        <v>564</v>
      </c>
      <c r="B1078" s="69" t="s">
        <v>1222</v>
      </c>
      <c r="C1078" s="69" t="s">
        <v>45</v>
      </c>
      <c r="D1078" s="31">
        <f t="shared" ref="D1078:D1109" si="85">IF(C1078="投诉",4,IF(C1078="建议",1,IF(C1078="举报",2,IF(C1078="求助",3,5))))</f>
        <v>4</v>
      </c>
      <c r="E1078" s="69" t="s">
        <v>46</v>
      </c>
      <c r="F1078" s="31">
        <f t="shared" ref="F1078:F1109" si="86">IF(E1078="12345app",1,IF(E1078="e福州app",2,IF(E1078="qq",3,IF(E1078="电话",4,IF(E1078="短信",5,IF(E1078="网站",6,IF(E1078="微博",7,IF(E1078="微信",8,9))))))))</f>
        <v>6</v>
      </c>
      <c r="G1078" s="169" t="s">
        <v>1579</v>
      </c>
      <c r="H1078" s="138">
        <v>25</v>
      </c>
      <c r="I1078" s="92">
        <f t="shared" si="81"/>
        <v>0.8504747527172265</v>
      </c>
      <c r="J1078" s="95">
        <v>0.950949505434453</v>
      </c>
      <c r="K1078" s="137">
        <v>0.66047858340826304</v>
      </c>
      <c r="L1078" s="137">
        <v>0.75</v>
      </c>
      <c r="M1078" s="137">
        <v>0.526196458520657</v>
      </c>
      <c r="N1078" s="136">
        <v>1</v>
      </c>
      <c r="O1078" s="154">
        <v>42793</v>
      </c>
      <c r="P1078" s="98">
        <f t="shared" ref="P1078:P1109" si="87">IF(T1078="利己",0,IF(T1078="生态",2,1))</f>
        <v>1</v>
      </c>
      <c r="Q1078" s="111">
        <v>0</v>
      </c>
      <c r="R1078" s="111">
        <v>1.65</v>
      </c>
      <c r="S1078" s="111">
        <v>0</v>
      </c>
      <c r="T1078" s="112" t="s">
        <v>73</v>
      </c>
      <c r="U1078" s="147" t="s">
        <v>1580</v>
      </c>
      <c r="V1078" s="137" t="s">
        <v>1581</v>
      </c>
      <c r="W1078" s="69">
        <v>142</v>
      </c>
      <c r="X1078" s="147">
        <v>1</v>
      </c>
      <c r="Y1078" s="147">
        <v>11</v>
      </c>
      <c r="Z1078"/>
      <c r="AA1078" t="s">
        <v>4564</v>
      </c>
      <c r="AB1078" t="s">
        <v>4566</v>
      </c>
      <c r="AC1078" t="s">
        <v>4353</v>
      </c>
      <c r="AD1078" t="s">
        <v>4506</v>
      </c>
      <c r="AE1078" t="s">
        <v>4515</v>
      </c>
      <c r="AF1078" t="s">
        <v>4685</v>
      </c>
      <c r="AG1078" t="s">
        <v>4353</v>
      </c>
      <c r="AH1078" t="s">
        <v>4506</v>
      </c>
      <c r="AI1078" t="s">
        <v>4515</v>
      </c>
      <c r="AJ1078" t="s">
        <v>4685</v>
      </c>
      <c r="AK1078" t="s">
        <v>4519</v>
      </c>
      <c r="AL1078" t="s">
        <v>4519</v>
      </c>
      <c r="AM1078" t="s">
        <v>4528</v>
      </c>
      <c r="AN1078" t="s">
        <v>4529</v>
      </c>
      <c r="AO1078" s="134">
        <v>112.944444444444</v>
      </c>
      <c r="AP1078" s="135">
        <v>88.864000000000004</v>
      </c>
      <c r="AQ1078">
        <v>0.504</v>
      </c>
      <c r="AR1078" s="136">
        <v>1.264</v>
      </c>
      <c r="AS1078">
        <v>10.688000000000001</v>
      </c>
      <c r="AU1078"/>
      <c r="AV1078"/>
      <c r="AW1078"/>
      <c r="AX1078"/>
    </row>
    <row r="1079" spans="1:50" s="69" customFormat="1" ht="121">
      <c r="A1079" s="65">
        <v>565</v>
      </c>
      <c r="B1079" s="69" t="s">
        <v>1222</v>
      </c>
      <c r="C1079" s="69" t="s">
        <v>1191</v>
      </c>
      <c r="D1079" s="31">
        <f t="shared" si="85"/>
        <v>2</v>
      </c>
      <c r="E1079" s="69" t="s">
        <v>46</v>
      </c>
      <c r="F1079" s="31">
        <f t="shared" si="86"/>
        <v>6</v>
      </c>
      <c r="G1079" s="147" t="s">
        <v>1582</v>
      </c>
      <c r="H1079" s="138">
        <v>210</v>
      </c>
      <c r="I1079" s="92">
        <f t="shared" si="81"/>
        <v>0.41250193963291165</v>
      </c>
      <c r="J1079" s="95">
        <v>3.8792658233477397E-6</v>
      </c>
      <c r="K1079" s="137">
        <v>0.60362745636612702</v>
      </c>
      <c r="L1079" s="137">
        <v>0.82499999999999996</v>
      </c>
      <c r="M1079" s="137">
        <v>0.27156864091531702</v>
      </c>
      <c r="N1079" s="136">
        <v>0</v>
      </c>
      <c r="O1079" s="154">
        <v>42778</v>
      </c>
      <c r="P1079" s="98">
        <f t="shared" si="87"/>
        <v>1</v>
      </c>
      <c r="Q1079" s="111">
        <v>2.5499999999999998</v>
      </c>
      <c r="R1079" s="111">
        <v>1.65</v>
      </c>
      <c r="S1079" s="111">
        <v>0</v>
      </c>
      <c r="T1079" s="112" t="s">
        <v>73</v>
      </c>
      <c r="U1079" s="137" t="s">
        <v>1583</v>
      </c>
      <c r="V1079" s="137" t="s">
        <v>1584</v>
      </c>
      <c r="W1079" s="69">
        <v>67</v>
      </c>
      <c r="X1079" s="147">
        <v>3</v>
      </c>
      <c r="Y1079" s="147">
        <v>26</v>
      </c>
      <c r="Z1079"/>
      <c r="AA1079" t="s">
        <v>4564</v>
      </c>
      <c r="AB1079" t="s">
        <v>87</v>
      </c>
      <c r="AC1079" t="s">
        <v>4515</v>
      </c>
      <c r="AD1079" t="s">
        <v>4534</v>
      </c>
      <c r="AE1079" t="s">
        <v>223</v>
      </c>
      <c r="AF1079" t="s">
        <v>4535</v>
      </c>
      <c r="AG1079" t="s">
        <v>223</v>
      </c>
      <c r="AH1079" t="s">
        <v>4535</v>
      </c>
      <c r="AI1079" t="s">
        <v>4353</v>
      </c>
      <c r="AJ1079" t="s">
        <v>4506</v>
      </c>
      <c r="AK1079" t="s">
        <v>4519</v>
      </c>
      <c r="AL1079" t="s">
        <v>4519</v>
      </c>
      <c r="AM1079" t="s">
        <v>4528</v>
      </c>
      <c r="AN1079" t="s">
        <v>4529</v>
      </c>
      <c r="AO1079" s="134">
        <v>112.16800000000001</v>
      </c>
      <c r="AP1079" s="135">
        <v>88.864000000000004</v>
      </c>
      <c r="AQ1079">
        <v>0.504</v>
      </c>
      <c r="AR1079" s="136">
        <v>1.264</v>
      </c>
      <c r="AS1079">
        <v>10.688000000000001</v>
      </c>
      <c r="AU1079"/>
      <c r="AV1079"/>
      <c r="AW1079"/>
      <c r="AX1079"/>
    </row>
    <row r="1080" spans="1:50" s="69" customFormat="1" ht="61">
      <c r="A1080">
        <v>399</v>
      </c>
      <c r="B1080" s="69" t="s">
        <v>589</v>
      </c>
      <c r="C1080" s="69" t="s">
        <v>45</v>
      </c>
      <c r="D1080" s="31">
        <f t="shared" si="85"/>
        <v>4</v>
      </c>
      <c r="E1080" s="69" t="s">
        <v>80</v>
      </c>
      <c r="F1080" s="31">
        <f t="shared" si="86"/>
        <v>4</v>
      </c>
      <c r="G1080" s="137" t="s">
        <v>1151</v>
      </c>
      <c r="H1080" s="138">
        <v>33</v>
      </c>
      <c r="I1080" s="92">
        <f t="shared" si="81"/>
        <v>0.86518261371182104</v>
      </c>
      <c r="J1080" s="95">
        <v>0.98036522742364196</v>
      </c>
      <c r="K1080" s="137">
        <v>0.621428571428571</v>
      </c>
      <c r="L1080" s="137">
        <v>0.75</v>
      </c>
      <c r="M1080" s="137">
        <v>0.42857142857142899</v>
      </c>
      <c r="N1080" s="136">
        <v>1</v>
      </c>
      <c r="O1080" s="154">
        <v>42757</v>
      </c>
      <c r="P1080" s="98">
        <f t="shared" si="87"/>
        <v>0</v>
      </c>
      <c r="Q1080" s="107">
        <v>5.0999999999999996</v>
      </c>
      <c r="R1080" s="107">
        <v>0</v>
      </c>
      <c r="S1080" s="107">
        <v>0</v>
      </c>
      <c r="T1080" s="108" t="s">
        <v>48</v>
      </c>
      <c r="U1080" s="169" t="s">
        <v>1152</v>
      </c>
      <c r="V1080" s="137" t="s">
        <v>1153</v>
      </c>
      <c r="W1080" s="69">
        <v>82</v>
      </c>
      <c r="X1080" s="69">
        <v>1</v>
      </c>
      <c r="Y1080" s="69">
        <v>16</v>
      </c>
      <c r="Z1080"/>
      <c r="AA1080" t="s">
        <v>4551</v>
      </c>
      <c r="AB1080" t="s">
        <v>4594</v>
      </c>
      <c r="AC1080" t="s">
        <v>4515</v>
      </c>
      <c r="AD1080" t="s">
        <v>4676</v>
      </c>
      <c r="AE1080" t="s">
        <v>4515</v>
      </c>
      <c r="AF1080" t="s">
        <v>4676</v>
      </c>
      <c r="AG1080" t="s">
        <v>4353</v>
      </c>
      <c r="AH1080" t="s">
        <v>4506</v>
      </c>
      <c r="AI1080" t="s">
        <v>4353</v>
      </c>
      <c r="AJ1080" t="s">
        <v>4506</v>
      </c>
      <c r="AK1080" t="s">
        <v>4519</v>
      </c>
      <c r="AL1080" t="s">
        <v>4541</v>
      </c>
      <c r="AM1080" t="s">
        <v>4528</v>
      </c>
      <c r="AN1080" t="s">
        <v>4542</v>
      </c>
      <c r="AO1080" s="134">
        <v>112.806451612903</v>
      </c>
      <c r="AP1080" s="135">
        <v>87.516393442622999</v>
      </c>
      <c r="AQ1080">
        <v>0.47540983606557402</v>
      </c>
      <c r="AR1080" s="136">
        <v>1.2540983606557401</v>
      </c>
      <c r="AS1080">
        <v>10.483606557377</v>
      </c>
      <c r="AU1080"/>
      <c r="AV1080"/>
      <c r="AW1080"/>
      <c r="AX1080"/>
    </row>
    <row r="1081" spans="1:50" s="69" customFormat="1" ht="91">
      <c r="A1081">
        <v>886</v>
      </c>
      <c r="B1081" s="69" t="s">
        <v>2355</v>
      </c>
      <c r="C1081" s="69" t="s">
        <v>45</v>
      </c>
      <c r="D1081" s="31">
        <f t="shared" si="85"/>
        <v>4</v>
      </c>
      <c r="E1081" s="69" t="s">
        <v>46</v>
      </c>
      <c r="F1081" s="31">
        <f t="shared" si="86"/>
        <v>6</v>
      </c>
      <c r="G1081" s="137" t="s">
        <v>2412</v>
      </c>
      <c r="H1081" s="138">
        <v>92</v>
      </c>
      <c r="I1081" s="92">
        <f t="shared" si="81"/>
        <v>0.85339638703592646</v>
      </c>
      <c r="J1081" s="95">
        <v>0.95679277407185304</v>
      </c>
      <c r="K1081" s="137">
        <v>0.55862745636612698</v>
      </c>
      <c r="L1081" s="137">
        <v>0.75</v>
      </c>
      <c r="M1081" s="137">
        <v>0.27156864091531702</v>
      </c>
      <c r="N1081" s="136">
        <v>1</v>
      </c>
      <c r="O1081" s="154">
        <v>42746</v>
      </c>
      <c r="P1081" s="98">
        <f t="shared" si="87"/>
        <v>0</v>
      </c>
      <c r="Q1081" s="111">
        <v>2.5499999999999998</v>
      </c>
      <c r="R1081" s="111">
        <v>0</v>
      </c>
      <c r="S1081" s="111">
        <v>1.87</v>
      </c>
      <c r="T1081" s="112" t="s">
        <v>48</v>
      </c>
      <c r="U1081" s="137" t="s">
        <v>2413</v>
      </c>
      <c r="V1081" s="137" t="s">
        <v>2414</v>
      </c>
      <c r="W1081" s="69">
        <v>122</v>
      </c>
      <c r="X1081" s="69">
        <v>3</v>
      </c>
      <c r="Y1081" s="69">
        <v>26</v>
      </c>
      <c r="AA1081" t="s">
        <v>4564</v>
      </c>
      <c r="AB1081" t="s">
        <v>4791</v>
      </c>
      <c r="AC1081" t="s">
        <v>4515</v>
      </c>
      <c r="AD1081" t="s">
        <v>4762</v>
      </c>
      <c r="AE1081" t="s">
        <v>223</v>
      </c>
      <c r="AF1081" t="s">
        <v>4768</v>
      </c>
      <c r="AG1081" t="s">
        <v>223</v>
      </c>
      <c r="AH1081" t="s">
        <v>4768</v>
      </c>
      <c r="AI1081" t="s">
        <v>4515</v>
      </c>
      <c r="AJ1081" t="s">
        <v>4762</v>
      </c>
      <c r="AK1081" t="s">
        <v>4519</v>
      </c>
      <c r="AL1081" t="s">
        <v>4519</v>
      </c>
      <c r="AM1081" t="s">
        <v>4528</v>
      </c>
      <c r="AN1081" t="s">
        <v>4529</v>
      </c>
      <c r="AO1081" s="134">
        <v>112.975609756098</v>
      </c>
      <c r="AP1081" s="135">
        <v>87.9491525423729</v>
      </c>
      <c r="AQ1081">
        <v>0.45762711864406802</v>
      </c>
      <c r="AR1081" s="136">
        <v>1.2457627118644099</v>
      </c>
      <c r="AS1081">
        <v>10.228813559322001</v>
      </c>
      <c r="AU1081"/>
      <c r="AV1081"/>
      <c r="AW1081"/>
      <c r="AX1081"/>
    </row>
    <row r="1082" spans="1:50" s="69" customFormat="1" ht="166">
      <c r="A1082">
        <v>566</v>
      </c>
      <c r="B1082" s="69" t="s">
        <v>1222</v>
      </c>
      <c r="C1082" s="69" t="s">
        <v>45</v>
      </c>
      <c r="D1082" s="31">
        <f t="shared" si="85"/>
        <v>4</v>
      </c>
      <c r="E1082" s="69" t="s">
        <v>46</v>
      </c>
      <c r="F1082" s="31">
        <f t="shared" si="86"/>
        <v>6</v>
      </c>
      <c r="G1082" s="137" t="s">
        <v>1585</v>
      </c>
      <c r="H1082" s="138">
        <v>145</v>
      </c>
      <c r="I1082" s="92">
        <f t="shared" si="81"/>
        <v>0.41355260993725251</v>
      </c>
      <c r="J1082" s="95">
        <v>2.1052198745050701E-3</v>
      </c>
      <c r="K1082" s="137">
        <v>0.67368666593100501</v>
      </c>
      <c r="L1082" s="137">
        <v>0.82499999999999996</v>
      </c>
      <c r="M1082" s="137">
        <v>0.44671666482751199</v>
      </c>
      <c r="N1082" s="136">
        <v>1</v>
      </c>
      <c r="O1082" s="154">
        <v>42743</v>
      </c>
      <c r="P1082" s="98">
        <f t="shared" si="87"/>
        <v>1</v>
      </c>
      <c r="Q1082" s="111">
        <v>2.5499999999999998</v>
      </c>
      <c r="R1082" s="111">
        <v>0</v>
      </c>
      <c r="S1082" s="111">
        <v>1.87</v>
      </c>
      <c r="T1082" s="112" t="s">
        <v>73</v>
      </c>
      <c r="U1082" s="137" t="s">
        <v>1586</v>
      </c>
      <c r="V1082" s="137" t="s">
        <v>1587</v>
      </c>
      <c r="W1082" s="69">
        <v>227</v>
      </c>
      <c r="X1082" s="69">
        <v>1</v>
      </c>
      <c r="Y1082" s="69">
        <v>15</v>
      </c>
      <c r="Z1082"/>
      <c r="AA1082" t="s">
        <v>4619</v>
      </c>
      <c r="AB1082" t="s">
        <v>87</v>
      </c>
      <c r="AC1082" t="s">
        <v>4530</v>
      </c>
      <c r="AD1082" t="s">
        <v>4762</v>
      </c>
      <c r="AE1082" t="s">
        <v>223</v>
      </c>
      <c r="AF1082" t="s">
        <v>5058</v>
      </c>
      <c r="AG1082" t="s">
        <v>4515</v>
      </c>
      <c r="AH1082" t="s">
        <v>4768</v>
      </c>
      <c r="AI1082" t="s">
        <v>4353</v>
      </c>
      <c r="AJ1082" t="s">
        <v>4506</v>
      </c>
      <c r="AK1082" t="s">
        <v>4519</v>
      </c>
      <c r="AL1082" t="s">
        <v>4519</v>
      </c>
      <c r="AM1082" t="s">
        <v>4520</v>
      </c>
      <c r="AN1082" t="s">
        <v>4558</v>
      </c>
      <c r="AO1082" s="134">
        <v>112.713114754098</v>
      </c>
      <c r="AP1082" s="135">
        <v>87.9491525423729</v>
      </c>
      <c r="AQ1082">
        <v>0.45762711864406802</v>
      </c>
      <c r="AR1082" s="136">
        <v>1.2457627118644099</v>
      </c>
      <c r="AS1082">
        <v>10.228813559322001</v>
      </c>
      <c r="AU1082"/>
      <c r="AV1082"/>
      <c r="AW1082"/>
      <c r="AX1082"/>
    </row>
    <row r="1083" spans="1:50" s="69" customFormat="1" ht="31">
      <c r="A1083" s="65">
        <v>188</v>
      </c>
      <c r="B1083" s="69" t="s">
        <v>499</v>
      </c>
      <c r="C1083" s="69" t="s">
        <v>45</v>
      </c>
      <c r="D1083" s="31">
        <f t="shared" si="85"/>
        <v>4</v>
      </c>
      <c r="E1083" s="69" t="s">
        <v>80</v>
      </c>
      <c r="F1083" s="31">
        <f t="shared" si="86"/>
        <v>4</v>
      </c>
      <c r="G1083" s="137" t="s">
        <v>578</v>
      </c>
      <c r="H1083" s="138">
        <v>56</v>
      </c>
      <c r="I1083" s="92">
        <f t="shared" si="81"/>
        <v>0.65147944272477099</v>
      </c>
      <c r="J1083" s="95">
        <v>0.62114070363135998</v>
      </c>
      <c r="K1083" s="137">
        <v>0.58051948051948099</v>
      </c>
      <c r="L1083" s="137">
        <v>0.68181818181818199</v>
      </c>
      <c r="M1083" s="137">
        <v>0.42857142857142899</v>
      </c>
      <c r="N1083" s="136">
        <v>1</v>
      </c>
      <c r="O1083" s="154">
        <v>42735</v>
      </c>
      <c r="P1083" s="98">
        <f t="shared" si="87"/>
        <v>2</v>
      </c>
      <c r="Q1083" s="113">
        <v>5.0999999999999996</v>
      </c>
      <c r="R1083" s="113">
        <v>0</v>
      </c>
      <c r="S1083" s="113">
        <v>0</v>
      </c>
      <c r="T1083" s="114" t="s">
        <v>64</v>
      </c>
      <c r="U1083" s="147" t="s">
        <v>579</v>
      </c>
      <c r="V1083" s="137" t="s">
        <v>580</v>
      </c>
      <c r="W1083" s="69">
        <v>24</v>
      </c>
      <c r="X1083" s="147">
        <v>2</v>
      </c>
      <c r="Y1083" s="147">
        <v>16</v>
      </c>
      <c r="Z1083"/>
      <c r="AA1083" t="s">
        <v>4522</v>
      </c>
      <c r="AB1083" t="s">
        <v>87</v>
      </c>
      <c r="AC1083" t="s">
        <v>4515</v>
      </c>
      <c r="AD1083" t="s">
        <v>4989</v>
      </c>
      <c r="AE1083" t="s">
        <v>223</v>
      </c>
      <c r="AF1083" t="s">
        <v>4609</v>
      </c>
      <c r="AG1083" t="s">
        <v>4353</v>
      </c>
      <c r="AH1083" t="s">
        <v>4506</v>
      </c>
      <c r="AI1083" t="s">
        <v>4353</v>
      </c>
      <c r="AJ1083" t="s">
        <v>4506</v>
      </c>
      <c r="AK1083" t="s">
        <v>4519</v>
      </c>
      <c r="AL1083" t="s">
        <v>4519</v>
      </c>
      <c r="AM1083" t="s">
        <v>4519</v>
      </c>
      <c r="AN1083" t="s">
        <v>4564</v>
      </c>
      <c r="AO1083" s="134">
        <v>113.181818181818</v>
      </c>
      <c r="AP1083" s="135">
        <v>88.591304347826096</v>
      </c>
      <c r="AQ1083">
        <v>0.46086956521739098</v>
      </c>
      <c r="AR1083" s="136">
        <v>1.2521739130434799</v>
      </c>
      <c r="AS1083">
        <v>10.234782608695699</v>
      </c>
      <c r="AU1083"/>
      <c r="AV1083"/>
      <c r="AW1083"/>
      <c r="AX1083"/>
    </row>
    <row r="1084" spans="1:50" s="69" customFormat="1" ht="46">
      <c r="A1084" s="65">
        <v>40</v>
      </c>
      <c r="B1084" s="136" t="s">
        <v>115</v>
      </c>
      <c r="C1084" s="136" t="s">
        <v>45</v>
      </c>
      <c r="D1084" s="31">
        <f t="shared" si="85"/>
        <v>4</v>
      </c>
      <c r="E1084" s="136" t="s">
        <v>46</v>
      </c>
      <c r="F1084" s="31">
        <f t="shared" si="86"/>
        <v>6</v>
      </c>
      <c r="G1084" s="137" t="s">
        <v>167</v>
      </c>
      <c r="H1084" s="138">
        <v>70</v>
      </c>
      <c r="I1084" s="92">
        <f t="shared" si="81"/>
        <v>0.74524766730519043</v>
      </c>
      <c r="J1084" s="95">
        <v>0.74049533461038097</v>
      </c>
      <c r="K1084" s="137">
        <v>0.65205133627784295</v>
      </c>
      <c r="L1084" s="137">
        <v>0.75</v>
      </c>
      <c r="M1084" s="137">
        <v>0.50512834069460699</v>
      </c>
      <c r="N1084" s="136">
        <v>1</v>
      </c>
      <c r="O1084" s="154">
        <v>42734</v>
      </c>
      <c r="P1084" s="98">
        <f t="shared" si="87"/>
        <v>0</v>
      </c>
      <c r="Q1084" s="111">
        <v>2.5499999999999998</v>
      </c>
      <c r="R1084" s="111">
        <v>1.65</v>
      </c>
      <c r="S1084" s="111">
        <v>0</v>
      </c>
      <c r="T1084" s="112" t="s">
        <v>48</v>
      </c>
      <c r="U1084" s="137" t="s">
        <v>168</v>
      </c>
      <c r="V1084" s="238" t="s">
        <v>169</v>
      </c>
      <c r="W1084" s="69">
        <v>40</v>
      </c>
      <c r="X1084" s="136">
        <v>2</v>
      </c>
      <c r="Y1084" s="136">
        <v>12</v>
      </c>
      <c r="Z1084"/>
      <c r="AA1084" t="s">
        <v>4543</v>
      </c>
      <c r="AB1084" t="s">
        <v>87</v>
      </c>
      <c r="AC1084" t="s">
        <v>4530</v>
      </c>
      <c r="AD1084" t="s">
        <v>4933</v>
      </c>
      <c r="AE1084" t="s">
        <v>4353</v>
      </c>
      <c r="AF1084" t="s">
        <v>4506</v>
      </c>
      <c r="AG1084" t="s">
        <v>4353</v>
      </c>
      <c r="AH1084" t="s">
        <v>4506</v>
      </c>
      <c r="AI1084" t="s">
        <v>4353</v>
      </c>
      <c r="AJ1084" t="s">
        <v>4506</v>
      </c>
      <c r="AK1084" t="s">
        <v>4519</v>
      </c>
      <c r="AL1084" t="s">
        <v>4552</v>
      </c>
      <c r="AM1084" t="s">
        <v>4528</v>
      </c>
      <c r="AN1084" t="s">
        <v>4618</v>
      </c>
      <c r="AO1084" s="134">
        <v>113.541666666667</v>
      </c>
      <c r="AP1084" s="135">
        <v>88.591304347826096</v>
      </c>
      <c r="AQ1084">
        <v>0.46086956521739098</v>
      </c>
      <c r="AR1084" s="136">
        <v>1.2521739130434799</v>
      </c>
      <c r="AS1084">
        <v>10.234782608695699</v>
      </c>
      <c r="AU1084"/>
      <c r="AV1084"/>
      <c r="AW1084"/>
      <c r="AX1084"/>
    </row>
    <row r="1085" spans="1:50" s="69" customFormat="1" ht="61">
      <c r="A1085">
        <v>151</v>
      </c>
      <c r="B1085" s="69" t="s">
        <v>217</v>
      </c>
      <c r="C1085" s="69" t="s">
        <v>59</v>
      </c>
      <c r="D1085" s="31">
        <f t="shared" si="85"/>
        <v>5</v>
      </c>
      <c r="E1085" s="69" t="s">
        <v>46</v>
      </c>
      <c r="F1085" s="31">
        <f t="shared" si="86"/>
        <v>6</v>
      </c>
      <c r="G1085" s="137" t="s">
        <v>476</v>
      </c>
      <c r="H1085" s="138">
        <v>30</v>
      </c>
      <c r="I1085" s="92">
        <f t="shared" si="81"/>
        <v>0.34138867397608758</v>
      </c>
      <c r="J1085" s="95">
        <v>9.5916613399316098E-4</v>
      </c>
      <c r="K1085" s="137">
        <v>0.657905119887218</v>
      </c>
      <c r="L1085" s="137">
        <v>0.68181818181818199</v>
      </c>
      <c r="M1085" s="137">
        <v>0.62203552699077302</v>
      </c>
      <c r="N1085" s="136">
        <v>0</v>
      </c>
      <c r="O1085" s="154">
        <v>42734</v>
      </c>
      <c r="P1085" s="98">
        <f t="shared" si="87"/>
        <v>1</v>
      </c>
      <c r="Q1085" s="113">
        <v>0</v>
      </c>
      <c r="R1085" s="113">
        <v>6.6</v>
      </c>
      <c r="S1085" s="113">
        <v>0</v>
      </c>
      <c r="T1085" s="114" t="s">
        <v>5078</v>
      </c>
      <c r="U1085" s="136" t="s">
        <v>478</v>
      </c>
      <c r="V1085" s="137" t="s">
        <v>479</v>
      </c>
      <c r="W1085" s="69">
        <v>93</v>
      </c>
      <c r="X1085" s="69">
        <v>2</v>
      </c>
      <c r="Y1085" s="69">
        <v>7</v>
      </c>
      <c r="Z1085"/>
      <c r="AA1085" t="s">
        <v>4543</v>
      </c>
      <c r="AB1085" t="s">
        <v>87</v>
      </c>
      <c r="AC1085" t="s">
        <v>4515</v>
      </c>
      <c r="AD1085" t="s">
        <v>4779</v>
      </c>
      <c r="AE1085" t="s">
        <v>223</v>
      </c>
      <c r="AF1085" t="s">
        <v>4693</v>
      </c>
      <c r="AG1085" t="s">
        <v>4353</v>
      </c>
      <c r="AH1085" t="s">
        <v>4506</v>
      </c>
      <c r="AI1085" t="s">
        <v>4353</v>
      </c>
      <c r="AJ1085" t="s">
        <v>4506</v>
      </c>
      <c r="AK1085" t="s">
        <v>4519</v>
      </c>
      <c r="AL1085" t="s">
        <v>4519</v>
      </c>
      <c r="AM1085" t="s">
        <v>4562</v>
      </c>
      <c r="AN1085" t="s">
        <v>4563</v>
      </c>
      <c r="AO1085" s="134">
        <v>114.243697478992</v>
      </c>
      <c r="AP1085" s="135">
        <v>88.591304347826096</v>
      </c>
      <c r="AQ1085">
        <v>0.46086956521739098</v>
      </c>
      <c r="AR1085" s="136">
        <v>1.2521739130434799</v>
      </c>
      <c r="AS1085">
        <v>10.234782608695699</v>
      </c>
      <c r="AU1085"/>
      <c r="AV1085"/>
      <c r="AW1085"/>
      <c r="AX1085"/>
    </row>
    <row r="1086" spans="1:50" s="65" customFormat="1" ht="106">
      <c r="A1086">
        <v>887</v>
      </c>
      <c r="B1086" s="69" t="s">
        <v>2355</v>
      </c>
      <c r="C1086" s="69" t="s">
        <v>45</v>
      </c>
      <c r="D1086" s="31">
        <f t="shared" si="85"/>
        <v>4</v>
      </c>
      <c r="E1086" s="69" t="s">
        <v>46</v>
      </c>
      <c r="F1086" s="31">
        <f t="shared" si="86"/>
        <v>6</v>
      </c>
      <c r="G1086" s="147" t="s">
        <v>2415</v>
      </c>
      <c r="H1086" s="138">
        <v>111</v>
      </c>
      <c r="I1086" s="92">
        <f t="shared" si="81"/>
        <v>0.42375053567500937</v>
      </c>
      <c r="J1086" s="95">
        <v>9.7501071350018703E-2</v>
      </c>
      <c r="K1086" s="137">
        <v>0.61439396425041903</v>
      </c>
      <c r="L1086" s="137">
        <v>0.75</v>
      </c>
      <c r="M1086" s="137">
        <v>0.41098491062604903</v>
      </c>
      <c r="N1086" s="136">
        <v>1</v>
      </c>
      <c r="O1086" s="154">
        <v>42731</v>
      </c>
      <c r="P1086" s="98">
        <f t="shared" si="87"/>
        <v>0</v>
      </c>
      <c r="Q1086" s="111">
        <v>0</v>
      </c>
      <c r="R1086" s="111">
        <v>0</v>
      </c>
      <c r="S1086" s="111">
        <v>0</v>
      </c>
      <c r="T1086" s="112" t="s">
        <v>48</v>
      </c>
      <c r="U1086" s="137" t="s">
        <v>2416</v>
      </c>
      <c r="V1086" s="147" t="s">
        <v>2417</v>
      </c>
      <c r="W1086" s="69">
        <v>154</v>
      </c>
      <c r="X1086" s="171">
        <v>3</v>
      </c>
      <c r="Y1086" s="171">
        <v>17</v>
      </c>
      <c r="Z1086" s="69"/>
      <c r="AA1086" t="s">
        <v>4628</v>
      </c>
      <c r="AB1086" t="s">
        <v>51</v>
      </c>
      <c r="AC1086" t="s">
        <v>223</v>
      </c>
      <c r="AD1086" t="s">
        <v>4789</v>
      </c>
      <c r="AE1086" t="s">
        <v>4538</v>
      </c>
      <c r="AF1086" t="s">
        <v>5079</v>
      </c>
      <c r="AG1086" t="s">
        <v>4515</v>
      </c>
      <c r="AH1086" t="s">
        <v>4790</v>
      </c>
      <c r="AI1086" t="s">
        <v>223</v>
      </c>
      <c r="AJ1086" t="s">
        <v>4789</v>
      </c>
      <c r="AK1086" t="s">
        <v>4518</v>
      </c>
      <c r="AL1086" t="s">
        <v>4519</v>
      </c>
      <c r="AM1086" t="s">
        <v>4520</v>
      </c>
      <c r="AN1086" t="s">
        <v>4521</v>
      </c>
      <c r="AO1086" s="132">
        <v>114.27118644067799</v>
      </c>
      <c r="AP1086" s="133">
        <v>88.763157894736807</v>
      </c>
      <c r="AQ1086" s="65">
        <v>0.464912280701754</v>
      </c>
      <c r="AR1086" s="65">
        <v>1.2543859649122799</v>
      </c>
      <c r="AS1086" s="65">
        <v>10.2456140350877</v>
      </c>
    </row>
    <row r="1087" spans="1:50" s="69" customFormat="1" ht="75">
      <c r="A1087" s="65">
        <v>1132</v>
      </c>
      <c r="B1087" s="69" t="s">
        <v>3030</v>
      </c>
      <c r="C1087" s="69" t="s">
        <v>45</v>
      </c>
      <c r="D1087" s="31">
        <f t="shared" si="85"/>
        <v>4</v>
      </c>
      <c r="E1087" s="69" t="s">
        <v>80</v>
      </c>
      <c r="F1087" s="31">
        <f t="shared" si="86"/>
        <v>4</v>
      </c>
      <c r="G1087" s="89" t="s">
        <v>3076</v>
      </c>
      <c r="H1087" s="138">
        <v>122</v>
      </c>
      <c r="I1087" s="92">
        <f t="shared" si="81"/>
        <v>0.87499991423363754</v>
      </c>
      <c r="J1087" s="95">
        <v>0.99999982846727498</v>
      </c>
      <c r="K1087" s="137">
        <v>0.67857142857142805</v>
      </c>
      <c r="L1087" s="137">
        <v>0.75</v>
      </c>
      <c r="M1087" s="137">
        <v>0.57142857142857095</v>
      </c>
      <c r="N1087" s="136">
        <v>1</v>
      </c>
      <c r="O1087" s="157">
        <v>42729</v>
      </c>
      <c r="P1087" s="98">
        <f t="shared" si="87"/>
        <v>2</v>
      </c>
      <c r="Q1087" s="113">
        <v>0</v>
      </c>
      <c r="R1087" s="113">
        <v>0</v>
      </c>
      <c r="S1087" s="113">
        <v>1.87</v>
      </c>
      <c r="T1087" s="119" t="s">
        <v>64</v>
      </c>
      <c r="U1087" s="89" t="s">
        <v>3077</v>
      </c>
      <c r="V1087" s="172" t="s">
        <v>3078</v>
      </c>
      <c r="W1087" s="69">
        <v>64</v>
      </c>
      <c r="X1087" s="69">
        <v>1</v>
      </c>
      <c r="Y1087" s="69">
        <v>9</v>
      </c>
      <c r="AA1087" t="s">
        <v>4603</v>
      </c>
      <c r="AB1087" t="s">
        <v>87</v>
      </c>
      <c r="AC1087" t="s">
        <v>4513</v>
      </c>
      <c r="AD1087" t="s">
        <v>4662</v>
      </c>
      <c r="AE1087" t="s">
        <v>223</v>
      </c>
      <c r="AF1087" t="s">
        <v>4590</v>
      </c>
      <c r="AG1087" t="s">
        <v>4353</v>
      </c>
      <c r="AH1087" t="s">
        <v>4506</v>
      </c>
      <c r="AI1087" t="s">
        <v>4353</v>
      </c>
      <c r="AJ1087" t="s">
        <v>4506</v>
      </c>
      <c r="AK1087" t="s">
        <v>4519</v>
      </c>
      <c r="AL1087" t="s">
        <v>4552</v>
      </c>
      <c r="AM1087" t="s">
        <v>4528</v>
      </c>
      <c r="AN1087" t="s">
        <v>4618</v>
      </c>
      <c r="AO1087" s="134">
        <v>114.20512820512801</v>
      </c>
      <c r="AP1087" s="135">
        <v>88.763157894736807</v>
      </c>
      <c r="AQ1087">
        <v>0.464912280701754</v>
      </c>
      <c r="AR1087" s="136">
        <v>1.2543859649122799</v>
      </c>
      <c r="AS1087">
        <v>10.2456140350877</v>
      </c>
      <c r="AU1087"/>
      <c r="AV1087"/>
      <c r="AW1087"/>
      <c r="AX1087"/>
    </row>
    <row r="1088" spans="1:50" s="69" customFormat="1" ht="61">
      <c r="A1088" s="65">
        <v>53</v>
      </c>
      <c r="B1088" s="136" t="s">
        <v>170</v>
      </c>
      <c r="C1088" s="136" t="s">
        <v>45</v>
      </c>
      <c r="D1088" s="31">
        <f t="shared" si="85"/>
        <v>4</v>
      </c>
      <c r="E1088" s="136" t="s">
        <v>80</v>
      </c>
      <c r="F1088" s="31">
        <f t="shared" si="86"/>
        <v>4</v>
      </c>
      <c r="G1088" s="169" t="s">
        <v>205</v>
      </c>
      <c r="H1088" s="138">
        <v>90</v>
      </c>
      <c r="I1088" s="92">
        <f t="shared" si="81"/>
        <v>0.41270396990254854</v>
      </c>
      <c r="J1088" s="95">
        <v>4.0793980509712402E-4</v>
      </c>
      <c r="K1088" s="137">
        <v>0.68119100647006003</v>
      </c>
      <c r="L1088" s="137">
        <v>0.82499999999999996</v>
      </c>
      <c r="M1088" s="137">
        <v>0.46547751617515098</v>
      </c>
      <c r="N1088" s="136">
        <v>1</v>
      </c>
      <c r="O1088" s="32">
        <v>42726</v>
      </c>
      <c r="P1088" s="98">
        <f t="shared" si="87"/>
        <v>0</v>
      </c>
      <c r="Q1088" s="113">
        <v>2.5499999999999998</v>
      </c>
      <c r="R1088" s="113">
        <v>0</v>
      </c>
      <c r="S1088" s="113">
        <v>0</v>
      </c>
      <c r="T1088" s="114" t="s">
        <v>48</v>
      </c>
      <c r="U1088" s="136" t="s">
        <v>206</v>
      </c>
      <c r="V1088" s="136" t="s">
        <v>207</v>
      </c>
      <c r="W1088" s="69">
        <v>33</v>
      </c>
      <c r="X1088" s="136">
        <v>1</v>
      </c>
      <c r="Y1088" s="136">
        <v>14</v>
      </c>
      <c r="Z1088"/>
      <c r="AA1088" t="s">
        <v>4551</v>
      </c>
      <c r="AB1088" t="s">
        <v>87</v>
      </c>
      <c r="AC1088" t="s">
        <v>223</v>
      </c>
      <c r="AD1088" t="s">
        <v>4517</v>
      </c>
      <c r="AE1088" t="s">
        <v>4353</v>
      </c>
      <c r="AF1088" t="s">
        <v>4506</v>
      </c>
      <c r="AG1088" t="s">
        <v>4353</v>
      </c>
      <c r="AH1088" t="s">
        <v>4506</v>
      </c>
      <c r="AI1088" t="s">
        <v>4353</v>
      </c>
      <c r="AJ1088" t="s">
        <v>4506</v>
      </c>
      <c r="AK1088" t="s">
        <v>4519</v>
      </c>
      <c r="AL1088" t="s">
        <v>4552</v>
      </c>
      <c r="AM1088" t="s">
        <v>4528</v>
      </c>
      <c r="AN1088" t="s">
        <v>4618</v>
      </c>
      <c r="AO1088" s="134">
        <v>114.413793103448</v>
      </c>
      <c r="AP1088" s="135">
        <v>88.938053097345104</v>
      </c>
      <c r="AQ1088">
        <v>0.46902654867256599</v>
      </c>
      <c r="AR1088" s="136">
        <v>1.25663716814159</v>
      </c>
      <c r="AS1088">
        <v>10.2389380530973</v>
      </c>
      <c r="AU1088"/>
      <c r="AV1088"/>
      <c r="AW1088"/>
      <c r="AX1088"/>
    </row>
    <row r="1089" spans="1:50" s="69" customFormat="1" ht="106">
      <c r="A1089" s="65">
        <v>401</v>
      </c>
      <c r="B1089" s="69" t="s">
        <v>589</v>
      </c>
      <c r="C1089" s="69" t="s">
        <v>45</v>
      </c>
      <c r="D1089" s="31">
        <f t="shared" si="85"/>
        <v>4</v>
      </c>
      <c r="E1089" s="69" t="s">
        <v>80</v>
      </c>
      <c r="F1089" s="31">
        <f t="shared" si="86"/>
        <v>4</v>
      </c>
      <c r="G1089" s="147" t="s">
        <v>1151</v>
      </c>
      <c r="H1089" s="138">
        <v>192</v>
      </c>
      <c r="I1089" s="92">
        <f t="shared" si="81"/>
        <v>0.26803557273115036</v>
      </c>
      <c r="J1089" s="95">
        <v>2.3811053938497698E-2</v>
      </c>
      <c r="K1089" s="137">
        <v>0.53592748348570995</v>
      </c>
      <c r="L1089" s="137">
        <v>0.51226009152380303</v>
      </c>
      <c r="M1089" s="137">
        <v>0.57142857142857095</v>
      </c>
      <c r="N1089" s="136">
        <v>1</v>
      </c>
      <c r="O1089" s="154">
        <v>42723</v>
      </c>
      <c r="P1089" s="98">
        <f t="shared" si="87"/>
        <v>0</v>
      </c>
      <c r="Q1089" s="111">
        <v>0</v>
      </c>
      <c r="R1089" s="111">
        <v>0</v>
      </c>
      <c r="S1089" s="111">
        <v>0</v>
      </c>
      <c r="T1089" s="112" t="s">
        <v>48</v>
      </c>
      <c r="U1089" s="137" t="s">
        <v>1157</v>
      </c>
      <c r="V1089" s="137" t="s">
        <v>1158</v>
      </c>
      <c r="W1089" s="69">
        <v>69</v>
      </c>
      <c r="X1089" s="147">
        <v>1</v>
      </c>
      <c r="Y1089" s="147">
        <v>9</v>
      </c>
      <c r="Z1089"/>
      <c r="AA1089" t="s">
        <v>4573</v>
      </c>
      <c r="AB1089" t="s">
        <v>87</v>
      </c>
      <c r="AC1089" t="s">
        <v>4515</v>
      </c>
      <c r="AD1089" t="s">
        <v>4561</v>
      </c>
      <c r="AE1089" t="s">
        <v>4353</v>
      </c>
      <c r="AF1089" t="s">
        <v>4506</v>
      </c>
      <c r="AG1089" t="s">
        <v>4353</v>
      </c>
      <c r="AH1089" t="s">
        <v>4506</v>
      </c>
      <c r="AI1089" t="s">
        <v>4353</v>
      </c>
      <c r="AJ1089" t="s">
        <v>4506</v>
      </c>
      <c r="AK1089" t="s">
        <v>4518</v>
      </c>
      <c r="AL1089" t="s">
        <v>4552</v>
      </c>
      <c r="AM1089" t="s">
        <v>4510</v>
      </c>
      <c r="AN1089" t="s">
        <v>4553</v>
      </c>
      <c r="AO1089" s="134">
        <v>114.46956521739099</v>
      </c>
      <c r="AP1089" s="135">
        <v>88.5</v>
      </c>
      <c r="AQ1089">
        <v>0.47321428571428598</v>
      </c>
      <c r="AR1089" s="136">
        <v>1.2589285714285701</v>
      </c>
      <c r="AS1089">
        <v>10.3214285714286</v>
      </c>
      <c r="AU1089"/>
      <c r="AV1089"/>
      <c r="AW1089"/>
      <c r="AX1089"/>
    </row>
    <row r="1090" spans="1:50" s="69" customFormat="1" ht="106">
      <c r="A1090" s="65">
        <v>400</v>
      </c>
      <c r="B1090" s="69" t="s">
        <v>589</v>
      </c>
      <c r="C1090" s="69" t="s">
        <v>59</v>
      </c>
      <c r="D1090" s="31">
        <f t="shared" si="85"/>
        <v>5</v>
      </c>
      <c r="E1090" s="69" t="s">
        <v>80</v>
      </c>
      <c r="F1090" s="31">
        <f t="shared" si="86"/>
        <v>4</v>
      </c>
      <c r="G1090" s="137" t="s">
        <v>1154</v>
      </c>
      <c r="H1090" s="138">
        <v>108</v>
      </c>
      <c r="I1090" s="92">
        <f t="shared" si="81"/>
        <v>0.30996298217083734</v>
      </c>
      <c r="J1090" s="95">
        <v>9.1253597872653595E-5</v>
      </c>
      <c r="K1090" s="137">
        <v>0.71475796930342395</v>
      </c>
      <c r="L1090" s="137">
        <v>0.61983471074380203</v>
      </c>
      <c r="M1090" s="137">
        <v>0.85714285714285698</v>
      </c>
      <c r="N1090" s="136">
        <v>1</v>
      </c>
      <c r="O1090" s="154">
        <v>42723</v>
      </c>
      <c r="P1090" s="98">
        <f t="shared" si="87"/>
        <v>1</v>
      </c>
      <c r="Q1090" s="107">
        <v>0</v>
      </c>
      <c r="R1090" s="107">
        <v>0</v>
      </c>
      <c r="S1090" s="107">
        <v>0</v>
      </c>
      <c r="T1090" s="108" t="s">
        <v>73</v>
      </c>
      <c r="U1090" s="137" t="s">
        <v>1155</v>
      </c>
      <c r="V1090" s="136" t="s">
        <v>1156</v>
      </c>
      <c r="W1090" s="69">
        <v>138</v>
      </c>
      <c r="X1090" s="69">
        <v>1</v>
      </c>
      <c r="Y1090" s="69">
        <v>1</v>
      </c>
      <c r="Z1090"/>
      <c r="AA1090" t="s">
        <v>4619</v>
      </c>
      <c r="AB1090" t="s">
        <v>87</v>
      </c>
      <c r="AC1090" t="s">
        <v>4538</v>
      </c>
      <c r="AD1090" t="s">
        <v>4760</v>
      </c>
      <c r="AE1090" t="s">
        <v>4353</v>
      </c>
      <c r="AF1090" t="s">
        <v>4506</v>
      </c>
      <c r="AG1090" t="s">
        <v>223</v>
      </c>
      <c r="AH1090" t="s">
        <v>4665</v>
      </c>
      <c r="AI1090" t="s">
        <v>4353</v>
      </c>
      <c r="AJ1090" t="s">
        <v>4506</v>
      </c>
      <c r="AK1090" t="s">
        <v>4519</v>
      </c>
      <c r="AL1090" t="s">
        <v>4552</v>
      </c>
      <c r="AM1090" t="s">
        <v>4562</v>
      </c>
      <c r="AN1090" t="s">
        <v>4742</v>
      </c>
      <c r="AO1090" s="134">
        <v>113.789473684211</v>
      </c>
      <c r="AP1090" s="135">
        <v>88.5</v>
      </c>
      <c r="AQ1090">
        <v>0.47321428571428598</v>
      </c>
      <c r="AR1090" s="136">
        <v>1.2589285714285701</v>
      </c>
      <c r="AS1090">
        <v>10.3214285714286</v>
      </c>
      <c r="AU1090"/>
      <c r="AV1090"/>
      <c r="AW1090"/>
      <c r="AX1090"/>
    </row>
    <row r="1091" spans="1:50" s="69" customFormat="1" ht="61">
      <c r="A1091">
        <v>1071</v>
      </c>
      <c r="B1091" s="69" t="s">
        <v>2833</v>
      </c>
      <c r="C1091" s="69" t="s">
        <v>45</v>
      </c>
      <c r="D1091" s="31">
        <f t="shared" si="85"/>
        <v>4</v>
      </c>
      <c r="E1091" s="69" t="s">
        <v>80</v>
      </c>
      <c r="F1091" s="31">
        <f t="shared" si="86"/>
        <v>4</v>
      </c>
      <c r="G1091" s="139" t="s">
        <v>2910</v>
      </c>
      <c r="H1091" s="138">
        <v>84</v>
      </c>
      <c r="I1091" s="92">
        <f t="shared" si="81"/>
        <v>0.86372759736698845</v>
      </c>
      <c r="J1091" s="95">
        <v>0.81995519473397704</v>
      </c>
      <c r="K1091" s="137">
        <v>0.64757700441676402</v>
      </c>
      <c r="L1091" s="137">
        <v>0.90749999999999997</v>
      </c>
      <c r="M1091" s="137">
        <v>0.25769251104190999</v>
      </c>
      <c r="N1091" s="136">
        <v>1</v>
      </c>
      <c r="O1091" s="157">
        <v>42719</v>
      </c>
      <c r="P1091" s="98">
        <f t="shared" si="87"/>
        <v>0</v>
      </c>
      <c r="Q1091" s="113">
        <v>2.5499999999999998</v>
      </c>
      <c r="R1091" s="113">
        <v>3.3</v>
      </c>
      <c r="S1091" s="113">
        <v>0</v>
      </c>
      <c r="T1091" s="119" t="s">
        <v>48</v>
      </c>
      <c r="U1091" s="89" t="s">
        <v>2911</v>
      </c>
      <c r="V1091" s="172" t="s">
        <v>2912</v>
      </c>
      <c r="W1091" s="69">
        <v>81</v>
      </c>
      <c r="X1091" s="69">
        <v>3</v>
      </c>
      <c r="Y1091" s="69">
        <v>27</v>
      </c>
      <c r="AA1091" t="s">
        <v>4543</v>
      </c>
      <c r="AB1091" t="s">
        <v>87</v>
      </c>
      <c r="AC1091" t="s">
        <v>4515</v>
      </c>
      <c r="AD1091" t="s">
        <v>4729</v>
      </c>
      <c r="AE1091" t="s">
        <v>223</v>
      </c>
      <c r="AF1091" t="s">
        <v>4639</v>
      </c>
      <c r="AG1091" t="s">
        <v>4353</v>
      </c>
      <c r="AH1091" t="s">
        <v>4506</v>
      </c>
      <c r="AI1091" t="s">
        <v>223</v>
      </c>
      <c r="AJ1091" t="s">
        <v>4639</v>
      </c>
      <c r="AK1091" t="s">
        <v>4519</v>
      </c>
      <c r="AL1091" t="s">
        <v>4519</v>
      </c>
      <c r="AM1091" t="s">
        <v>4528</v>
      </c>
      <c r="AN1091" t="s">
        <v>4529</v>
      </c>
      <c r="AO1091" s="134">
        <v>114.053097345133</v>
      </c>
      <c r="AP1091" s="135">
        <v>88.5</v>
      </c>
      <c r="AQ1091">
        <v>0.47321428571428598</v>
      </c>
      <c r="AR1091" s="136">
        <v>1.2589285714285701</v>
      </c>
      <c r="AS1091">
        <v>10.3214285714286</v>
      </c>
      <c r="AU1091"/>
      <c r="AV1091"/>
      <c r="AW1091"/>
      <c r="AX1091"/>
    </row>
    <row r="1092" spans="1:50" s="69" customFormat="1" ht="61">
      <c r="A1092">
        <v>402</v>
      </c>
      <c r="B1092" s="69" t="s">
        <v>589</v>
      </c>
      <c r="C1092" s="69" t="s">
        <v>45</v>
      </c>
      <c r="D1092" s="31">
        <f t="shared" si="85"/>
        <v>4</v>
      </c>
      <c r="E1092" s="69" t="s">
        <v>80</v>
      </c>
      <c r="F1092" s="31">
        <f t="shared" si="86"/>
        <v>4</v>
      </c>
      <c r="G1092" s="137" t="s">
        <v>1159</v>
      </c>
      <c r="H1092" s="138">
        <v>70</v>
      </c>
      <c r="I1092" s="92">
        <f t="shared" ref="I1092:I1155" si="88">(J1092+L1092)/2</f>
        <v>0.87294968890091351</v>
      </c>
      <c r="J1092" s="95">
        <v>0.99589937780182702</v>
      </c>
      <c r="K1092" s="137">
        <v>0.66047858340826304</v>
      </c>
      <c r="L1092" s="137">
        <v>0.75</v>
      </c>
      <c r="M1092" s="137">
        <v>0.526196458520657</v>
      </c>
      <c r="N1092" s="136">
        <v>1</v>
      </c>
      <c r="O1092" s="154">
        <v>42716</v>
      </c>
      <c r="P1092" s="98">
        <f t="shared" si="87"/>
        <v>0</v>
      </c>
      <c r="Q1092" s="107">
        <v>0</v>
      </c>
      <c r="R1092" s="107">
        <v>3.3</v>
      </c>
      <c r="S1092" s="107">
        <v>1.87</v>
      </c>
      <c r="T1092" s="108" t="s">
        <v>48</v>
      </c>
      <c r="U1092" s="137" t="s">
        <v>1160</v>
      </c>
      <c r="V1092" s="137" t="s">
        <v>1158</v>
      </c>
      <c r="W1092" s="69">
        <v>69</v>
      </c>
      <c r="X1092" s="69">
        <v>1</v>
      </c>
      <c r="Y1092" s="69">
        <v>11</v>
      </c>
      <c r="Z1092"/>
      <c r="AA1092" t="s">
        <v>4551</v>
      </c>
      <c r="AB1092" t="s">
        <v>87</v>
      </c>
      <c r="AC1092" t="s">
        <v>4515</v>
      </c>
      <c r="AD1092" t="s">
        <v>4561</v>
      </c>
      <c r="AE1092" t="s">
        <v>4353</v>
      </c>
      <c r="AF1092" t="s">
        <v>4506</v>
      </c>
      <c r="AG1092" t="s">
        <v>4353</v>
      </c>
      <c r="AH1092" t="s">
        <v>4506</v>
      </c>
      <c r="AI1092" t="s">
        <v>4353</v>
      </c>
      <c r="AJ1092" t="s">
        <v>4506</v>
      </c>
      <c r="AK1092" t="s">
        <v>4519</v>
      </c>
      <c r="AL1092" t="s">
        <v>4541</v>
      </c>
      <c r="AM1092" t="s">
        <v>4510</v>
      </c>
      <c r="AN1092" t="s">
        <v>4630</v>
      </c>
      <c r="AO1092" s="134">
        <v>114.446428571429</v>
      </c>
      <c r="AP1092" s="135">
        <v>88.5</v>
      </c>
      <c r="AQ1092">
        <v>0.47321428571428598</v>
      </c>
      <c r="AR1092" s="136">
        <v>1.2589285714285701</v>
      </c>
      <c r="AS1092">
        <v>10.3214285714286</v>
      </c>
      <c r="AU1092"/>
      <c r="AV1092"/>
      <c r="AW1092"/>
      <c r="AX1092"/>
    </row>
    <row r="1093" spans="1:50" s="69" customFormat="1" ht="46">
      <c r="A1093">
        <v>403</v>
      </c>
      <c r="B1093" s="69" t="s">
        <v>589</v>
      </c>
      <c r="C1093" s="69" t="s">
        <v>45</v>
      </c>
      <c r="D1093" s="31">
        <f t="shared" si="85"/>
        <v>4</v>
      </c>
      <c r="E1093" s="69" t="s">
        <v>80</v>
      </c>
      <c r="F1093" s="31">
        <f t="shared" si="86"/>
        <v>4</v>
      </c>
      <c r="G1093" s="137" t="s">
        <v>1159</v>
      </c>
      <c r="H1093" s="138">
        <v>71</v>
      </c>
      <c r="I1093" s="92">
        <f t="shared" si="88"/>
        <v>0.37500081168810834</v>
      </c>
      <c r="J1093" s="95">
        <v>1.6233762166750801E-6</v>
      </c>
      <c r="K1093" s="137">
        <v>0.67857142857142805</v>
      </c>
      <c r="L1093" s="137">
        <v>0.75</v>
      </c>
      <c r="M1093" s="137">
        <v>0.57142857142857095</v>
      </c>
      <c r="N1093" s="136">
        <v>1</v>
      </c>
      <c r="O1093" s="154">
        <v>42703</v>
      </c>
      <c r="P1093" s="98">
        <f t="shared" si="87"/>
        <v>0</v>
      </c>
      <c r="Q1093" s="111">
        <v>5.0999999999999996</v>
      </c>
      <c r="R1093" s="111">
        <v>0</v>
      </c>
      <c r="S1093" s="111">
        <v>1.87</v>
      </c>
      <c r="T1093" s="112" t="s">
        <v>48</v>
      </c>
      <c r="U1093" s="137" t="s">
        <v>1161</v>
      </c>
      <c r="V1093" s="137" t="s">
        <v>1162</v>
      </c>
      <c r="W1093" s="69">
        <v>57</v>
      </c>
      <c r="X1093" s="69">
        <v>1</v>
      </c>
      <c r="Y1093" s="69">
        <v>9</v>
      </c>
      <c r="Z1093"/>
      <c r="AA1093" t="s">
        <v>4551</v>
      </c>
      <c r="AB1093" t="s">
        <v>87</v>
      </c>
      <c r="AC1093" t="s">
        <v>4515</v>
      </c>
      <c r="AD1093" t="s">
        <v>4782</v>
      </c>
      <c r="AE1093" t="s">
        <v>223</v>
      </c>
      <c r="AF1093" t="s">
        <v>4643</v>
      </c>
      <c r="AG1093" t="s">
        <v>4353</v>
      </c>
      <c r="AH1093" t="s">
        <v>4506</v>
      </c>
      <c r="AI1093" t="s">
        <v>4353</v>
      </c>
      <c r="AJ1093" t="s">
        <v>4506</v>
      </c>
      <c r="AK1093" t="s">
        <v>4519</v>
      </c>
      <c r="AL1093" t="s">
        <v>4541</v>
      </c>
      <c r="AM1093" t="s">
        <v>4510</v>
      </c>
      <c r="AN1093" t="s">
        <v>4630</v>
      </c>
      <c r="AO1093" s="134">
        <v>114.83783783783799</v>
      </c>
      <c r="AP1093" s="135">
        <v>88.542056074766293</v>
      </c>
      <c r="AQ1093">
        <v>0.467289719626168</v>
      </c>
      <c r="AR1093" s="136">
        <v>1.2710280373831799</v>
      </c>
      <c r="AS1093">
        <v>10.2616822429907</v>
      </c>
      <c r="AU1093"/>
      <c r="AV1093"/>
      <c r="AW1093"/>
      <c r="AX1093"/>
    </row>
    <row r="1094" spans="1:50" s="69" customFormat="1" ht="106">
      <c r="A1094">
        <v>650</v>
      </c>
      <c r="B1094" s="69" t="s">
        <v>1779</v>
      </c>
      <c r="C1094" s="69" t="s">
        <v>45</v>
      </c>
      <c r="D1094" s="31">
        <f t="shared" si="85"/>
        <v>4</v>
      </c>
      <c r="E1094" s="69" t="s">
        <v>46</v>
      </c>
      <c r="F1094" s="31">
        <f t="shared" si="86"/>
        <v>6</v>
      </c>
      <c r="G1094" s="137" t="s">
        <v>1786</v>
      </c>
      <c r="H1094" s="138">
        <v>95</v>
      </c>
      <c r="I1094" s="92">
        <f t="shared" si="88"/>
        <v>0.37652709107659771</v>
      </c>
      <c r="J1094" s="95">
        <v>3.0541821531954198E-3</v>
      </c>
      <c r="K1094" s="137">
        <v>0.643968498544915</v>
      </c>
      <c r="L1094" s="137">
        <v>0.75</v>
      </c>
      <c r="M1094" s="137">
        <v>0.48492124636228701</v>
      </c>
      <c r="N1094" s="136">
        <v>1</v>
      </c>
      <c r="O1094" s="154">
        <v>42696</v>
      </c>
      <c r="P1094" s="98">
        <f t="shared" si="87"/>
        <v>2</v>
      </c>
      <c r="Q1094" s="111">
        <v>5.0999999999999996</v>
      </c>
      <c r="R1094" s="111">
        <v>0</v>
      </c>
      <c r="S1094" s="111">
        <v>0</v>
      </c>
      <c r="T1094" s="112" t="s">
        <v>64</v>
      </c>
      <c r="U1094" s="137" t="s">
        <v>1787</v>
      </c>
      <c r="V1094" s="137" t="s">
        <v>1788</v>
      </c>
      <c r="W1094" s="69">
        <v>138</v>
      </c>
      <c r="X1094" s="69">
        <v>2</v>
      </c>
      <c r="Y1094" s="69">
        <v>13</v>
      </c>
      <c r="AA1094" t="s">
        <v>4564</v>
      </c>
      <c r="AB1094" t="s">
        <v>4576</v>
      </c>
      <c r="AC1094" t="s">
        <v>4353</v>
      </c>
      <c r="AD1094" t="s">
        <v>4506</v>
      </c>
      <c r="AE1094" t="s">
        <v>223</v>
      </c>
      <c r="AF1094" t="s">
        <v>4633</v>
      </c>
      <c r="AG1094" t="s">
        <v>223</v>
      </c>
      <c r="AH1094" t="s">
        <v>4633</v>
      </c>
      <c r="AI1094" t="s">
        <v>4353</v>
      </c>
      <c r="AJ1094" t="s">
        <v>4506</v>
      </c>
      <c r="AK1094" t="s">
        <v>4519</v>
      </c>
      <c r="AL1094" t="s">
        <v>4519</v>
      </c>
      <c r="AM1094" t="s">
        <v>4528</v>
      </c>
      <c r="AN1094" t="s">
        <v>4529</v>
      </c>
      <c r="AO1094" s="134">
        <v>115.018181818182</v>
      </c>
      <c r="AP1094" s="135">
        <v>88.695238095238096</v>
      </c>
      <c r="AQ1094">
        <v>0.476190476190476</v>
      </c>
      <c r="AR1094" s="136">
        <v>1.2761904761904801</v>
      </c>
      <c r="AS1094">
        <v>10.3238095238095</v>
      </c>
      <c r="AU1094"/>
      <c r="AV1094"/>
      <c r="AW1094"/>
      <c r="AX1094"/>
    </row>
    <row r="1095" spans="1:50" s="69" customFormat="1" ht="76">
      <c r="A1095">
        <v>54</v>
      </c>
      <c r="B1095" s="136" t="s">
        <v>170</v>
      </c>
      <c r="C1095" s="136" t="s">
        <v>45</v>
      </c>
      <c r="D1095" s="31">
        <f t="shared" si="85"/>
        <v>4</v>
      </c>
      <c r="E1095" s="136" t="s">
        <v>46</v>
      </c>
      <c r="F1095" s="31">
        <f t="shared" si="86"/>
        <v>6</v>
      </c>
      <c r="G1095" s="137" t="s">
        <v>208</v>
      </c>
      <c r="H1095" s="138">
        <v>39</v>
      </c>
      <c r="I1095" s="92">
        <f t="shared" si="88"/>
        <v>0.37665396514071631</v>
      </c>
      <c r="J1095" s="95">
        <v>3.30793028143261E-3</v>
      </c>
      <c r="K1095" s="137">
        <v>0.66047858340826304</v>
      </c>
      <c r="L1095" s="137">
        <v>0.75</v>
      </c>
      <c r="M1095" s="137">
        <v>0.526196458520657</v>
      </c>
      <c r="N1095" s="136">
        <v>1</v>
      </c>
      <c r="O1095" s="32">
        <v>42692</v>
      </c>
      <c r="P1095" s="98">
        <f t="shared" si="87"/>
        <v>0</v>
      </c>
      <c r="Q1095" s="113">
        <v>5.0999999999999996</v>
      </c>
      <c r="R1095" s="113">
        <v>0</v>
      </c>
      <c r="S1095" s="113">
        <v>0</v>
      </c>
      <c r="T1095" s="114" t="s">
        <v>48</v>
      </c>
      <c r="U1095" s="136" t="s">
        <v>209</v>
      </c>
      <c r="V1095" s="137" t="s">
        <v>210</v>
      </c>
      <c r="W1095" s="69">
        <v>51</v>
      </c>
      <c r="X1095" s="136">
        <v>3</v>
      </c>
      <c r="Y1095" s="136">
        <v>11</v>
      </c>
      <c r="Z1095"/>
      <c r="AA1095" t="s">
        <v>4556</v>
      </c>
      <c r="AB1095" t="s">
        <v>87</v>
      </c>
      <c r="AC1095" t="s">
        <v>4538</v>
      </c>
      <c r="AD1095" t="s">
        <v>5080</v>
      </c>
      <c r="AE1095" t="s">
        <v>4353</v>
      </c>
      <c r="AF1095" t="s">
        <v>4506</v>
      </c>
      <c r="AG1095" t="s">
        <v>4353</v>
      </c>
      <c r="AH1095" t="s">
        <v>4506</v>
      </c>
      <c r="AI1095" t="s">
        <v>4353</v>
      </c>
      <c r="AJ1095" t="s">
        <v>4506</v>
      </c>
      <c r="AK1095" t="s">
        <v>4519</v>
      </c>
      <c r="AL1095" t="s">
        <v>4541</v>
      </c>
      <c r="AM1095" t="s">
        <v>4528</v>
      </c>
      <c r="AN1095" t="s">
        <v>4542</v>
      </c>
      <c r="AO1095" s="134">
        <v>115.71559633027501</v>
      </c>
      <c r="AP1095" s="135">
        <v>88.542056074766293</v>
      </c>
      <c r="AQ1095">
        <v>0.47115384615384598</v>
      </c>
      <c r="AR1095" s="136">
        <v>1.2307692307692299</v>
      </c>
      <c r="AS1095">
        <v>10.182692307692299</v>
      </c>
      <c r="AU1095"/>
      <c r="AV1095"/>
      <c r="AW1095"/>
      <c r="AX1095"/>
    </row>
    <row r="1096" spans="1:50" s="69" customFormat="1" ht="121">
      <c r="A1096" s="65">
        <v>404</v>
      </c>
      <c r="B1096" s="69" t="s">
        <v>589</v>
      </c>
      <c r="C1096" s="69" t="s">
        <v>45</v>
      </c>
      <c r="D1096" s="31">
        <f t="shared" si="85"/>
        <v>4</v>
      </c>
      <c r="E1096" s="69" t="s">
        <v>80</v>
      </c>
      <c r="F1096" s="31">
        <f t="shared" si="86"/>
        <v>4</v>
      </c>
      <c r="G1096" s="137" t="s">
        <v>1163</v>
      </c>
      <c r="H1096" s="138">
        <v>214</v>
      </c>
      <c r="I1096" s="92">
        <f t="shared" si="88"/>
        <v>0.601970457149544</v>
      </c>
      <c r="J1096" s="95">
        <v>0.37894091429908799</v>
      </c>
      <c r="K1096" s="137">
        <v>0.69705133627784299</v>
      </c>
      <c r="L1096" s="137">
        <v>0.82499999999999996</v>
      </c>
      <c r="M1096" s="137">
        <v>0.50512834069460699</v>
      </c>
      <c r="N1096" s="136">
        <v>1</v>
      </c>
      <c r="O1096" s="154">
        <v>42691</v>
      </c>
      <c r="P1096" s="98">
        <f t="shared" si="87"/>
        <v>0</v>
      </c>
      <c r="Q1096" s="111">
        <v>0</v>
      </c>
      <c r="R1096" s="111">
        <v>0</v>
      </c>
      <c r="S1096" s="111">
        <v>0</v>
      </c>
      <c r="T1096" s="112" t="s">
        <v>48</v>
      </c>
      <c r="U1096" s="137" t="s">
        <v>1164</v>
      </c>
      <c r="V1096" s="137" t="s">
        <v>1165</v>
      </c>
      <c r="W1096" s="69">
        <v>109</v>
      </c>
      <c r="X1096" s="69">
        <v>1</v>
      </c>
      <c r="Y1096" s="69">
        <v>12</v>
      </c>
      <c r="Z1096"/>
      <c r="AA1096" t="s">
        <v>4764</v>
      </c>
      <c r="AB1096" t="s">
        <v>71</v>
      </c>
      <c r="AC1096" t="s">
        <v>4353</v>
      </c>
      <c r="AD1096" t="s">
        <v>4506</v>
      </c>
      <c r="AE1096" t="s">
        <v>223</v>
      </c>
      <c r="AF1096" t="s">
        <v>4681</v>
      </c>
      <c r="AG1096" t="s">
        <v>4515</v>
      </c>
      <c r="AH1096" t="s">
        <v>4750</v>
      </c>
      <c r="AI1096" t="s">
        <v>4353</v>
      </c>
      <c r="AJ1096" t="s">
        <v>4506</v>
      </c>
      <c r="AK1096" t="s">
        <v>4519</v>
      </c>
      <c r="AL1096" t="s">
        <v>4552</v>
      </c>
      <c r="AM1096" t="s">
        <v>4520</v>
      </c>
      <c r="AN1096" t="s">
        <v>4652</v>
      </c>
      <c r="AO1096" s="134">
        <v>114.805555555556</v>
      </c>
      <c r="AP1096" s="135">
        <v>87.882352941176507</v>
      </c>
      <c r="AQ1096">
        <v>0.45098039215686297</v>
      </c>
      <c r="AR1096" s="136">
        <v>1.23529411764706</v>
      </c>
      <c r="AS1096">
        <v>10.0588235294118</v>
      </c>
      <c r="AU1096"/>
      <c r="AV1096"/>
      <c r="AW1096"/>
      <c r="AX1096"/>
    </row>
    <row r="1097" spans="1:50" s="69" customFormat="1" ht="90">
      <c r="A1097" s="65">
        <v>1013</v>
      </c>
      <c r="B1097" s="69" t="s">
        <v>2638</v>
      </c>
      <c r="C1097" s="69" t="s">
        <v>45</v>
      </c>
      <c r="D1097" s="31">
        <f t="shared" si="85"/>
        <v>4</v>
      </c>
      <c r="E1097" s="69" t="s">
        <v>46</v>
      </c>
      <c r="F1097" s="31">
        <f t="shared" si="86"/>
        <v>6</v>
      </c>
      <c r="G1097" s="89" t="s">
        <v>2749</v>
      </c>
      <c r="H1097" s="138">
        <v>107</v>
      </c>
      <c r="I1097" s="92">
        <f t="shared" si="88"/>
        <v>0.25613752088538416</v>
      </c>
      <c r="J1097" s="95">
        <v>1.49502469652951E-5</v>
      </c>
      <c r="K1097" s="137">
        <v>0.57958074191429398</v>
      </c>
      <c r="L1097" s="137">
        <v>0.51226009152380303</v>
      </c>
      <c r="M1097" s="137">
        <v>0.68056171750003003</v>
      </c>
      <c r="N1097" s="136">
        <v>1</v>
      </c>
      <c r="O1097" s="157">
        <v>42691</v>
      </c>
      <c r="P1097" s="98">
        <f t="shared" si="87"/>
        <v>0</v>
      </c>
      <c r="Q1097" s="124">
        <v>2.5499999999999998</v>
      </c>
      <c r="R1097" s="124">
        <v>0</v>
      </c>
      <c r="S1097" s="124">
        <v>0</v>
      </c>
      <c r="T1097" s="125" t="s">
        <v>48</v>
      </c>
      <c r="U1097" s="89" t="s">
        <v>2750</v>
      </c>
      <c r="V1097" s="172" t="s">
        <v>2751</v>
      </c>
      <c r="W1097" s="69">
        <v>78</v>
      </c>
      <c r="X1097" s="69">
        <v>1</v>
      </c>
      <c r="Y1097" s="69">
        <v>5</v>
      </c>
      <c r="AA1097" t="s">
        <v>4673</v>
      </c>
      <c r="AB1097" t="s">
        <v>87</v>
      </c>
      <c r="AC1097" t="s">
        <v>223</v>
      </c>
      <c r="AD1097" t="s">
        <v>4635</v>
      </c>
      <c r="AE1097" t="s">
        <v>4353</v>
      </c>
      <c r="AF1097" t="s">
        <v>4506</v>
      </c>
      <c r="AG1097" t="s">
        <v>4353</v>
      </c>
      <c r="AH1097" t="s">
        <v>4506</v>
      </c>
      <c r="AI1097" t="s">
        <v>4353</v>
      </c>
      <c r="AJ1097" t="s">
        <v>4506</v>
      </c>
      <c r="AK1097" t="s">
        <v>4519</v>
      </c>
      <c r="AL1097" t="s">
        <v>4519</v>
      </c>
      <c r="AM1097" t="s">
        <v>4520</v>
      </c>
      <c r="AN1097" t="s">
        <v>4558</v>
      </c>
      <c r="AO1097" s="134">
        <v>114.87850467289699</v>
      </c>
      <c r="AP1097" s="135">
        <v>87.882352941176507</v>
      </c>
      <c r="AQ1097">
        <v>0.45098039215686297</v>
      </c>
      <c r="AR1097" s="136">
        <v>1.23529411764706</v>
      </c>
      <c r="AS1097">
        <v>10.0588235294118</v>
      </c>
      <c r="AU1097"/>
      <c r="AV1097"/>
      <c r="AW1097"/>
      <c r="AX1097"/>
    </row>
    <row r="1098" spans="1:50" s="69" customFormat="1" ht="91">
      <c r="A1098" s="65">
        <v>405</v>
      </c>
      <c r="B1098" s="69" t="s">
        <v>589</v>
      </c>
      <c r="C1098" s="69" t="s">
        <v>45</v>
      </c>
      <c r="D1098" s="31">
        <f t="shared" si="85"/>
        <v>4</v>
      </c>
      <c r="E1098" s="69" t="s">
        <v>46</v>
      </c>
      <c r="F1098" s="31">
        <f t="shared" si="86"/>
        <v>6</v>
      </c>
      <c r="G1098" s="147" t="s">
        <v>1166</v>
      </c>
      <c r="H1098" s="138">
        <v>172</v>
      </c>
      <c r="I1098" s="92">
        <f t="shared" si="88"/>
        <v>0.49938781252144504</v>
      </c>
      <c r="J1098" s="95">
        <v>0.37894091429908799</v>
      </c>
      <c r="K1098" s="137">
        <v>0.56586932499119602</v>
      </c>
      <c r="L1098" s="137">
        <v>0.61983471074380203</v>
      </c>
      <c r="M1098" s="137">
        <v>0.48492124636228701</v>
      </c>
      <c r="N1098" s="136">
        <v>1</v>
      </c>
      <c r="O1098" s="154">
        <v>42690</v>
      </c>
      <c r="P1098" s="98">
        <f t="shared" si="87"/>
        <v>0</v>
      </c>
      <c r="Q1098" s="111">
        <v>5.0999999999999996</v>
      </c>
      <c r="R1098" s="111">
        <v>0</v>
      </c>
      <c r="S1098" s="111">
        <v>0</v>
      </c>
      <c r="T1098" s="112" t="s">
        <v>48</v>
      </c>
      <c r="U1098" s="137" t="s">
        <v>1167</v>
      </c>
      <c r="V1098" s="137" t="s">
        <v>1168</v>
      </c>
      <c r="W1098" s="69">
        <v>83</v>
      </c>
      <c r="X1098" s="171">
        <v>1</v>
      </c>
      <c r="Y1098" s="171">
        <v>13</v>
      </c>
      <c r="Z1098"/>
      <c r="AA1098" t="s">
        <v>4564</v>
      </c>
      <c r="AB1098" t="s">
        <v>51</v>
      </c>
      <c r="AC1098" t="s">
        <v>223</v>
      </c>
      <c r="AD1098" t="s">
        <v>4555</v>
      </c>
      <c r="AE1098" t="s">
        <v>4530</v>
      </c>
      <c r="AF1098" t="s">
        <v>4577</v>
      </c>
      <c r="AG1098" t="s">
        <v>4353</v>
      </c>
      <c r="AH1098" t="s">
        <v>4506</v>
      </c>
      <c r="AI1098" t="s">
        <v>4353</v>
      </c>
      <c r="AJ1098" t="s">
        <v>4506</v>
      </c>
      <c r="AK1098" t="s">
        <v>4519</v>
      </c>
      <c r="AL1098" t="s">
        <v>4519</v>
      </c>
      <c r="AM1098" t="s">
        <v>4898</v>
      </c>
      <c r="AN1098" t="s">
        <v>4899</v>
      </c>
      <c r="AO1098" s="134">
        <v>114.339622641509</v>
      </c>
      <c r="AP1098" s="135">
        <v>87.882352941176507</v>
      </c>
      <c r="AQ1098">
        <v>0.45098039215686297</v>
      </c>
      <c r="AR1098" s="136">
        <v>1.23529411764706</v>
      </c>
      <c r="AS1098">
        <v>10.0588235294118</v>
      </c>
      <c r="AU1098"/>
      <c r="AV1098"/>
      <c r="AW1098"/>
      <c r="AX1098"/>
    </row>
    <row r="1099" spans="1:50" s="69" customFormat="1" ht="61">
      <c r="A1099">
        <v>406</v>
      </c>
      <c r="B1099" s="69" t="s">
        <v>589</v>
      </c>
      <c r="C1099" s="69" t="s">
        <v>45</v>
      </c>
      <c r="D1099" s="31">
        <f t="shared" si="85"/>
        <v>4</v>
      </c>
      <c r="E1099" s="69" t="s">
        <v>80</v>
      </c>
      <c r="F1099" s="31">
        <f t="shared" si="86"/>
        <v>4</v>
      </c>
      <c r="G1099" s="137" t="s">
        <v>1169</v>
      </c>
      <c r="H1099" s="138">
        <v>33</v>
      </c>
      <c r="I1099" s="92">
        <f t="shared" si="88"/>
        <v>0.34090913941471379</v>
      </c>
      <c r="J1099" s="95">
        <v>9.7011245592248901E-8</v>
      </c>
      <c r="K1099" s="137">
        <v>0.63766233766233804</v>
      </c>
      <c r="L1099" s="137">
        <v>0.68181818181818199</v>
      </c>
      <c r="M1099" s="137">
        <v>0.57142857142857095</v>
      </c>
      <c r="N1099" s="136">
        <v>1</v>
      </c>
      <c r="O1099" s="154">
        <v>42690</v>
      </c>
      <c r="P1099" s="98">
        <f t="shared" si="87"/>
        <v>0</v>
      </c>
      <c r="Q1099" s="111">
        <v>7.65</v>
      </c>
      <c r="R1099" s="111">
        <v>3.3</v>
      </c>
      <c r="S1099" s="111">
        <v>0</v>
      </c>
      <c r="T1099" s="112" t="s">
        <v>48</v>
      </c>
      <c r="U1099" s="147" t="s">
        <v>1170</v>
      </c>
      <c r="V1099" s="137" t="s">
        <v>1168</v>
      </c>
      <c r="W1099" s="69">
        <v>83</v>
      </c>
      <c r="X1099" s="147">
        <v>1</v>
      </c>
      <c r="Y1099" s="147">
        <v>9</v>
      </c>
      <c r="Z1099"/>
      <c r="AA1099" t="s">
        <v>4543</v>
      </c>
      <c r="AB1099" t="s">
        <v>51</v>
      </c>
      <c r="AC1099" t="s">
        <v>223</v>
      </c>
      <c r="AD1099" t="s">
        <v>4555</v>
      </c>
      <c r="AE1099" t="s">
        <v>4530</v>
      </c>
      <c r="AF1099" t="s">
        <v>4577</v>
      </c>
      <c r="AG1099" t="s">
        <v>4353</v>
      </c>
      <c r="AH1099" t="s">
        <v>4506</v>
      </c>
      <c r="AI1099" t="s">
        <v>4353</v>
      </c>
      <c r="AJ1099" t="s">
        <v>4506</v>
      </c>
      <c r="AK1099" t="s">
        <v>4519</v>
      </c>
      <c r="AL1099" t="s">
        <v>4519</v>
      </c>
      <c r="AM1099" t="s">
        <v>4592</v>
      </c>
      <c r="AN1099" t="s">
        <v>4626</v>
      </c>
      <c r="AO1099" s="134">
        <v>115.114285714286</v>
      </c>
      <c r="AP1099" s="135">
        <v>87.882352941176507</v>
      </c>
      <c r="AQ1099">
        <v>0.45098039215686297</v>
      </c>
      <c r="AR1099" s="136">
        <v>1.23529411764706</v>
      </c>
      <c r="AS1099">
        <v>10.0588235294118</v>
      </c>
      <c r="AU1099"/>
      <c r="AV1099"/>
      <c r="AW1099"/>
      <c r="AX1099"/>
    </row>
    <row r="1100" spans="1:50" s="69" customFormat="1" ht="61">
      <c r="A1100">
        <v>638</v>
      </c>
      <c r="B1100" s="69" t="s">
        <v>1707</v>
      </c>
      <c r="C1100" s="69" t="s">
        <v>45</v>
      </c>
      <c r="D1100" s="31">
        <f t="shared" si="85"/>
        <v>4</v>
      </c>
      <c r="E1100" s="69" t="s">
        <v>80</v>
      </c>
      <c r="F1100" s="31">
        <f t="shared" si="86"/>
        <v>4</v>
      </c>
      <c r="G1100" s="169" t="s">
        <v>1756</v>
      </c>
      <c r="H1100" s="138">
        <v>113</v>
      </c>
      <c r="I1100" s="92">
        <f t="shared" si="88"/>
        <v>0.38361857581898723</v>
      </c>
      <c r="J1100" s="95">
        <v>8.5418969819792495E-2</v>
      </c>
      <c r="K1100" s="137">
        <v>0.61114224536875195</v>
      </c>
      <c r="L1100" s="137">
        <v>0.68181818181818199</v>
      </c>
      <c r="M1100" s="137">
        <v>0.50512834069460699</v>
      </c>
      <c r="N1100" s="136">
        <v>0</v>
      </c>
      <c r="O1100" s="154">
        <v>42679</v>
      </c>
      <c r="P1100" s="98">
        <f t="shared" si="87"/>
        <v>0</v>
      </c>
      <c r="Q1100" s="111">
        <v>0</v>
      </c>
      <c r="R1100" s="111">
        <v>0</v>
      </c>
      <c r="S1100" s="111">
        <v>0</v>
      </c>
      <c r="T1100" s="112" t="s">
        <v>48</v>
      </c>
      <c r="U1100" s="137" t="s">
        <v>1762</v>
      </c>
      <c r="V1100" s="137" t="s">
        <v>1763</v>
      </c>
      <c r="W1100" s="69">
        <v>79</v>
      </c>
      <c r="X1100" s="69">
        <v>1</v>
      </c>
      <c r="Y1100" s="69">
        <v>12</v>
      </c>
      <c r="AA1100" t="s">
        <v>4628</v>
      </c>
      <c r="AB1100" t="s">
        <v>87</v>
      </c>
      <c r="AC1100" t="s">
        <v>4538</v>
      </c>
      <c r="AD1100" t="s">
        <v>5081</v>
      </c>
      <c r="AE1100" t="s">
        <v>4353</v>
      </c>
      <c r="AF1100" t="s">
        <v>4506</v>
      </c>
      <c r="AG1100" t="s">
        <v>223</v>
      </c>
      <c r="AH1100" t="s">
        <v>4631</v>
      </c>
      <c r="AI1100" t="s">
        <v>4353</v>
      </c>
      <c r="AJ1100" t="s">
        <v>4506</v>
      </c>
      <c r="AK1100" t="s">
        <v>4519</v>
      </c>
      <c r="AL1100" t="s">
        <v>4740</v>
      </c>
      <c r="AM1100" t="s">
        <v>4528</v>
      </c>
      <c r="AN1100" t="s">
        <v>4817</v>
      </c>
      <c r="AO1100" s="134">
        <v>115.134615384615</v>
      </c>
      <c r="AP1100" s="135">
        <v>88.42</v>
      </c>
      <c r="AQ1100">
        <v>0.44</v>
      </c>
      <c r="AR1100" s="136">
        <v>1.23</v>
      </c>
      <c r="AS1100">
        <v>9.86</v>
      </c>
      <c r="AU1100"/>
      <c r="AV1100"/>
      <c r="AW1100"/>
      <c r="AX1100"/>
    </row>
    <row r="1101" spans="1:50" s="69" customFormat="1" ht="46">
      <c r="A1101" s="65">
        <v>9</v>
      </c>
      <c r="B1101" s="136" t="s">
        <v>44</v>
      </c>
      <c r="C1101" s="136" t="s">
        <v>45</v>
      </c>
      <c r="D1101" s="31">
        <f t="shared" si="85"/>
        <v>4</v>
      </c>
      <c r="E1101" s="136" t="s">
        <v>80</v>
      </c>
      <c r="F1101" s="31">
        <f t="shared" si="86"/>
        <v>4</v>
      </c>
      <c r="G1101" s="136" t="s">
        <v>81</v>
      </c>
      <c r="H1101" s="138">
        <v>63</v>
      </c>
      <c r="I1101" s="92">
        <f t="shared" si="88"/>
        <v>0.39182613295987878</v>
      </c>
      <c r="J1101" s="95">
        <v>3.3652265919757597E-2</v>
      </c>
      <c r="K1101" s="137">
        <v>0.85</v>
      </c>
      <c r="L1101" s="137">
        <v>0.75</v>
      </c>
      <c r="M1101" s="137">
        <v>1</v>
      </c>
      <c r="N1101" s="136">
        <v>1</v>
      </c>
      <c r="O1101" s="239">
        <v>42674</v>
      </c>
      <c r="P1101" s="98">
        <f t="shared" si="87"/>
        <v>1</v>
      </c>
      <c r="Q1101" s="113">
        <v>0</v>
      </c>
      <c r="R1101" s="113">
        <v>3.3</v>
      </c>
      <c r="S1101" s="113">
        <v>1.87</v>
      </c>
      <c r="T1101" s="114" t="s">
        <v>73</v>
      </c>
      <c r="U1101" s="136" t="s">
        <v>82</v>
      </c>
      <c r="V1101" s="167" t="s">
        <v>83</v>
      </c>
      <c r="W1101" s="69">
        <v>24</v>
      </c>
      <c r="X1101" s="136">
        <v>1</v>
      </c>
      <c r="Y1101" s="136">
        <v>0</v>
      </c>
      <c r="Z1101"/>
      <c r="AA1101" t="s">
        <v>4512</v>
      </c>
      <c r="AB1101" t="s">
        <v>67</v>
      </c>
      <c r="AC1101" t="s">
        <v>4353</v>
      </c>
      <c r="AD1101" t="s">
        <v>4506</v>
      </c>
      <c r="AE1101" t="s">
        <v>4353</v>
      </c>
      <c r="AF1101" t="s">
        <v>4506</v>
      </c>
      <c r="AG1101" t="s">
        <v>4353</v>
      </c>
      <c r="AH1101" t="s">
        <v>4506</v>
      </c>
      <c r="AI1101" t="s">
        <v>4353</v>
      </c>
      <c r="AJ1101" t="s">
        <v>4506</v>
      </c>
      <c r="AK1101" t="s">
        <v>4519</v>
      </c>
      <c r="AL1101" t="s">
        <v>4552</v>
      </c>
      <c r="AM1101" t="s">
        <v>4528</v>
      </c>
      <c r="AN1101" t="s">
        <v>4618</v>
      </c>
      <c r="AO1101" s="134">
        <v>115.640776699029</v>
      </c>
      <c r="AP1101" s="135">
        <v>87.4375</v>
      </c>
      <c r="AQ1101">
        <v>0.4375</v>
      </c>
      <c r="AR1101" s="136">
        <v>1.2083333333333299</v>
      </c>
      <c r="AS1101">
        <v>9.9270833333333304</v>
      </c>
      <c r="AU1101"/>
      <c r="AV1101"/>
      <c r="AW1101"/>
      <c r="AX1101"/>
    </row>
    <row r="1102" spans="1:50" s="69" customFormat="1" ht="151">
      <c r="A1102">
        <v>639</v>
      </c>
      <c r="B1102" s="69" t="s">
        <v>1707</v>
      </c>
      <c r="C1102" s="69" t="s">
        <v>45</v>
      </c>
      <c r="D1102" s="31">
        <f t="shared" si="85"/>
        <v>4</v>
      </c>
      <c r="E1102" s="69" t="s">
        <v>46</v>
      </c>
      <c r="F1102" s="31">
        <f t="shared" si="86"/>
        <v>6</v>
      </c>
      <c r="G1102" s="137" t="s">
        <v>4408</v>
      </c>
      <c r="H1102" s="138">
        <v>265</v>
      </c>
      <c r="I1102" s="92">
        <f t="shared" si="88"/>
        <v>0.429401276338641</v>
      </c>
      <c r="J1102" s="95">
        <v>0.10880255267728201</v>
      </c>
      <c r="K1102" s="137">
        <v>0.58813853171680897</v>
      </c>
      <c r="L1102" s="137">
        <v>0.75</v>
      </c>
      <c r="M1102" s="137">
        <v>0.34534632929202302</v>
      </c>
      <c r="N1102" s="136">
        <v>1</v>
      </c>
      <c r="O1102" s="154">
        <v>42670</v>
      </c>
      <c r="P1102" s="98">
        <f t="shared" si="87"/>
        <v>0</v>
      </c>
      <c r="Q1102" s="111">
        <v>2.5499999999999998</v>
      </c>
      <c r="R1102" s="111">
        <v>0</v>
      </c>
      <c r="S1102" s="111">
        <v>0</v>
      </c>
      <c r="T1102" s="112" t="s">
        <v>48</v>
      </c>
      <c r="U1102" s="136" t="s">
        <v>4409</v>
      </c>
      <c r="V1102" s="137" t="s">
        <v>1766</v>
      </c>
      <c r="W1102" s="69">
        <v>80</v>
      </c>
      <c r="X1102" s="69">
        <v>4</v>
      </c>
      <c r="Y1102" s="69">
        <v>21</v>
      </c>
      <c r="AA1102" t="s">
        <v>4543</v>
      </c>
      <c r="AB1102" t="s">
        <v>4566</v>
      </c>
      <c r="AC1102" t="s">
        <v>4353</v>
      </c>
      <c r="AD1102" t="s">
        <v>4506</v>
      </c>
      <c r="AE1102" t="s">
        <v>223</v>
      </c>
      <c r="AF1102" t="s">
        <v>4555</v>
      </c>
      <c r="AG1102" t="s">
        <v>4353</v>
      </c>
      <c r="AH1102" t="s">
        <v>4506</v>
      </c>
      <c r="AI1102" t="s">
        <v>223</v>
      </c>
      <c r="AJ1102" t="s">
        <v>4555</v>
      </c>
      <c r="AK1102" t="s">
        <v>4519</v>
      </c>
      <c r="AL1102" t="s">
        <v>4552</v>
      </c>
      <c r="AM1102" t="s">
        <v>4528</v>
      </c>
      <c r="AN1102" t="s">
        <v>4618</v>
      </c>
      <c r="AO1102" s="134">
        <v>114.17647058823501</v>
      </c>
      <c r="AP1102" s="135">
        <v>86.744444444444397</v>
      </c>
      <c r="AQ1102">
        <v>0.46666666666666701</v>
      </c>
      <c r="AR1102" s="136">
        <v>1.2222222222222201</v>
      </c>
      <c r="AS1102">
        <v>10.155555555555599</v>
      </c>
      <c r="AU1102"/>
      <c r="AV1102"/>
      <c r="AW1102"/>
      <c r="AX1102"/>
    </row>
    <row r="1103" spans="1:50" s="69" customFormat="1" ht="271">
      <c r="A1103">
        <v>55</v>
      </c>
      <c r="B1103" s="136" t="s">
        <v>170</v>
      </c>
      <c r="C1103" s="136" t="s">
        <v>45</v>
      </c>
      <c r="D1103" s="31">
        <f t="shared" si="85"/>
        <v>4</v>
      </c>
      <c r="E1103" s="136" t="s">
        <v>46</v>
      </c>
      <c r="F1103" s="31">
        <f t="shared" si="86"/>
        <v>6</v>
      </c>
      <c r="G1103" s="137" t="s">
        <v>4351</v>
      </c>
      <c r="H1103" s="138">
        <v>454</v>
      </c>
      <c r="I1103" s="92">
        <f t="shared" si="88"/>
        <v>0.874999999999998</v>
      </c>
      <c r="J1103" s="95">
        <v>0.999999999999996</v>
      </c>
      <c r="K1103" s="137">
        <v>0.67857142857142805</v>
      </c>
      <c r="L1103" s="137">
        <v>0.75</v>
      </c>
      <c r="M1103" s="137">
        <v>0.57142857142857095</v>
      </c>
      <c r="N1103" s="136">
        <v>1</v>
      </c>
      <c r="O1103" s="154">
        <v>42669</v>
      </c>
      <c r="P1103" s="98">
        <f t="shared" si="87"/>
        <v>0</v>
      </c>
      <c r="Q1103" s="113">
        <v>5.0999999999999996</v>
      </c>
      <c r="R1103" s="113">
        <v>1.65</v>
      </c>
      <c r="S1103" s="113">
        <v>0</v>
      </c>
      <c r="T1103" s="114" t="s">
        <v>48</v>
      </c>
      <c r="U1103" s="136" t="s">
        <v>4352</v>
      </c>
      <c r="V1103" s="136" t="s">
        <v>213</v>
      </c>
      <c r="W1103" s="69">
        <v>67</v>
      </c>
      <c r="X1103" s="136">
        <v>2</v>
      </c>
      <c r="Y1103" s="136">
        <v>9</v>
      </c>
      <c r="Z1103"/>
      <c r="AA1103" t="s">
        <v>4603</v>
      </c>
      <c r="AB1103" t="s">
        <v>87</v>
      </c>
      <c r="AC1103" t="s">
        <v>4530</v>
      </c>
      <c r="AD1103" t="s">
        <v>5082</v>
      </c>
      <c r="AE1103" t="s">
        <v>4353</v>
      </c>
      <c r="AF1103" t="s">
        <v>4506</v>
      </c>
      <c r="AG1103" t="s">
        <v>4353</v>
      </c>
      <c r="AH1103" t="s">
        <v>4506</v>
      </c>
      <c r="AI1103" t="s">
        <v>4353</v>
      </c>
      <c r="AJ1103" t="s">
        <v>4506</v>
      </c>
      <c r="AK1103" t="s">
        <v>4519</v>
      </c>
      <c r="AL1103" t="s">
        <v>4519</v>
      </c>
      <c r="AM1103" t="s">
        <v>4510</v>
      </c>
      <c r="AN1103" t="s">
        <v>4550</v>
      </c>
      <c r="AO1103" s="134">
        <v>110.811881188119</v>
      </c>
      <c r="AP1103" s="135">
        <v>86.651685393258404</v>
      </c>
      <c r="AQ1103">
        <v>0.47191011235955099</v>
      </c>
      <c r="AR1103" s="136">
        <v>1.2247191011236001</v>
      </c>
      <c r="AS1103">
        <v>10.247191011236</v>
      </c>
      <c r="AU1103"/>
      <c r="AV1103"/>
      <c r="AW1103"/>
      <c r="AX1103"/>
    </row>
    <row r="1104" spans="1:50" s="69" customFormat="1" ht="31">
      <c r="A1104" s="65">
        <v>796</v>
      </c>
      <c r="B1104" s="69" t="s">
        <v>2147</v>
      </c>
      <c r="C1104" s="69" t="s">
        <v>45</v>
      </c>
      <c r="D1104" s="31">
        <f t="shared" si="85"/>
        <v>4</v>
      </c>
      <c r="E1104" s="69" t="s">
        <v>80</v>
      </c>
      <c r="F1104" s="31">
        <f t="shared" si="86"/>
        <v>4</v>
      </c>
      <c r="G1104" s="169" t="s">
        <v>2173</v>
      </c>
      <c r="H1104" s="138">
        <v>32</v>
      </c>
      <c r="I1104" s="92">
        <f t="shared" si="88"/>
        <v>0.37500002476222449</v>
      </c>
      <c r="J1104" s="95">
        <v>4.9524448986204601E-8</v>
      </c>
      <c r="K1104" s="137">
        <v>0.63619100647005999</v>
      </c>
      <c r="L1104" s="137">
        <v>0.75</v>
      </c>
      <c r="M1104" s="137">
        <v>0.46547751617515098</v>
      </c>
      <c r="N1104" s="136">
        <v>1</v>
      </c>
      <c r="O1104" s="154">
        <v>42669</v>
      </c>
      <c r="P1104" s="98">
        <f t="shared" si="87"/>
        <v>1</v>
      </c>
      <c r="Q1104" s="111">
        <v>2.5499999999999998</v>
      </c>
      <c r="R1104" s="111">
        <v>0</v>
      </c>
      <c r="S1104" s="111">
        <v>0</v>
      </c>
      <c r="T1104" s="112" t="s">
        <v>73</v>
      </c>
      <c r="U1104" s="137" t="s">
        <v>2174</v>
      </c>
      <c r="V1104" s="137" t="s">
        <v>2175</v>
      </c>
      <c r="W1104" s="69">
        <v>41</v>
      </c>
      <c r="X1104" s="69">
        <v>2</v>
      </c>
      <c r="Y1104" s="69">
        <v>14</v>
      </c>
      <c r="AA1104" t="s">
        <v>4556</v>
      </c>
      <c r="AB1104" t="s">
        <v>87</v>
      </c>
      <c r="AC1104" t="s">
        <v>4515</v>
      </c>
      <c r="AD1104" t="s">
        <v>4651</v>
      </c>
      <c r="AE1104" t="s">
        <v>223</v>
      </c>
      <c r="AF1104" t="s">
        <v>4537</v>
      </c>
      <c r="AG1104" t="s">
        <v>4353</v>
      </c>
      <c r="AH1104" t="s">
        <v>4506</v>
      </c>
      <c r="AI1104" t="s">
        <v>4353</v>
      </c>
      <c r="AJ1104" t="s">
        <v>4506</v>
      </c>
      <c r="AK1104" t="s">
        <v>4519</v>
      </c>
      <c r="AL1104" t="s">
        <v>4552</v>
      </c>
      <c r="AM1104" t="s">
        <v>4528</v>
      </c>
      <c r="AN1104" t="s">
        <v>4618</v>
      </c>
      <c r="AO1104" s="134">
        <v>111.6</v>
      </c>
      <c r="AP1104" s="135">
        <v>86.651685393258404</v>
      </c>
      <c r="AQ1104">
        <v>0.47191011235955099</v>
      </c>
      <c r="AR1104" s="136">
        <v>1.2247191011236001</v>
      </c>
      <c r="AS1104">
        <v>10.247191011236</v>
      </c>
      <c r="AU1104"/>
      <c r="AV1104"/>
      <c r="AW1104"/>
      <c r="AX1104"/>
    </row>
    <row r="1105" spans="1:50" s="69" customFormat="1" ht="166">
      <c r="A1105" s="65">
        <v>152</v>
      </c>
      <c r="B1105" s="69" t="s">
        <v>217</v>
      </c>
      <c r="C1105" s="69" t="s">
        <v>45</v>
      </c>
      <c r="D1105" s="31">
        <f t="shared" si="85"/>
        <v>4</v>
      </c>
      <c r="E1105" s="69" t="s">
        <v>46</v>
      </c>
      <c r="F1105" s="31">
        <f t="shared" si="86"/>
        <v>6</v>
      </c>
      <c r="G1105" s="137" t="s">
        <v>480</v>
      </c>
      <c r="H1105" s="138">
        <v>288</v>
      </c>
      <c r="I1105" s="92">
        <f t="shared" si="88"/>
        <v>0.87494012636886742</v>
      </c>
      <c r="J1105" s="95">
        <v>0.99988025273773495</v>
      </c>
      <c r="K1105" s="137">
        <v>0.75102566813892102</v>
      </c>
      <c r="L1105" s="137">
        <v>0.75</v>
      </c>
      <c r="M1105" s="137">
        <v>0.75256417034730305</v>
      </c>
      <c r="N1105" s="136">
        <v>1</v>
      </c>
      <c r="O1105" s="154">
        <v>42668</v>
      </c>
      <c r="P1105" s="98">
        <f t="shared" si="87"/>
        <v>0</v>
      </c>
      <c r="Q1105" s="113">
        <v>2.5499999999999998</v>
      </c>
      <c r="R1105" s="113">
        <v>4.95</v>
      </c>
      <c r="S1105" s="113">
        <v>0</v>
      </c>
      <c r="T1105" s="114" t="s">
        <v>48</v>
      </c>
      <c r="U1105" s="136" t="s">
        <v>4360</v>
      </c>
      <c r="V1105" s="137" t="s">
        <v>482</v>
      </c>
      <c r="W1105" s="69">
        <v>84</v>
      </c>
      <c r="X1105" s="69">
        <v>1</v>
      </c>
      <c r="Y1105" s="69">
        <v>3</v>
      </c>
      <c r="Z1105"/>
      <c r="AA1105" t="s">
        <v>4556</v>
      </c>
      <c r="AB1105" t="s">
        <v>87</v>
      </c>
      <c r="AC1105" t="s">
        <v>4513</v>
      </c>
      <c r="AD1105" t="s">
        <v>4920</v>
      </c>
      <c r="AE1105" t="s">
        <v>4515</v>
      </c>
      <c r="AF1105" t="s">
        <v>4737</v>
      </c>
      <c r="AG1105" t="s">
        <v>4515</v>
      </c>
      <c r="AH1105" t="s">
        <v>4737</v>
      </c>
      <c r="AI1105" t="s">
        <v>4353</v>
      </c>
      <c r="AJ1105" t="s">
        <v>4506</v>
      </c>
      <c r="AK1105" t="s">
        <v>4519</v>
      </c>
      <c r="AL1105" t="s">
        <v>4541</v>
      </c>
      <c r="AM1105" t="s">
        <v>4528</v>
      </c>
      <c r="AN1105" t="s">
        <v>4542</v>
      </c>
      <c r="AO1105" s="134">
        <v>109.818181818182</v>
      </c>
      <c r="AP1105" s="135">
        <v>86.651685393258404</v>
      </c>
      <c r="AQ1105">
        <v>0.47191011235955099</v>
      </c>
      <c r="AR1105" s="136">
        <v>1.2247191011236001</v>
      </c>
      <c r="AS1105">
        <v>10.247191011236</v>
      </c>
      <c r="AU1105"/>
      <c r="AV1105"/>
      <c r="AW1105"/>
      <c r="AX1105"/>
    </row>
    <row r="1106" spans="1:50" s="69" customFormat="1" ht="166">
      <c r="A1106" s="65">
        <v>189</v>
      </c>
      <c r="B1106" s="69" t="s">
        <v>499</v>
      </c>
      <c r="C1106" s="69" t="s">
        <v>45</v>
      </c>
      <c r="D1106" s="31">
        <f t="shared" si="85"/>
        <v>4</v>
      </c>
      <c r="E1106" s="69" t="s">
        <v>46</v>
      </c>
      <c r="F1106" s="31">
        <f t="shared" si="86"/>
        <v>6</v>
      </c>
      <c r="G1106" s="169" t="s">
        <v>480</v>
      </c>
      <c r="H1106" s="138">
        <v>288</v>
      </c>
      <c r="I1106" s="92">
        <f t="shared" si="88"/>
        <v>0.87494012636886742</v>
      </c>
      <c r="J1106" s="95">
        <v>0.99988025273773495</v>
      </c>
      <c r="K1106" s="137">
        <v>0.75102566813892102</v>
      </c>
      <c r="L1106" s="137">
        <v>0.75</v>
      </c>
      <c r="M1106" s="137">
        <v>0.75256417034730305</v>
      </c>
      <c r="N1106" s="136">
        <v>1</v>
      </c>
      <c r="O1106" s="154">
        <v>42668</v>
      </c>
      <c r="P1106" s="98">
        <f t="shared" si="87"/>
        <v>0</v>
      </c>
      <c r="Q1106" s="111">
        <v>0</v>
      </c>
      <c r="R1106" s="111">
        <v>0</v>
      </c>
      <c r="S1106" s="111">
        <v>0</v>
      </c>
      <c r="T1106" s="112" t="s">
        <v>48</v>
      </c>
      <c r="U1106" s="136" t="s">
        <v>4360</v>
      </c>
      <c r="V1106" s="137" t="s">
        <v>482</v>
      </c>
      <c r="W1106" s="69">
        <v>84</v>
      </c>
      <c r="X1106" s="69">
        <v>1</v>
      </c>
      <c r="Y1106" s="69">
        <v>3</v>
      </c>
      <c r="Z1106"/>
      <c r="AA1106" t="s">
        <v>4556</v>
      </c>
      <c r="AB1106" t="s">
        <v>87</v>
      </c>
      <c r="AC1106" t="s">
        <v>4513</v>
      </c>
      <c r="AD1106" t="s">
        <v>4920</v>
      </c>
      <c r="AE1106" t="s">
        <v>4515</v>
      </c>
      <c r="AF1106" t="s">
        <v>4737</v>
      </c>
      <c r="AG1106" t="s">
        <v>4515</v>
      </c>
      <c r="AH1106" t="s">
        <v>4737</v>
      </c>
      <c r="AI1106" t="s">
        <v>4353</v>
      </c>
      <c r="AJ1106" t="s">
        <v>4506</v>
      </c>
      <c r="AK1106" t="s">
        <v>4519</v>
      </c>
      <c r="AL1106" t="s">
        <v>4541</v>
      </c>
      <c r="AM1106" t="s">
        <v>4528</v>
      </c>
      <c r="AN1106" t="s">
        <v>4542</v>
      </c>
      <c r="AO1106" s="134">
        <v>108</v>
      </c>
      <c r="AP1106" s="135">
        <v>86.651685393258404</v>
      </c>
      <c r="AQ1106">
        <v>0.47191011235955099</v>
      </c>
      <c r="AR1106" s="136">
        <v>1.2247191011236001</v>
      </c>
      <c r="AS1106">
        <v>10.247191011236</v>
      </c>
      <c r="AU1106"/>
      <c r="AV1106"/>
      <c r="AW1106"/>
      <c r="AX1106"/>
    </row>
    <row r="1107" spans="1:50" s="69" customFormat="1" ht="256">
      <c r="A1107" s="65">
        <v>825</v>
      </c>
      <c r="B1107" s="69" t="s">
        <v>2179</v>
      </c>
      <c r="C1107" s="69" t="s">
        <v>45</v>
      </c>
      <c r="D1107" s="31">
        <f t="shared" si="85"/>
        <v>4</v>
      </c>
      <c r="E1107" s="69" t="s">
        <v>46</v>
      </c>
      <c r="F1107" s="31">
        <f t="shared" si="86"/>
        <v>6</v>
      </c>
      <c r="G1107" s="136" t="s">
        <v>2247</v>
      </c>
      <c r="H1107" s="138">
        <v>462</v>
      </c>
      <c r="I1107" s="92">
        <f t="shared" si="88"/>
        <v>0.87499977430542808</v>
      </c>
      <c r="J1107" s="95">
        <v>0.99999954861085605</v>
      </c>
      <c r="K1107" s="137">
        <v>0.56428571428571395</v>
      </c>
      <c r="L1107" s="137">
        <v>0.75</v>
      </c>
      <c r="M1107" s="137">
        <v>0.28571428571428598</v>
      </c>
      <c r="N1107" s="136">
        <v>1</v>
      </c>
      <c r="O1107" s="199">
        <v>42667</v>
      </c>
      <c r="P1107" s="98">
        <f t="shared" si="87"/>
        <v>0</v>
      </c>
      <c r="Q1107" s="113">
        <v>0</v>
      </c>
      <c r="R1107" s="113">
        <v>1.65</v>
      </c>
      <c r="S1107" s="113">
        <v>0</v>
      </c>
      <c r="T1107" s="114" t="s">
        <v>48</v>
      </c>
      <c r="U1107" s="136" t="s">
        <v>4427</v>
      </c>
      <c r="V1107" s="136" t="s">
        <v>2249</v>
      </c>
      <c r="W1107" s="69">
        <v>190</v>
      </c>
      <c r="X1107" s="69">
        <v>7</v>
      </c>
      <c r="Y1107" s="69">
        <v>25</v>
      </c>
      <c r="AA1107" t="s">
        <v>4603</v>
      </c>
      <c r="AB1107" t="s">
        <v>87</v>
      </c>
      <c r="AC1107" t="s">
        <v>4513</v>
      </c>
      <c r="AD1107" t="s">
        <v>4568</v>
      </c>
      <c r="AE1107" t="s">
        <v>4353</v>
      </c>
      <c r="AF1107" t="s">
        <v>4506</v>
      </c>
      <c r="AG1107" t="s">
        <v>4353</v>
      </c>
      <c r="AH1107" t="s">
        <v>4506</v>
      </c>
      <c r="AI1107" t="s">
        <v>4353</v>
      </c>
      <c r="AJ1107" t="s">
        <v>4506</v>
      </c>
      <c r="AK1107" t="s">
        <v>4519</v>
      </c>
      <c r="AL1107" t="s">
        <v>4519</v>
      </c>
      <c r="AM1107" t="s">
        <v>4528</v>
      </c>
      <c r="AN1107" t="s">
        <v>4529</v>
      </c>
      <c r="AO1107" s="134">
        <v>104.350515463918</v>
      </c>
      <c r="AP1107" s="135">
        <v>85.056818181818201</v>
      </c>
      <c r="AQ1107">
        <v>0.47727272727272702</v>
      </c>
      <c r="AR1107" s="136">
        <v>1.22727272727273</v>
      </c>
      <c r="AS1107">
        <v>10.2272727272727</v>
      </c>
      <c r="AU1107"/>
      <c r="AV1107"/>
      <c r="AW1107"/>
      <c r="AX1107"/>
    </row>
    <row r="1108" spans="1:50" s="69" customFormat="1" ht="76">
      <c r="A1108">
        <v>863</v>
      </c>
      <c r="B1108" s="69" t="s">
        <v>2343</v>
      </c>
      <c r="C1108" s="69" t="s">
        <v>45</v>
      </c>
      <c r="D1108" s="31">
        <f t="shared" si="85"/>
        <v>4</v>
      </c>
      <c r="E1108" s="69" t="s">
        <v>80</v>
      </c>
      <c r="F1108" s="31">
        <f t="shared" si="86"/>
        <v>4</v>
      </c>
      <c r="G1108" s="136" t="s">
        <v>2347</v>
      </c>
      <c r="H1108" s="138">
        <v>95</v>
      </c>
      <c r="I1108" s="92">
        <f t="shared" si="88"/>
        <v>0.41250001230905636</v>
      </c>
      <c r="J1108" s="95">
        <v>2.46181127705469E-8</v>
      </c>
      <c r="K1108" s="137">
        <v>0.81418779643582295</v>
      </c>
      <c r="L1108" s="137">
        <v>0.82499999999999996</v>
      </c>
      <c r="M1108" s="137">
        <v>0.79796949108955795</v>
      </c>
      <c r="N1108" s="136">
        <v>1</v>
      </c>
      <c r="O1108" s="154">
        <v>42667</v>
      </c>
      <c r="P1108" s="98">
        <f t="shared" si="87"/>
        <v>0</v>
      </c>
      <c r="Q1108" s="111">
        <v>0</v>
      </c>
      <c r="R1108" s="111">
        <v>1.65</v>
      </c>
      <c r="S1108" s="111">
        <v>0</v>
      </c>
      <c r="T1108" s="112" t="s">
        <v>48</v>
      </c>
      <c r="U1108" s="137" t="s">
        <v>2348</v>
      </c>
      <c r="V1108" s="137" t="s">
        <v>2348</v>
      </c>
      <c r="W1108" s="69">
        <v>95</v>
      </c>
      <c r="X1108" s="69">
        <v>1</v>
      </c>
      <c r="Y1108" s="69">
        <v>2</v>
      </c>
      <c r="AA1108" t="s">
        <v>4522</v>
      </c>
      <c r="AB1108" t="s">
        <v>4732</v>
      </c>
      <c r="AC1108" t="s">
        <v>223</v>
      </c>
      <c r="AD1108" t="s">
        <v>4689</v>
      </c>
      <c r="AE1108" t="s">
        <v>223</v>
      </c>
      <c r="AF1108" t="s">
        <v>4689</v>
      </c>
      <c r="AG1108" t="s">
        <v>223</v>
      </c>
      <c r="AH1108" t="s">
        <v>4689</v>
      </c>
      <c r="AI1108" t="s">
        <v>4353</v>
      </c>
      <c r="AJ1108" t="s">
        <v>4506</v>
      </c>
      <c r="AK1108" t="s">
        <v>4519</v>
      </c>
      <c r="AL1108" t="s">
        <v>4552</v>
      </c>
      <c r="AM1108" t="s">
        <v>4562</v>
      </c>
      <c r="AN1108" t="s">
        <v>4742</v>
      </c>
      <c r="AO1108" s="134">
        <v>104.447916666667</v>
      </c>
      <c r="AP1108" s="135">
        <v>85.056818181818201</v>
      </c>
      <c r="AQ1108">
        <v>0.47727272727272702</v>
      </c>
      <c r="AR1108" s="136">
        <v>1.22727272727273</v>
      </c>
      <c r="AS1108">
        <v>10.2272727272727</v>
      </c>
      <c r="AU1108"/>
      <c r="AV1108"/>
      <c r="AW1108"/>
      <c r="AX1108"/>
    </row>
    <row r="1109" spans="1:50" s="69" customFormat="1" ht="136">
      <c r="A1109">
        <v>826</v>
      </c>
      <c r="B1109" s="69" t="s">
        <v>2179</v>
      </c>
      <c r="C1109" s="69" t="s">
        <v>59</v>
      </c>
      <c r="D1109" s="31">
        <f t="shared" si="85"/>
        <v>5</v>
      </c>
      <c r="E1109" s="69" t="s">
        <v>46</v>
      </c>
      <c r="F1109" s="31">
        <f t="shared" si="86"/>
        <v>6</v>
      </c>
      <c r="G1109" s="137" t="s">
        <v>2250</v>
      </c>
      <c r="H1109" s="138">
        <v>202</v>
      </c>
      <c r="I1109" s="92">
        <f t="shared" si="88"/>
        <v>0.83163055574791556</v>
      </c>
      <c r="J1109" s="95">
        <v>0.913261111495831</v>
      </c>
      <c r="K1109" s="137">
        <v>0.67857142857142805</v>
      </c>
      <c r="L1109" s="137">
        <v>0.75</v>
      </c>
      <c r="M1109" s="137">
        <v>0.57142857142857095</v>
      </c>
      <c r="N1109" s="136">
        <v>1</v>
      </c>
      <c r="O1109" s="154">
        <v>42666</v>
      </c>
      <c r="P1109" s="98">
        <f t="shared" si="87"/>
        <v>2</v>
      </c>
      <c r="Q1109" s="113">
        <v>0</v>
      </c>
      <c r="R1109" s="113">
        <v>1.65</v>
      </c>
      <c r="S1109" s="113">
        <v>0</v>
      </c>
      <c r="T1109" s="114" t="s">
        <v>64</v>
      </c>
      <c r="U1109" s="136" t="s">
        <v>2251</v>
      </c>
      <c r="V1109" s="137" t="s">
        <v>2252</v>
      </c>
      <c r="W1109" s="69">
        <v>199</v>
      </c>
      <c r="X1109" s="69">
        <v>2</v>
      </c>
      <c r="Y1109" s="69">
        <v>9</v>
      </c>
      <c r="AA1109" t="s">
        <v>4512</v>
      </c>
      <c r="AB1109" t="s">
        <v>51</v>
      </c>
      <c r="AC1109" t="s">
        <v>223</v>
      </c>
      <c r="AD1109" t="s">
        <v>4739</v>
      </c>
      <c r="AE1109" t="s">
        <v>4513</v>
      </c>
      <c r="AF1109" t="s">
        <v>4788</v>
      </c>
      <c r="AG1109" t="s">
        <v>223</v>
      </c>
      <c r="AH1109" t="s">
        <v>4739</v>
      </c>
      <c r="AI1109" t="s">
        <v>4353</v>
      </c>
      <c r="AJ1109" t="s">
        <v>4506</v>
      </c>
      <c r="AK1109" t="s">
        <v>4519</v>
      </c>
      <c r="AL1109" t="s">
        <v>4519</v>
      </c>
      <c r="AM1109" t="s">
        <v>4520</v>
      </c>
      <c r="AN1109" t="s">
        <v>4558</v>
      </c>
      <c r="AO1109" s="134">
        <v>103.421052631579</v>
      </c>
      <c r="AP1109" s="135">
        <v>85.056818181818201</v>
      </c>
      <c r="AQ1109">
        <v>0.47727272727272702</v>
      </c>
      <c r="AR1109" s="136">
        <v>1.22727272727273</v>
      </c>
      <c r="AS1109">
        <v>10.2272727272727</v>
      </c>
      <c r="AU1109"/>
      <c r="AV1109"/>
      <c r="AW1109"/>
      <c r="AX1109"/>
    </row>
    <row r="1110" spans="1:50" s="69" customFormat="1" ht="61">
      <c r="A1110" s="65">
        <v>153</v>
      </c>
      <c r="B1110" s="69" t="s">
        <v>217</v>
      </c>
      <c r="C1110" s="69" t="s">
        <v>119</v>
      </c>
      <c r="D1110" s="31">
        <f t="shared" ref="D1110:D1141" si="89">IF(C1110="投诉",4,IF(C1110="建议",1,IF(C1110="举报",2,IF(C1110="求助",3,5))))</f>
        <v>1</v>
      </c>
      <c r="E1110" s="69" t="s">
        <v>46</v>
      </c>
      <c r="F1110" s="31">
        <f t="shared" ref="F1110:F1141" si="90">IF(E1110="12345app",1,IF(E1110="e福州app",2,IF(E1110="qq",3,IF(E1110="电话",4,IF(E1110="短信",5,IF(E1110="网站",6,IF(E1110="微博",7,IF(E1110="微信",8,9))))))))</f>
        <v>6</v>
      </c>
      <c r="G1110" s="136" t="s">
        <v>483</v>
      </c>
      <c r="H1110" s="138">
        <v>17</v>
      </c>
      <c r="I1110" s="92">
        <f t="shared" si="88"/>
        <v>0.75187080067969503</v>
      </c>
      <c r="J1110" s="95">
        <v>0.75374160135938995</v>
      </c>
      <c r="K1110" s="137">
        <v>0.69881421079630901</v>
      </c>
      <c r="L1110" s="137">
        <v>0.75</v>
      </c>
      <c r="M1110" s="137">
        <v>0.62203552699077302</v>
      </c>
      <c r="N1110" s="136">
        <v>1</v>
      </c>
      <c r="O1110" s="161">
        <v>42664</v>
      </c>
      <c r="P1110" s="98">
        <f t="shared" ref="P1110:P1141" si="91">IF(T1110="利己",0,IF(T1110="生态",2,1))</f>
        <v>1</v>
      </c>
      <c r="Q1110" s="107">
        <v>2.5499999999999998</v>
      </c>
      <c r="R1110" s="107">
        <v>6.6</v>
      </c>
      <c r="S1110" s="107">
        <v>0</v>
      </c>
      <c r="T1110" s="108" t="s">
        <v>5083</v>
      </c>
      <c r="U1110" s="169" t="s">
        <v>483</v>
      </c>
      <c r="V1110" s="137" t="s">
        <v>482</v>
      </c>
      <c r="W1110" s="69">
        <v>84</v>
      </c>
      <c r="X1110" s="69">
        <v>1</v>
      </c>
      <c r="Y1110" s="69">
        <v>7</v>
      </c>
      <c r="Z1110"/>
      <c r="AA1110" t="s">
        <v>4543</v>
      </c>
      <c r="AB1110" t="s">
        <v>87</v>
      </c>
      <c r="AC1110" t="s">
        <v>4513</v>
      </c>
      <c r="AD1110" t="s">
        <v>4920</v>
      </c>
      <c r="AE1110" t="s">
        <v>4515</v>
      </c>
      <c r="AF1110" t="s">
        <v>4737</v>
      </c>
      <c r="AG1110" t="s">
        <v>4515</v>
      </c>
      <c r="AH1110" t="s">
        <v>4737</v>
      </c>
      <c r="AI1110" t="s">
        <v>4353</v>
      </c>
      <c r="AJ1110" t="s">
        <v>4506</v>
      </c>
      <c r="AK1110" t="s">
        <v>4519</v>
      </c>
      <c r="AL1110" t="s">
        <v>4552</v>
      </c>
      <c r="AM1110" t="s">
        <v>4528</v>
      </c>
      <c r="AN1110" t="s">
        <v>4618</v>
      </c>
      <c r="AO1110" s="134">
        <v>104.340425531915</v>
      </c>
      <c r="AP1110" s="135">
        <v>84.965116279069804</v>
      </c>
      <c r="AQ1110">
        <v>0.47674418604651198</v>
      </c>
      <c r="AR1110" s="136">
        <v>1.2209302325581399</v>
      </c>
      <c r="AS1110">
        <v>10.1395348837209</v>
      </c>
      <c r="AU1110"/>
      <c r="AV1110"/>
      <c r="AW1110"/>
      <c r="AX1110"/>
    </row>
    <row r="1111" spans="1:50" s="69" customFormat="1" ht="226">
      <c r="A1111">
        <v>567</v>
      </c>
      <c r="B1111" s="69" t="s">
        <v>1222</v>
      </c>
      <c r="C1111" s="69" t="s">
        <v>45</v>
      </c>
      <c r="D1111" s="31">
        <f t="shared" si="89"/>
        <v>4</v>
      </c>
      <c r="E1111" s="69" t="s">
        <v>46</v>
      </c>
      <c r="F1111" s="31">
        <f t="shared" si="90"/>
        <v>6</v>
      </c>
      <c r="G1111" s="137" t="s">
        <v>1588</v>
      </c>
      <c r="H1111" s="138">
        <v>396</v>
      </c>
      <c r="I1111" s="92">
        <f t="shared" si="88"/>
        <v>0.745988266670635</v>
      </c>
      <c r="J1111" s="95">
        <v>0.87214182259746897</v>
      </c>
      <c r="K1111" s="137">
        <v>0.61027641931792698</v>
      </c>
      <c r="L1111" s="137">
        <v>0.61983471074380103</v>
      </c>
      <c r="M1111" s="137">
        <v>0.59593898217911601</v>
      </c>
      <c r="N1111" s="136">
        <v>0</v>
      </c>
      <c r="O1111" s="154">
        <v>42663</v>
      </c>
      <c r="P1111" s="98">
        <f t="shared" si="91"/>
        <v>0</v>
      </c>
      <c r="Q1111" s="111">
        <v>0</v>
      </c>
      <c r="R1111" s="111">
        <v>1.65</v>
      </c>
      <c r="S1111" s="111">
        <v>0</v>
      </c>
      <c r="T1111" s="112" t="s">
        <v>48</v>
      </c>
      <c r="U1111" s="136" t="s">
        <v>4402</v>
      </c>
      <c r="V1111" s="137" t="s">
        <v>1590</v>
      </c>
      <c r="W1111" s="69">
        <v>129</v>
      </c>
      <c r="X1111" s="69">
        <v>1</v>
      </c>
      <c r="Y1111" s="69">
        <v>8</v>
      </c>
      <c r="Z1111"/>
      <c r="AA1111" t="s">
        <v>4831</v>
      </c>
      <c r="AB1111" t="s">
        <v>4597</v>
      </c>
      <c r="AC1111" t="s">
        <v>4513</v>
      </c>
      <c r="AD1111" t="s">
        <v>4676</v>
      </c>
      <c r="AE1111" t="s">
        <v>4353</v>
      </c>
      <c r="AF1111" t="s">
        <v>4506</v>
      </c>
      <c r="AG1111" t="s">
        <v>4513</v>
      </c>
      <c r="AH1111" t="s">
        <v>4676</v>
      </c>
      <c r="AI1111" t="s">
        <v>4353</v>
      </c>
      <c r="AJ1111" t="s">
        <v>4506</v>
      </c>
      <c r="AK1111" t="s">
        <v>4519</v>
      </c>
      <c r="AL1111" t="s">
        <v>4519</v>
      </c>
      <c r="AM1111" t="s">
        <v>4592</v>
      </c>
      <c r="AN1111" t="s">
        <v>4626</v>
      </c>
      <c r="AO1111" s="134">
        <v>101.204301075269</v>
      </c>
      <c r="AP1111" s="135">
        <v>84.965116279069804</v>
      </c>
      <c r="AQ1111">
        <v>0.47674418604651198</v>
      </c>
      <c r="AR1111" s="136">
        <v>1.2209302325581399</v>
      </c>
      <c r="AS1111">
        <v>10.1395348837209</v>
      </c>
      <c r="AU1111"/>
      <c r="AV1111"/>
      <c r="AW1111"/>
      <c r="AX1111"/>
    </row>
    <row r="1112" spans="1:50" s="69" customFormat="1" ht="121">
      <c r="A1112">
        <v>1038</v>
      </c>
      <c r="B1112" s="69" t="s">
        <v>2752</v>
      </c>
      <c r="C1112" s="69" t="s">
        <v>45</v>
      </c>
      <c r="D1112" s="31">
        <f t="shared" si="89"/>
        <v>4</v>
      </c>
      <c r="E1112" s="69" t="s">
        <v>80</v>
      </c>
      <c r="F1112" s="31">
        <f t="shared" si="90"/>
        <v>4</v>
      </c>
      <c r="G1112" s="89" t="s">
        <v>2816</v>
      </c>
      <c r="H1112" s="138">
        <v>23</v>
      </c>
      <c r="I1112" s="92">
        <f t="shared" si="88"/>
        <v>0.35268656740967663</v>
      </c>
      <c r="J1112" s="95">
        <v>2.3554953001171299E-2</v>
      </c>
      <c r="K1112" s="137">
        <v>0.58777757502191397</v>
      </c>
      <c r="L1112" s="137">
        <v>0.68181818181818199</v>
      </c>
      <c r="M1112" s="137">
        <v>0.44671666482751199</v>
      </c>
      <c r="N1112" s="136">
        <v>1</v>
      </c>
      <c r="O1112" s="157">
        <v>42663</v>
      </c>
      <c r="P1112" s="98">
        <f t="shared" si="91"/>
        <v>1</v>
      </c>
      <c r="Q1112" s="113">
        <v>2.5499999999999998</v>
      </c>
      <c r="R1112" s="113">
        <v>0</v>
      </c>
      <c r="S1112" s="113">
        <v>0</v>
      </c>
      <c r="T1112" s="119" t="s">
        <v>73</v>
      </c>
      <c r="U1112" s="89" t="s">
        <v>2816</v>
      </c>
      <c r="V1112" s="172" t="s">
        <v>2817</v>
      </c>
      <c r="W1112" s="69">
        <v>158</v>
      </c>
      <c r="X1112" s="69">
        <v>4</v>
      </c>
      <c r="Y1112" s="69">
        <v>15</v>
      </c>
      <c r="AA1112" t="s">
        <v>4564</v>
      </c>
      <c r="AB1112" t="s">
        <v>87</v>
      </c>
      <c r="AC1112" t="s">
        <v>4513</v>
      </c>
      <c r="AD1112" t="s">
        <v>4759</v>
      </c>
      <c r="AE1112" t="s">
        <v>4353</v>
      </c>
      <c r="AF1112" t="s">
        <v>4506</v>
      </c>
      <c r="AG1112" t="s">
        <v>4353</v>
      </c>
      <c r="AH1112" t="s">
        <v>4506</v>
      </c>
      <c r="AI1112" t="s">
        <v>4353</v>
      </c>
      <c r="AJ1112" t="s">
        <v>4506</v>
      </c>
      <c r="AK1112" t="s">
        <v>4519</v>
      </c>
      <c r="AL1112" t="s">
        <v>4519</v>
      </c>
      <c r="AM1112" t="s">
        <v>4562</v>
      </c>
      <c r="AN1112" t="s">
        <v>4563</v>
      </c>
      <c r="AO1112" s="134">
        <v>97.989130434782595</v>
      </c>
      <c r="AP1112" s="135">
        <v>84.965116279069804</v>
      </c>
      <c r="AQ1112">
        <v>0.47674418604651198</v>
      </c>
      <c r="AR1112" s="136">
        <v>1.2209302325581399</v>
      </c>
      <c r="AS1112">
        <v>10.1395348837209</v>
      </c>
      <c r="AU1112"/>
      <c r="AV1112"/>
      <c r="AW1112"/>
      <c r="AX1112"/>
    </row>
    <row r="1113" spans="1:50" s="69" customFormat="1" ht="226">
      <c r="A1113" s="65">
        <v>725</v>
      </c>
      <c r="B1113" s="69" t="s">
        <v>1913</v>
      </c>
      <c r="C1113" s="69" t="s">
        <v>45</v>
      </c>
      <c r="D1113" s="31">
        <f t="shared" si="89"/>
        <v>4</v>
      </c>
      <c r="E1113" s="69" t="s">
        <v>46</v>
      </c>
      <c r="F1113" s="31">
        <f t="shared" si="90"/>
        <v>6</v>
      </c>
      <c r="G1113" s="137" t="s">
        <v>1588</v>
      </c>
      <c r="H1113" s="138">
        <v>397</v>
      </c>
      <c r="I1113" s="92">
        <f t="shared" si="88"/>
        <v>0.31014256012503255</v>
      </c>
      <c r="J1113" s="95">
        <v>4.5040950626407101E-4</v>
      </c>
      <c r="K1113" s="137">
        <v>0.61027641931792698</v>
      </c>
      <c r="L1113" s="137">
        <v>0.61983471074380103</v>
      </c>
      <c r="M1113" s="137">
        <v>0.59593898217911601</v>
      </c>
      <c r="N1113" s="136">
        <v>0</v>
      </c>
      <c r="O1113" s="155">
        <v>42663</v>
      </c>
      <c r="P1113" s="98">
        <f t="shared" si="91"/>
        <v>0</v>
      </c>
      <c r="Q1113" s="111">
        <v>5.0999999999999996</v>
      </c>
      <c r="R1113" s="111">
        <v>4.95</v>
      </c>
      <c r="S1113" s="111">
        <v>3.74</v>
      </c>
      <c r="T1113" s="112" t="s">
        <v>48</v>
      </c>
      <c r="U1113" s="136" t="s">
        <v>4418</v>
      </c>
      <c r="V1113" s="137" t="s">
        <v>1590</v>
      </c>
      <c r="W1113" s="69">
        <v>129</v>
      </c>
      <c r="X1113" s="69">
        <v>1</v>
      </c>
      <c r="Y1113" s="69">
        <v>8</v>
      </c>
      <c r="AA1113" t="s">
        <v>4831</v>
      </c>
      <c r="AB1113" t="s">
        <v>4597</v>
      </c>
      <c r="AC1113" t="s">
        <v>4513</v>
      </c>
      <c r="AD1113" t="s">
        <v>4676</v>
      </c>
      <c r="AE1113" t="s">
        <v>4353</v>
      </c>
      <c r="AF1113" t="s">
        <v>4506</v>
      </c>
      <c r="AG1113" t="s">
        <v>4513</v>
      </c>
      <c r="AH1113" t="s">
        <v>4676</v>
      </c>
      <c r="AI1113" t="s">
        <v>4353</v>
      </c>
      <c r="AJ1113" t="s">
        <v>4506</v>
      </c>
      <c r="AK1113" t="s">
        <v>4519</v>
      </c>
      <c r="AL1113" t="s">
        <v>4519</v>
      </c>
      <c r="AM1113" t="s">
        <v>4592</v>
      </c>
      <c r="AN1113" t="s">
        <v>4626</v>
      </c>
      <c r="AO1113" s="134">
        <v>98.813186813186803</v>
      </c>
      <c r="AP1113" s="135">
        <v>84.965116279069804</v>
      </c>
      <c r="AQ1113">
        <v>0.47674418604651198</v>
      </c>
      <c r="AR1113" s="136">
        <v>1.2209302325581399</v>
      </c>
      <c r="AS1113">
        <v>10.1395348837209</v>
      </c>
      <c r="AU1113"/>
      <c r="AV1113"/>
      <c r="AW1113"/>
      <c r="AX1113"/>
    </row>
    <row r="1114" spans="1:50" s="69" customFormat="1" ht="211">
      <c r="A1114" s="65">
        <v>613</v>
      </c>
      <c r="B1114" s="69" t="s">
        <v>1628</v>
      </c>
      <c r="C1114" s="69" t="s">
        <v>45</v>
      </c>
      <c r="D1114" s="31">
        <f t="shared" si="89"/>
        <v>4</v>
      </c>
      <c r="E1114" s="69" t="s">
        <v>46</v>
      </c>
      <c r="F1114" s="31">
        <f t="shared" si="90"/>
        <v>6</v>
      </c>
      <c r="G1114" s="137" t="s">
        <v>1701</v>
      </c>
      <c r="H1114" s="138">
        <v>380</v>
      </c>
      <c r="I1114" s="92">
        <f t="shared" si="88"/>
        <v>0.36523316010576112</v>
      </c>
      <c r="J1114" s="95">
        <v>4.8648138393340298E-2</v>
      </c>
      <c r="K1114" s="137">
        <v>0.62838932850985896</v>
      </c>
      <c r="L1114" s="137">
        <v>0.68181818181818199</v>
      </c>
      <c r="M1114" s="137">
        <v>0.54824604854737402</v>
      </c>
      <c r="N1114" s="136">
        <v>1</v>
      </c>
      <c r="O1114" s="154">
        <v>42661</v>
      </c>
      <c r="P1114" s="98">
        <f t="shared" si="91"/>
        <v>1</v>
      </c>
      <c r="Q1114" s="111">
        <v>0</v>
      </c>
      <c r="R1114" s="111">
        <v>0</v>
      </c>
      <c r="S1114" s="111">
        <v>0</v>
      </c>
      <c r="T1114" s="112" t="s">
        <v>73</v>
      </c>
      <c r="U1114" s="137" t="s">
        <v>1702</v>
      </c>
      <c r="V1114" s="137" t="s">
        <v>1703</v>
      </c>
      <c r="W1114" s="69">
        <v>77</v>
      </c>
      <c r="X1114" s="69">
        <v>1</v>
      </c>
      <c r="Y1114" s="69">
        <v>10</v>
      </c>
      <c r="AA1114" t="s">
        <v>5084</v>
      </c>
      <c r="AB1114" t="s">
        <v>87</v>
      </c>
      <c r="AC1114" t="s">
        <v>4515</v>
      </c>
      <c r="AD1114" t="s">
        <v>4534</v>
      </c>
      <c r="AE1114" t="s">
        <v>4353</v>
      </c>
      <c r="AF1114" t="s">
        <v>4506</v>
      </c>
      <c r="AG1114" t="s">
        <v>223</v>
      </c>
      <c r="AH1114" t="s">
        <v>4535</v>
      </c>
      <c r="AI1114" t="s">
        <v>4353</v>
      </c>
      <c r="AJ1114" t="s">
        <v>4506</v>
      </c>
      <c r="AK1114" t="s">
        <v>4508</v>
      </c>
      <c r="AL1114" t="s">
        <v>4552</v>
      </c>
      <c r="AM1114" t="s">
        <v>4510</v>
      </c>
      <c r="AN1114" t="s">
        <v>5024</v>
      </c>
      <c r="AO1114" s="134">
        <v>95.688888888888897</v>
      </c>
      <c r="AP1114" s="135">
        <v>84.965116279069804</v>
      </c>
      <c r="AQ1114">
        <v>0.47674418604651198</v>
      </c>
      <c r="AR1114" s="136">
        <v>1.2209302325581399</v>
      </c>
      <c r="AS1114">
        <v>10.1395348837209</v>
      </c>
      <c r="AU1114"/>
      <c r="AV1114"/>
      <c r="AW1114"/>
      <c r="AX1114"/>
    </row>
    <row r="1115" spans="1:50" s="69" customFormat="1" ht="166">
      <c r="A1115" s="65">
        <v>569</v>
      </c>
      <c r="B1115" s="69" t="s">
        <v>1222</v>
      </c>
      <c r="C1115" s="69" t="s">
        <v>45</v>
      </c>
      <c r="D1115" s="31">
        <f t="shared" si="89"/>
        <v>4</v>
      </c>
      <c r="E1115" s="69" t="s">
        <v>833</v>
      </c>
      <c r="F1115" s="31">
        <f t="shared" si="90"/>
        <v>3</v>
      </c>
      <c r="G1115" s="137" t="s">
        <v>1594</v>
      </c>
      <c r="H1115" s="138">
        <v>64</v>
      </c>
      <c r="I1115" s="92">
        <f t="shared" si="88"/>
        <v>0.83996773369072297</v>
      </c>
      <c r="J1115" s="95">
        <v>0.99811728556326396</v>
      </c>
      <c r="K1115" s="137">
        <v>0.61114224536875195</v>
      </c>
      <c r="L1115" s="137">
        <v>0.68181818181818199</v>
      </c>
      <c r="M1115" s="137">
        <v>0.50512834069460699</v>
      </c>
      <c r="N1115" s="136">
        <v>1</v>
      </c>
      <c r="O1115" s="154">
        <v>42655</v>
      </c>
      <c r="P1115" s="98">
        <f t="shared" si="91"/>
        <v>1</v>
      </c>
      <c r="Q1115" s="111">
        <v>2.5499999999999998</v>
      </c>
      <c r="R1115" s="111">
        <v>0</v>
      </c>
      <c r="S1115" s="111">
        <v>0</v>
      </c>
      <c r="T1115" s="112" t="s">
        <v>73</v>
      </c>
      <c r="U1115" s="137" t="s">
        <v>1595</v>
      </c>
      <c r="V1115" s="137" t="s">
        <v>1587</v>
      </c>
      <c r="W1115" s="69">
        <v>227</v>
      </c>
      <c r="X1115" s="69">
        <v>1</v>
      </c>
      <c r="Y1115" s="69">
        <v>12</v>
      </c>
      <c r="Z1115"/>
      <c r="AA1115" t="s">
        <v>4543</v>
      </c>
      <c r="AB1115" t="s">
        <v>87</v>
      </c>
      <c r="AC1115" t="s">
        <v>4530</v>
      </c>
      <c r="AD1115" t="s">
        <v>4762</v>
      </c>
      <c r="AE1115" t="s">
        <v>223</v>
      </c>
      <c r="AF1115" t="s">
        <v>5058</v>
      </c>
      <c r="AG1115" t="s">
        <v>4515</v>
      </c>
      <c r="AH1115" t="s">
        <v>4768</v>
      </c>
      <c r="AI1115" t="s">
        <v>4353</v>
      </c>
      <c r="AJ1115" t="s">
        <v>4506</v>
      </c>
      <c r="AK1115" t="s">
        <v>4519</v>
      </c>
      <c r="AL1115" t="s">
        <v>4519</v>
      </c>
      <c r="AM1115" t="s">
        <v>4528</v>
      </c>
      <c r="AN1115" t="s">
        <v>4529</v>
      </c>
      <c r="AO1115" s="134">
        <v>95.303370786516894</v>
      </c>
      <c r="AP1115" s="135">
        <v>84.988235294117601</v>
      </c>
      <c r="AQ1115">
        <v>0.48235294117647098</v>
      </c>
      <c r="AR1115" s="136">
        <v>1.22352941176471</v>
      </c>
      <c r="AS1115">
        <v>10.0941176470588</v>
      </c>
      <c r="AU1115"/>
      <c r="AV1115"/>
      <c r="AW1115"/>
      <c r="AX1115"/>
    </row>
    <row r="1116" spans="1:50" s="69" customFormat="1" ht="76">
      <c r="A1116" s="65">
        <v>568</v>
      </c>
      <c r="B1116" s="69" t="s">
        <v>1222</v>
      </c>
      <c r="C1116" s="69" t="s">
        <v>45</v>
      </c>
      <c r="D1116" s="31">
        <f t="shared" si="89"/>
        <v>4</v>
      </c>
      <c r="E1116" s="69" t="s">
        <v>833</v>
      </c>
      <c r="F1116" s="31">
        <f t="shared" si="90"/>
        <v>3</v>
      </c>
      <c r="G1116" s="137" t="s">
        <v>1591</v>
      </c>
      <c r="H1116" s="138">
        <v>130</v>
      </c>
      <c r="I1116" s="92">
        <f t="shared" si="88"/>
        <v>0.30991735537304266</v>
      </c>
      <c r="J1116" s="95">
        <v>2.2832846724441002E-12</v>
      </c>
      <c r="K1116" s="137">
        <v>0.480528282812408</v>
      </c>
      <c r="L1116" s="137">
        <v>0.61983471074380203</v>
      </c>
      <c r="M1116" s="137">
        <v>0.27156864091531702</v>
      </c>
      <c r="N1116" s="136">
        <v>1</v>
      </c>
      <c r="O1116" s="154">
        <v>42655</v>
      </c>
      <c r="P1116" s="98">
        <f t="shared" si="91"/>
        <v>0</v>
      </c>
      <c r="Q1116" s="111">
        <v>2.5499999999999998</v>
      </c>
      <c r="R1116" s="111">
        <v>0</v>
      </c>
      <c r="S1116" s="111">
        <v>0</v>
      </c>
      <c r="T1116" s="112" t="s">
        <v>48</v>
      </c>
      <c r="U1116" s="137" t="s">
        <v>1592</v>
      </c>
      <c r="V1116" s="137" t="s">
        <v>1593</v>
      </c>
      <c r="W1116" s="69">
        <v>81</v>
      </c>
      <c r="X1116" s="69">
        <v>3</v>
      </c>
      <c r="Y1116" s="69">
        <v>26</v>
      </c>
      <c r="Z1116"/>
      <c r="AA1116" t="s">
        <v>4564</v>
      </c>
      <c r="AB1116" t="s">
        <v>4594</v>
      </c>
      <c r="AC1116" t="s">
        <v>223</v>
      </c>
      <c r="AD1116" t="s">
        <v>4691</v>
      </c>
      <c r="AE1116" t="s">
        <v>223</v>
      </c>
      <c r="AF1116" t="s">
        <v>4691</v>
      </c>
      <c r="AG1116" t="s">
        <v>4353</v>
      </c>
      <c r="AH1116" t="s">
        <v>4506</v>
      </c>
      <c r="AI1116" t="s">
        <v>4353</v>
      </c>
      <c r="AJ1116" t="s">
        <v>4506</v>
      </c>
      <c r="AK1116" t="s">
        <v>4519</v>
      </c>
      <c r="AL1116" t="s">
        <v>4519</v>
      </c>
      <c r="AM1116" t="s">
        <v>4510</v>
      </c>
      <c r="AN1116" t="s">
        <v>4550</v>
      </c>
      <c r="AO1116" s="134">
        <v>95.659090909090907</v>
      </c>
      <c r="AP1116" s="135">
        <v>84.988235294117601</v>
      </c>
      <c r="AQ1116">
        <v>0.48235294117647098</v>
      </c>
      <c r="AR1116" s="136">
        <v>1.22352941176471</v>
      </c>
      <c r="AS1116">
        <v>10.0941176470588</v>
      </c>
      <c r="AU1116"/>
      <c r="AV1116"/>
      <c r="AW1116"/>
      <c r="AX1116"/>
    </row>
    <row r="1117" spans="1:50" s="65" customFormat="1" ht="76">
      <c r="A1117">
        <v>570</v>
      </c>
      <c r="B1117" s="69" t="s">
        <v>1222</v>
      </c>
      <c r="C1117" s="69" t="s">
        <v>119</v>
      </c>
      <c r="D1117" s="31">
        <f t="shared" si="89"/>
        <v>1</v>
      </c>
      <c r="E1117" s="69" t="s">
        <v>46</v>
      </c>
      <c r="F1117" s="31">
        <f t="shared" si="90"/>
        <v>6</v>
      </c>
      <c r="G1117" s="137" t="s">
        <v>1596</v>
      </c>
      <c r="H1117" s="138">
        <v>64</v>
      </c>
      <c r="I1117" s="92">
        <f t="shared" si="88"/>
        <v>0.49935020475313202</v>
      </c>
      <c r="J1117" s="95">
        <v>4.5040950626407101E-4</v>
      </c>
      <c r="K1117" s="137">
        <v>0.81824841941894999</v>
      </c>
      <c r="L1117" s="137">
        <v>0.99824999999999997</v>
      </c>
      <c r="M1117" s="137">
        <v>0.54824604854737402</v>
      </c>
      <c r="N1117" s="136">
        <v>1</v>
      </c>
      <c r="O1117" s="154">
        <v>42654</v>
      </c>
      <c r="P1117" s="98">
        <f t="shared" si="91"/>
        <v>2</v>
      </c>
      <c r="Q1117" s="111">
        <v>2.5499999999999998</v>
      </c>
      <c r="R1117" s="111">
        <v>0</v>
      </c>
      <c r="S1117" s="111">
        <v>0</v>
      </c>
      <c r="T1117" s="112" t="s">
        <v>64</v>
      </c>
      <c r="U1117" s="137" t="s">
        <v>1597</v>
      </c>
      <c r="V1117" s="137" t="s">
        <v>1598</v>
      </c>
      <c r="W1117" s="69">
        <v>109</v>
      </c>
      <c r="X1117" s="69">
        <v>1</v>
      </c>
      <c r="Y1117" s="69">
        <v>10</v>
      </c>
      <c r="Z1117"/>
      <c r="AA1117" t="s">
        <v>4522</v>
      </c>
      <c r="AB1117" t="s">
        <v>87</v>
      </c>
      <c r="AC1117" t="s">
        <v>4513</v>
      </c>
      <c r="AD1117" t="s">
        <v>4589</v>
      </c>
      <c r="AE1117" t="s">
        <v>223</v>
      </c>
      <c r="AF1117" t="s">
        <v>4588</v>
      </c>
      <c r="AG1117" t="s">
        <v>4353</v>
      </c>
      <c r="AH1117" t="s">
        <v>4506</v>
      </c>
      <c r="AI1117" t="s">
        <v>4353</v>
      </c>
      <c r="AJ1117" t="s">
        <v>4506</v>
      </c>
      <c r="AK1117" t="s">
        <v>4519</v>
      </c>
      <c r="AL1117" t="s">
        <v>4519</v>
      </c>
      <c r="AM1117" t="s">
        <v>4562</v>
      </c>
      <c r="AN1117" t="s">
        <v>4563</v>
      </c>
      <c r="AO1117" s="132">
        <v>96.022988505747094</v>
      </c>
      <c r="AP1117" s="133">
        <v>84.987951807228896</v>
      </c>
      <c r="AQ1117" s="65">
        <v>0.44578313253011997</v>
      </c>
      <c r="AR1117" s="65">
        <v>1.2048192771084301</v>
      </c>
      <c r="AS1117" s="65">
        <v>9.5662650602409602</v>
      </c>
    </row>
    <row r="1118" spans="1:50" s="69" customFormat="1" ht="166">
      <c r="A1118">
        <v>1078</v>
      </c>
      <c r="B1118" s="69" t="s">
        <v>2916</v>
      </c>
      <c r="C1118" s="69" t="s">
        <v>59</v>
      </c>
      <c r="D1118" s="31">
        <f t="shared" si="89"/>
        <v>5</v>
      </c>
      <c r="E1118" s="69" t="s">
        <v>46</v>
      </c>
      <c r="F1118" s="31">
        <f t="shared" si="90"/>
        <v>6</v>
      </c>
      <c r="G1118" s="139" t="s">
        <v>2929</v>
      </c>
      <c r="H1118" s="138">
        <v>276</v>
      </c>
      <c r="I1118" s="92">
        <f t="shared" si="88"/>
        <v>0.37500000000000022</v>
      </c>
      <c r="J1118" s="95">
        <v>4.4408920985006301E-16</v>
      </c>
      <c r="K1118" s="137">
        <v>0.79285714285714304</v>
      </c>
      <c r="L1118" s="137">
        <v>0.75</v>
      </c>
      <c r="M1118" s="137">
        <v>0.85714285714285698</v>
      </c>
      <c r="N1118" s="136">
        <v>1</v>
      </c>
      <c r="O1118" s="157">
        <v>42651</v>
      </c>
      <c r="P1118" s="98">
        <f t="shared" si="91"/>
        <v>0</v>
      </c>
      <c r="Q1118" s="113">
        <v>2.5499999999999998</v>
      </c>
      <c r="R1118" s="113">
        <v>1.65</v>
      </c>
      <c r="S1118" s="113">
        <v>1.87</v>
      </c>
      <c r="T1118" s="119" t="s">
        <v>48</v>
      </c>
      <c r="U1118" s="172" t="s">
        <v>2930</v>
      </c>
      <c r="V1118" s="136" t="s">
        <v>4457</v>
      </c>
      <c r="W1118" s="69">
        <v>207</v>
      </c>
      <c r="X1118" s="69">
        <v>1</v>
      </c>
      <c r="Y1118" s="69">
        <v>1</v>
      </c>
      <c r="AA1118" t="s">
        <v>4603</v>
      </c>
      <c r="AB1118" t="s">
        <v>87</v>
      </c>
      <c r="AC1118" t="s">
        <v>223</v>
      </c>
      <c r="AD1118" t="s">
        <v>5085</v>
      </c>
      <c r="AE1118" t="s">
        <v>4353</v>
      </c>
      <c r="AF1118" t="s">
        <v>4506</v>
      </c>
      <c r="AG1118" t="s">
        <v>4353</v>
      </c>
      <c r="AH1118" t="s">
        <v>4506</v>
      </c>
      <c r="AI1118" t="s">
        <v>4353</v>
      </c>
      <c r="AJ1118" t="s">
        <v>4506</v>
      </c>
      <c r="AK1118" t="s">
        <v>4519</v>
      </c>
      <c r="AL1118" t="s">
        <v>4519</v>
      </c>
      <c r="AM1118" t="s">
        <v>4528</v>
      </c>
      <c r="AN1118" t="s">
        <v>4529</v>
      </c>
      <c r="AO1118" s="134">
        <v>93.930232558139494</v>
      </c>
      <c r="AP1118" s="135">
        <v>84.126582278480996</v>
      </c>
      <c r="AQ1118">
        <v>0.468354430379747</v>
      </c>
      <c r="AR1118" s="136">
        <v>1.21518987341772</v>
      </c>
      <c r="AS1118">
        <v>9.3164556962025298</v>
      </c>
      <c r="AU1118"/>
      <c r="AV1118"/>
      <c r="AW1118"/>
      <c r="AX1118"/>
    </row>
    <row r="1119" spans="1:50" s="69" customFormat="1" ht="61">
      <c r="A1119" s="65">
        <v>864</v>
      </c>
      <c r="B1119" s="69" t="s">
        <v>2343</v>
      </c>
      <c r="C1119" s="69" t="s">
        <v>45</v>
      </c>
      <c r="D1119" s="31">
        <f t="shared" si="89"/>
        <v>4</v>
      </c>
      <c r="E1119" s="69" t="s">
        <v>80</v>
      </c>
      <c r="F1119" s="31">
        <f t="shared" si="90"/>
        <v>4</v>
      </c>
      <c r="G1119" s="147" t="s">
        <v>2349</v>
      </c>
      <c r="H1119" s="138">
        <v>36</v>
      </c>
      <c r="I1119" s="92">
        <f t="shared" si="88"/>
        <v>0.909408875056958</v>
      </c>
      <c r="J1119" s="95">
        <v>0.99381775011391604</v>
      </c>
      <c r="K1119" s="137">
        <v>0.65256338930746904</v>
      </c>
      <c r="L1119" s="137">
        <v>0.82499999999999996</v>
      </c>
      <c r="M1119" s="137">
        <v>0.39390847326867401</v>
      </c>
      <c r="N1119" s="136">
        <v>1</v>
      </c>
      <c r="O1119" s="154">
        <v>42646</v>
      </c>
      <c r="P1119" s="98">
        <f t="shared" si="91"/>
        <v>2</v>
      </c>
      <c r="Q1119" s="111">
        <v>2.5499999999999998</v>
      </c>
      <c r="R1119" s="111">
        <v>0</v>
      </c>
      <c r="S1119" s="111">
        <v>0</v>
      </c>
      <c r="T1119" s="112" t="s">
        <v>64</v>
      </c>
      <c r="U1119" s="137" t="s">
        <v>2350</v>
      </c>
      <c r="V1119" s="137" t="s">
        <v>2351</v>
      </c>
      <c r="W1119" s="69">
        <v>69</v>
      </c>
      <c r="X1119" s="171">
        <v>3</v>
      </c>
      <c r="Y1119" s="171">
        <v>18</v>
      </c>
      <c r="AA1119" t="s">
        <v>4543</v>
      </c>
      <c r="AB1119" t="s">
        <v>87</v>
      </c>
      <c r="AC1119" t="s">
        <v>4513</v>
      </c>
      <c r="AD1119" t="s">
        <v>4700</v>
      </c>
      <c r="AE1119" t="s">
        <v>4515</v>
      </c>
      <c r="AF1119" t="s">
        <v>4620</v>
      </c>
      <c r="AG1119" t="s">
        <v>4353</v>
      </c>
      <c r="AH1119" t="s">
        <v>4506</v>
      </c>
      <c r="AI1119" t="s">
        <v>4353</v>
      </c>
      <c r="AJ1119" t="s">
        <v>4506</v>
      </c>
      <c r="AK1119" t="s">
        <v>4519</v>
      </c>
      <c r="AL1119" t="s">
        <v>4519</v>
      </c>
      <c r="AM1119" t="s">
        <v>4528</v>
      </c>
      <c r="AN1119" t="s">
        <v>4529</v>
      </c>
      <c r="AO1119" s="134">
        <v>94.611764705882393</v>
      </c>
      <c r="AP1119" s="135">
        <v>84.126582278480996</v>
      </c>
      <c r="AQ1119">
        <v>0.468354430379747</v>
      </c>
      <c r="AR1119" s="136">
        <v>1.21518987341772</v>
      </c>
      <c r="AS1119">
        <v>9.3164556962025298</v>
      </c>
      <c r="AU1119"/>
      <c r="AV1119"/>
      <c r="AW1119"/>
      <c r="AX1119"/>
    </row>
    <row r="1120" spans="1:50" s="69" customFormat="1" ht="61">
      <c r="A1120">
        <v>407</v>
      </c>
      <c r="B1120" s="69" t="s">
        <v>589</v>
      </c>
      <c r="C1120" s="69" t="s">
        <v>45</v>
      </c>
      <c r="D1120" s="31">
        <f t="shared" si="89"/>
        <v>4</v>
      </c>
      <c r="E1120" s="69" t="s">
        <v>80</v>
      </c>
      <c r="F1120" s="31">
        <f t="shared" si="90"/>
        <v>4</v>
      </c>
      <c r="G1120" s="137" t="s">
        <v>1171</v>
      </c>
      <c r="H1120" s="138">
        <v>75</v>
      </c>
      <c r="I1120" s="92">
        <f t="shared" si="88"/>
        <v>0.37500317871083927</v>
      </c>
      <c r="J1120" s="95">
        <v>6.3574216785378104E-6</v>
      </c>
      <c r="K1120" s="137">
        <v>0.63619100647005999</v>
      </c>
      <c r="L1120" s="137">
        <v>0.75</v>
      </c>
      <c r="M1120" s="137">
        <v>0.46547751617515098</v>
      </c>
      <c r="N1120" s="136">
        <v>1</v>
      </c>
      <c r="O1120" s="154">
        <v>42641</v>
      </c>
      <c r="P1120" s="98">
        <f t="shared" si="91"/>
        <v>0</v>
      </c>
      <c r="Q1120" s="111">
        <v>2.5499999999999998</v>
      </c>
      <c r="R1120" s="111">
        <v>1.65</v>
      </c>
      <c r="S1120" s="111">
        <v>0</v>
      </c>
      <c r="T1120" s="112" t="s">
        <v>48</v>
      </c>
      <c r="U1120" s="137" t="s">
        <v>1172</v>
      </c>
      <c r="V1120" s="137" t="s">
        <v>1168</v>
      </c>
      <c r="W1120" s="69">
        <v>83</v>
      </c>
      <c r="X1120" s="69">
        <v>1</v>
      </c>
      <c r="Y1120" s="69">
        <v>14</v>
      </c>
      <c r="Z1120"/>
      <c r="AA1120" t="s">
        <v>4522</v>
      </c>
      <c r="AB1120" t="s">
        <v>51</v>
      </c>
      <c r="AC1120" t="s">
        <v>223</v>
      </c>
      <c r="AD1120" t="s">
        <v>4555</v>
      </c>
      <c r="AE1120" t="s">
        <v>4530</v>
      </c>
      <c r="AF1120" t="s">
        <v>4577</v>
      </c>
      <c r="AG1120" t="s">
        <v>4353</v>
      </c>
      <c r="AH1120" t="s">
        <v>4506</v>
      </c>
      <c r="AI1120" t="s">
        <v>4353</v>
      </c>
      <c r="AJ1120" t="s">
        <v>4506</v>
      </c>
      <c r="AK1120" t="s">
        <v>4519</v>
      </c>
      <c r="AL1120" t="s">
        <v>4552</v>
      </c>
      <c r="AM1120" t="s">
        <v>4528</v>
      </c>
      <c r="AN1120" t="s">
        <v>4618</v>
      </c>
      <c r="AO1120" s="134">
        <v>94.845238095238102</v>
      </c>
      <c r="AP1120" s="135">
        <v>84.126582278480996</v>
      </c>
      <c r="AQ1120">
        <v>0.468354430379747</v>
      </c>
      <c r="AR1120" s="136">
        <v>1.21518987341772</v>
      </c>
      <c r="AS1120">
        <v>9.3164556962025298</v>
      </c>
      <c r="AU1120"/>
      <c r="AV1120"/>
      <c r="AW1120"/>
      <c r="AX1120"/>
    </row>
    <row r="1121" spans="1:50" s="69" customFormat="1" ht="61">
      <c r="A1121">
        <v>154</v>
      </c>
      <c r="B1121" s="69" t="s">
        <v>217</v>
      </c>
      <c r="C1121" s="69" t="s">
        <v>119</v>
      </c>
      <c r="D1121" s="31">
        <f t="shared" si="89"/>
        <v>1</v>
      </c>
      <c r="E1121" s="69" t="s">
        <v>46</v>
      </c>
      <c r="F1121" s="31">
        <f t="shared" si="90"/>
        <v>6</v>
      </c>
      <c r="G1121" s="137" t="s">
        <v>485</v>
      </c>
      <c r="H1121" s="138">
        <v>71</v>
      </c>
      <c r="I1121" s="92">
        <f t="shared" si="88"/>
        <v>0.86257405691973899</v>
      </c>
      <c r="J1121" s="95">
        <v>0.97514811383947797</v>
      </c>
      <c r="K1121" s="137">
        <v>0.63619100647005999</v>
      </c>
      <c r="L1121" s="137">
        <v>0.75</v>
      </c>
      <c r="M1121" s="137">
        <v>0.46547751617515098</v>
      </c>
      <c r="N1121" s="136">
        <v>1</v>
      </c>
      <c r="O1121" s="161">
        <v>42639</v>
      </c>
      <c r="P1121" s="98">
        <f t="shared" si="91"/>
        <v>1</v>
      </c>
      <c r="Q1121" s="111">
        <v>2.5499999999999998</v>
      </c>
      <c r="R1121" s="111">
        <v>3.3</v>
      </c>
      <c r="S1121" s="111">
        <v>1.87</v>
      </c>
      <c r="T1121" s="112" t="s">
        <v>5078</v>
      </c>
      <c r="U1121" s="137" t="s">
        <v>486</v>
      </c>
      <c r="V1121" s="137" t="s">
        <v>487</v>
      </c>
      <c r="W1121" s="69">
        <v>66</v>
      </c>
      <c r="X1121" s="69">
        <v>1</v>
      </c>
      <c r="Y1121" s="69">
        <v>14</v>
      </c>
      <c r="Z1121"/>
      <c r="AA1121" t="s">
        <v>4556</v>
      </c>
      <c r="AB1121" t="s">
        <v>4732</v>
      </c>
      <c r="AC1121" t="s">
        <v>4515</v>
      </c>
      <c r="AD1121" t="s">
        <v>4724</v>
      </c>
      <c r="AE1121" t="s">
        <v>4515</v>
      </c>
      <c r="AF1121" t="s">
        <v>4724</v>
      </c>
      <c r="AG1121" t="s">
        <v>4515</v>
      </c>
      <c r="AH1121" t="s">
        <v>4724</v>
      </c>
      <c r="AI1121" t="s">
        <v>4353</v>
      </c>
      <c r="AJ1121" t="s">
        <v>4506</v>
      </c>
      <c r="AK1121" t="s">
        <v>4519</v>
      </c>
      <c r="AL1121" t="s">
        <v>4541</v>
      </c>
      <c r="AM1121" t="s">
        <v>4528</v>
      </c>
      <c r="AN1121" t="s">
        <v>4542</v>
      </c>
      <c r="AO1121" s="134">
        <v>95.132530120481903</v>
      </c>
      <c r="AP1121" s="135">
        <v>83.974025974026006</v>
      </c>
      <c r="AQ1121">
        <v>0.48051948051948101</v>
      </c>
      <c r="AR1121" s="136">
        <v>1.2207792207792201</v>
      </c>
      <c r="AS1121">
        <v>9.2727272727272698</v>
      </c>
      <c r="AU1121"/>
      <c r="AV1121"/>
      <c r="AW1121"/>
      <c r="AX1121"/>
    </row>
    <row r="1122" spans="1:50" s="69" customFormat="1" ht="106">
      <c r="A1122" s="65">
        <v>56</v>
      </c>
      <c r="B1122" s="136" t="s">
        <v>170</v>
      </c>
      <c r="C1122" s="136" t="s">
        <v>45</v>
      </c>
      <c r="D1122" s="31">
        <f t="shared" si="89"/>
        <v>4</v>
      </c>
      <c r="E1122" s="136" t="s">
        <v>46</v>
      </c>
      <c r="F1122" s="31">
        <f t="shared" si="90"/>
        <v>6</v>
      </c>
      <c r="G1122" s="137" t="s">
        <v>214</v>
      </c>
      <c r="H1122" s="138">
        <v>104</v>
      </c>
      <c r="I1122" s="92">
        <f t="shared" si="88"/>
        <v>0.41551021920936437</v>
      </c>
      <c r="J1122" s="95">
        <v>6.0204384187287898E-3</v>
      </c>
      <c r="K1122" s="137">
        <v>0.66642857142857104</v>
      </c>
      <c r="L1122" s="137">
        <v>0.82499999999999996</v>
      </c>
      <c r="M1122" s="137">
        <v>0.42857142857142899</v>
      </c>
      <c r="N1122" s="136">
        <v>1</v>
      </c>
      <c r="O1122" s="154">
        <v>42637</v>
      </c>
      <c r="P1122" s="98">
        <f t="shared" si="91"/>
        <v>0</v>
      </c>
      <c r="Q1122" s="113">
        <v>2.5499999999999998</v>
      </c>
      <c r="R1122" s="113">
        <v>1.65</v>
      </c>
      <c r="S1122" s="113">
        <v>0</v>
      </c>
      <c r="T1122" s="114" t="s">
        <v>48</v>
      </c>
      <c r="U1122" s="136" t="s">
        <v>215</v>
      </c>
      <c r="V1122" s="136" t="s">
        <v>216</v>
      </c>
      <c r="W1122" s="69">
        <v>57</v>
      </c>
      <c r="X1122" s="136">
        <v>1</v>
      </c>
      <c r="Y1122" s="136">
        <v>16</v>
      </c>
      <c r="Z1122"/>
      <c r="AA1122" t="s">
        <v>4564</v>
      </c>
      <c r="AB1122" t="s">
        <v>87</v>
      </c>
      <c r="AC1122" t="s">
        <v>4580</v>
      </c>
      <c r="AD1122" t="s">
        <v>4894</v>
      </c>
      <c r="AE1122" t="s">
        <v>4353</v>
      </c>
      <c r="AF1122" t="s">
        <v>4506</v>
      </c>
      <c r="AG1122" t="s">
        <v>4353</v>
      </c>
      <c r="AH1122" t="s">
        <v>4506</v>
      </c>
      <c r="AI1122" t="s">
        <v>4353</v>
      </c>
      <c r="AJ1122" t="s">
        <v>4506</v>
      </c>
      <c r="AK1122" t="s">
        <v>4519</v>
      </c>
      <c r="AL1122" t="s">
        <v>4519</v>
      </c>
      <c r="AM1122" t="s">
        <v>4528</v>
      </c>
      <c r="AN1122" t="s">
        <v>4529</v>
      </c>
      <c r="AO1122" s="134">
        <v>95.024390243902403</v>
      </c>
      <c r="AP1122" s="135">
        <v>83.974025974026006</v>
      </c>
      <c r="AQ1122">
        <v>0.48051948051948101</v>
      </c>
      <c r="AR1122" s="136">
        <v>1.2207792207792201</v>
      </c>
      <c r="AS1122">
        <v>9.2727272727272698</v>
      </c>
      <c r="AU1122"/>
      <c r="AV1122"/>
      <c r="AW1122"/>
      <c r="AX1122"/>
    </row>
    <row r="1123" spans="1:50" s="69" customFormat="1" ht="76">
      <c r="A1123">
        <v>155</v>
      </c>
      <c r="B1123" s="69" t="s">
        <v>217</v>
      </c>
      <c r="C1123" s="69" t="s">
        <v>59</v>
      </c>
      <c r="D1123" s="31">
        <f t="shared" si="89"/>
        <v>5</v>
      </c>
      <c r="E1123" s="69" t="s">
        <v>46</v>
      </c>
      <c r="F1123" s="31">
        <f t="shared" si="90"/>
        <v>6</v>
      </c>
      <c r="G1123" s="147" t="s">
        <v>488</v>
      </c>
      <c r="H1123" s="138">
        <v>90</v>
      </c>
      <c r="I1123" s="92">
        <f t="shared" si="88"/>
        <v>0.3692035439516696</v>
      </c>
      <c r="J1123" s="95">
        <v>5.6588906085157202E-2</v>
      </c>
      <c r="K1123" s="137">
        <v>0.75194805194805203</v>
      </c>
      <c r="L1123" s="137">
        <v>0.68181818181818199</v>
      </c>
      <c r="M1123" s="137">
        <v>0.85714285714285698</v>
      </c>
      <c r="N1123" s="136">
        <v>0</v>
      </c>
      <c r="O1123" s="154">
        <v>42635</v>
      </c>
      <c r="P1123" s="98">
        <f t="shared" si="91"/>
        <v>0</v>
      </c>
      <c r="Q1123" s="111">
        <v>2.5499999999999998</v>
      </c>
      <c r="R1123" s="111">
        <v>1.65</v>
      </c>
      <c r="S1123" s="111">
        <v>1.87</v>
      </c>
      <c r="T1123" s="112" t="s">
        <v>48</v>
      </c>
      <c r="U1123" s="137" t="s">
        <v>489</v>
      </c>
      <c r="V1123" s="137" t="s">
        <v>490</v>
      </c>
      <c r="W1123" s="69">
        <v>65</v>
      </c>
      <c r="X1123" s="171">
        <v>1</v>
      </c>
      <c r="Y1123" s="171">
        <v>1</v>
      </c>
      <c r="Z1123"/>
      <c r="AA1123" t="s">
        <v>4522</v>
      </c>
      <c r="AB1123" t="s">
        <v>4732</v>
      </c>
      <c r="AC1123" t="s">
        <v>4515</v>
      </c>
      <c r="AD1123" t="s">
        <v>4782</v>
      </c>
      <c r="AE1123" t="s">
        <v>4515</v>
      </c>
      <c r="AF1123" t="s">
        <v>4782</v>
      </c>
      <c r="AG1123" t="s">
        <v>4515</v>
      </c>
      <c r="AH1123" t="s">
        <v>4782</v>
      </c>
      <c r="AI1123" t="s">
        <v>4353</v>
      </c>
      <c r="AJ1123" t="s">
        <v>4506</v>
      </c>
      <c r="AK1123" t="s">
        <v>4519</v>
      </c>
      <c r="AL1123" t="s">
        <v>4519</v>
      </c>
      <c r="AM1123" t="s">
        <v>4519</v>
      </c>
      <c r="AN1123" t="s">
        <v>4564</v>
      </c>
      <c r="AO1123" s="134">
        <v>95.086419753086403</v>
      </c>
      <c r="AP1123" s="135">
        <v>82.918918918918905</v>
      </c>
      <c r="AQ1123">
        <v>0.48648648648648701</v>
      </c>
      <c r="AR1123" s="136">
        <v>1.22972972972973</v>
      </c>
      <c r="AS1123">
        <v>9.3164556962025298</v>
      </c>
      <c r="AU1123"/>
      <c r="AV1123"/>
      <c r="AW1123"/>
      <c r="AX1123"/>
    </row>
    <row r="1124" spans="1:50" s="69" customFormat="1" ht="151">
      <c r="A1124">
        <v>1079</v>
      </c>
      <c r="B1124" s="69" t="s">
        <v>2916</v>
      </c>
      <c r="C1124" s="69" t="s">
        <v>45</v>
      </c>
      <c r="D1124" s="31">
        <f t="shared" si="89"/>
        <v>4</v>
      </c>
      <c r="E1124" s="69" t="s">
        <v>46</v>
      </c>
      <c r="F1124" s="31">
        <f t="shared" si="90"/>
        <v>6</v>
      </c>
      <c r="G1124" s="91" t="s">
        <v>2932</v>
      </c>
      <c r="H1124" s="138">
        <v>194</v>
      </c>
      <c r="I1124" s="92">
        <f t="shared" si="88"/>
        <v>0.41250000000000153</v>
      </c>
      <c r="J1124" s="95">
        <v>3.1086244689504399E-15</v>
      </c>
      <c r="K1124" s="137">
        <v>0.76722468700001201</v>
      </c>
      <c r="L1124" s="137">
        <v>0.82499999999999996</v>
      </c>
      <c r="M1124" s="137">
        <v>0.68056171750003003</v>
      </c>
      <c r="N1124" s="136">
        <v>1</v>
      </c>
      <c r="O1124" s="157">
        <v>42631</v>
      </c>
      <c r="P1124" s="98">
        <f t="shared" si="91"/>
        <v>0</v>
      </c>
      <c r="Q1124" s="113">
        <v>0</v>
      </c>
      <c r="R1124" s="113">
        <v>0</v>
      </c>
      <c r="S1124" s="113">
        <v>0</v>
      </c>
      <c r="T1124" s="119" t="s">
        <v>48</v>
      </c>
      <c r="U1124" s="89" t="s">
        <v>2933</v>
      </c>
      <c r="V1124" s="136" t="s">
        <v>4458</v>
      </c>
      <c r="W1124" s="69">
        <v>175</v>
      </c>
      <c r="X1124" s="171">
        <v>2</v>
      </c>
      <c r="Y1124" s="171">
        <v>5</v>
      </c>
      <c r="AA1124" t="s">
        <v>4522</v>
      </c>
      <c r="AB1124" t="s">
        <v>87</v>
      </c>
      <c r="AC1124" t="s">
        <v>223</v>
      </c>
      <c r="AD1124" t="s">
        <v>4598</v>
      </c>
      <c r="AE1124" t="s">
        <v>4353</v>
      </c>
      <c r="AF1124" t="s">
        <v>4506</v>
      </c>
      <c r="AG1124" t="s">
        <v>4353</v>
      </c>
      <c r="AH1124" t="s">
        <v>4506</v>
      </c>
      <c r="AI1124" t="s">
        <v>4353</v>
      </c>
      <c r="AJ1124" t="s">
        <v>4506</v>
      </c>
      <c r="AK1124" t="s">
        <v>4519</v>
      </c>
      <c r="AL1124" t="s">
        <v>4519</v>
      </c>
      <c r="AM1124" t="s">
        <v>4592</v>
      </c>
      <c r="AN1124" t="s">
        <v>4626</v>
      </c>
      <c r="AO1124" s="134">
        <v>93.85</v>
      </c>
      <c r="AP1124" s="135">
        <v>84.073529411764696</v>
      </c>
      <c r="AQ1124">
        <v>0.51470588235294101</v>
      </c>
      <c r="AR1124" s="136">
        <v>1.23529411764706</v>
      </c>
      <c r="AS1124">
        <v>9.2647058823529402</v>
      </c>
      <c r="AU1124"/>
      <c r="AV1124"/>
      <c r="AW1124"/>
      <c r="AX1124"/>
    </row>
    <row r="1125" spans="1:50" s="69" customFormat="1" ht="76">
      <c r="A1125" s="65">
        <v>408</v>
      </c>
      <c r="B1125" s="69" t="s">
        <v>589</v>
      </c>
      <c r="C1125" s="69" t="s">
        <v>45</v>
      </c>
      <c r="D1125" s="31">
        <f t="shared" si="89"/>
        <v>4</v>
      </c>
      <c r="E1125" s="69" t="s">
        <v>46</v>
      </c>
      <c r="F1125" s="31">
        <f t="shared" si="90"/>
        <v>6</v>
      </c>
      <c r="G1125" s="137" t="s">
        <v>1173</v>
      </c>
      <c r="H1125" s="138">
        <v>129</v>
      </c>
      <c r="I1125" s="92">
        <f t="shared" si="88"/>
        <v>0.76657671769422042</v>
      </c>
      <c r="J1125" s="95">
        <v>0.78315343538844095</v>
      </c>
      <c r="K1125" s="137">
        <v>0.66047858340826304</v>
      </c>
      <c r="L1125" s="137">
        <v>0.75</v>
      </c>
      <c r="M1125" s="137">
        <v>0.526196458520657</v>
      </c>
      <c r="N1125" s="136">
        <v>1</v>
      </c>
      <c r="O1125" s="154">
        <v>42629</v>
      </c>
      <c r="P1125" s="98">
        <f t="shared" si="91"/>
        <v>0</v>
      </c>
      <c r="Q1125" s="111">
        <v>0</v>
      </c>
      <c r="R1125" s="111">
        <v>1.65</v>
      </c>
      <c r="S1125" s="111">
        <v>0</v>
      </c>
      <c r="T1125" s="112" t="s">
        <v>48</v>
      </c>
      <c r="U1125" s="137" t="s">
        <v>1174</v>
      </c>
      <c r="V1125" s="137" t="s">
        <v>1168</v>
      </c>
      <c r="W1125" s="69">
        <v>83</v>
      </c>
      <c r="X1125" s="69">
        <v>1</v>
      </c>
      <c r="Y1125" s="69">
        <v>11</v>
      </c>
      <c r="Z1125"/>
      <c r="AA1125" t="s">
        <v>4522</v>
      </c>
      <c r="AB1125" t="s">
        <v>51</v>
      </c>
      <c r="AC1125" t="s">
        <v>223</v>
      </c>
      <c r="AD1125" t="s">
        <v>4555</v>
      </c>
      <c r="AE1125" t="s">
        <v>4530</v>
      </c>
      <c r="AF1125" t="s">
        <v>4577</v>
      </c>
      <c r="AG1125" t="s">
        <v>4353</v>
      </c>
      <c r="AH1125" t="s">
        <v>4506</v>
      </c>
      <c r="AI1125" t="s">
        <v>4353</v>
      </c>
      <c r="AJ1125" t="s">
        <v>4506</v>
      </c>
      <c r="AK1125" t="s">
        <v>4519</v>
      </c>
      <c r="AL1125" t="s">
        <v>4541</v>
      </c>
      <c r="AM1125" t="s">
        <v>4510</v>
      </c>
      <c r="AN1125" t="s">
        <v>4630</v>
      </c>
      <c r="AO1125" s="134">
        <v>93.4050632911392</v>
      </c>
      <c r="AP1125" s="135">
        <v>84.073529411764696</v>
      </c>
      <c r="AQ1125">
        <v>0.51470588235294101</v>
      </c>
      <c r="AR1125" s="136">
        <v>1.23529411764706</v>
      </c>
      <c r="AS1125">
        <v>9.2647058823529402</v>
      </c>
      <c r="AU1125"/>
      <c r="AV1125"/>
      <c r="AW1125"/>
      <c r="AX1125"/>
    </row>
    <row r="1126" spans="1:50" s="69" customFormat="1" ht="76">
      <c r="A1126" s="65">
        <v>409</v>
      </c>
      <c r="B1126" s="69" t="s">
        <v>589</v>
      </c>
      <c r="C1126" s="69" t="s">
        <v>45</v>
      </c>
      <c r="D1126" s="31">
        <f t="shared" si="89"/>
        <v>4</v>
      </c>
      <c r="E1126" s="69" t="s">
        <v>80</v>
      </c>
      <c r="F1126" s="31">
        <f t="shared" si="90"/>
        <v>4</v>
      </c>
      <c r="G1126" s="137" t="s">
        <v>1171</v>
      </c>
      <c r="H1126" s="138">
        <v>73</v>
      </c>
      <c r="I1126" s="92">
        <f t="shared" si="88"/>
        <v>0.37501264706167037</v>
      </c>
      <c r="J1126" s="95">
        <v>2.5294123340735498E-5</v>
      </c>
      <c r="K1126" s="137">
        <v>0.66047858340826304</v>
      </c>
      <c r="L1126" s="137">
        <v>0.75</v>
      </c>
      <c r="M1126" s="137">
        <v>0.526196458520657</v>
      </c>
      <c r="N1126" s="136">
        <v>1</v>
      </c>
      <c r="O1126" s="154">
        <v>42629</v>
      </c>
      <c r="P1126" s="98">
        <f t="shared" si="91"/>
        <v>0</v>
      </c>
      <c r="Q1126" s="111">
        <v>5.0999999999999996</v>
      </c>
      <c r="R1126" s="111">
        <v>0</v>
      </c>
      <c r="S1126" s="111">
        <v>0</v>
      </c>
      <c r="T1126" s="112" t="s">
        <v>48</v>
      </c>
      <c r="U1126" s="137" t="s">
        <v>1175</v>
      </c>
      <c r="V1126" s="137" t="s">
        <v>1176</v>
      </c>
      <c r="W1126" s="69">
        <v>97</v>
      </c>
      <c r="X1126" s="69">
        <v>1</v>
      </c>
      <c r="Y1126" s="69">
        <v>11</v>
      </c>
      <c r="Z1126"/>
      <c r="AA1126" t="s">
        <v>4512</v>
      </c>
      <c r="AB1126" t="s">
        <v>51</v>
      </c>
      <c r="AC1126" t="s">
        <v>223</v>
      </c>
      <c r="AD1126" t="s">
        <v>4717</v>
      </c>
      <c r="AE1126" t="s">
        <v>4530</v>
      </c>
      <c r="AF1126" t="s">
        <v>4738</v>
      </c>
      <c r="AG1126" t="s">
        <v>4353</v>
      </c>
      <c r="AH1126" t="s">
        <v>4506</v>
      </c>
      <c r="AI1126" t="s">
        <v>4353</v>
      </c>
      <c r="AJ1126" t="s">
        <v>4506</v>
      </c>
      <c r="AK1126" t="s">
        <v>4519</v>
      </c>
      <c r="AL1126" t="s">
        <v>4541</v>
      </c>
      <c r="AM1126" t="s">
        <v>4510</v>
      </c>
      <c r="AN1126" t="s">
        <v>4630</v>
      </c>
      <c r="AO1126" s="134">
        <v>93.6666666666667</v>
      </c>
      <c r="AP1126" s="135">
        <v>84.073529411764696</v>
      </c>
      <c r="AQ1126">
        <v>0.51470588235294101</v>
      </c>
      <c r="AR1126" s="136">
        <v>1.23529411764706</v>
      </c>
      <c r="AS1126">
        <v>9.2647058823529402</v>
      </c>
      <c r="AU1126"/>
      <c r="AV1126"/>
      <c r="AW1126"/>
      <c r="AX1126"/>
    </row>
    <row r="1127" spans="1:50" s="69" customFormat="1" ht="46">
      <c r="A1127">
        <v>11</v>
      </c>
      <c r="B1127" s="136" t="s">
        <v>44</v>
      </c>
      <c r="C1127" s="136" t="s">
        <v>45</v>
      </c>
      <c r="D1127" s="31">
        <f t="shared" si="89"/>
        <v>4</v>
      </c>
      <c r="E1127" s="136" t="s">
        <v>46</v>
      </c>
      <c r="F1127" s="31">
        <f t="shared" si="90"/>
        <v>6</v>
      </c>
      <c r="G1127" s="136" t="s">
        <v>88</v>
      </c>
      <c r="H1127" s="138">
        <v>38</v>
      </c>
      <c r="I1127" s="92">
        <f t="shared" si="88"/>
        <v>0.48572820313968901</v>
      </c>
      <c r="J1127" s="95">
        <v>0.146456406279378</v>
      </c>
      <c r="K1127" s="137">
        <v>0.74381421079630905</v>
      </c>
      <c r="L1127" s="137">
        <v>0.82499999999999996</v>
      </c>
      <c r="M1127" s="137">
        <v>0.62203552699077302</v>
      </c>
      <c r="N1127" s="136">
        <v>1</v>
      </c>
      <c r="O1127" s="41">
        <v>42626</v>
      </c>
      <c r="P1127" s="98">
        <f t="shared" si="91"/>
        <v>0</v>
      </c>
      <c r="Q1127" s="113">
        <v>5.0999999999999996</v>
      </c>
      <c r="R1127" s="113">
        <v>0</v>
      </c>
      <c r="S1127" s="113">
        <v>0</v>
      </c>
      <c r="T1127" s="114" t="s">
        <v>48</v>
      </c>
      <c r="U1127" s="136" t="s">
        <v>89</v>
      </c>
      <c r="V1127" s="136" t="s">
        <v>86</v>
      </c>
      <c r="W1127" s="69">
        <v>53</v>
      </c>
      <c r="X1127" s="136">
        <v>1</v>
      </c>
      <c r="Y1127" s="136">
        <v>7</v>
      </c>
      <c r="Z1127"/>
      <c r="AA1127" t="s">
        <v>4551</v>
      </c>
      <c r="AB1127" t="s">
        <v>87</v>
      </c>
      <c r="AC1127" t="s">
        <v>4530</v>
      </c>
      <c r="AD1127" t="s">
        <v>5086</v>
      </c>
      <c r="AE1127" t="s">
        <v>4353</v>
      </c>
      <c r="AF1127" t="s">
        <v>4506</v>
      </c>
      <c r="AG1127" t="s">
        <v>4353</v>
      </c>
      <c r="AH1127" t="s">
        <v>4506</v>
      </c>
      <c r="AI1127" t="s">
        <v>4353</v>
      </c>
      <c r="AJ1127" t="s">
        <v>4506</v>
      </c>
      <c r="AK1127" t="s">
        <v>4519</v>
      </c>
      <c r="AL1127" t="s">
        <v>4519</v>
      </c>
      <c r="AM1127" t="s">
        <v>4528</v>
      </c>
      <c r="AN1127" t="s">
        <v>4529</v>
      </c>
      <c r="AO1127" s="134">
        <v>94.636363636363598</v>
      </c>
      <c r="AP1127" s="135">
        <v>87.5833333333333</v>
      </c>
      <c r="AQ1127">
        <v>0.55000000000000004</v>
      </c>
      <c r="AR1127" s="136">
        <v>1.2666666666666699</v>
      </c>
      <c r="AS1127">
        <v>9.7833333333333297</v>
      </c>
      <c r="AU1127"/>
      <c r="AV1127"/>
      <c r="AW1127"/>
      <c r="AX1127"/>
    </row>
    <row r="1128" spans="1:50" s="69" customFormat="1" ht="46">
      <c r="A1128">
        <v>10</v>
      </c>
      <c r="B1128" s="136" t="s">
        <v>44</v>
      </c>
      <c r="C1128" s="136" t="s">
        <v>45</v>
      </c>
      <c r="D1128" s="31">
        <f t="shared" si="89"/>
        <v>4</v>
      </c>
      <c r="E1128" s="136" t="s">
        <v>46</v>
      </c>
      <c r="F1128" s="31">
        <f t="shared" si="90"/>
        <v>6</v>
      </c>
      <c r="G1128" s="209" t="s">
        <v>84</v>
      </c>
      <c r="H1128" s="138">
        <v>19</v>
      </c>
      <c r="I1128" s="92">
        <f t="shared" si="88"/>
        <v>0.42281747390850632</v>
      </c>
      <c r="J1128" s="95">
        <v>2.0634947817012701E-2</v>
      </c>
      <c r="K1128" s="137">
        <v>0.74381421079630905</v>
      </c>
      <c r="L1128" s="137">
        <v>0.82499999999999996</v>
      </c>
      <c r="M1128" s="137">
        <v>0.62203552699077302</v>
      </c>
      <c r="N1128" s="136">
        <v>1</v>
      </c>
      <c r="O1128" s="41">
        <v>42626</v>
      </c>
      <c r="P1128" s="98">
        <f t="shared" si="91"/>
        <v>0</v>
      </c>
      <c r="Q1128" s="111">
        <v>5.0999999999999996</v>
      </c>
      <c r="R1128" s="111">
        <v>0</v>
      </c>
      <c r="S1128" s="111">
        <v>0</v>
      </c>
      <c r="T1128" s="112" t="s">
        <v>48</v>
      </c>
      <c r="U1128" s="137" t="s">
        <v>85</v>
      </c>
      <c r="V1128" s="136" t="s">
        <v>86</v>
      </c>
      <c r="W1128" s="69">
        <v>53</v>
      </c>
      <c r="X1128" s="209">
        <v>1</v>
      </c>
      <c r="Y1128" s="209">
        <v>7</v>
      </c>
      <c r="Z1128"/>
      <c r="AA1128" t="s">
        <v>4556</v>
      </c>
      <c r="AB1128" t="s">
        <v>87</v>
      </c>
      <c r="AC1128" t="s">
        <v>4530</v>
      </c>
      <c r="AD1128" t="s">
        <v>5086</v>
      </c>
      <c r="AE1128" t="s">
        <v>4353</v>
      </c>
      <c r="AF1128" t="s">
        <v>4506</v>
      </c>
      <c r="AG1128" t="s">
        <v>4353</v>
      </c>
      <c r="AH1128" t="s">
        <v>4506</v>
      </c>
      <c r="AI1128" t="s">
        <v>4353</v>
      </c>
      <c r="AJ1128" t="s">
        <v>4506</v>
      </c>
      <c r="AK1128" t="s">
        <v>4519</v>
      </c>
      <c r="AL1128" t="s">
        <v>4519</v>
      </c>
      <c r="AM1128" t="s">
        <v>4528</v>
      </c>
      <c r="AN1128" t="s">
        <v>4529</v>
      </c>
      <c r="AO1128" s="134">
        <v>95.381578947368396</v>
      </c>
      <c r="AP1128" s="135">
        <v>87.5833333333333</v>
      </c>
      <c r="AQ1128">
        <v>0.55000000000000004</v>
      </c>
      <c r="AR1128" s="136">
        <v>1.2666666666666699</v>
      </c>
      <c r="AS1128">
        <v>9.7833333333333297</v>
      </c>
      <c r="AU1128"/>
      <c r="AV1128"/>
      <c r="AW1128"/>
      <c r="AX1128"/>
    </row>
    <row r="1129" spans="1:50" s="69" customFormat="1" ht="61">
      <c r="A1129" s="65">
        <v>12</v>
      </c>
      <c r="B1129" s="136" t="s">
        <v>44</v>
      </c>
      <c r="C1129" s="136" t="s">
        <v>45</v>
      </c>
      <c r="D1129" s="31">
        <f t="shared" si="89"/>
        <v>4</v>
      </c>
      <c r="E1129" s="136" t="s">
        <v>46</v>
      </c>
      <c r="F1129" s="31">
        <f t="shared" si="90"/>
        <v>6</v>
      </c>
      <c r="G1129" s="136" t="s">
        <v>90</v>
      </c>
      <c r="H1129" s="138">
        <v>35</v>
      </c>
      <c r="I1129" s="92">
        <f t="shared" si="88"/>
        <v>0.4126569108206084</v>
      </c>
      <c r="J1129" s="95">
        <v>3.1382164121684898E-4</v>
      </c>
      <c r="K1129" s="137">
        <v>0.59807700441676404</v>
      </c>
      <c r="L1129" s="137">
        <v>0.82499999999999996</v>
      </c>
      <c r="M1129" s="137">
        <v>0.25769251104190999</v>
      </c>
      <c r="N1129" s="136">
        <v>1</v>
      </c>
      <c r="O1129" s="41">
        <v>42626</v>
      </c>
      <c r="P1129" s="98">
        <f t="shared" si="91"/>
        <v>0</v>
      </c>
      <c r="Q1129" s="113">
        <v>5.0999999999999996</v>
      </c>
      <c r="R1129" s="113">
        <v>0</v>
      </c>
      <c r="S1129" s="113">
        <v>0</v>
      </c>
      <c r="T1129" s="114" t="s">
        <v>48</v>
      </c>
      <c r="U1129" s="136" t="s">
        <v>91</v>
      </c>
      <c r="V1129" s="136" t="s">
        <v>92</v>
      </c>
      <c r="W1129" s="69">
        <v>78</v>
      </c>
      <c r="X1129" s="136">
        <v>2</v>
      </c>
      <c r="Y1129" s="136">
        <v>27</v>
      </c>
      <c r="Z1129"/>
      <c r="AA1129" t="s">
        <v>4551</v>
      </c>
      <c r="AB1129" t="s">
        <v>87</v>
      </c>
      <c r="AC1129" t="s">
        <v>4530</v>
      </c>
      <c r="AD1129" t="s">
        <v>4646</v>
      </c>
      <c r="AE1129" t="s">
        <v>4353</v>
      </c>
      <c r="AF1129" t="s">
        <v>4506</v>
      </c>
      <c r="AG1129" t="s">
        <v>4353</v>
      </c>
      <c r="AH1129" t="s">
        <v>4506</v>
      </c>
      <c r="AI1129" t="s">
        <v>4353</v>
      </c>
      <c r="AJ1129" t="s">
        <v>4506</v>
      </c>
      <c r="AK1129" t="s">
        <v>4519</v>
      </c>
      <c r="AL1129" t="s">
        <v>4519</v>
      </c>
      <c r="AM1129" t="s">
        <v>4528</v>
      </c>
      <c r="AN1129" t="s">
        <v>4529</v>
      </c>
      <c r="AO1129" s="134">
        <v>96.186666666666696</v>
      </c>
      <c r="AP1129" s="135">
        <v>87.5833333333333</v>
      </c>
      <c r="AQ1129">
        <v>0.55000000000000004</v>
      </c>
      <c r="AR1129" s="136">
        <v>1.2666666666666699</v>
      </c>
      <c r="AS1129">
        <v>9.7833333333333297</v>
      </c>
      <c r="AU1129"/>
      <c r="AV1129"/>
      <c r="AW1129"/>
      <c r="AX1129"/>
    </row>
    <row r="1130" spans="1:50" s="69" customFormat="1" ht="46">
      <c r="A1130" s="65">
        <v>16</v>
      </c>
      <c r="B1130" s="136" t="s">
        <v>44</v>
      </c>
      <c r="C1130" s="136" t="s">
        <v>45</v>
      </c>
      <c r="D1130" s="31">
        <f t="shared" si="89"/>
        <v>4</v>
      </c>
      <c r="E1130" s="136" t="s">
        <v>46</v>
      </c>
      <c r="F1130" s="31">
        <f t="shared" si="90"/>
        <v>6</v>
      </c>
      <c r="G1130" s="136" t="s">
        <v>99</v>
      </c>
      <c r="H1130" s="138">
        <v>41</v>
      </c>
      <c r="I1130" s="92">
        <f t="shared" si="88"/>
        <v>0.57147796978676302</v>
      </c>
      <c r="J1130" s="95">
        <v>0.31795593957352603</v>
      </c>
      <c r="K1130" s="137">
        <v>0.89500000000000002</v>
      </c>
      <c r="L1130" s="137">
        <v>0.82499999999999996</v>
      </c>
      <c r="M1130" s="137">
        <v>1</v>
      </c>
      <c r="N1130" s="136">
        <v>1</v>
      </c>
      <c r="O1130" s="41">
        <v>42625</v>
      </c>
      <c r="P1130" s="98">
        <f t="shared" si="91"/>
        <v>0</v>
      </c>
      <c r="Q1130" s="113">
        <v>2.5499999999999998</v>
      </c>
      <c r="R1130" s="113">
        <v>1.65</v>
      </c>
      <c r="S1130" s="113">
        <v>0</v>
      </c>
      <c r="T1130" s="114" t="s">
        <v>48</v>
      </c>
      <c r="U1130" s="136" t="s">
        <v>100</v>
      </c>
      <c r="V1130" s="136" t="s">
        <v>101</v>
      </c>
      <c r="W1130" s="69">
        <v>47</v>
      </c>
      <c r="X1130" s="136">
        <v>1</v>
      </c>
      <c r="Y1130" s="136">
        <v>0</v>
      </c>
      <c r="Z1130"/>
      <c r="AA1130" t="s">
        <v>4512</v>
      </c>
      <c r="AB1130" t="s">
        <v>67</v>
      </c>
      <c r="AC1130" t="s">
        <v>4353</v>
      </c>
      <c r="AD1130" t="s">
        <v>4506</v>
      </c>
      <c r="AE1130" t="s">
        <v>4353</v>
      </c>
      <c r="AF1130" t="s">
        <v>4506</v>
      </c>
      <c r="AG1130" t="s">
        <v>4353</v>
      </c>
      <c r="AH1130" t="s">
        <v>4506</v>
      </c>
      <c r="AI1130" t="s">
        <v>4353</v>
      </c>
      <c r="AJ1130" t="s">
        <v>4506</v>
      </c>
      <c r="AK1130" t="s">
        <v>4519</v>
      </c>
      <c r="AL1130" t="s">
        <v>4519</v>
      </c>
      <c r="AM1130" t="s">
        <v>4528</v>
      </c>
      <c r="AN1130" t="s">
        <v>4529</v>
      </c>
      <c r="AO1130" s="134">
        <v>96.972972972972997</v>
      </c>
      <c r="AP1130" s="135">
        <v>88.271186440677994</v>
      </c>
      <c r="AQ1130">
        <v>0.55932203389830504</v>
      </c>
      <c r="AR1130" s="136">
        <v>1.27118644067797</v>
      </c>
      <c r="AS1130">
        <v>9.9491525423728806</v>
      </c>
      <c r="AU1130"/>
      <c r="AV1130"/>
      <c r="AW1130"/>
      <c r="AX1130"/>
    </row>
    <row r="1131" spans="1:50" s="69" customFormat="1" ht="61">
      <c r="A1131">
        <v>15</v>
      </c>
      <c r="B1131" s="136" t="s">
        <v>44</v>
      </c>
      <c r="C1131" s="136" t="s">
        <v>45</v>
      </c>
      <c r="D1131" s="31">
        <f t="shared" si="89"/>
        <v>4</v>
      </c>
      <c r="E1131" s="136" t="s">
        <v>46</v>
      </c>
      <c r="F1131" s="31">
        <f t="shared" si="90"/>
        <v>6</v>
      </c>
      <c r="G1131" s="136" t="s">
        <v>96</v>
      </c>
      <c r="H1131" s="138">
        <v>34</v>
      </c>
      <c r="I1131" s="92">
        <f t="shared" si="88"/>
        <v>0.53023962415188997</v>
      </c>
      <c r="J1131" s="95">
        <v>0.23547924830378</v>
      </c>
      <c r="K1131" s="137">
        <v>0.81418779643582295</v>
      </c>
      <c r="L1131" s="137">
        <v>0.82499999999999996</v>
      </c>
      <c r="M1131" s="137">
        <v>0.79796949108955795</v>
      </c>
      <c r="N1131" s="136">
        <v>1</v>
      </c>
      <c r="O1131" s="41">
        <v>42625</v>
      </c>
      <c r="P1131" s="98">
        <f t="shared" si="91"/>
        <v>0</v>
      </c>
      <c r="Q1131" s="113">
        <v>2.5499999999999998</v>
      </c>
      <c r="R1131" s="113">
        <v>0</v>
      </c>
      <c r="S1131" s="113">
        <v>0</v>
      </c>
      <c r="T1131" s="114" t="s">
        <v>48</v>
      </c>
      <c r="U1131" s="136" t="s">
        <v>97</v>
      </c>
      <c r="V1131" s="136" t="s">
        <v>98</v>
      </c>
      <c r="W1131" s="69">
        <v>55</v>
      </c>
      <c r="X1131" s="136">
        <v>1</v>
      </c>
      <c r="Y1131" s="136">
        <v>2</v>
      </c>
      <c r="Z1131"/>
      <c r="AA1131" t="s">
        <v>4556</v>
      </c>
      <c r="AB1131" t="s">
        <v>87</v>
      </c>
      <c r="AC1131" t="s">
        <v>4530</v>
      </c>
      <c r="AD1131" t="s">
        <v>5087</v>
      </c>
      <c r="AE1131" t="s">
        <v>4353</v>
      </c>
      <c r="AF1131" t="s">
        <v>4506</v>
      </c>
      <c r="AG1131" t="s">
        <v>4353</v>
      </c>
      <c r="AH1131" t="s">
        <v>4506</v>
      </c>
      <c r="AI1131" t="s">
        <v>4353</v>
      </c>
      <c r="AJ1131" t="s">
        <v>4506</v>
      </c>
      <c r="AK1131" t="s">
        <v>4519</v>
      </c>
      <c r="AL1131" t="s">
        <v>4519</v>
      </c>
      <c r="AM1131" t="s">
        <v>4528</v>
      </c>
      <c r="AN1131" t="s">
        <v>4529</v>
      </c>
      <c r="AO1131" s="134">
        <v>97.876712328767098</v>
      </c>
      <c r="AP1131" s="135">
        <v>88.271186440677994</v>
      </c>
      <c r="AQ1131">
        <v>0.55932203389830504</v>
      </c>
      <c r="AR1131" s="136">
        <v>1.27118644067797</v>
      </c>
      <c r="AS1131">
        <v>9.9491525423728806</v>
      </c>
      <c r="AU1131"/>
      <c r="AV1131"/>
      <c r="AW1131"/>
      <c r="AX1131"/>
    </row>
    <row r="1132" spans="1:50" s="69" customFormat="1" ht="46">
      <c r="A1132">
        <v>14</v>
      </c>
      <c r="B1132" s="136" t="s">
        <v>44</v>
      </c>
      <c r="C1132" s="136" t="s">
        <v>45</v>
      </c>
      <c r="D1132" s="31">
        <f t="shared" si="89"/>
        <v>4</v>
      </c>
      <c r="E1132" s="136" t="s">
        <v>46</v>
      </c>
      <c r="F1132" s="31">
        <f t="shared" si="90"/>
        <v>6</v>
      </c>
      <c r="G1132" s="136" t="s">
        <v>90</v>
      </c>
      <c r="H1132" s="138">
        <v>31</v>
      </c>
      <c r="I1132" s="92">
        <f t="shared" si="88"/>
        <v>0.43136504365839839</v>
      </c>
      <c r="J1132" s="95">
        <v>3.77300873167968E-2</v>
      </c>
      <c r="K1132" s="137">
        <v>0.733375592871646</v>
      </c>
      <c r="L1132" s="137">
        <v>0.82499999999999996</v>
      </c>
      <c r="M1132" s="137">
        <v>0.59593898217911601</v>
      </c>
      <c r="N1132" s="136">
        <v>1</v>
      </c>
      <c r="O1132" s="41">
        <v>42625</v>
      </c>
      <c r="P1132" s="98">
        <f t="shared" si="91"/>
        <v>0</v>
      </c>
      <c r="Q1132" s="111">
        <v>5.0999999999999996</v>
      </c>
      <c r="R1132" s="111">
        <v>0</v>
      </c>
      <c r="S1132" s="111">
        <v>0</v>
      </c>
      <c r="T1132" s="112" t="s">
        <v>48</v>
      </c>
      <c r="U1132" s="137" t="s">
        <v>95</v>
      </c>
      <c r="V1132" s="136" t="s">
        <v>86</v>
      </c>
      <c r="W1132" s="69">
        <v>53</v>
      </c>
      <c r="X1132" s="136">
        <v>1</v>
      </c>
      <c r="Y1132" s="136">
        <v>8</v>
      </c>
      <c r="Z1132"/>
      <c r="AA1132" t="s">
        <v>4512</v>
      </c>
      <c r="AB1132" t="s">
        <v>87</v>
      </c>
      <c r="AC1132" t="s">
        <v>4530</v>
      </c>
      <c r="AD1132" t="s">
        <v>5086</v>
      </c>
      <c r="AE1132" t="s">
        <v>4353</v>
      </c>
      <c r="AF1132" t="s">
        <v>4506</v>
      </c>
      <c r="AG1132" t="s">
        <v>4353</v>
      </c>
      <c r="AH1132" t="s">
        <v>4506</v>
      </c>
      <c r="AI1132" t="s">
        <v>4353</v>
      </c>
      <c r="AJ1132" t="s">
        <v>4506</v>
      </c>
      <c r="AK1132" t="s">
        <v>4519</v>
      </c>
      <c r="AL1132" t="s">
        <v>4519</v>
      </c>
      <c r="AM1132" t="s">
        <v>4528</v>
      </c>
      <c r="AN1132" t="s">
        <v>4529</v>
      </c>
      <c r="AO1132" s="134">
        <v>98.7638888888889</v>
      </c>
      <c r="AP1132" s="135">
        <v>88.271186440677994</v>
      </c>
      <c r="AQ1132">
        <v>0.55932203389830504</v>
      </c>
      <c r="AR1132" s="136">
        <v>1.27118644067797</v>
      </c>
      <c r="AS1132">
        <v>9.9491525423728806</v>
      </c>
      <c r="AU1132"/>
      <c r="AV1132"/>
      <c r="AW1132"/>
      <c r="AX1132"/>
    </row>
    <row r="1133" spans="1:50" s="69" customFormat="1" ht="46">
      <c r="A1133" s="65">
        <v>13</v>
      </c>
      <c r="B1133" s="136" t="s">
        <v>44</v>
      </c>
      <c r="C1133" s="136" t="s">
        <v>45</v>
      </c>
      <c r="D1133" s="31">
        <f t="shared" si="89"/>
        <v>4</v>
      </c>
      <c r="E1133" s="136" t="s">
        <v>46</v>
      </c>
      <c r="F1133" s="31">
        <f t="shared" si="90"/>
        <v>6</v>
      </c>
      <c r="G1133" s="209" t="s">
        <v>93</v>
      </c>
      <c r="H1133" s="138">
        <v>38</v>
      </c>
      <c r="I1133" s="92">
        <f t="shared" si="88"/>
        <v>0.41601020863551208</v>
      </c>
      <c r="J1133" s="95">
        <v>7.0204172710241998E-3</v>
      </c>
      <c r="K1133" s="137">
        <v>0.733375592871646</v>
      </c>
      <c r="L1133" s="137">
        <v>0.82499999999999996</v>
      </c>
      <c r="M1133" s="137">
        <v>0.59593898217911601</v>
      </c>
      <c r="N1133" s="136">
        <v>1</v>
      </c>
      <c r="O1133" s="41">
        <v>42625</v>
      </c>
      <c r="P1133" s="98">
        <f t="shared" si="91"/>
        <v>0</v>
      </c>
      <c r="Q1133" s="113">
        <v>5.0999999999999996</v>
      </c>
      <c r="R1133" s="113">
        <v>0</v>
      </c>
      <c r="S1133" s="113">
        <v>0</v>
      </c>
      <c r="T1133" s="114" t="s">
        <v>48</v>
      </c>
      <c r="U1133" s="136" t="s">
        <v>94</v>
      </c>
      <c r="V1133" s="136" t="s">
        <v>86</v>
      </c>
      <c r="W1133" s="69">
        <v>53</v>
      </c>
      <c r="X1133" s="209">
        <v>1</v>
      </c>
      <c r="Y1133" s="209">
        <v>8</v>
      </c>
      <c r="Z1133"/>
      <c r="AA1133" t="s">
        <v>4628</v>
      </c>
      <c r="AB1133" t="s">
        <v>87</v>
      </c>
      <c r="AC1133" t="s">
        <v>4530</v>
      </c>
      <c r="AD1133" t="s">
        <v>5086</v>
      </c>
      <c r="AE1133" t="s">
        <v>4353</v>
      </c>
      <c r="AF1133" t="s">
        <v>4506</v>
      </c>
      <c r="AG1133" t="s">
        <v>4353</v>
      </c>
      <c r="AH1133" t="s">
        <v>4506</v>
      </c>
      <c r="AI1133" t="s">
        <v>4353</v>
      </c>
      <c r="AJ1133" t="s">
        <v>4506</v>
      </c>
      <c r="AK1133" t="s">
        <v>4519</v>
      </c>
      <c r="AL1133" t="s">
        <v>4552</v>
      </c>
      <c r="AM1133" t="s">
        <v>4528</v>
      </c>
      <c r="AN1133" t="s">
        <v>4618</v>
      </c>
      <c r="AO1133" s="134">
        <v>99.577464788732399</v>
      </c>
      <c r="AP1133" s="135">
        <v>88.271186440677994</v>
      </c>
      <c r="AQ1133">
        <v>0.55932203389830504</v>
      </c>
      <c r="AR1133" s="136">
        <v>1.27118644067797</v>
      </c>
      <c r="AS1133">
        <v>9.9491525423728806</v>
      </c>
      <c r="AU1133"/>
      <c r="AV1133"/>
      <c r="AW1133"/>
      <c r="AX1133"/>
    </row>
    <row r="1134" spans="1:50" s="69" customFormat="1" ht="61">
      <c r="A1134" s="65">
        <v>17</v>
      </c>
      <c r="B1134" s="136" t="s">
        <v>44</v>
      </c>
      <c r="C1134" s="136" t="s">
        <v>45</v>
      </c>
      <c r="D1134" s="31">
        <f t="shared" si="89"/>
        <v>4</v>
      </c>
      <c r="E1134" s="136" t="s">
        <v>46</v>
      </c>
      <c r="F1134" s="31">
        <f t="shared" si="90"/>
        <v>6</v>
      </c>
      <c r="G1134" s="136" t="s">
        <v>102</v>
      </c>
      <c r="H1134" s="138">
        <v>12</v>
      </c>
      <c r="I1134" s="92">
        <f t="shared" si="88"/>
        <v>0.46631527494403652</v>
      </c>
      <c r="J1134" s="95">
        <v>0.18263054988807301</v>
      </c>
      <c r="K1134" s="137">
        <v>0.73571428571428599</v>
      </c>
      <c r="L1134" s="137">
        <v>0.75</v>
      </c>
      <c r="M1134" s="137">
        <v>0.71428571428571397</v>
      </c>
      <c r="N1134" s="136">
        <v>1</v>
      </c>
      <c r="O1134" s="41">
        <v>42623</v>
      </c>
      <c r="P1134" s="98">
        <f t="shared" si="91"/>
        <v>0</v>
      </c>
      <c r="Q1134" s="111">
        <v>5.0999999999999996</v>
      </c>
      <c r="R1134" s="111">
        <v>0</v>
      </c>
      <c r="S1134" s="111">
        <v>0</v>
      </c>
      <c r="T1134" s="112" t="s">
        <v>48</v>
      </c>
      <c r="U1134" s="137" t="s">
        <v>103</v>
      </c>
      <c r="V1134" s="136" t="s">
        <v>104</v>
      </c>
      <c r="W1134" s="69">
        <v>54</v>
      </c>
      <c r="X1134" s="136">
        <v>1</v>
      </c>
      <c r="Y1134" s="136">
        <v>4</v>
      </c>
      <c r="Z1134"/>
      <c r="AA1134" t="s">
        <v>4564</v>
      </c>
      <c r="AB1134" t="s">
        <v>87</v>
      </c>
      <c r="AC1134" t="s">
        <v>4530</v>
      </c>
      <c r="AD1134" t="s">
        <v>4916</v>
      </c>
      <c r="AE1134" t="s">
        <v>4353</v>
      </c>
      <c r="AF1134" t="s">
        <v>4506</v>
      </c>
      <c r="AG1134" t="s">
        <v>4353</v>
      </c>
      <c r="AH1134" t="s">
        <v>4506</v>
      </c>
      <c r="AI1134" t="s">
        <v>4353</v>
      </c>
      <c r="AJ1134" t="s">
        <v>4506</v>
      </c>
      <c r="AK1134" t="s">
        <v>4519</v>
      </c>
      <c r="AL1134" t="s">
        <v>4519</v>
      </c>
      <c r="AM1134" t="s">
        <v>4528</v>
      </c>
      <c r="AN1134" t="s">
        <v>4529</v>
      </c>
      <c r="AO1134" s="134">
        <v>100.828571428571</v>
      </c>
      <c r="AP1134" s="135">
        <v>88.327586206896598</v>
      </c>
      <c r="AQ1134">
        <v>0.53448275862068995</v>
      </c>
      <c r="AR1134" s="136">
        <v>1.2586206896551699</v>
      </c>
      <c r="AS1134">
        <v>10.086206896551699</v>
      </c>
      <c r="AU1134"/>
      <c r="AV1134"/>
      <c r="AW1134"/>
      <c r="AX1134"/>
    </row>
    <row r="1135" spans="1:50" s="69" customFormat="1" ht="76">
      <c r="A1135">
        <v>695</v>
      </c>
      <c r="B1135" s="69" t="s">
        <v>1871</v>
      </c>
      <c r="C1135" s="69" t="s">
        <v>45</v>
      </c>
      <c r="D1135" s="31">
        <f t="shared" si="89"/>
        <v>4</v>
      </c>
      <c r="E1135" s="69" t="s">
        <v>46</v>
      </c>
      <c r="F1135" s="31">
        <f t="shared" si="90"/>
        <v>6</v>
      </c>
      <c r="G1135" s="169" t="s">
        <v>1910</v>
      </c>
      <c r="H1135" s="138">
        <v>86</v>
      </c>
      <c r="I1135" s="92">
        <f t="shared" si="88"/>
        <v>0.5036579449554035</v>
      </c>
      <c r="J1135" s="95">
        <v>0.25731588991080701</v>
      </c>
      <c r="K1135" s="137">
        <v>0.63619100647005999</v>
      </c>
      <c r="L1135" s="137">
        <v>0.75</v>
      </c>
      <c r="M1135" s="137">
        <v>0.46547751617515098</v>
      </c>
      <c r="N1135" s="136">
        <v>1</v>
      </c>
      <c r="O1135" s="154">
        <v>42622</v>
      </c>
      <c r="P1135" s="98">
        <f t="shared" si="91"/>
        <v>2</v>
      </c>
      <c r="Q1135" s="111">
        <v>0</v>
      </c>
      <c r="R1135" s="111">
        <v>0</v>
      </c>
      <c r="S1135" s="111">
        <v>0</v>
      </c>
      <c r="T1135" s="112" t="s">
        <v>64</v>
      </c>
      <c r="U1135" s="137" t="s">
        <v>1911</v>
      </c>
      <c r="V1135" s="137" t="s">
        <v>1912</v>
      </c>
      <c r="W1135" s="69">
        <v>90</v>
      </c>
      <c r="X1135" s="69">
        <v>1</v>
      </c>
      <c r="Y1135" s="69">
        <v>14</v>
      </c>
      <c r="AA1135" t="s">
        <v>4564</v>
      </c>
      <c r="AB1135" t="s">
        <v>4597</v>
      </c>
      <c r="AC1135" t="s">
        <v>4515</v>
      </c>
      <c r="AD1135" t="s">
        <v>4798</v>
      </c>
      <c r="AE1135" t="s">
        <v>223</v>
      </c>
      <c r="AF1135" t="s">
        <v>4670</v>
      </c>
      <c r="AG1135" t="s">
        <v>4515</v>
      </c>
      <c r="AH1135" t="s">
        <v>4798</v>
      </c>
      <c r="AI1135" t="s">
        <v>4353</v>
      </c>
      <c r="AJ1135" t="s">
        <v>4506</v>
      </c>
      <c r="AK1135" t="s">
        <v>4519</v>
      </c>
      <c r="AL1135" t="s">
        <v>4519</v>
      </c>
      <c r="AM1135" t="s">
        <v>4528</v>
      </c>
      <c r="AN1135" t="s">
        <v>4529</v>
      </c>
      <c r="AO1135" s="134">
        <v>96.753623188405797</v>
      </c>
      <c r="AP1135" s="135">
        <v>88.327586206896598</v>
      </c>
      <c r="AQ1135">
        <v>0.53448275862068995</v>
      </c>
      <c r="AR1135" s="136">
        <v>1.2586206896551699</v>
      </c>
      <c r="AS1135">
        <v>10.086206896551699</v>
      </c>
      <c r="AU1135"/>
      <c r="AV1135"/>
      <c r="AW1135"/>
      <c r="AX1135"/>
    </row>
    <row r="1136" spans="1:50" s="69" customFormat="1" ht="106">
      <c r="A1136">
        <v>827</v>
      </c>
      <c r="B1136" s="69" t="s">
        <v>2179</v>
      </c>
      <c r="C1136" s="69" t="s">
        <v>45</v>
      </c>
      <c r="D1136" s="31">
        <f t="shared" si="89"/>
        <v>4</v>
      </c>
      <c r="E1136" s="69" t="s">
        <v>46</v>
      </c>
      <c r="F1136" s="31">
        <f t="shared" si="90"/>
        <v>6</v>
      </c>
      <c r="G1136" s="136" t="s">
        <v>2253</v>
      </c>
      <c r="H1136" s="138">
        <v>107</v>
      </c>
      <c r="I1136" s="92">
        <f t="shared" si="88"/>
        <v>0.39160749842525805</v>
      </c>
      <c r="J1136" s="95">
        <v>3.3214996850516099E-2</v>
      </c>
      <c r="K1136" s="137">
        <v>0.66929841941894996</v>
      </c>
      <c r="L1136" s="137">
        <v>0.75</v>
      </c>
      <c r="M1136" s="137">
        <v>0.54824604854737402</v>
      </c>
      <c r="N1136" s="136">
        <v>1</v>
      </c>
      <c r="O1136" s="154">
        <v>42622</v>
      </c>
      <c r="P1136" s="98">
        <f t="shared" si="91"/>
        <v>0</v>
      </c>
      <c r="Q1136" s="113">
        <v>0</v>
      </c>
      <c r="R1136" s="113">
        <v>0</v>
      </c>
      <c r="S1136" s="113">
        <v>0</v>
      </c>
      <c r="T1136" s="114" t="s">
        <v>48</v>
      </c>
      <c r="U1136" s="209" t="s">
        <v>2254</v>
      </c>
      <c r="V1136" s="136" t="s">
        <v>4428</v>
      </c>
      <c r="W1136" s="69">
        <v>154</v>
      </c>
      <c r="X1136" s="171">
        <v>0</v>
      </c>
      <c r="Y1136" s="171">
        <v>10</v>
      </c>
      <c r="AA1136" t="s">
        <v>4564</v>
      </c>
      <c r="AB1136" t="s">
        <v>4594</v>
      </c>
      <c r="AC1136" t="s">
        <v>223</v>
      </c>
      <c r="AD1136" t="s">
        <v>4818</v>
      </c>
      <c r="AE1136" t="s">
        <v>223</v>
      </c>
      <c r="AF1136" t="s">
        <v>4818</v>
      </c>
      <c r="AG1136" t="s">
        <v>4353</v>
      </c>
      <c r="AH1136" t="s">
        <v>4506</v>
      </c>
      <c r="AI1136" t="s">
        <v>4353</v>
      </c>
      <c r="AJ1136" t="s">
        <v>4506</v>
      </c>
      <c r="AK1136" t="s">
        <v>4519</v>
      </c>
      <c r="AL1136" t="s">
        <v>4519</v>
      </c>
      <c r="AM1136" t="s">
        <v>4520</v>
      </c>
      <c r="AN1136" t="s">
        <v>4558</v>
      </c>
      <c r="AO1136" s="134">
        <v>92.558823529411796</v>
      </c>
      <c r="AP1136" s="135">
        <v>88.327586206896598</v>
      </c>
      <c r="AQ1136">
        <v>0.53448275862068995</v>
      </c>
      <c r="AR1136" s="136">
        <v>1.2586206896551699</v>
      </c>
      <c r="AS1136">
        <v>10.086206896551699</v>
      </c>
      <c r="AU1136"/>
      <c r="AV1136"/>
      <c r="AW1136"/>
      <c r="AX1136"/>
    </row>
    <row r="1137" spans="1:50" s="69" customFormat="1" ht="211">
      <c r="A1137">
        <v>571</v>
      </c>
      <c r="B1137" s="69" t="s">
        <v>1222</v>
      </c>
      <c r="C1137" s="69" t="s">
        <v>45</v>
      </c>
      <c r="D1137" s="31">
        <f t="shared" si="89"/>
        <v>4</v>
      </c>
      <c r="E1137" s="69" t="s">
        <v>46</v>
      </c>
      <c r="F1137" s="31">
        <f t="shared" si="90"/>
        <v>6</v>
      </c>
      <c r="G1137" s="137" t="s">
        <v>1599</v>
      </c>
      <c r="H1137" s="138">
        <v>382</v>
      </c>
      <c r="I1137" s="92">
        <f t="shared" si="88"/>
        <v>0.30995183635998425</v>
      </c>
      <c r="J1137" s="95">
        <v>6.8961976166459493E-5</v>
      </c>
      <c r="K1137" s="137">
        <v>0.44865201218957401</v>
      </c>
      <c r="L1137" s="137">
        <v>0.61983471074380203</v>
      </c>
      <c r="M1137" s="137">
        <v>0.19187796435823101</v>
      </c>
      <c r="N1137" s="136">
        <v>1</v>
      </c>
      <c r="O1137" s="154">
        <v>42622</v>
      </c>
      <c r="P1137" s="98">
        <f t="shared" si="91"/>
        <v>0</v>
      </c>
      <c r="Q1137" s="113">
        <v>0</v>
      </c>
      <c r="R1137" s="113">
        <v>0</v>
      </c>
      <c r="S1137" s="113">
        <v>0</v>
      </c>
      <c r="T1137" s="114" t="s">
        <v>48</v>
      </c>
      <c r="U1137" s="137" t="s">
        <v>1600</v>
      </c>
      <c r="V1137" s="137" t="s">
        <v>1601</v>
      </c>
      <c r="W1137" s="69">
        <v>85</v>
      </c>
      <c r="X1137" s="69">
        <v>4</v>
      </c>
      <c r="Y1137" s="69">
        <v>32</v>
      </c>
      <c r="Z1137"/>
      <c r="AA1137" t="s">
        <v>4603</v>
      </c>
      <c r="AB1137" t="s">
        <v>4594</v>
      </c>
      <c r="AC1137" t="s">
        <v>4515</v>
      </c>
      <c r="AD1137" t="s">
        <v>4676</v>
      </c>
      <c r="AE1137" t="s">
        <v>4515</v>
      </c>
      <c r="AF1137" t="s">
        <v>4676</v>
      </c>
      <c r="AG1137" t="s">
        <v>4353</v>
      </c>
      <c r="AH1137" t="s">
        <v>4506</v>
      </c>
      <c r="AI1137" t="s">
        <v>4353</v>
      </c>
      <c r="AJ1137" t="s">
        <v>4506</v>
      </c>
      <c r="AK1137" t="s">
        <v>4519</v>
      </c>
      <c r="AL1137" t="s">
        <v>4552</v>
      </c>
      <c r="AM1137" t="s">
        <v>4510</v>
      </c>
      <c r="AN1137" t="s">
        <v>4634</v>
      </c>
      <c r="AO1137" s="134">
        <v>88.253731343283604</v>
      </c>
      <c r="AP1137" s="135">
        <v>88.327586206896598</v>
      </c>
      <c r="AQ1137">
        <v>0.53448275862068995</v>
      </c>
      <c r="AR1137" s="136">
        <v>1.2586206896551699</v>
      </c>
      <c r="AS1137">
        <v>10.086206896551699</v>
      </c>
      <c r="AU1137"/>
      <c r="AV1137"/>
      <c r="AW1137"/>
      <c r="AX1137"/>
    </row>
    <row r="1138" spans="1:50" s="69" customFormat="1" ht="211">
      <c r="A1138">
        <v>651</v>
      </c>
      <c r="B1138" s="69" t="s">
        <v>1779</v>
      </c>
      <c r="C1138" s="69" t="s">
        <v>45</v>
      </c>
      <c r="D1138" s="31">
        <f t="shared" si="89"/>
        <v>4</v>
      </c>
      <c r="E1138" s="69" t="s">
        <v>46</v>
      </c>
      <c r="F1138" s="31">
        <f t="shared" si="90"/>
        <v>6</v>
      </c>
      <c r="G1138" s="137" t="s">
        <v>1599</v>
      </c>
      <c r="H1138" s="138">
        <v>381</v>
      </c>
      <c r="I1138" s="92">
        <f t="shared" si="88"/>
        <v>0.309917356172282</v>
      </c>
      <c r="J1138" s="95">
        <v>1.6007619674240899E-9</v>
      </c>
      <c r="K1138" s="137">
        <v>0.44865201218957401</v>
      </c>
      <c r="L1138" s="137">
        <v>0.61983471074380203</v>
      </c>
      <c r="M1138" s="137">
        <v>0.19187796435823101</v>
      </c>
      <c r="N1138" s="136">
        <v>1</v>
      </c>
      <c r="O1138" s="154">
        <v>42622</v>
      </c>
      <c r="P1138" s="98">
        <f t="shared" si="91"/>
        <v>0</v>
      </c>
      <c r="Q1138" s="111">
        <v>0</v>
      </c>
      <c r="R1138" s="111">
        <v>1.65</v>
      </c>
      <c r="S1138" s="111">
        <v>0</v>
      </c>
      <c r="T1138" s="112" t="s">
        <v>48</v>
      </c>
      <c r="U1138" s="137" t="s">
        <v>1789</v>
      </c>
      <c r="V1138" s="137" t="s">
        <v>1601</v>
      </c>
      <c r="W1138" s="69">
        <v>85</v>
      </c>
      <c r="X1138" s="69">
        <v>3</v>
      </c>
      <c r="Y1138" s="69">
        <v>32</v>
      </c>
      <c r="AA1138" t="s">
        <v>4603</v>
      </c>
      <c r="AB1138" t="s">
        <v>4594</v>
      </c>
      <c r="AC1138" t="s">
        <v>4515</v>
      </c>
      <c r="AD1138" t="s">
        <v>4676</v>
      </c>
      <c r="AE1138" t="s">
        <v>4515</v>
      </c>
      <c r="AF1138" t="s">
        <v>4676</v>
      </c>
      <c r="AG1138" t="s">
        <v>4353</v>
      </c>
      <c r="AH1138" t="s">
        <v>4506</v>
      </c>
      <c r="AI1138" t="s">
        <v>4353</v>
      </c>
      <c r="AJ1138" t="s">
        <v>4506</v>
      </c>
      <c r="AK1138" t="s">
        <v>4519</v>
      </c>
      <c r="AL1138" t="s">
        <v>4552</v>
      </c>
      <c r="AM1138" t="s">
        <v>4510</v>
      </c>
      <c r="AN1138" t="s">
        <v>4634</v>
      </c>
      <c r="AO1138" s="134">
        <v>88.287878787878796</v>
      </c>
      <c r="AP1138" s="135">
        <v>88.327586206896598</v>
      </c>
      <c r="AQ1138">
        <v>0.53448275862068995</v>
      </c>
      <c r="AR1138" s="136">
        <v>1.2586206896551699</v>
      </c>
      <c r="AS1138">
        <v>10.086206896551699</v>
      </c>
      <c r="AU1138"/>
      <c r="AV1138"/>
      <c r="AW1138"/>
      <c r="AX1138"/>
    </row>
    <row r="1139" spans="1:50" s="69" customFormat="1" ht="211">
      <c r="A1139">
        <v>614</v>
      </c>
      <c r="B1139" s="69" t="s">
        <v>1628</v>
      </c>
      <c r="C1139" s="69" t="s">
        <v>45</v>
      </c>
      <c r="D1139" s="31">
        <f t="shared" si="89"/>
        <v>4</v>
      </c>
      <c r="E1139" s="69" t="s">
        <v>46</v>
      </c>
      <c r="F1139" s="31">
        <f t="shared" si="90"/>
        <v>6</v>
      </c>
      <c r="G1139" s="137" t="s">
        <v>1599</v>
      </c>
      <c r="H1139" s="138">
        <v>382</v>
      </c>
      <c r="I1139" s="92">
        <f t="shared" si="88"/>
        <v>0.30991735573219237</v>
      </c>
      <c r="J1139" s="95">
        <v>7.2058270461638999E-10</v>
      </c>
      <c r="K1139" s="137">
        <v>0.69108862288210404</v>
      </c>
      <c r="L1139" s="137">
        <v>0.61983471074380203</v>
      </c>
      <c r="M1139" s="137">
        <v>0.79796949108955795</v>
      </c>
      <c r="N1139" s="136">
        <v>1</v>
      </c>
      <c r="O1139" s="154">
        <v>42622</v>
      </c>
      <c r="P1139" s="98">
        <f t="shared" si="91"/>
        <v>0</v>
      </c>
      <c r="Q1139" s="111">
        <v>0</v>
      </c>
      <c r="R1139" s="111">
        <v>0</v>
      </c>
      <c r="S1139" s="111">
        <v>0</v>
      </c>
      <c r="T1139" s="112" t="s">
        <v>48</v>
      </c>
      <c r="U1139" s="137" t="s">
        <v>1600</v>
      </c>
      <c r="V1139" s="137" t="s">
        <v>1601</v>
      </c>
      <c r="W1139" s="69">
        <v>85</v>
      </c>
      <c r="X1139" s="69">
        <v>4</v>
      </c>
      <c r="Y1139" s="69">
        <v>2</v>
      </c>
      <c r="AA1139" t="s">
        <v>4603</v>
      </c>
      <c r="AB1139" t="s">
        <v>4594</v>
      </c>
      <c r="AC1139" t="s">
        <v>4515</v>
      </c>
      <c r="AD1139" t="s">
        <v>4676</v>
      </c>
      <c r="AE1139" t="s">
        <v>4515</v>
      </c>
      <c r="AF1139" t="s">
        <v>4676</v>
      </c>
      <c r="AG1139" t="s">
        <v>4353</v>
      </c>
      <c r="AH1139" t="s">
        <v>4506</v>
      </c>
      <c r="AI1139" t="s">
        <v>4353</v>
      </c>
      <c r="AJ1139" t="s">
        <v>4506</v>
      </c>
      <c r="AK1139" t="s">
        <v>4519</v>
      </c>
      <c r="AL1139" t="s">
        <v>4552</v>
      </c>
      <c r="AM1139" t="s">
        <v>4510</v>
      </c>
      <c r="AN1139" t="s">
        <v>4634</v>
      </c>
      <c r="AO1139" s="134">
        <v>88</v>
      </c>
      <c r="AP1139" s="135">
        <v>88.327586206896598</v>
      </c>
      <c r="AQ1139">
        <v>0.53448275862068995</v>
      </c>
      <c r="AR1139" s="136">
        <v>1.2586206896551699</v>
      </c>
      <c r="AS1139">
        <v>10.086206896551699</v>
      </c>
      <c r="AU1139"/>
      <c r="AV1139"/>
      <c r="AW1139"/>
      <c r="AX1139"/>
    </row>
    <row r="1140" spans="1:50" s="69" customFormat="1" ht="46">
      <c r="A1140" s="65">
        <v>20</v>
      </c>
      <c r="B1140" s="136" t="s">
        <v>44</v>
      </c>
      <c r="C1140" s="136" t="s">
        <v>59</v>
      </c>
      <c r="D1140" s="31">
        <f t="shared" si="89"/>
        <v>5</v>
      </c>
      <c r="E1140" s="136" t="s">
        <v>46</v>
      </c>
      <c r="F1140" s="31">
        <f t="shared" si="90"/>
        <v>6</v>
      </c>
      <c r="G1140" s="136" t="s">
        <v>109</v>
      </c>
      <c r="H1140" s="138">
        <v>30</v>
      </c>
      <c r="I1140" s="92">
        <f t="shared" si="88"/>
        <v>0.70944289213781797</v>
      </c>
      <c r="J1140" s="95">
        <v>0.66888578427563605</v>
      </c>
      <c r="K1140" s="137">
        <v>0.71002915755524698</v>
      </c>
      <c r="L1140" s="137">
        <v>0.75</v>
      </c>
      <c r="M1140" s="137">
        <v>0.65007289388811795</v>
      </c>
      <c r="N1140" s="136">
        <v>1</v>
      </c>
      <c r="O1140" s="41">
        <v>42621</v>
      </c>
      <c r="P1140" s="98">
        <f t="shared" si="91"/>
        <v>0</v>
      </c>
      <c r="Q1140" s="111">
        <v>2.5499999999999998</v>
      </c>
      <c r="R1140" s="111">
        <v>0</v>
      </c>
      <c r="S1140" s="111">
        <v>0</v>
      </c>
      <c r="T1140" s="112" t="s">
        <v>48</v>
      </c>
      <c r="U1140" s="147" t="s">
        <v>110</v>
      </c>
      <c r="V1140" s="136" t="s">
        <v>104</v>
      </c>
      <c r="W1140" s="69">
        <v>54</v>
      </c>
      <c r="X1140" s="209">
        <v>2</v>
      </c>
      <c r="Y1140" s="209">
        <v>6</v>
      </c>
      <c r="Z1140"/>
      <c r="AA1140" t="s">
        <v>4556</v>
      </c>
      <c r="AB1140" t="s">
        <v>87</v>
      </c>
      <c r="AC1140" t="s">
        <v>4530</v>
      </c>
      <c r="AD1140" t="s">
        <v>4916</v>
      </c>
      <c r="AE1140" t="s">
        <v>4353</v>
      </c>
      <c r="AF1140" t="s">
        <v>4506</v>
      </c>
      <c r="AG1140" t="s">
        <v>4353</v>
      </c>
      <c r="AH1140" t="s">
        <v>4506</v>
      </c>
      <c r="AI1140" t="s">
        <v>4353</v>
      </c>
      <c r="AJ1140" t="s">
        <v>4506</v>
      </c>
      <c r="AK1140" t="s">
        <v>4519</v>
      </c>
      <c r="AL1140" t="s">
        <v>4552</v>
      </c>
      <c r="AM1140" t="s">
        <v>4528</v>
      </c>
      <c r="AN1140" t="s">
        <v>4618</v>
      </c>
      <c r="AO1140" s="134">
        <v>88.9375</v>
      </c>
      <c r="AP1140" s="135">
        <v>88.578947368421098</v>
      </c>
      <c r="AQ1140">
        <v>0.52631578947368396</v>
      </c>
      <c r="AR1140" s="136">
        <v>1.26315789473684</v>
      </c>
      <c r="AS1140">
        <v>10.140350877193001</v>
      </c>
      <c r="AU1140"/>
      <c r="AV1140"/>
      <c r="AW1140"/>
      <c r="AX1140"/>
    </row>
    <row r="1141" spans="1:50" s="69" customFormat="1" ht="46">
      <c r="A1141">
        <v>22</v>
      </c>
      <c r="B1141" s="136" t="s">
        <v>44</v>
      </c>
      <c r="C1141" s="136" t="s">
        <v>59</v>
      </c>
      <c r="D1141" s="31">
        <f t="shared" si="89"/>
        <v>5</v>
      </c>
      <c r="E1141" s="136" t="s">
        <v>46</v>
      </c>
      <c r="F1141" s="31">
        <f t="shared" si="90"/>
        <v>6</v>
      </c>
      <c r="G1141" s="136" t="s">
        <v>113</v>
      </c>
      <c r="H1141" s="138">
        <v>27</v>
      </c>
      <c r="I1141" s="92">
        <f t="shared" si="88"/>
        <v>0.70180417227236691</v>
      </c>
      <c r="J1141" s="95">
        <v>0.57860834454473398</v>
      </c>
      <c r="K1141" s="137">
        <v>0.75502915755524702</v>
      </c>
      <c r="L1141" s="137">
        <v>0.82499999999999996</v>
      </c>
      <c r="M1141" s="137">
        <v>0.65007289388811795</v>
      </c>
      <c r="N1141" s="136">
        <v>1</v>
      </c>
      <c r="O1141" s="41">
        <v>42621</v>
      </c>
      <c r="P1141" s="98">
        <f t="shared" si="91"/>
        <v>0</v>
      </c>
      <c r="Q1141" s="111">
        <v>2.5499999999999998</v>
      </c>
      <c r="R1141" s="111">
        <v>1.65</v>
      </c>
      <c r="S1141" s="111">
        <v>0</v>
      </c>
      <c r="T1141" s="112" t="s">
        <v>48</v>
      </c>
      <c r="U1141" s="137" t="s">
        <v>114</v>
      </c>
      <c r="V1141" s="137" t="s">
        <v>104</v>
      </c>
      <c r="W1141" s="69">
        <v>54</v>
      </c>
      <c r="X1141" s="136">
        <v>2</v>
      </c>
      <c r="Y1141" s="136">
        <v>6</v>
      </c>
      <c r="Z1141"/>
      <c r="AA1141" t="s">
        <v>4512</v>
      </c>
      <c r="AB1141" t="s">
        <v>87</v>
      </c>
      <c r="AC1141" t="s">
        <v>4530</v>
      </c>
      <c r="AD1141" t="s">
        <v>4916</v>
      </c>
      <c r="AE1141" t="s">
        <v>4353</v>
      </c>
      <c r="AF1141" t="s">
        <v>4506</v>
      </c>
      <c r="AG1141" t="s">
        <v>4353</v>
      </c>
      <c r="AH1141" t="s">
        <v>4506</v>
      </c>
      <c r="AI1141" t="s">
        <v>4353</v>
      </c>
      <c r="AJ1141" t="s">
        <v>4506</v>
      </c>
      <c r="AK1141" t="s">
        <v>4519</v>
      </c>
      <c r="AL1141" t="s">
        <v>4519</v>
      </c>
      <c r="AM1141" t="s">
        <v>4528</v>
      </c>
      <c r="AN1141" t="s">
        <v>4529</v>
      </c>
      <c r="AO1141" s="134">
        <v>90.015873015872998</v>
      </c>
      <c r="AP1141" s="135">
        <v>88.578947368421098</v>
      </c>
      <c r="AQ1141">
        <v>0.52631578947368396</v>
      </c>
      <c r="AR1141" s="136">
        <v>1.26315789473684</v>
      </c>
      <c r="AS1141">
        <v>10.140350877193001</v>
      </c>
      <c r="AU1141"/>
      <c r="AV1141"/>
      <c r="AW1141"/>
      <c r="AX1141"/>
    </row>
    <row r="1142" spans="1:50" s="69" customFormat="1" ht="46">
      <c r="A1142">
        <v>19</v>
      </c>
      <c r="B1142" s="136" t="s">
        <v>44</v>
      </c>
      <c r="C1142" s="136" t="s">
        <v>45</v>
      </c>
      <c r="D1142" s="31">
        <f t="shared" ref="D1142:D1173" si="92">IF(C1142="投诉",4,IF(C1142="建议",1,IF(C1142="举报",2,IF(C1142="求助",3,5))))</f>
        <v>4</v>
      </c>
      <c r="E1142" s="136" t="s">
        <v>46</v>
      </c>
      <c r="F1142" s="31">
        <f t="shared" ref="F1142:F1173" si="93">IF(E1142="12345app",1,IF(E1142="e福州app",2,IF(E1142="qq",3,IF(E1142="电话",4,IF(E1142="短信",5,IF(E1142="网站",6,IF(E1142="微博",7,IF(E1142="微信",8,9))))))))</f>
        <v>6</v>
      </c>
      <c r="G1142" s="136" t="s">
        <v>107</v>
      </c>
      <c r="H1142" s="138">
        <v>21</v>
      </c>
      <c r="I1142" s="92">
        <f t="shared" si="88"/>
        <v>0.58043275923494397</v>
      </c>
      <c r="J1142" s="95">
        <v>0.33586551846988799</v>
      </c>
      <c r="K1142" s="137">
        <v>0.75502915755524702</v>
      </c>
      <c r="L1142" s="137">
        <v>0.82499999999999996</v>
      </c>
      <c r="M1142" s="137">
        <v>0.65007289388811795</v>
      </c>
      <c r="N1142" s="136">
        <v>1</v>
      </c>
      <c r="O1142" s="41">
        <v>42621</v>
      </c>
      <c r="P1142" s="98">
        <f t="shared" ref="P1142:P1173" si="94">IF(T1142="利己",0,IF(T1142="生态",2,1))</f>
        <v>1</v>
      </c>
      <c r="Q1142" s="111">
        <v>0</v>
      </c>
      <c r="R1142" s="111">
        <v>0</v>
      </c>
      <c r="S1142" s="111">
        <v>0</v>
      </c>
      <c r="T1142" s="112" t="s">
        <v>5088</v>
      </c>
      <c r="U1142" s="137" t="s">
        <v>108</v>
      </c>
      <c r="V1142" s="136" t="s">
        <v>104</v>
      </c>
      <c r="W1142" s="69">
        <v>54</v>
      </c>
      <c r="X1142" s="136">
        <v>2</v>
      </c>
      <c r="Y1142" s="136">
        <v>6</v>
      </c>
      <c r="Z1142"/>
      <c r="AA1142" t="s">
        <v>4556</v>
      </c>
      <c r="AB1142" t="s">
        <v>87</v>
      </c>
      <c r="AC1142" t="s">
        <v>4530</v>
      </c>
      <c r="AD1142" t="s">
        <v>4916</v>
      </c>
      <c r="AE1142" t="s">
        <v>4353</v>
      </c>
      <c r="AF1142" t="s">
        <v>4506</v>
      </c>
      <c r="AG1142" t="s">
        <v>4353</v>
      </c>
      <c r="AH1142" t="s">
        <v>4506</v>
      </c>
      <c r="AI1142" t="s">
        <v>4353</v>
      </c>
      <c r="AJ1142" t="s">
        <v>4506</v>
      </c>
      <c r="AK1142" t="s">
        <v>4519</v>
      </c>
      <c r="AL1142" t="s">
        <v>4519</v>
      </c>
      <c r="AM1142" t="s">
        <v>4528</v>
      </c>
      <c r="AN1142" t="s">
        <v>4529</v>
      </c>
      <c r="AO1142" s="134">
        <v>90.983870967741893</v>
      </c>
      <c r="AP1142" s="135">
        <v>88.578947368421098</v>
      </c>
      <c r="AQ1142">
        <v>0.52631578947368396</v>
      </c>
      <c r="AR1142" s="136">
        <v>1.26315789473684</v>
      </c>
      <c r="AS1142">
        <v>10.140350877193001</v>
      </c>
      <c r="AU1142"/>
      <c r="AV1142"/>
      <c r="AW1142"/>
      <c r="AX1142"/>
    </row>
    <row r="1143" spans="1:50" s="69" customFormat="1" ht="46">
      <c r="A1143">
        <v>18</v>
      </c>
      <c r="B1143" s="136" t="s">
        <v>44</v>
      </c>
      <c r="C1143" s="136" t="s">
        <v>45</v>
      </c>
      <c r="D1143" s="31">
        <f t="shared" si="92"/>
        <v>4</v>
      </c>
      <c r="E1143" s="136" t="s">
        <v>46</v>
      </c>
      <c r="F1143" s="31">
        <f t="shared" si="93"/>
        <v>6</v>
      </c>
      <c r="G1143" s="136" t="s">
        <v>105</v>
      </c>
      <c r="H1143" s="138">
        <v>28</v>
      </c>
      <c r="I1143" s="92">
        <f t="shared" si="88"/>
        <v>0.481572640096673</v>
      </c>
      <c r="J1143" s="95">
        <v>0.13814528019334599</v>
      </c>
      <c r="K1143" s="137">
        <v>0.75502915755524702</v>
      </c>
      <c r="L1143" s="137">
        <v>0.82499999999999996</v>
      </c>
      <c r="M1143" s="137">
        <v>0.65007289388811795</v>
      </c>
      <c r="N1143" s="136">
        <v>1</v>
      </c>
      <c r="O1143" s="41">
        <v>42621</v>
      </c>
      <c r="P1143" s="98">
        <f t="shared" si="94"/>
        <v>0</v>
      </c>
      <c r="Q1143" s="111">
        <v>2.5499999999999998</v>
      </c>
      <c r="R1143" s="111">
        <v>0</v>
      </c>
      <c r="S1143" s="111">
        <v>0</v>
      </c>
      <c r="T1143" s="112" t="s">
        <v>48</v>
      </c>
      <c r="U1143" s="137" t="s">
        <v>106</v>
      </c>
      <c r="V1143" s="136" t="s">
        <v>104</v>
      </c>
      <c r="W1143" s="69">
        <v>54</v>
      </c>
      <c r="X1143" s="136">
        <v>3</v>
      </c>
      <c r="Y1143" s="136">
        <v>6</v>
      </c>
      <c r="Z1143"/>
      <c r="AA1143" t="s">
        <v>4512</v>
      </c>
      <c r="AB1143" t="s">
        <v>87</v>
      </c>
      <c r="AC1143" t="s">
        <v>4530</v>
      </c>
      <c r="AD1143" t="s">
        <v>4916</v>
      </c>
      <c r="AE1143" t="s">
        <v>4353</v>
      </c>
      <c r="AF1143" t="s">
        <v>4506</v>
      </c>
      <c r="AG1143" t="s">
        <v>4353</v>
      </c>
      <c r="AH1143" t="s">
        <v>4506</v>
      </c>
      <c r="AI1143" t="s">
        <v>4353</v>
      </c>
      <c r="AJ1143" t="s">
        <v>4506</v>
      </c>
      <c r="AK1143" t="s">
        <v>4519</v>
      </c>
      <c r="AL1143" t="s">
        <v>4519</v>
      </c>
      <c r="AM1143" t="s">
        <v>4528</v>
      </c>
      <c r="AN1143" t="s">
        <v>4529</v>
      </c>
      <c r="AO1143" s="134">
        <v>91.8032786885246</v>
      </c>
      <c r="AP1143" s="135">
        <v>88.578947368421098</v>
      </c>
      <c r="AQ1143">
        <v>0.52631578947368396</v>
      </c>
      <c r="AR1143" s="136">
        <v>1.26315789473684</v>
      </c>
      <c r="AS1143">
        <v>10.140350877193001</v>
      </c>
      <c r="AU1143"/>
      <c r="AV1143"/>
      <c r="AW1143"/>
      <c r="AX1143"/>
    </row>
    <row r="1144" spans="1:50" s="69" customFormat="1" ht="46">
      <c r="A1144" s="65">
        <v>21</v>
      </c>
      <c r="B1144" s="136" t="s">
        <v>44</v>
      </c>
      <c r="C1144" s="136" t="s">
        <v>59</v>
      </c>
      <c r="D1144" s="31">
        <f t="shared" si="92"/>
        <v>5</v>
      </c>
      <c r="E1144" s="136" t="s">
        <v>46</v>
      </c>
      <c r="F1144" s="31">
        <f t="shared" si="93"/>
        <v>6</v>
      </c>
      <c r="G1144" s="136" t="s">
        <v>111</v>
      </c>
      <c r="H1144" s="138">
        <v>41</v>
      </c>
      <c r="I1144" s="92">
        <f t="shared" si="88"/>
        <v>0.42255013251835716</v>
      </c>
      <c r="J1144" s="95">
        <v>9.5100265036714302E-2</v>
      </c>
      <c r="K1144" s="137">
        <v>0.71002915755524698</v>
      </c>
      <c r="L1144" s="137">
        <v>0.75</v>
      </c>
      <c r="M1144" s="137">
        <v>0.65007289388811795</v>
      </c>
      <c r="N1144" s="136">
        <v>1</v>
      </c>
      <c r="O1144" s="41">
        <v>42621</v>
      </c>
      <c r="P1144" s="98">
        <f t="shared" si="94"/>
        <v>0</v>
      </c>
      <c r="Q1144" s="111">
        <v>2.5499999999999998</v>
      </c>
      <c r="R1144" s="111">
        <v>0</v>
      </c>
      <c r="S1144" s="111">
        <v>0</v>
      </c>
      <c r="T1144" s="112" t="s">
        <v>48</v>
      </c>
      <c r="U1144" s="137" t="s">
        <v>112</v>
      </c>
      <c r="V1144" s="136" t="s">
        <v>104</v>
      </c>
      <c r="W1144" s="69">
        <v>54</v>
      </c>
      <c r="X1144" s="136">
        <v>2</v>
      </c>
      <c r="Y1144" s="136">
        <v>6</v>
      </c>
      <c r="Z1144"/>
      <c r="AA1144" t="s">
        <v>4564</v>
      </c>
      <c r="AB1144" t="s">
        <v>87</v>
      </c>
      <c r="AC1144" t="s">
        <v>4530</v>
      </c>
      <c r="AD1144" t="s">
        <v>4916</v>
      </c>
      <c r="AE1144" t="s">
        <v>4353</v>
      </c>
      <c r="AF1144" t="s">
        <v>4506</v>
      </c>
      <c r="AG1144" t="s">
        <v>4353</v>
      </c>
      <c r="AH1144" t="s">
        <v>4506</v>
      </c>
      <c r="AI1144" t="s">
        <v>4353</v>
      </c>
      <c r="AJ1144" t="s">
        <v>4506</v>
      </c>
      <c r="AK1144" t="s">
        <v>4519</v>
      </c>
      <c r="AL1144" t="s">
        <v>4552</v>
      </c>
      <c r="AM1144" t="s">
        <v>4528</v>
      </c>
      <c r="AN1144" t="s">
        <v>4618</v>
      </c>
      <c r="AO1144" s="134">
        <v>92.883333333333297</v>
      </c>
      <c r="AP1144" s="135">
        <v>88.578947368421098</v>
      </c>
      <c r="AQ1144">
        <v>0.52631578947368396</v>
      </c>
      <c r="AR1144" s="136">
        <v>1.26315789473684</v>
      </c>
      <c r="AS1144">
        <v>10.140350877193001</v>
      </c>
      <c r="AU1144"/>
      <c r="AV1144"/>
      <c r="AW1144"/>
      <c r="AX1144"/>
    </row>
    <row r="1145" spans="1:50" s="69" customFormat="1" ht="61">
      <c r="A1145">
        <v>410</v>
      </c>
      <c r="B1145" s="69" t="s">
        <v>589</v>
      </c>
      <c r="C1145" s="69" t="s">
        <v>45</v>
      </c>
      <c r="D1145" s="31">
        <f t="shared" si="92"/>
        <v>4</v>
      </c>
      <c r="E1145" s="69" t="s">
        <v>80</v>
      </c>
      <c r="F1145" s="31">
        <f t="shared" si="93"/>
        <v>4</v>
      </c>
      <c r="G1145" s="137" t="s">
        <v>1171</v>
      </c>
      <c r="H1145" s="138">
        <v>75</v>
      </c>
      <c r="I1145" s="92">
        <f t="shared" si="88"/>
        <v>0.88511216688545802</v>
      </c>
      <c r="J1145" s="95">
        <v>0.94522433377091597</v>
      </c>
      <c r="K1145" s="137">
        <v>0.74381421079630905</v>
      </c>
      <c r="L1145" s="137">
        <v>0.82499999999999996</v>
      </c>
      <c r="M1145" s="137">
        <v>0.62203552699077302</v>
      </c>
      <c r="N1145" s="136">
        <v>1</v>
      </c>
      <c r="O1145" s="154">
        <v>42619</v>
      </c>
      <c r="P1145" s="98">
        <f t="shared" si="94"/>
        <v>0</v>
      </c>
      <c r="Q1145" s="111">
        <v>0</v>
      </c>
      <c r="R1145" s="111">
        <v>0</v>
      </c>
      <c r="S1145" s="111">
        <v>0</v>
      </c>
      <c r="T1145" s="112" t="s">
        <v>48</v>
      </c>
      <c r="U1145" s="137" t="s">
        <v>1177</v>
      </c>
      <c r="V1145" s="137" t="s">
        <v>1168</v>
      </c>
      <c r="W1145" s="69">
        <v>83</v>
      </c>
      <c r="X1145" s="69">
        <v>1</v>
      </c>
      <c r="Y1145" s="69">
        <v>7</v>
      </c>
      <c r="Z1145"/>
      <c r="AA1145" t="s">
        <v>4556</v>
      </c>
      <c r="AB1145" t="s">
        <v>51</v>
      </c>
      <c r="AC1145" t="s">
        <v>223</v>
      </c>
      <c r="AD1145" t="s">
        <v>4555</v>
      </c>
      <c r="AE1145" t="s">
        <v>4530</v>
      </c>
      <c r="AF1145" t="s">
        <v>4577</v>
      </c>
      <c r="AG1145" t="s">
        <v>4353</v>
      </c>
      <c r="AH1145" t="s">
        <v>4506</v>
      </c>
      <c r="AI1145" t="s">
        <v>4353</v>
      </c>
      <c r="AJ1145" t="s">
        <v>4506</v>
      </c>
      <c r="AK1145" t="s">
        <v>4519</v>
      </c>
      <c r="AL1145" t="s">
        <v>4519</v>
      </c>
      <c r="AM1145" t="s">
        <v>4510</v>
      </c>
      <c r="AN1145" t="s">
        <v>4550</v>
      </c>
      <c r="AO1145" s="134">
        <v>93.186440677966104</v>
      </c>
      <c r="AP1145" s="135">
        <v>89.490909090909099</v>
      </c>
      <c r="AQ1145">
        <v>0.54545454545454497</v>
      </c>
      <c r="AR1145" s="136">
        <v>1.25454545454545</v>
      </c>
      <c r="AS1145">
        <v>10.3090909090909</v>
      </c>
      <c r="AU1145"/>
      <c r="AV1145"/>
      <c r="AW1145"/>
      <c r="AX1145"/>
    </row>
    <row r="1146" spans="1:50" s="69" customFormat="1" ht="61">
      <c r="A1146">
        <v>411</v>
      </c>
      <c r="B1146" s="69" t="s">
        <v>589</v>
      </c>
      <c r="C1146" s="69" t="s">
        <v>59</v>
      </c>
      <c r="D1146" s="31">
        <f t="shared" si="92"/>
        <v>5</v>
      </c>
      <c r="E1146" s="69" t="s">
        <v>46</v>
      </c>
      <c r="F1146" s="31">
        <f t="shared" si="93"/>
        <v>6</v>
      </c>
      <c r="G1146" s="147" t="s">
        <v>1178</v>
      </c>
      <c r="H1146" s="138">
        <v>33</v>
      </c>
      <c r="I1146" s="92">
        <f t="shared" si="88"/>
        <v>0.37514502765243013</v>
      </c>
      <c r="J1146" s="95">
        <v>2.90055304860259E-4</v>
      </c>
      <c r="K1146" s="137">
        <v>0.79285714285714304</v>
      </c>
      <c r="L1146" s="137">
        <v>0.75</v>
      </c>
      <c r="M1146" s="137">
        <v>0.85714285714285698</v>
      </c>
      <c r="N1146" s="136">
        <v>1</v>
      </c>
      <c r="O1146" s="167">
        <v>42619</v>
      </c>
      <c r="P1146" s="98">
        <f t="shared" si="94"/>
        <v>2</v>
      </c>
      <c r="Q1146" s="111">
        <v>5.0999999999999996</v>
      </c>
      <c r="R1146" s="111">
        <v>1.65</v>
      </c>
      <c r="S1146" s="111">
        <v>0</v>
      </c>
      <c r="T1146" s="112" t="s">
        <v>64</v>
      </c>
      <c r="U1146" s="169" t="s">
        <v>1179</v>
      </c>
      <c r="V1146" s="137" t="s">
        <v>1168</v>
      </c>
      <c r="W1146" s="69">
        <v>83</v>
      </c>
      <c r="X1146" s="147">
        <v>1</v>
      </c>
      <c r="Y1146" s="147">
        <v>1</v>
      </c>
      <c r="Z1146"/>
      <c r="AA1146" t="s">
        <v>4543</v>
      </c>
      <c r="AB1146" t="s">
        <v>51</v>
      </c>
      <c r="AC1146" t="s">
        <v>223</v>
      </c>
      <c r="AD1146" t="s">
        <v>4555</v>
      </c>
      <c r="AE1146" t="s">
        <v>4530</v>
      </c>
      <c r="AF1146" t="s">
        <v>4577</v>
      </c>
      <c r="AG1146" t="s">
        <v>4353</v>
      </c>
      <c r="AH1146" t="s">
        <v>4506</v>
      </c>
      <c r="AI1146" t="s">
        <v>4353</v>
      </c>
      <c r="AJ1146" t="s">
        <v>4506</v>
      </c>
      <c r="AK1146" t="s">
        <v>4519</v>
      </c>
      <c r="AL1146" t="s">
        <v>4519</v>
      </c>
      <c r="AM1146" t="s">
        <v>4592</v>
      </c>
      <c r="AN1146" t="s">
        <v>4626</v>
      </c>
      <c r="AO1146" s="134">
        <v>94.224137931034505</v>
      </c>
      <c r="AP1146" s="135">
        <v>89.490909090909099</v>
      </c>
      <c r="AQ1146">
        <v>0.54545454545454497</v>
      </c>
      <c r="AR1146" s="136">
        <v>1.25454545454545</v>
      </c>
      <c r="AS1146">
        <v>10.3090909090909</v>
      </c>
      <c r="AU1146"/>
      <c r="AV1146"/>
      <c r="AW1146"/>
      <c r="AX1146"/>
    </row>
    <row r="1147" spans="1:50" s="69" customFormat="1" ht="286">
      <c r="A1147">
        <v>1146</v>
      </c>
      <c r="B1147" s="69" t="s">
        <v>3082</v>
      </c>
      <c r="C1147" s="69" t="s">
        <v>45</v>
      </c>
      <c r="D1147" s="31">
        <f t="shared" si="92"/>
        <v>4</v>
      </c>
      <c r="E1147" s="69" t="s">
        <v>46</v>
      </c>
      <c r="F1147" s="31">
        <f t="shared" si="93"/>
        <v>6</v>
      </c>
      <c r="G1147" s="89" t="s">
        <v>4465</v>
      </c>
      <c r="H1147" s="138">
        <v>476</v>
      </c>
      <c r="I1147" s="92">
        <f t="shared" si="88"/>
        <v>0.875</v>
      </c>
      <c r="J1147" s="95">
        <v>1</v>
      </c>
      <c r="K1147" s="137">
        <v>0.69881421079630901</v>
      </c>
      <c r="L1147" s="137">
        <v>0.75</v>
      </c>
      <c r="M1147" s="137">
        <v>0.62203552699077302</v>
      </c>
      <c r="N1147" s="136">
        <v>1</v>
      </c>
      <c r="O1147" s="157">
        <v>42614</v>
      </c>
      <c r="P1147" s="98">
        <f t="shared" si="94"/>
        <v>0</v>
      </c>
      <c r="Q1147" s="113">
        <v>0</v>
      </c>
      <c r="R1147" s="113">
        <v>1.65</v>
      </c>
      <c r="S1147" s="113">
        <v>0</v>
      </c>
      <c r="T1147" s="119" t="s">
        <v>48</v>
      </c>
      <c r="U1147" s="136" t="s">
        <v>4466</v>
      </c>
      <c r="V1147" s="172" t="s">
        <v>3116</v>
      </c>
      <c r="W1147" s="69">
        <v>74</v>
      </c>
      <c r="X1147" s="69">
        <v>2</v>
      </c>
      <c r="Y1147" s="69">
        <v>7</v>
      </c>
      <c r="AA1147" t="s">
        <v>4603</v>
      </c>
      <c r="AB1147" t="s">
        <v>4594</v>
      </c>
      <c r="AC1147" t="s">
        <v>223</v>
      </c>
      <c r="AD1147" t="s">
        <v>4635</v>
      </c>
      <c r="AE1147" t="s">
        <v>223</v>
      </c>
      <c r="AF1147" t="s">
        <v>4635</v>
      </c>
      <c r="AG1147" t="s">
        <v>4353</v>
      </c>
      <c r="AH1147" t="s">
        <v>4506</v>
      </c>
      <c r="AI1147" t="s">
        <v>4353</v>
      </c>
      <c r="AJ1147" t="s">
        <v>4506</v>
      </c>
      <c r="AK1147" t="s">
        <v>4519</v>
      </c>
      <c r="AL1147" t="s">
        <v>4519</v>
      </c>
      <c r="AM1147" t="s">
        <v>4510</v>
      </c>
      <c r="AN1147" t="s">
        <v>4550</v>
      </c>
      <c r="AO1147" s="134">
        <v>87.526315789473699</v>
      </c>
      <c r="AP1147" s="135">
        <v>90.415094339622598</v>
      </c>
      <c r="AQ1147">
        <v>0.54716981132075504</v>
      </c>
      <c r="AR1147" s="136">
        <v>1.2641509433962299</v>
      </c>
      <c r="AS1147">
        <v>10.5094339622642</v>
      </c>
      <c r="AU1147"/>
      <c r="AV1147"/>
      <c r="AW1147"/>
      <c r="AX1147"/>
    </row>
    <row r="1148" spans="1:50" s="69" customFormat="1" ht="46">
      <c r="A1148" s="65">
        <v>572</v>
      </c>
      <c r="B1148" s="69" t="s">
        <v>1222</v>
      </c>
      <c r="C1148" s="69" t="s">
        <v>59</v>
      </c>
      <c r="D1148" s="31">
        <f t="shared" si="92"/>
        <v>5</v>
      </c>
      <c r="E1148" s="69" t="s">
        <v>46</v>
      </c>
      <c r="F1148" s="31">
        <f t="shared" si="93"/>
        <v>6</v>
      </c>
      <c r="G1148" s="137" t="s">
        <v>1602</v>
      </c>
      <c r="H1148" s="138">
        <v>33</v>
      </c>
      <c r="I1148" s="92">
        <f t="shared" si="88"/>
        <v>0.71680136147151607</v>
      </c>
      <c r="J1148" s="95">
        <v>0.92134263141922901</v>
      </c>
      <c r="K1148" s="137">
        <v>0.60838172305320304</v>
      </c>
      <c r="L1148" s="137">
        <v>0.51226009152380303</v>
      </c>
      <c r="M1148" s="137">
        <v>0.75256417034730305</v>
      </c>
      <c r="N1148" s="136">
        <v>1</v>
      </c>
      <c r="O1148" s="194">
        <v>42612</v>
      </c>
      <c r="P1148" s="98">
        <f t="shared" si="94"/>
        <v>0</v>
      </c>
      <c r="Q1148" s="111">
        <v>5.0999999999999996</v>
      </c>
      <c r="R1148" s="111">
        <v>0</v>
      </c>
      <c r="S1148" s="111">
        <v>0</v>
      </c>
      <c r="T1148" s="112" t="s">
        <v>48</v>
      </c>
      <c r="U1148" s="169" t="s">
        <v>1603</v>
      </c>
      <c r="V1148" s="137" t="s">
        <v>1604</v>
      </c>
      <c r="W1148" s="69">
        <v>53</v>
      </c>
      <c r="X1148" s="69">
        <v>2</v>
      </c>
      <c r="Y1148" s="69">
        <v>3</v>
      </c>
      <c r="Z1148"/>
      <c r="AA1148" t="s">
        <v>4599</v>
      </c>
      <c r="AB1148" t="s">
        <v>4597</v>
      </c>
      <c r="AC1148" t="s">
        <v>4515</v>
      </c>
      <c r="AD1148" t="s">
        <v>4595</v>
      </c>
      <c r="AE1148" t="s">
        <v>4353</v>
      </c>
      <c r="AF1148" t="s">
        <v>4506</v>
      </c>
      <c r="AG1148" t="s">
        <v>4515</v>
      </c>
      <c r="AH1148" t="s">
        <v>4595</v>
      </c>
      <c r="AI1148" t="s">
        <v>4353</v>
      </c>
      <c r="AJ1148" t="s">
        <v>4506</v>
      </c>
      <c r="AK1148" t="s">
        <v>4519</v>
      </c>
      <c r="AL1148" t="s">
        <v>4519</v>
      </c>
      <c r="AM1148" t="s">
        <v>4528</v>
      </c>
      <c r="AN1148" t="s">
        <v>4529</v>
      </c>
      <c r="AO1148" s="134">
        <v>88.5</v>
      </c>
      <c r="AP1148" s="135">
        <v>89.843137254902004</v>
      </c>
      <c r="AQ1148">
        <v>0.56862745098039202</v>
      </c>
      <c r="AR1148" s="136">
        <v>1.2745098039215701</v>
      </c>
      <c r="AS1148">
        <v>10.764705882352899</v>
      </c>
      <c r="AU1148"/>
      <c r="AV1148"/>
      <c r="AW1148"/>
      <c r="AX1148"/>
    </row>
    <row r="1149" spans="1:50" s="69" customFormat="1" ht="121">
      <c r="A1149" s="65">
        <v>573</v>
      </c>
      <c r="B1149" s="69" t="s">
        <v>1222</v>
      </c>
      <c r="C1149" s="69" t="s">
        <v>59</v>
      </c>
      <c r="D1149" s="31">
        <f t="shared" si="92"/>
        <v>5</v>
      </c>
      <c r="E1149" s="69" t="s">
        <v>46</v>
      </c>
      <c r="F1149" s="31">
        <f t="shared" si="93"/>
        <v>6</v>
      </c>
      <c r="G1149" s="137" t="s">
        <v>1605</v>
      </c>
      <c r="H1149" s="138">
        <v>150</v>
      </c>
      <c r="I1149" s="92">
        <f t="shared" si="88"/>
        <v>0.80991654679229053</v>
      </c>
      <c r="J1149" s="95">
        <v>0.99999838284078002</v>
      </c>
      <c r="K1149" s="137">
        <v>0.65761511216056701</v>
      </c>
      <c r="L1149" s="137">
        <v>0.61983471074380103</v>
      </c>
      <c r="M1149" s="137">
        <v>0.71428571428571397</v>
      </c>
      <c r="N1149" s="136">
        <v>1</v>
      </c>
      <c r="O1149" s="154">
        <v>42609</v>
      </c>
      <c r="P1149" s="98">
        <f t="shared" si="94"/>
        <v>0</v>
      </c>
      <c r="Q1149" s="111">
        <v>0</v>
      </c>
      <c r="R1149" s="111">
        <v>0</v>
      </c>
      <c r="S1149" s="111">
        <v>0</v>
      </c>
      <c r="T1149" s="112" t="s">
        <v>48</v>
      </c>
      <c r="U1149" s="136" t="s">
        <v>1606</v>
      </c>
      <c r="V1149" s="137" t="s">
        <v>1607</v>
      </c>
      <c r="W1149" s="69">
        <v>85</v>
      </c>
      <c r="X1149" s="69">
        <v>1</v>
      </c>
      <c r="Y1149" s="69">
        <v>4</v>
      </c>
      <c r="Z1149"/>
      <c r="AA1149" t="s">
        <v>4826</v>
      </c>
      <c r="AB1149" t="s">
        <v>4594</v>
      </c>
      <c r="AC1149" t="s">
        <v>223</v>
      </c>
      <c r="AD1149" t="s">
        <v>4693</v>
      </c>
      <c r="AE1149" t="s">
        <v>223</v>
      </c>
      <c r="AF1149" t="s">
        <v>4693</v>
      </c>
      <c r="AG1149" t="s">
        <v>4353</v>
      </c>
      <c r="AH1149" t="s">
        <v>4506</v>
      </c>
      <c r="AI1149" t="s">
        <v>4353</v>
      </c>
      <c r="AJ1149" t="s">
        <v>4506</v>
      </c>
      <c r="AK1149" t="s">
        <v>4519</v>
      </c>
      <c r="AL1149" t="s">
        <v>4519</v>
      </c>
      <c r="AM1149" t="s">
        <v>4766</v>
      </c>
      <c r="AN1149" t="s">
        <v>4543</v>
      </c>
      <c r="AO1149" s="134">
        <v>87.381818181818204</v>
      </c>
      <c r="AP1149" s="135">
        <v>89.04</v>
      </c>
      <c r="AQ1149">
        <v>0.57999999999999996</v>
      </c>
      <c r="AR1149" s="136">
        <v>1.28</v>
      </c>
      <c r="AS1149">
        <v>10.86</v>
      </c>
      <c r="AU1149"/>
      <c r="AV1149"/>
      <c r="AW1149"/>
      <c r="AX1149"/>
    </row>
    <row r="1150" spans="1:50" s="69" customFormat="1" ht="61">
      <c r="A1150">
        <v>575</v>
      </c>
      <c r="B1150" s="69" t="s">
        <v>1222</v>
      </c>
      <c r="C1150" s="69" t="s">
        <v>45</v>
      </c>
      <c r="D1150" s="31">
        <f t="shared" si="92"/>
        <v>4</v>
      </c>
      <c r="E1150" s="69" t="s">
        <v>46</v>
      </c>
      <c r="F1150" s="31">
        <f t="shared" si="93"/>
        <v>6</v>
      </c>
      <c r="G1150" s="137" t="s">
        <v>1611</v>
      </c>
      <c r="H1150" s="138">
        <v>79</v>
      </c>
      <c r="I1150" s="92">
        <f t="shared" si="88"/>
        <v>0.30992063202911307</v>
      </c>
      <c r="J1150" s="95">
        <v>6.5533144241181097E-6</v>
      </c>
      <c r="K1150" s="137">
        <v>0.491959141556775</v>
      </c>
      <c r="L1150" s="137">
        <v>0.61983471074380203</v>
      </c>
      <c r="M1150" s="137">
        <v>0.30014578777623502</v>
      </c>
      <c r="N1150" s="136">
        <v>1</v>
      </c>
      <c r="O1150" s="154">
        <v>42609</v>
      </c>
      <c r="P1150" s="98">
        <f t="shared" si="94"/>
        <v>0</v>
      </c>
      <c r="Q1150" s="111">
        <v>0</v>
      </c>
      <c r="R1150" s="111">
        <v>1.65</v>
      </c>
      <c r="S1150" s="111">
        <v>0</v>
      </c>
      <c r="T1150" s="112" t="s">
        <v>48</v>
      </c>
      <c r="U1150" s="137" t="s">
        <v>1612</v>
      </c>
      <c r="V1150" s="137" t="s">
        <v>1604</v>
      </c>
      <c r="W1150" s="69">
        <v>53</v>
      </c>
      <c r="X1150" s="69">
        <v>3</v>
      </c>
      <c r="Y1150" s="69">
        <v>24</v>
      </c>
      <c r="Z1150"/>
      <c r="AA1150" t="s">
        <v>4653</v>
      </c>
      <c r="AB1150" t="s">
        <v>4597</v>
      </c>
      <c r="AC1150" t="s">
        <v>4515</v>
      </c>
      <c r="AD1150" t="s">
        <v>4595</v>
      </c>
      <c r="AE1150" t="s">
        <v>4353</v>
      </c>
      <c r="AF1150" t="s">
        <v>4506</v>
      </c>
      <c r="AG1150" t="s">
        <v>4515</v>
      </c>
      <c r="AH1150" t="s">
        <v>4595</v>
      </c>
      <c r="AI1150" t="s">
        <v>4353</v>
      </c>
      <c r="AJ1150" t="s">
        <v>4506</v>
      </c>
      <c r="AK1150" t="s">
        <v>4519</v>
      </c>
      <c r="AL1150" t="s">
        <v>4519</v>
      </c>
      <c r="AM1150" t="s">
        <v>4510</v>
      </c>
      <c r="AN1150" t="s">
        <v>4550</v>
      </c>
      <c r="AO1150" s="134">
        <v>87.296296296296305</v>
      </c>
      <c r="AP1150" s="135">
        <v>89.04</v>
      </c>
      <c r="AQ1150">
        <v>0.57999999999999996</v>
      </c>
      <c r="AR1150" s="136">
        <v>1.28</v>
      </c>
      <c r="AS1150">
        <v>10.86</v>
      </c>
      <c r="AU1150"/>
      <c r="AV1150"/>
      <c r="AW1150"/>
      <c r="AX1150"/>
    </row>
    <row r="1151" spans="1:50" s="69" customFormat="1" ht="76">
      <c r="A1151">
        <v>574</v>
      </c>
      <c r="B1151" s="69" t="s">
        <v>1222</v>
      </c>
      <c r="C1151" s="69" t="s">
        <v>59</v>
      </c>
      <c r="D1151" s="31">
        <f t="shared" si="92"/>
        <v>5</v>
      </c>
      <c r="E1151" s="69" t="s">
        <v>46</v>
      </c>
      <c r="F1151" s="31">
        <f t="shared" si="93"/>
        <v>6</v>
      </c>
      <c r="G1151" s="137" t="s">
        <v>1608</v>
      </c>
      <c r="H1151" s="138">
        <v>92</v>
      </c>
      <c r="I1151" s="92">
        <f t="shared" si="88"/>
        <v>0.30991735573219187</v>
      </c>
      <c r="J1151" s="95">
        <v>7.2058270461638999E-10</v>
      </c>
      <c r="K1151" s="137">
        <v>0.59119924586523098</v>
      </c>
      <c r="L1151" s="137">
        <v>0.61983471074380103</v>
      </c>
      <c r="M1151" s="137">
        <v>0.54824604854737402</v>
      </c>
      <c r="N1151" s="136">
        <v>1</v>
      </c>
      <c r="O1151" s="154">
        <v>42609</v>
      </c>
      <c r="P1151" s="98">
        <f t="shared" si="94"/>
        <v>0</v>
      </c>
      <c r="Q1151" s="111">
        <v>0</v>
      </c>
      <c r="R1151" s="111">
        <v>0</v>
      </c>
      <c r="S1151" s="111">
        <v>0</v>
      </c>
      <c r="T1151" s="112" t="s">
        <v>48</v>
      </c>
      <c r="U1151" s="136" t="s">
        <v>1609</v>
      </c>
      <c r="V1151" s="136" t="s">
        <v>1610</v>
      </c>
      <c r="W1151" s="69">
        <v>44</v>
      </c>
      <c r="X1151" s="69">
        <v>2</v>
      </c>
      <c r="Y1151" s="69">
        <v>10</v>
      </c>
      <c r="Z1151"/>
      <c r="AA1151" t="s">
        <v>4826</v>
      </c>
      <c r="AB1151" t="s">
        <v>4594</v>
      </c>
      <c r="AC1151" t="s">
        <v>223</v>
      </c>
      <c r="AD1151" t="s">
        <v>4781</v>
      </c>
      <c r="AE1151" t="s">
        <v>223</v>
      </c>
      <c r="AF1151" t="s">
        <v>4781</v>
      </c>
      <c r="AG1151" t="s">
        <v>4353</v>
      </c>
      <c r="AH1151" t="s">
        <v>4506</v>
      </c>
      <c r="AI1151" t="s">
        <v>4353</v>
      </c>
      <c r="AJ1151" t="s">
        <v>4506</v>
      </c>
      <c r="AK1151" t="s">
        <v>4519</v>
      </c>
      <c r="AL1151" t="s">
        <v>4519</v>
      </c>
      <c r="AM1151" t="s">
        <v>4766</v>
      </c>
      <c r="AN1151" t="s">
        <v>4543</v>
      </c>
      <c r="AO1151" s="134">
        <v>87.452830188679201</v>
      </c>
      <c r="AP1151" s="135">
        <v>89.04</v>
      </c>
      <c r="AQ1151">
        <v>0.57999999999999996</v>
      </c>
      <c r="AR1151" s="136">
        <v>1.28</v>
      </c>
      <c r="AS1151">
        <v>10.86</v>
      </c>
      <c r="AU1151"/>
      <c r="AV1151"/>
      <c r="AW1151"/>
      <c r="AX1151"/>
    </row>
    <row r="1152" spans="1:50" s="69" customFormat="1" ht="61">
      <c r="A1152" s="65">
        <v>156</v>
      </c>
      <c r="B1152" s="69" t="s">
        <v>217</v>
      </c>
      <c r="C1152" s="69" t="s">
        <v>119</v>
      </c>
      <c r="D1152" s="31">
        <f t="shared" si="92"/>
        <v>1</v>
      </c>
      <c r="E1152" s="69" t="s">
        <v>46</v>
      </c>
      <c r="F1152" s="31">
        <f t="shared" si="93"/>
        <v>6</v>
      </c>
      <c r="G1152" s="137" t="s">
        <v>483</v>
      </c>
      <c r="H1152" s="138">
        <v>31</v>
      </c>
      <c r="I1152" s="92">
        <f t="shared" si="88"/>
        <v>0.85259326489681753</v>
      </c>
      <c r="J1152" s="95">
        <v>0.95518652979363505</v>
      </c>
      <c r="K1152" s="137">
        <v>0.69881421079630901</v>
      </c>
      <c r="L1152" s="137">
        <v>0.75</v>
      </c>
      <c r="M1152" s="137">
        <v>0.62203552699077302</v>
      </c>
      <c r="N1152" s="136">
        <v>1</v>
      </c>
      <c r="O1152" s="154">
        <v>42608</v>
      </c>
      <c r="P1152" s="98">
        <f t="shared" si="94"/>
        <v>1</v>
      </c>
      <c r="Q1152" s="111">
        <v>2.5499999999999998</v>
      </c>
      <c r="R1152" s="111">
        <v>0</v>
      </c>
      <c r="S1152" s="111">
        <v>0</v>
      </c>
      <c r="T1152" s="112" t="s">
        <v>5078</v>
      </c>
      <c r="U1152" s="147" t="s">
        <v>491</v>
      </c>
      <c r="V1152" s="137" t="s">
        <v>492</v>
      </c>
      <c r="W1152" s="69">
        <v>77</v>
      </c>
      <c r="X1152" s="152">
        <v>1</v>
      </c>
      <c r="Y1152" s="152">
        <v>7</v>
      </c>
      <c r="Z1152"/>
      <c r="AA1152" t="s">
        <v>4556</v>
      </c>
      <c r="AB1152" t="s">
        <v>87</v>
      </c>
      <c r="AC1152" t="s">
        <v>4538</v>
      </c>
      <c r="AD1152" t="s">
        <v>5081</v>
      </c>
      <c r="AE1152" t="s">
        <v>4353</v>
      </c>
      <c r="AF1152" t="s">
        <v>4506</v>
      </c>
      <c r="AG1152" t="s">
        <v>223</v>
      </c>
      <c r="AH1152" t="s">
        <v>4631</v>
      </c>
      <c r="AI1152" t="s">
        <v>4353</v>
      </c>
      <c r="AJ1152" t="s">
        <v>4506</v>
      </c>
      <c r="AK1152" t="s">
        <v>4519</v>
      </c>
      <c r="AL1152" t="s">
        <v>4541</v>
      </c>
      <c r="AM1152" t="s">
        <v>4528</v>
      </c>
      <c r="AN1152" t="s">
        <v>4542</v>
      </c>
      <c r="AO1152" s="134">
        <v>88.538461538461505</v>
      </c>
      <c r="AP1152" s="135">
        <v>89.04</v>
      </c>
      <c r="AQ1152">
        <v>0.57999999999999996</v>
      </c>
      <c r="AR1152" s="136">
        <v>1.28</v>
      </c>
      <c r="AS1152">
        <v>10.86</v>
      </c>
      <c r="AU1152"/>
      <c r="AV1152"/>
      <c r="AW1152"/>
      <c r="AX1152"/>
    </row>
    <row r="1153" spans="1:50" s="69" customFormat="1" ht="91">
      <c r="A1153" s="65">
        <v>412</v>
      </c>
      <c r="B1153" s="69" t="s">
        <v>589</v>
      </c>
      <c r="C1153" s="69" t="s">
        <v>59</v>
      </c>
      <c r="D1153" s="31">
        <f t="shared" si="92"/>
        <v>5</v>
      </c>
      <c r="E1153" s="69" t="s">
        <v>46</v>
      </c>
      <c r="F1153" s="31">
        <f t="shared" si="93"/>
        <v>6</v>
      </c>
      <c r="G1153" s="147" t="s">
        <v>1180</v>
      </c>
      <c r="H1153" s="138">
        <v>97</v>
      </c>
      <c r="I1153" s="92">
        <f t="shared" si="88"/>
        <v>0.38330960596437547</v>
      </c>
      <c r="J1153" s="95">
        <v>1.6619211928750901E-2</v>
      </c>
      <c r="K1153" s="137">
        <v>0.73571428571428599</v>
      </c>
      <c r="L1153" s="137">
        <v>0.75</v>
      </c>
      <c r="M1153" s="137">
        <v>0.71428571428571397</v>
      </c>
      <c r="N1153" s="136">
        <v>1</v>
      </c>
      <c r="O1153" s="154">
        <v>42608</v>
      </c>
      <c r="P1153" s="98">
        <f t="shared" si="94"/>
        <v>2</v>
      </c>
      <c r="Q1153" s="111">
        <v>0</v>
      </c>
      <c r="R1153" s="111">
        <v>0</v>
      </c>
      <c r="S1153" s="111">
        <v>0</v>
      </c>
      <c r="T1153" s="112" t="s">
        <v>64</v>
      </c>
      <c r="U1153" s="137" t="s">
        <v>1181</v>
      </c>
      <c r="V1153" s="137" t="s">
        <v>1182</v>
      </c>
      <c r="W1153" s="69">
        <v>125</v>
      </c>
      <c r="X1153" s="171">
        <v>1</v>
      </c>
      <c r="Y1153" s="171">
        <v>4</v>
      </c>
      <c r="Z1153"/>
      <c r="AA1153" t="s">
        <v>4522</v>
      </c>
      <c r="AB1153" t="s">
        <v>51</v>
      </c>
      <c r="AC1153" t="s">
        <v>223</v>
      </c>
      <c r="AD1153" t="s">
        <v>4665</v>
      </c>
      <c r="AE1153" t="s">
        <v>4538</v>
      </c>
      <c r="AF1153" t="s">
        <v>4760</v>
      </c>
      <c r="AG1153" t="s">
        <v>223</v>
      </c>
      <c r="AH1153" t="s">
        <v>4665</v>
      </c>
      <c r="AI1153" t="s">
        <v>4353</v>
      </c>
      <c r="AJ1153" t="s">
        <v>4506</v>
      </c>
      <c r="AK1153" t="s">
        <v>4519</v>
      </c>
      <c r="AL1153" t="s">
        <v>4552</v>
      </c>
      <c r="AM1153" t="s">
        <v>4528</v>
      </c>
      <c r="AN1153" t="s">
        <v>4618</v>
      </c>
      <c r="AO1153" s="134">
        <v>88.372549019607803</v>
      </c>
      <c r="AP1153" s="135">
        <v>89.04</v>
      </c>
      <c r="AQ1153">
        <v>0.57999999999999996</v>
      </c>
      <c r="AR1153" s="136">
        <v>1.28</v>
      </c>
      <c r="AS1153">
        <v>10.86</v>
      </c>
      <c r="AU1153"/>
      <c r="AV1153"/>
      <c r="AW1153"/>
      <c r="AX1153"/>
    </row>
    <row r="1154" spans="1:50" s="69" customFormat="1" ht="91">
      <c r="A1154" s="65">
        <v>413</v>
      </c>
      <c r="B1154" s="69" t="s">
        <v>589</v>
      </c>
      <c r="C1154" s="69" t="s">
        <v>45</v>
      </c>
      <c r="D1154" s="31">
        <f t="shared" si="92"/>
        <v>4</v>
      </c>
      <c r="E1154" s="69" t="s">
        <v>46</v>
      </c>
      <c r="F1154" s="31">
        <f t="shared" si="93"/>
        <v>6</v>
      </c>
      <c r="G1154" s="147" t="s">
        <v>1183</v>
      </c>
      <c r="H1154" s="138">
        <v>164</v>
      </c>
      <c r="I1154" s="92">
        <f t="shared" si="88"/>
        <v>0.55877403150928695</v>
      </c>
      <c r="J1154" s="95">
        <v>0.119298063018574</v>
      </c>
      <c r="K1154" s="137">
        <v>0.85897915755524701</v>
      </c>
      <c r="L1154" s="137">
        <v>0.99824999999999997</v>
      </c>
      <c r="M1154" s="137">
        <v>0.65007289388811795</v>
      </c>
      <c r="N1154" s="136">
        <v>1</v>
      </c>
      <c r="O1154" s="154">
        <v>42605</v>
      </c>
      <c r="P1154" s="98">
        <f t="shared" si="94"/>
        <v>0</v>
      </c>
      <c r="Q1154" s="111">
        <v>5.0999999999999996</v>
      </c>
      <c r="R1154" s="111">
        <v>1.65</v>
      </c>
      <c r="S1154" s="111">
        <v>1.87</v>
      </c>
      <c r="T1154" s="112" t="s">
        <v>48</v>
      </c>
      <c r="U1154" s="137" t="s">
        <v>1184</v>
      </c>
      <c r="V1154" s="137" t="s">
        <v>1185</v>
      </c>
      <c r="W1154" s="69">
        <v>130</v>
      </c>
      <c r="X1154" s="147">
        <v>1</v>
      </c>
      <c r="Y1154" s="147">
        <v>6</v>
      </c>
      <c r="Z1154"/>
      <c r="AA1154" t="s">
        <v>4833</v>
      </c>
      <c r="AB1154" t="s">
        <v>87</v>
      </c>
      <c r="AC1154" t="s">
        <v>4538</v>
      </c>
      <c r="AD1154" t="s">
        <v>4918</v>
      </c>
      <c r="AE1154" t="s">
        <v>4353</v>
      </c>
      <c r="AF1154" t="s">
        <v>4506</v>
      </c>
      <c r="AG1154" t="s">
        <v>223</v>
      </c>
      <c r="AH1154" t="s">
        <v>4574</v>
      </c>
      <c r="AI1154" t="s">
        <v>4353</v>
      </c>
      <c r="AJ1154" t="s">
        <v>4506</v>
      </c>
      <c r="AK1154" t="s">
        <v>4519</v>
      </c>
      <c r="AL1154" t="s">
        <v>4519</v>
      </c>
      <c r="AM1154" t="s">
        <v>4740</v>
      </c>
      <c r="AN1154" t="s">
        <v>4863</v>
      </c>
      <c r="AO1154" s="134">
        <v>86.86</v>
      </c>
      <c r="AP1154" s="135">
        <v>89.4166666666667</v>
      </c>
      <c r="AQ1154">
        <v>0.52083333333333304</v>
      </c>
      <c r="AR1154" s="136">
        <v>1.2916666666666701</v>
      </c>
      <c r="AS1154">
        <v>10.6875</v>
      </c>
      <c r="AU1154"/>
      <c r="AV1154"/>
      <c r="AW1154"/>
      <c r="AX1154"/>
    </row>
    <row r="1155" spans="1:50" s="69" customFormat="1" ht="61">
      <c r="A1155">
        <v>414</v>
      </c>
      <c r="B1155" s="69" t="s">
        <v>589</v>
      </c>
      <c r="C1155" s="69" t="s">
        <v>45</v>
      </c>
      <c r="D1155" s="31">
        <f t="shared" si="92"/>
        <v>4</v>
      </c>
      <c r="E1155" s="69" t="s">
        <v>46</v>
      </c>
      <c r="F1155" s="31">
        <f t="shared" si="93"/>
        <v>6</v>
      </c>
      <c r="G1155" s="147" t="s">
        <v>1186</v>
      </c>
      <c r="H1155" s="138">
        <v>95</v>
      </c>
      <c r="I1155" s="92">
        <f t="shared" si="88"/>
        <v>0.37510392969965345</v>
      </c>
      <c r="J1155" s="95">
        <v>2.07859399306898E-4</v>
      </c>
      <c r="K1155" s="137">
        <v>0.62868666593100497</v>
      </c>
      <c r="L1155" s="137">
        <v>0.75</v>
      </c>
      <c r="M1155" s="137">
        <v>0.44671666482751199</v>
      </c>
      <c r="N1155" s="136">
        <v>0</v>
      </c>
      <c r="O1155" s="154">
        <v>42592</v>
      </c>
      <c r="P1155" s="98">
        <f t="shared" si="94"/>
        <v>2</v>
      </c>
      <c r="Q1155" s="107">
        <v>2.5499999999999998</v>
      </c>
      <c r="R1155" s="107">
        <v>1.65</v>
      </c>
      <c r="S1155" s="107">
        <v>1.87</v>
      </c>
      <c r="T1155" s="108" t="s">
        <v>64</v>
      </c>
      <c r="U1155" s="137" t="s">
        <v>1187</v>
      </c>
      <c r="V1155" s="137" t="s">
        <v>1188</v>
      </c>
      <c r="W1155" s="69">
        <v>80</v>
      </c>
      <c r="X1155" s="147">
        <v>3</v>
      </c>
      <c r="Y1155" s="147">
        <v>15</v>
      </c>
      <c r="Z1155"/>
      <c r="AA1155" t="s">
        <v>4564</v>
      </c>
      <c r="AB1155" t="s">
        <v>87</v>
      </c>
      <c r="AC1155" t="s">
        <v>4513</v>
      </c>
      <c r="AD1155" t="s">
        <v>4711</v>
      </c>
      <c r="AE1155" t="s">
        <v>4353</v>
      </c>
      <c r="AF1155" t="s">
        <v>4506</v>
      </c>
      <c r="AG1155" t="s">
        <v>223</v>
      </c>
      <c r="AH1155" t="s">
        <v>4693</v>
      </c>
      <c r="AI1155" t="s">
        <v>4353</v>
      </c>
      <c r="AJ1155" t="s">
        <v>4506</v>
      </c>
      <c r="AK1155" t="s">
        <v>4519</v>
      </c>
      <c r="AL1155" t="s">
        <v>4519</v>
      </c>
      <c r="AM1155" t="s">
        <v>4528</v>
      </c>
      <c r="AN1155" t="s">
        <v>4529</v>
      </c>
      <c r="AO1155" s="134">
        <v>86.693877551020407</v>
      </c>
      <c r="AP1155" s="135">
        <v>90.652173913043498</v>
      </c>
      <c r="AQ1155">
        <v>0.54347826086956497</v>
      </c>
      <c r="AR1155" s="136">
        <v>1.3043478260869601</v>
      </c>
      <c r="AS1155">
        <v>10.695652173913</v>
      </c>
      <c r="AU1155"/>
      <c r="AV1155"/>
      <c r="AW1155"/>
      <c r="AX1155"/>
    </row>
    <row r="1156" spans="1:50" s="69" customFormat="1" ht="61">
      <c r="A1156" s="65">
        <v>576</v>
      </c>
      <c r="B1156" s="69" t="s">
        <v>1222</v>
      </c>
      <c r="C1156" s="69" t="s">
        <v>45</v>
      </c>
      <c r="D1156" s="31">
        <f t="shared" si="92"/>
        <v>4</v>
      </c>
      <c r="E1156" s="69" t="s">
        <v>46</v>
      </c>
      <c r="F1156" s="31">
        <f t="shared" si="93"/>
        <v>6</v>
      </c>
      <c r="G1156" s="137" t="s">
        <v>1186</v>
      </c>
      <c r="H1156" s="138">
        <v>95</v>
      </c>
      <c r="I1156" s="92">
        <f t="shared" ref="I1156:I1204" si="95">(J1156+L1156)/2</f>
        <v>0.37500000980014808</v>
      </c>
      <c r="J1156" s="95">
        <v>1.9600296163879701E-8</v>
      </c>
      <c r="K1156" s="137">
        <v>0.62868666593100497</v>
      </c>
      <c r="L1156" s="137">
        <v>0.75</v>
      </c>
      <c r="M1156" s="137">
        <v>0.44671666482751199</v>
      </c>
      <c r="N1156" s="136">
        <v>0</v>
      </c>
      <c r="O1156" s="154">
        <v>42592</v>
      </c>
      <c r="P1156" s="98">
        <f t="shared" si="94"/>
        <v>2</v>
      </c>
      <c r="Q1156" s="107">
        <v>0</v>
      </c>
      <c r="R1156" s="107">
        <v>1.65</v>
      </c>
      <c r="S1156" s="107">
        <v>0</v>
      </c>
      <c r="T1156" s="108" t="s">
        <v>64</v>
      </c>
      <c r="U1156" s="137" t="s">
        <v>1187</v>
      </c>
      <c r="V1156" s="137" t="s">
        <v>1188</v>
      </c>
      <c r="W1156" s="69">
        <v>80</v>
      </c>
      <c r="X1156" s="69">
        <v>3</v>
      </c>
      <c r="Y1156" s="69">
        <v>15</v>
      </c>
      <c r="Z1156"/>
      <c r="AA1156" t="s">
        <v>4564</v>
      </c>
      <c r="AB1156" t="s">
        <v>87</v>
      </c>
      <c r="AC1156" t="s">
        <v>4513</v>
      </c>
      <c r="AD1156" t="s">
        <v>4711</v>
      </c>
      <c r="AE1156" t="s">
        <v>4353</v>
      </c>
      <c r="AF1156" t="s">
        <v>4506</v>
      </c>
      <c r="AG1156" t="s">
        <v>223</v>
      </c>
      <c r="AH1156" t="s">
        <v>4693</v>
      </c>
      <c r="AI1156" t="s">
        <v>4353</v>
      </c>
      <c r="AJ1156" t="s">
        <v>4506</v>
      </c>
      <c r="AK1156" t="s">
        <v>4519</v>
      </c>
      <c r="AL1156" t="s">
        <v>4519</v>
      </c>
      <c r="AM1156" t="s">
        <v>4528</v>
      </c>
      <c r="AN1156" t="s">
        <v>4529</v>
      </c>
      <c r="AO1156" s="134">
        <v>86.5208333333333</v>
      </c>
      <c r="AP1156" s="135">
        <v>90.652173913043498</v>
      </c>
      <c r="AQ1156">
        <v>0.54347826086956497</v>
      </c>
      <c r="AR1156" s="136">
        <v>1.3043478260869601</v>
      </c>
      <c r="AS1156">
        <v>10.695652173913</v>
      </c>
      <c r="AU1156"/>
      <c r="AV1156"/>
      <c r="AW1156"/>
      <c r="AX1156"/>
    </row>
    <row r="1157" spans="1:50" s="69" customFormat="1" ht="31">
      <c r="A1157" s="65">
        <v>577</v>
      </c>
      <c r="B1157" s="69" t="s">
        <v>1222</v>
      </c>
      <c r="C1157" s="69" t="s">
        <v>45</v>
      </c>
      <c r="D1157" s="31">
        <f t="shared" si="92"/>
        <v>4</v>
      </c>
      <c r="E1157" s="69" t="s">
        <v>46</v>
      </c>
      <c r="F1157" s="31">
        <f t="shared" si="93"/>
        <v>6</v>
      </c>
      <c r="G1157" s="147" t="s">
        <v>1613</v>
      </c>
      <c r="H1157" s="138">
        <v>5</v>
      </c>
      <c r="I1157" s="92">
        <f t="shared" si="95"/>
        <v>0.37500307960856177</v>
      </c>
      <c r="J1157" s="95">
        <v>6.1592171235469501E-6</v>
      </c>
      <c r="K1157" s="137">
        <v>0.67857142857142805</v>
      </c>
      <c r="L1157" s="137">
        <v>0.75</v>
      </c>
      <c r="M1157" s="137">
        <v>0.57142857142857095</v>
      </c>
      <c r="N1157" s="136">
        <v>1</v>
      </c>
      <c r="O1157" s="154">
        <v>42591</v>
      </c>
      <c r="P1157" s="98">
        <f t="shared" si="94"/>
        <v>0</v>
      </c>
      <c r="Q1157" s="113">
        <v>0</v>
      </c>
      <c r="R1157" s="113">
        <v>0</v>
      </c>
      <c r="S1157" s="113">
        <v>0</v>
      </c>
      <c r="T1157" s="114" t="s">
        <v>48</v>
      </c>
      <c r="U1157" s="169" t="s">
        <v>1614</v>
      </c>
      <c r="V1157" s="137" t="s">
        <v>1615</v>
      </c>
      <c r="W1157" s="69">
        <v>43</v>
      </c>
      <c r="X1157" s="147">
        <v>1</v>
      </c>
      <c r="Y1157" s="147">
        <v>9</v>
      </c>
      <c r="AA1157" t="s">
        <v>4564</v>
      </c>
      <c r="AB1157" t="s">
        <v>87</v>
      </c>
      <c r="AC1157" t="s">
        <v>4530</v>
      </c>
      <c r="AD1157" t="s">
        <v>4622</v>
      </c>
      <c r="AE1157" t="s">
        <v>4353</v>
      </c>
      <c r="AF1157" t="s">
        <v>4506</v>
      </c>
      <c r="AG1157" t="s">
        <v>4353</v>
      </c>
      <c r="AH1157" t="s">
        <v>4506</v>
      </c>
      <c r="AI1157" t="s">
        <v>4353</v>
      </c>
      <c r="AJ1157" t="s">
        <v>4506</v>
      </c>
      <c r="AK1157" t="s">
        <v>4519</v>
      </c>
      <c r="AL1157" t="s">
        <v>4519</v>
      </c>
      <c r="AM1157" t="s">
        <v>4528</v>
      </c>
      <c r="AN1157" t="s">
        <v>4529</v>
      </c>
      <c r="AO1157" s="134">
        <v>88.255319148936195</v>
      </c>
      <c r="AP1157" s="135">
        <v>90.113636363636402</v>
      </c>
      <c r="AQ1157">
        <v>0.52272727272727304</v>
      </c>
      <c r="AR1157" s="136">
        <v>1.27272727272727</v>
      </c>
      <c r="AS1157">
        <v>10.5</v>
      </c>
      <c r="AU1157"/>
      <c r="AV1157"/>
      <c r="AW1157"/>
      <c r="AX1157"/>
    </row>
    <row r="1158" spans="1:50" s="69" customFormat="1" ht="61">
      <c r="A1158">
        <v>190</v>
      </c>
      <c r="B1158" s="69" t="s">
        <v>499</v>
      </c>
      <c r="C1158" s="69" t="s">
        <v>59</v>
      </c>
      <c r="D1158" s="31">
        <f t="shared" si="92"/>
        <v>5</v>
      </c>
      <c r="E1158" s="69" t="s">
        <v>80</v>
      </c>
      <c r="F1158" s="31">
        <f t="shared" si="93"/>
        <v>4</v>
      </c>
      <c r="G1158" s="137" t="s">
        <v>581</v>
      </c>
      <c r="H1158" s="138">
        <v>33</v>
      </c>
      <c r="I1158" s="92">
        <f t="shared" si="95"/>
        <v>0.58928702463306903</v>
      </c>
      <c r="J1158" s="95">
        <v>0.55873933852233604</v>
      </c>
      <c r="K1158" s="137">
        <v>0.62071503724259003</v>
      </c>
      <c r="L1158" s="137">
        <v>0.61983471074380203</v>
      </c>
      <c r="M1158" s="137">
        <v>0.62203552699077302</v>
      </c>
      <c r="N1158" s="136">
        <v>1</v>
      </c>
      <c r="O1158" s="154">
        <v>42584</v>
      </c>
      <c r="P1158" s="98">
        <f t="shared" si="94"/>
        <v>1</v>
      </c>
      <c r="Q1158" s="113">
        <v>0</v>
      </c>
      <c r="R1158" s="113">
        <v>0</v>
      </c>
      <c r="S1158" s="113">
        <v>0</v>
      </c>
      <c r="T1158" s="114" t="s">
        <v>73</v>
      </c>
      <c r="U1158" s="137" t="s">
        <v>582</v>
      </c>
      <c r="V1158" s="137" t="s">
        <v>583</v>
      </c>
      <c r="W1158" s="69">
        <v>51</v>
      </c>
      <c r="X1158" s="69">
        <v>2</v>
      </c>
      <c r="Y1158" s="69">
        <v>7</v>
      </c>
      <c r="Z1158"/>
      <c r="AA1158" t="s">
        <v>4603</v>
      </c>
      <c r="AB1158" t="s">
        <v>87</v>
      </c>
      <c r="AC1158" t="s">
        <v>4515</v>
      </c>
      <c r="AD1158" t="s">
        <v>4595</v>
      </c>
      <c r="AE1158" t="s">
        <v>223</v>
      </c>
      <c r="AF1158" t="s">
        <v>4590</v>
      </c>
      <c r="AG1158" t="s">
        <v>4353</v>
      </c>
      <c r="AH1158" t="s">
        <v>4506</v>
      </c>
      <c r="AI1158" t="s">
        <v>4353</v>
      </c>
      <c r="AJ1158" t="s">
        <v>4506</v>
      </c>
      <c r="AK1158" t="s">
        <v>4519</v>
      </c>
      <c r="AL1158" t="s">
        <v>4519</v>
      </c>
      <c r="AM1158" t="s">
        <v>4528</v>
      </c>
      <c r="AN1158" t="s">
        <v>4529</v>
      </c>
      <c r="AO1158" s="134">
        <v>89.456521739130395</v>
      </c>
      <c r="AP1158" s="135">
        <v>90.047619047619094</v>
      </c>
      <c r="AQ1158">
        <v>0.5</v>
      </c>
      <c r="AR1158" s="136">
        <v>1.28571428571429</v>
      </c>
      <c r="AS1158">
        <v>10.523809523809501</v>
      </c>
      <c r="AU1158"/>
      <c r="AV1158"/>
      <c r="AW1158"/>
      <c r="AX1158"/>
    </row>
    <row r="1159" spans="1:50" s="69" customFormat="1" ht="61">
      <c r="A1159" s="65">
        <v>640</v>
      </c>
      <c r="B1159" s="69" t="s">
        <v>1707</v>
      </c>
      <c r="C1159" s="69" t="s">
        <v>45</v>
      </c>
      <c r="D1159" s="31">
        <f t="shared" si="92"/>
        <v>4</v>
      </c>
      <c r="E1159" s="69" t="s">
        <v>80</v>
      </c>
      <c r="F1159" s="31">
        <f t="shared" si="93"/>
        <v>4</v>
      </c>
      <c r="G1159" s="169" t="s">
        <v>1767</v>
      </c>
      <c r="H1159" s="138">
        <v>69</v>
      </c>
      <c r="I1159" s="92">
        <f t="shared" si="95"/>
        <v>0.31039727532064837</v>
      </c>
      <c r="J1159" s="95">
        <v>9.5983989749470798E-4</v>
      </c>
      <c r="K1159" s="137">
        <v>0.57395216272412397</v>
      </c>
      <c r="L1159" s="137">
        <v>0.61983471074380203</v>
      </c>
      <c r="M1159" s="137">
        <v>0.50512834069460699</v>
      </c>
      <c r="N1159" s="136">
        <v>1</v>
      </c>
      <c r="O1159" s="154">
        <v>42580</v>
      </c>
      <c r="P1159" s="98">
        <f t="shared" si="94"/>
        <v>1</v>
      </c>
      <c r="Q1159" s="113">
        <v>0</v>
      </c>
      <c r="R1159" s="113">
        <v>0</v>
      </c>
      <c r="S1159" s="113">
        <v>0</v>
      </c>
      <c r="T1159" s="114" t="s">
        <v>73</v>
      </c>
      <c r="U1159" s="137" t="s">
        <v>1768</v>
      </c>
      <c r="V1159" s="137" t="s">
        <v>1763</v>
      </c>
      <c r="W1159" s="69">
        <v>79</v>
      </c>
      <c r="X1159" s="69">
        <v>1</v>
      </c>
      <c r="Y1159" s="69">
        <v>12</v>
      </c>
      <c r="AA1159" t="s">
        <v>4512</v>
      </c>
      <c r="AB1159" t="s">
        <v>87</v>
      </c>
      <c r="AC1159" t="s">
        <v>4538</v>
      </c>
      <c r="AD1159" t="s">
        <v>5081</v>
      </c>
      <c r="AE1159" t="s">
        <v>4353</v>
      </c>
      <c r="AF1159" t="s">
        <v>4506</v>
      </c>
      <c r="AG1159" t="s">
        <v>223</v>
      </c>
      <c r="AH1159" t="s">
        <v>4631</v>
      </c>
      <c r="AI1159" t="s">
        <v>4353</v>
      </c>
      <c r="AJ1159" t="s">
        <v>4506</v>
      </c>
      <c r="AK1159" t="s">
        <v>4519</v>
      </c>
      <c r="AL1159" t="s">
        <v>4552</v>
      </c>
      <c r="AM1159" t="s">
        <v>4528</v>
      </c>
      <c r="AN1159" t="s">
        <v>4618</v>
      </c>
      <c r="AO1159" s="134">
        <v>89.911111111111097</v>
      </c>
      <c r="AP1159" s="135">
        <v>90.047619047619094</v>
      </c>
      <c r="AQ1159">
        <v>0.5</v>
      </c>
      <c r="AR1159" s="136">
        <v>1.28571428571429</v>
      </c>
      <c r="AS1159">
        <v>10.523809523809501</v>
      </c>
      <c r="AU1159"/>
      <c r="AV1159"/>
      <c r="AW1159"/>
      <c r="AX1159"/>
    </row>
    <row r="1160" spans="1:50" s="69" customFormat="1" ht="76">
      <c r="A1160">
        <v>578</v>
      </c>
      <c r="B1160" s="69" t="s">
        <v>1222</v>
      </c>
      <c r="C1160" s="69" t="s">
        <v>59</v>
      </c>
      <c r="D1160" s="31">
        <f t="shared" si="92"/>
        <v>5</v>
      </c>
      <c r="E1160" s="69" t="s">
        <v>46</v>
      </c>
      <c r="F1160" s="31">
        <f t="shared" si="93"/>
        <v>6</v>
      </c>
      <c r="G1160" s="137" t="s">
        <v>4403</v>
      </c>
      <c r="H1160" s="138">
        <v>35</v>
      </c>
      <c r="I1160" s="92">
        <f t="shared" si="95"/>
        <v>0.37500001043878173</v>
      </c>
      <c r="J1160" s="95">
        <v>2.0877563455812301E-8</v>
      </c>
      <c r="K1160" s="137">
        <v>0.71002915755524698</v>
      </c>
      <c r="L1160" s="137">
        <v>0.75</v>
      </c>
      <c r="M1160" s="137">
        <v>0.65007289388811795</v>
      </c>
      <c r="N1160" s="136">
        <v>1</v>
      </c>
      <c r="O1160" s="154">
        <v>42578</v>
      </c>
      <c r="P1160" s="98">
        <f t="shared" si="94"/>
        <v>1</v>
      </c>
      <c r="Q1160" s="113">
        <v>2.5499999999999998</v>
      </c>
      <c r="R1160" s="113">
        <v>0</v>
      </c>
      <c r="S1160" s="113">
        <v>0</v>
      </c>
      <c r="T1160" s="114" t="s">
        <v>73</v>
      </c>
      <c r="U1160" s="147" t="s">
        <v>4404</v>
      </c>
      <c r="V1160" s="137" t="s">
        <v>1618</v>
      </c>
      <c r="W1160" s="69">
        <v>104</v>
      </c>
      <c r="X1160" s="147">
        <v>2</v>
      </c>
      <c r="Y1160" s="147">
        <v>6</v>
      </c>
      <c r="Z1160"/>
      <c r="AA1160" t="s">
        <v>4543</v>
      </c>
      <c r="AB1160" t="s">
        <v>4597</v>
      </c>
      <c r="AC1160" t="s">
        <v>223</v>
      </c>
      <c r="AD1160" t="s">
        <v>4606</v>
      </c>
      <c r="AE1160" t="s">
        <v>4353</v>
      </c>
      <c r="AF1160" t="s">
        <v>4506</v>
      </c>
      <c r="AG1160" t="s">
        <v>223</v>
      </c>
      <c r="AH1160" t="s">
        <v>4606</v>
      </c>
      <c r="AI1160" t="s">
        <v>4353</v>
      </c>
      <c r="AJ1160" t="s">
        <v>4506</v>
      </c>
      <c r="AK1160" t="s">
        <v>4519</v>
      </c>
      <c r="AL1160" t="s">
        <v>4519</v>
      </c>
      <c r="AM1160" t="s">
        <v>4562</v>
      </c>
      <c r="AN1160" t="s">
        <v>4563</v>
      </c>
      <c r="AO1160" s="134">
        <v>91.159090909090907</v>
      </c>
      <c r="AP1160" s="135">
        <v>90.414634146341498</v>
      </c>
      <c r="AQ1160">
        <v>0.51219512195121997</v>
      </c>
      <c r="AR1160" s="136">
        <v>1.2926829268292701</v>
      </c>
      <c r="AS1160">
        <v>10.560975609756101</v>
      </c>
      <c r="AU1160"/>
      <c r="AV1160"/>
      <c r="AW1160"/>
      <c r="AX1160"/>
    </row>
    <row r="1161" spans="1:50" s="69" customFormat="1" ht="91">
      <c r="A1161" s="65">
        <v>797</v>
      </c>
      <c r="B1161" s="69" t="s">
        <v>2147</v>
      </c>
      <c r="C1161" s="69" t="s">
        <v>45</v>
      </c>
      <c r="D1161" s="31">
        <f t="shared" si="92"/>
        <v>4</v>
      </c>
      <c r="E1161" s="69" t="s">
        <v>46</v>
      </c>
      <c r="F1161" s="31">
        <f t="shared" si="93"/>
        <v>6</v>
      </c>
      <c r="G1161" s="169" t="s">
        <v>2176</v>
      </c>
      <c r="H1161" s="138">
        <v>152</v>
      </c>
      <c r="I1161" s="92">
        <f t="shared" si="95"/>
        <v>0.4695970511502765</v>
      </c>
      <c r="J1161" s="95">
        <v>0.189194102300553</v>
      </c>
      <c r="K1161" s="137">
        <v>0.63619100647005999</v>
      </c>
      <c r="L1161" s="137">
        <v>0.75</v>
      </c>
      <c r="M1161" s="137">
        <v>0.46547751617515098</v>
      </c>
      <c r="N1161" s="136">
        <v>0</v>
      </c>
      <c r="O1161" s="154">
        <v>42576</v>
      </c>
      <c r="P1161" s="98">
        <f t="shared" si="94"/>
        <v>1</v>
      </c>
      <c r="Q1161" s="111">
        <v>5.0999999999999996</v>
      </c>
      <c r="R1161" s="111">
        <v>0</v>
      </c>
      <c r="S1161" s="111">
        <v>0</v>
      </c>
      <c r="T1161" s="112" t="s">
        <v>73</v>
      </c>
      <c r="U1161" s="137" t="s">
        <v>2177</v>
      </c>
      <c r="V1161" s="137" t="s">
        <v>2178</v>
      </c>
      <c r="W1161" s="69">
        <v>79</v>
      </c>
      <c r="X1161" s="69">
        <v>2</v>
      </c>
      <c r="Y1161" s="69">
        <v>14</v>
      </c>
      <c r="AA1161" t="s">
        <v>4564</v>
      </c>
      <c r="AB1161" t="s">
        <v>51</v>
      </c>
      <c r="AC1161" t="s">
        <v>4353</v>
      </c>
      <c r="AD1161" t="s">
        <v>4506</v>
      </c>
      <c r="AE1161" t="s">
        <v>223</v>
      </c>
      <c r="AF1161" t="s">
        <v>4691</v>
      </c>
      <c r="AG1161" t="s">
        <v>4353</v>
      </c>
      <c r="AH1161" t="s">
        <v>4506</v>
      </c>
      <c r="AI1161" t="s">
        <v>4353</v>
      </c>
      <c r="AJ1161" t="s">
        <v>4506</v>
      </c>
      <c r="AK1161" t="s">
        <v>4519</v>
      </c>
      <c r="AL1161" t="s">
        <v>4552</v>
      </c>
      <c r="AM1161" t="s">
        <v>4510</v>
      </c>
      <c r="AN1161" t="s">
        <v>4634</v>
      </c>
      <c r="AO1161" s="134">
        <v>89.744186046511601</v>
      </c>
      <c r="AP1161" s="135">
        <v>90.414634146341498</v>
      </c>
      <c r="AQ1161">
        <v>0.51219512195121997</v>
      </c>
      <c r="AR1161" s="136">
        <v>1.2926829268292701</v>
      </c>
      <c r="AS1161">
        <v>10.560975609756101</v>
      </c>
      <c r="AU1161"/>
      <c r="AV1161"/>
      <c r="AW1161"/>
      <c r="AX1161"/>
    </row>
    <row r="1162" spans="1:50" s="69" customFormat="1" ht="61">
      <c r="A1162" s="65">
        <v>641</v>
      </c>
      <c r="B1162" s="69" t="s">
        <v>1707</v>
      </c>
      <c r="C1162" s="69" t="s">
        <v>45</v>
      </c>
      <c r="D1162" s="31">
        <f t="shared" si="92"/>
        <v>4</v>
      </c>
      <c r="E1162" s="69" t="s">
        <v>80</v>
      </c>
      <c r="F1162" s="31">
        <f t="shared" si="93"/>
        <v>4</v>
      </c>
      <c r="G1162" s="169" t="s">
        <v>1767</v>
      </c>
      <c r="H1162" s="138">
        <v>57</v>
      </c>
      <c r="I1162" s="92">
        <f t="shared" si="95"/>
        <v>0.57341008290369744</v>
      </c>
      <c r="J1162" s="95">
        <v>0.39682016580739499</v>
      </c>
      <c r="K1162" s="137">
        <v>0.67857142857142805</v>
      </c>
      <c r="L1162" s="137">
        <v>0.75</v>
      </c>
      <c r="M1162" s="137">
        <v>0.57142857142857095</v>
      </c>
      <c r="N1162" s="136">
        <v>1</v>
      </c>
      <c r="O1162" s="154">
        <v>42569</v>
      </c>
      <c r="P1162" s="98">
        <f t="shared" si="94"/>
        <v>1</v>
      </c>
      <c r="Q1162" s="111">
        <v>0</v>
      </c>
      <c r="R1162" s="111">
        <v>0</v>
      </c>
      <c r="S1162" s="111">
        <v>0</v>
      </c>
      <c r="T1162" s="112" t="s">
        <v>73</v>
      </c>
      <c r="U1162" s="137" t="s">
        <v>1769</v>
      </c>
      <c r="V1162" s="137" t="s">
        <v>1770</v>
      </c>
      <c r="W1162" s="69">
        <v>75</v>
      </c>
      <c r="X1162" s="69">
        <v>1</v>
      </c>
      <c r="Y1162" s="69">
        <v>9</v>
      </c>
      <c r="AA1162" t="s">
        <v>4551</v>
      </c>
      <c r="AB1162" t="s">
        <v>87</v>
      </c>
      <c r="AC1162" t="s">
        <v>4538</v>
      </c>
      <c r="AD1162" t="s">
        <v>5089</v>
      </c>
      <c r="AE1162" t="s">
        <v>4353</v>
      </c>
      <c r="AF1162" t="s">
        <v>4506</v>
      </c>
      <c r="AG1162" t="s">
        <v>223</v>
      </c>
      <c r="AH1162" t="s">
        <v>4535</v>
      </c>
      <c r="AI1162" t="s">
        <v>4353</v>
      </c>
      <c r="AJ1162" t="s">
        <v>4506</v>
      </c>
      <c r="AK1162" t="s">
        <v>4519</v>
      </c>
      <c r="AL1162" t="s">
        <v>4541</v>
      </c>
      <c r="AM1162" t="s">
        <v>4528</v>
      </c>
      <c r="AN1162" t="s">
        <v>4542</v>
      </c>
      <c r="AO1162" s="134">
        <v>90.523809523809504</v>
      </c>
      <c r="AP1162" s="135">
        <v>91</v>
      </c>
      <c r="AQ1162">
        <v>0.53846153846153799</v>
      </c>
      <c r="AR1162" s="136">
        <v>1.3076923076923099</v>
      </c>
      <c r="AS1162">
        <v>10.7692307692308</v>
      </c>
      <c r="AU1162"/>
      <c r="AV1162"/>
      <c r="AW1162"/>
      <c r="AX1162"/>
    </row>
    <row r="1163" spans="1:50" s="69" customFormat="1" ht="106">
      <c r="A1163" s="65">
        <v>828</v>
      </c>
      <c r="B1163" s="69" t="s">
        <v>2179</v>
      </c>
      <c r="C1163" s="69" t="s">
        <v>45</v>
      </c>
      <c r="D1163" s="31">
        <f t="shared" si="92"/>
        <v>4</v>
      </c>
      <c r="E1163" s="69" t="s">
        <v>46</v>
      </c>
      <c r="F1163" s="31">
        <f t="shared" si="93"/>
        <v>6</v>
      </c>
      <c r="G1163" s="136" t="s">
        <v>2256</v>
      </c>
      <c r="H1163" s="138">
        <v>191</v>
      </c>
      <c r="I1163" s="92">
        <f t="shared" si="95"/>
        <v>0.34091698907416684</v>
      </c>
      <c r="J1163" s="95">
        <v>1.5796330151696101E-5</v>
      </c>
      <c r="K1163" s="137">
        <v>0.53504339347303898</v>
      </c>
      <c r="L1163" s="137">
        <v>0.68181818181818199</v>
      </c>
      <c r="M1163" s="137">
        <v>0.31488121095532601</v>
      </c>
      <c r="N1163" s="136">
        <v>1</v>
      </c>
      <c r="O1163" s="154">
        <v>42568</v>
      </c>
      <c r="P1163" s="98">
        <f t="shared" si="94"/>
        <v>0</v>
      </c>
      <c r="Q1163" s="113">
        <v>0</v>
      </c>
      <c r="R1163" s="113">
        <v>0</v>
      </c>
      <c r="S1163" s="113">
        <v>0</v>
      </c>
      <c r="T1163" s="114" t="s">
        <v>48</v>
      </c>
      <c r="U1163" s="136" t="s">
        <v>4429</v>
      </c>
      <c r="V1163" s="136" t="s">
        <v>4428</v>
      </c>
      <c r="W1163" s="69">
        <v>154</v>
      </c>
      <c r="X1163" s="69">
        <v>4</v>
      </c>
      <c r="Y1163" s="69">
        <v>23</v>
      </c>
      <c r="AA1163" t="s">
        <v>4543</v>
      </c>
      <c r="AB1163" t="s">
        <v>4594</v>
      </c>
      <c r="AC1163" t="s">
        <v>223</v>
      </c>
      <c r="AD1163" t="s">
        <v>4818</v>
      </c>
      <c r="AE1163" t="s">
        <v>223</v>
      </c>
      <c r="AF1163" t="s">
        <v>4818</v>
      </c>
      <c r="AG1163" t="s">
        <v>4353</v>
      </c>
      <c r="AH1163" t="s">
        <v>4506</v>
      </c>
      <c r="AI1163" t="s">
        <v>4353</v>
      </c>
      <c r="AJ1163" t="s">
        <v>4506</v>
      </c>
      <c r="AK1163" t="s">
        <v>4519</v>
      </c>
      <c r="AL1163" t="s">
        <v>4552</v>
      </c>
      <c r="AM1163" t="s">
        <v>4528</v>
      </c>
      <c r="AN1163" t="s">
        <v>4618</v>
      </c>
      <c r="AO1163" s="134">
        <v>88.073170731707293</v>
      </c>
      <c r="AP1163" s="135">
        <v>91</v>
      </c>
      <c r="AQ1163">
        <v>0.53846153846153799</v>
      </c>
      <c r="AR1163" s="136">
        <v>1.3076923076923099</v>
      </c>
      <c r="AS1163">
        <v>10.7692307692308</v>
      </c>
      <c r="AU1163"/>
      <c r="AV1163"/>
      <c r="AW1163"/>
      <c r="AX1163"/>
    </row>
    <row r="1164" spans="1:50" s="69" customFormat="1" ht="61">
      <c r="A1164">
        <v>642</v>
      </c>
      <c r="B1164" s="69" t="s">
        <v>1707</v>
      </c>
      <c r="C1164" s="69" t="s">
        <v>45</v>
      </c>
      <c r="D1164" s="31">
        <f t="shared" si="92"/>
        <v>4</v>
      </c>
      <c r="E1164" s="69" t="s">
        <v>46</v>
      </c>
      <c r="F1164" s="31">
        <f t="shared" si="93"/>
        <v>6</v>
      </c>
      <c r="G1164" s="137" t="s">
        <v>1771</v>
      </c>
      <c r="H1164" s="138">
        <v>97</v>
      </c>
      <c r="I1164" s="92">
        <f t="shared" si="95"/>
        <v>0.84742866031575947</v>
      </c>
      <c r="J1164" s="95">
        <v>0.94485732063151895</v>
      </c>
      <c r="K1164" s="137">
        <v>0.72222468700001197</v>
      </c>
      <c r="L1164" s="137">
        <v>0.75</v>
      </c>
      <c r="M1164" s="137">
        <v>0.68056171750003003</v>
      </c>
      <c r="N1164" s="136">
        <v>1</v>
      </c>
      <c r="O1164" s="154">
        <v>42566</v>
      </c>
      <c r="P1164" s="98">
        <f t="shared" si="94"/>
        <v>0</v>
      </c>
      <c r="Q1164" s="111">
        <v>7.65</v>
      </c>
      <c r="R1164" s="111">
        <v>0</v>
      </c>
      <c r="S1164" s="111">
        <v>0</v>
      </c>
      <c r="T1164" s="112" t="s">
        <v>48</v>
      </c>
      <c r="U1164" s="147" t="s">
        <v>1772</v>
      </c>
      <c r="V1164" s="137" t="s">
        <v>1770</v>
      </c>
      <c r="W1164" s="69">
        <v>75</v>
      </c>
      <c r="X1164" s="171">
        <v>1</v>
      </c>
      <c r="Y1164" s="171">
        <v>5</v>
      </c>
      <c r="AA1164" t="s">
        <v>4543</v>
      </c>
      <c r="AB1164" t="s">
        <v>87</v>
      </c>
      <c r="AC1164" t="s">
        <v>4538</v>
      </c>
      <c r="AD1164" t="s">
        <v>5089</v>
      </c>
      <c r="AE1164" t="s">
        <v>4353</v>
      </c>
      <c r="AF1164" t="s">
        <v>4506</v>
      </c>
      <c r="AG1164" t="s">
        <v>223</v>
      </c>
      <c r="AH1164" t="s">
        <v>4535</v>
      </c>
      <c r="AI1164" t="s">
        <v>4353</v>
      </c>
      <c r="AJ1164" t="s">
        <v>4506</v>
      </c>
      <c r="AK1164" t="s">
        <v>4519</v>
      </c>
      <c r="AL1164" t="s">
        <v>4552</v>
      </c>
      <c r="AM1164" t="s">
        <v>4528</v>
      </c>
      <c r="AN1164" t="s">
        <v>4618</v>
      </c>
      <c r="AO1164" s="134">
        <v>87.85</v>
      </c>
      <c r="AP1164" s="135">
        <v>91</v>
      </c>
      <c r="AQ1164">
        <v>0.53846153846153799</v>
      </c>
      <c r="AR1164" s="136">
        <v>1.3076923076923099</v>
      </c>
      <c r="AS1164">
        <v>10.7692307692308</v>
      </c>
      <c r="AU1164"/>
      <c r="AV1164"/>
      <c r="AW1164"/>
      <c r="AX1164"/>
    </row>
    <row r="1165" spans="1:50" s="69" customFormat="1" ht="61">
      <c r="A1165">
        <v>415</v>
      </c>
      <c r="B1165" s="69" t="s">
        <v>589</v>
      </c>
      <c r="C1165" s="69" t="s">
        <v>45</v>
      </c>
      <c r="D1165" s="31">
        <f t="shared" si="92"/>
        <v>4</v>
      </c>
      <c r="E1165" s="69" t="s">
        <v>46</v>
      </c>
      <c r="F1165" s="31">
        <f t="shared" si="93"/>
        <v>6</v>
      </c>
      <c r="G1165" s="137" t="s">
        <v>1189</v>
      </c>
      <c r="H1165" s="138">
        <v>52</v>
      </c>
      <c r="I1165" s="92">
        <f t="shared" si="95"/>
        <v>0.25614485613362603</v>
      </c>
      <c r="J1165" s="95">
        <v>2.9620743449032501E-5</v>
      </c>
      <c r="K1165" s="137">
        <v>0.54573164778592798</v>
      </c>
      <c r="L1165" s="137">
        <v>0.51226009152380303</v>
      </c>
      <c r="M1165" s="137">
        <v>0.59593898217911601</v>
      </c>
      <c r="N1165" s="136">
        <v>1</v>
      </c>
      <c r="O1165" s="154">
        <v>42562</v>
      </c>
      <c r="P1165" s="98">
        <f t="shared" si="94"/>
        <v>0</v>
      </c>
      <c r="Q1165" s="111">
        <v>0</v>
      </c>
      <c r="R1165" s="111">
        <v>0</v>
      </c>
      <c r="S1165" s="111">
        <v>0</v>
      </c>
      <c r="T1165" s="112" t="s">
        <v>48</v>
      </c>
      <c r="U1165" s="137" t="s">
        <v>1190</v>
      </c>
      <c r="V1165" s="137" t="s">
        <v>1168</v>
      </c>
      <c r="W1165" s="69">
        <v>83</v>
      </c>
      <c r="X1165" s="69">
        <v>1</v>
      </c>
      <c r="Y1165" s="69">
        <v>8</v>
      </c>
      <c r="Z1165"/>
      <c r="AA1165" t="s">
        <v>4564</v>
      </c>
      <c r="AB1165" t="s">
        <v>51</v>
      </c>
      <c r="AC1165" t="s">
        <v>223</v>
      </c>
      <c r="AD1165" t="s">
        <v>4555</v>
      </c>
      <c r="AE1165" t="s">
        <v>4530</v>
      </c>
      <c r="AF1165" t="s">
        <v>4577</v>
      </c>
      <c r="AG1165" t="s">
        <v>4353</v>
      </c>
      <c r="AH1165" t="s">
        <v>4506</v>
      </c>
      <c r="AI1165" t="s">
        <v>4353</v>
      </c>
      <c r="AJ1165" t="s">
        <v>4506</v>
      </c>
      <c r="AK1165" t="s">
        <v>4519</v>
      </c>
      <c r="AL1165" t="s">
        <v>4519</v>
      </c>
      <c r="AM1165" t="s">
        <v>4562</v>
      </c>
      <c r="AN1165" t="s">
        <v>4563</v>
      </c>
      <c r="AO1165" s="134">
        <v>88.769230769230802</v>
      </c>
      <c r="AP1165" s="135">
        <v>91.657894736842096</v>
      </c>
      <c r="AQ1165">
        <v>0.52631578947368396</v>
      </c>
      <c r="AR1165" s="136">
        <v>1.31578947368421</v>
      </c>
      <c r="AS1165">
        <v>10.921052631578901</v>
      </c>
      <c r="AU1165"/>
      <c r="AV1165"/>
      <c r="AW1165"/>
      <c r="AX1165"/>
    </row>
    <row r="1166" spans="1:50" s="71" customFormat="1" ht="61">
      <c r="A1166" s="66">
        <v>615</v>
      </c>
      <c r="B1166" s="71" t="s">
        <v>1628</v>
      </c>
      <c r="C1166" s="71" t="s">
        <v>59</v>
      </c>
      <c r="D1166" s="143">
        <f t="shared" si="92"/>
        <v>5</v>
      </c>
      <c r="E1166" s="71" t="s">
        <v>46</v>
      </c>
      <c r="F1166" s="143">
        <f t="shared" si="93"/>
        <v>6</v>
      </c>
      <c r="G1166" s="186" t="s">
        <v>1704</v>
      </c>
      <c r="H1166" s="187">
        <v>76</v>
      </c>
      <c r="I1166" s="158">
        <f t="shared" si="95"/>
        <v>0.80886925816911148</v>
      </c>
      <c r="J1166" s="95">
        <v>0.99790380559442105</v>
      </c>
      <c r="K1166" s="186">
        <v>0.64412551344629299</v>
      </c>
      <c r="L1166" s="186">
        <v>0.61983471074380203</v>
      </c>
      <c r="M1166" s="186">
        <v>0.68056171750003003</v>
      </c>
      <c r="N1166" s="181">
        <v>0</v>
      </c>
      <c r="O1166" s="192">
        <v>42557</v>
      </c>
      <c r="P1166" s="98">
        <f t="shared" si="94"/>
        <v>0</v>
      </c>
      <c r="Q1166" s="111">
        <v>0</v>
      </c>
      <c r="R1166" s="111">
        <v>0</v>
      </c>
      <c r="S1166" s="111">
        <v>0</v>
      </c>
      <c r="T1166" s="98" t="s">
        <v>48</v>
      </c>
      <c r="U1166" s="186" t="s">
        <v>1705</v>
      </c>
      <c r="V1166" s="186" t="s">
        <v>1706</v>
      </c>
      <c r="W1166" s="71">
        <v>66</v>
      </c>
      <c r="X1166" s="71">
        <v>2</v>
      </c>
      <c r="Y1166" s="71">
        <v>5</v>
      </c>
      <c r="AA1166" s="66" t="s">
        <v>4603</v>
      </c>
      <c r="AB1166" s="66" t="s">
        <v>87</v>
      </c>
      <c r="AC1166" s="66" t="s">
        <v>4515</v>
      </c>
      <c r="AD1166" s="66" t="s">
        <v>4517</v>
      </c>
      <c r="AE1166" s="66" t="s">
        <v>4353</v>
      </c>
      <c r="AF1166" s="66" t="s">
        <v>4506</v>
      </c>
      <c r="AG1166" s="66" t="s">
        <v>4353</v>
      </c>
      <c r="AH1166" s="66" t="s">
        <v>4506</v>
      </c>
      <c r="AI1166" s="66" t="s">
        <v>4353</v>
      </c>
      <c r="AJ1166" s="66" t="s">
        <v>4506</v>
      </c>
      <c r="AK1166" s="66" t="s">
        <v>4519</v>
      </c>
      <c r="AL1166" s="66" t="s">
        <v>4519</v>
      </c>
      <c r="AM1166" s="66" t="s">
        <v>4528</v>
      </c>
      <c r="AN1166" s="66" t="s">
        <v>4529</v>
      </c>
      <c r="AO1166" s="179">
        <v>89.105263157894697</v>
      </c>
      <c r="AP1166" s="180">
        <v>91.891891891891902</v>
      </c>
      <c r="AQ1166" s="66">
        <v>0.54054054054054101</v>
      </c>
      <c r="AR1166" s="181">
        <v>1.3243243243243199</v>
      </c>
      <c r="AS1166" s="66">
        <v>11.1081081081081</v>
      </c>
      <c r="AU1166" s="66"/>
      <c r="AV1166" s="66"/>
      <c r="AW1166" s="66"/>
      <c r="AX1166" s="66"/>
    </row>
    <row r="1167" spans="1:50" s="69" customFormat="1" ht="61">
      <c r="A1167" s="65">
        <v>416</v>
      </c>
      <c r="B1167" s="69" t="s">
        <v>589</v>
      </c>
      <c r="C1167" s="69" t="s">
        <v>1191</v>
      </c>
      <c r="D1167" s="31">
        <f t="shared" si="92"/>
        <v>2</v>
      </c>
      <c r="E1167" s="69" t="s">
        <v>80</v>
      </c>
      <c r="F1167" s="31">
        <f t="shared" si="93"/>
        <v>4</v>
      </c>
      <c r="G1167" s="169" t="s">
        <v>1192</v>
      </c>
      <c r="H1167" s="138">
        <v>49</v>
      </c>
      <c r="I1167" s="92">
        <f t="shared" si="95"/>
        <v>0.77401845814504555</v>
      </c>
      <c r="J1167" s="95">
        <v>0.866218734471909</v>
      </c>
      <c r="K1167" s="137">
        <v>0.69480519480519498</v>
      </c>
      <c r="L1167" s="137">
        <v>0.68181818181818199</v>
      </c>
      <c r="M1167" s="137">
        <v>0.71428571428571397</v>
      </c>
      <c r="N1167" s="136">
        <v>1</v>
      </c>
      <c r="O1167" s="154">
        <v>42553</v>
      </c>
      <c r="P1167" s="98">
        <f t="shared" si="94"/>
        <v>0</v>
      </c>
      <c r="Q1167" s="111">
        <v>0</v>
      </c>
      <c r="R1167" s="111">
        <v>0</v>
      </c>
      <c r="S1167" s="111">
        <v>1.87</v>
      </c>
      <c r="T1167" s="112" t="s">
        <v>48</v>
      </c>
      <c r="U1167" s="147" t="s">
        <v>1193</v>
      </c>
      <c r="V1167" s="137" t="s">
        <v>1168</v>
      </c>
      <c r="W1167" s="69">
        <v>83</v>
      </c>
      <c r="X1167" s="147">
        <v>1</v>
      </c>
      <c r="Y1167" s="147">
        <v>4</v>
      </c>
      <c r="Z1167"/>
      <c r="AA1167" t="s">
        <v>4564</v>
      </c>
      <c r="AB1167" t="s">
        <v>51</v>
      </c>
      <c r="AC1167" t="s">
        <v>223</v>
      </c>
      <c r="AD1167" t="s">
        <v>4555</v>
      </c>
      <c r="AE1167" t="s">
        <v>4530</v>
      </c>
      <c r="AF1167" t="s">
        <v>4577</v>
      </c>
      <c r="AG1167" t="s">
        <v>4353</v>
      </c>
      <c r="AH1167" t="s">
        <v>4506</v>
      </c>
      <c r="AI1167" t="s">
        <v>4353</v>
      </c>
      <c r="AJ1167" t="s">
        <v>4506</v>
      </c>
      <c r="AK1167" t="s">
        <v>4519</v>
      </c>
      <c r="AL1167" t="s">
        <v>4519</v>
      </c>
      <c r="AM1167" t="s">
        <v>4510</v>
      </c>
      <c r="AN1167" t="s">
        <v>4550</v>
      </c>
      <c r="AO1167" s="134">
        <v>90.189189189189193</v>
      </c>
      <c r="AP1167" s="135">
        <v>92.628571428571405</v>
      </c>
      <c r="AQ1167">
        <v>0.48571428571428599</v>
      </c>
      <c r="AR1167" s="136">
        <v>1.28571428571429</v>
      </c>
      <c r="AS1167">
        <v>10.314285714285701</v>
      </c>
      <c r="AU1167"/>
      <c r="AV1167"/>
      <c r="AW1167"/>
      <c r="AX1167"/>
    </row>
    <row r="1168" spans="1:50" s="69" customFormat="1" ht="61">
      <c r="A1168">
        <v>643</v>
      </c>
      <c r="B1168" s="69" t="s">
        <v>1707</v>
      </c>
      <c r="C1168" s="69" t="s">
        <v>45</v>
      </c>
      <c r="D1168" s="31">
        <f t="shared" si="92"/>
        <v>4</v>
      </c>
      <c r="E1168" s="69" t="s">
        <v>80</v>
      </c>
      <c r="F1168" s="31">
        <f t="shared" si="93"/>
        <v>4</v>
      </c>
      <c r="G1168" s="147" t="s">
        <v>1767</v>
      </c>
      <c r="H1168" s="138">
        <v>102</v>
      </c>
      <c r="I1168" s="92">
        <f t="shared" si="95"/>
        <v>0.37508475593856067</v>
      </c>
      <c r="J1168" s="95">
        <v>1.6951187712133101E-4</v>
      </c>
      <c r="K1168" s="137">
        <v>0.67857142857142805</v>
      </c>
      <c r="L1168" s="137">
        <v>0.75</v>
      </c>
      <c r="M1168" s="137">
        <v>0.57142857142857095</v>
      </c>
      <c r="N1168" s="136">
        <v>0</v>
      </c>
      <c r="O1168" s="154">
        <v>42543</v>
      </c>
      <c r="P1168" s="98">
        <f t="shared" si="94"/>
        <v>0</v>
      </c>
      <c r="Q1168" s="111">
        <v>0</v>
      </c>
      <c r="R1168" s="111">
        <v>0</v>
      </c>
      <c r="S1168" s="111">
        <v>0</v>
      </c>
      <c r="T1168" s="112" t="s">
        <v>48</v>
      </c>
      <c r="U1168" s="137" t="s">
        <v>1773</v>
      </c>
      <c r="V1168" s="137" t="s">
        <v>1770</v>
      </c>
      <c r="W1168" s="69">
        <v>75</v>
      </c>
      <c r="X1168" s="147">
        <v>1</v>
      </c>
      <c r="Y1168" s="147">
        <v>9</v>
      </c>
      <c r="AA1168" t="s">
        <v>4556</v>
      </c>
      <c r="AB1168" t="s">
        <v>87</v>
      </c>
      <c r="AC1168" t="s">
        <v>4538</v>
      </c>
      <c r="AD1168" t="s">
        <v>5089</v>
      </c>
      <c r="AE1168" t="s">
        <v>4353</v>
      </c>
      <c r="AF1168" t="s">
        <v>4506</v>
      </c>
      <c r="AG1168" t="s">
        <v>223</v>
      </c>
      <c r="AH1168" t="s">
        <v>4535</v>
      </c>
      <c r="AI1168" t="s">
        <v>4353</v>
      </c>
      <c r="AJ1168" t="s">
        <v>4506</v>
      </c>
      <c r="AK1168" t="s">
        <v>4518</v>
      </c>
      <c r="AL1168" t="s">
        <v>4541</v>
      </c>
      <c r="AM1168" t="s">
        <v>4528</v>
      </c>
      <c r="AN1168" t="s">
        <v>4878</v>
      </c>
      <c r="AO1168" s="134">
        <v>89.8611111111111</v>
      </c>
      <c r="AP1168" s="135">
        <v>92.5625</v>
      </c>
      <c r="AQ1168">
        <v>0.53125</v>
      </c>
      <c r="AR1168" s="136">
        <v>1.3125</v>
      </c>
      <c r="AS1168">
        <v>10.40625</v>
      </c>
      <c r="AU1168"/>
      <c r="AV1168"/>
      <c r="AW1168"/>
      <c r="AX1168"/>
    </row>
    <row r="1169" spans="1:50" s="69" customFormat="1" ht="76">
      <c r="A1169">
        <v>579</v>
      </c>
      <c r="B1169" s="69" t="s">
        <v>1222</v>
      </c>
      <c r="C1169" s="69" t="s">
        <v>45</v>
      </c>
      <c r="D1169" s="31">
        <f t="shared" si="92"/>
        <v>4</v>
      </c>
      <c r="E1169" s="69" t="s">
        <v>46</v>
      </c>
      <c r="F1169" s="31">
        <f t="shared" si="93"/>
        <v>6</v>
      </c>
      <c r="G1169" s="169" t="s">
        <v>1222</v>
      </c>
      <c r="H1169" s="138">
        <v>40</v>
      </c>
      <c r="I1169" s="92">
        <f t="shared" si="95"/>
        <v>0.8081093672359545</v>
      </c>
      <c r="J1169" s="95">
        <v>0.866218734471909</v>
      </c>
      <c r="K1169" s="137">
        <v>0.66047858340826304</v>
      </c>
      <c r="L1169" s="137">
        <v>0.75</v>
      </c>
      <c r="M1169" s="137">
        <v>0.526196458520657</v>
      </c>
      <c r="N1169" s="136">
        <v>0</v>
      </c>
      <c r="O1169" s="154">
        <v>42537</v>
      </c>
      <c r="P1169" s="98">
        <f t="shared" si="94"/>
        <v>1</v>
      </c>
      <c r="Q1169" s="111">
        <v>2.5499999999999998</v>
      </c>
      <c r="R1169" s="111">
        <v>0</v>
      </c>
      <c r="S1169" s="111">
        <v>0</v>
      </c>
      <c r="T1169" s="112" t="s">
        <v>73</v>
      </c>
      <c r="U1169" s="137" t="s">
        <v>1619</v>
      </c>
      <c r="V1169" s="137" t="s">
        <v>1618</v>
      </c>
      <c r="W1169" s="69">
        <v>104</v>
      </c>
      <c r="X1169" s="69">
        <v>1</v>
      </c>
      <c r="Y1169" s="69">
        <v>11</v>
      </c>
      <c r="Z1169"/>
      <c r="AA1169" t="s">
        <v>4603</v>
      </c>
      <c r="AB1169" t="s">
        <v>4597</v>
      </c>
      <c r="AC1169" t="s">
        <v>223</v>
      </c>
      <c r="AD1169" t="s">
        <v>4606</v>
      </c>
      <c r="AE1169" t="s">
        <v>4353</v>
      </c>
      <c r="AF1169" t="s">
        <v>4506</v>
      </c>
      <c r="AG1169" t="s">
        <v>223</v>
      </c>
      <c r="AH1169" t="s">
        <v>4606</v>
      </c>
      <c r="AI1169" t="s">
        <v>4353</v>
      </c>
      <c r="AJ1169" t="s">
        <v>4506</v>
      </c>
      <c r="AK1169" t="s">
        <v>4519</v>
      </c>
      <c r="AL1169" t="s">
        <v>4519</v>
      </c>
      <c r="AM1169" t="s">
        <v>4510</v>
      </c>
      <c r="AN1169" t="s">
        <v>4550</v>
      </c>
      <c r="AO1169" s="134">
        <v>91.028571428571396</v>
      </c>
      <c r="AP1169" s="135">
        <v>92.133333333333297</v>
      </c>
      <c r="AQ1169">
        <v>0.56666666666666698</v>
      </c>
      <c r="AR1169" s="136">
        <v>1.3333333333333299</v>
      </c>
      <c r="AS1169">
        <v>10.5</v>
      </c>
      <c r="AU1169"/>
      <c r="AV1169"/>
      <c r="AW1169"/>
      <c r="AX1169"/>
    </row>
    <row r="1170" spans="1:50" s="69" customFormat="1" ht="76">
      <c r="A1170" s="65">
        <v>417</v>
      </c>
      <c r="B1170" s="69" t="s">
        <v>589</v>
      </c>
      <c r="C1170" s="69" t="s">
        <v>45</v>
      </c>
      <c r="D1170" s="31">
        <f t="shared" si="92"/>
        <v>4</v>
      </c>
      <c r="E1170" s="69" t="s">
        <v>46</v>
      </c>
      <c r="F1170" s="31">
        <f t="shared" si="93"/>
        <v>6</v>
      </c>
      <c r="G1170" s="137" t="s">
        <v>1194</v>
      </c>
      <c r="H1170" s="138">
        <v>49</v>
      </c>
      <c r="I1170" s="92">
        <f t="shared" si="95"/>
        <v>0.34099416824119938</v>
      </c>
      <c r="J1170" s="95">
        <v>1.7015466421677099E-4</v>
      </c>
      <c r="K1170" s="137">
        <v>0.64746650196255495</v>
      </c>
      <c r="L1170" s="137">
        <v>0.68181818181818199</v>
      </c>
      <c r="M1170" s="137">
        <v>0.59593898217911601</v>
      </c>
      <c r="N1170" s="136">
        <v>1</v>
      </c>
      <c r="O1170" s="154">
        <v>42537</v>
      </c>
      <c r="P1170" s="98">
        <f t="shared" si="94"/>
        <v>1</v>
      </c>
      <c r="Q1170" s="111">
        <v>0</v>
      </c>
      <c r="R1170" s="111">
        <v>0</v>
      </c>
      <c r="S1170" s="111">
        <v>1.87</v>
      </c>
      <c r="T1170" s="112" t="s">
        <v>73</v>
      </c>
      <c r="U1170" s="137" t="s">
        <v>1195</v>
      </c>
      <c r="V1170" s="137" t="s">
        <v>1196</v>
      </c>
      <c r="W1170" s="69">
        <v>101</v>
      </c>
      <c r="X1170" s="69">
        <v>1</v>
      </c>
      <c r="Y1170" s="69">
        <v>8</v>
      </c>
      <c r="Z1170"/>
      <c r="AA1170" t="s">
        <v>4564</v>
      </c>
      <c r="AB1170" t="s">
        <v>87</v>
      </c>
      <c r="AC1170" t="s">
        <v>4538</v>
      </c>
      <c r="AD1170" t="s">
        <v>4978</v>
      </c>
      <c r="AE1170" t="s">
        <v>4353</v>
      </c>
      <c r="AF1170" t="s">
        <v>4506</v>
      </c>
      <c r="AG1170" t="s">
        <v>223</v>
      </c>
      <c r="AH1170" t="s">
        <v>4649</v>
      </c>
      <c r="AI1170" t="s">
        <v>4353</v>
      </c>
      <c r="AJ1170" t="s">
        <v>4506</v>
      </c>
      <c r="AK1170" t="s">
        <v>4519</v>
      </c>
      <c r="AL1170" t="s">
        <v>4519</v>
      </c>
      <c r="AM1170" t="s">
        <v>4562</v>
      </c>
      <c r="AN1170" t="s">
        <v>4563</v>
      </c>
      <c r="AO1170" s="134">
        <v>92.529411764705898</v>
      </c>
      <c r="AP1170" s="135">
        <v>92.133333333333297</v>
      </c>
      <c r="AQ1170">
        <v>0.56666666666666698</v>
      </c>
      <c r="AR1170" s="136">
        <v>1.3333333333333299</v>
      </c>
      <c r="AS1170">
        <v>10.5</v>
      </c>
      <c r="AU1170"/>
      <c r="AV1170"/>
      <c r="AW1170"/>
      <c r="AX1170"/>
    </row>
    <row r="1171" spans="1:50" s="69" customFormat="1" ht="196">
      <c r="A1171">
        <v>1039</v>
      </c>
      <c r="B1171" s="69" t="s">
        <v>2752</v>
      </c>
      <c r="C1171" s="69" t="s">
        <v>45</v>
      </c>
      <c r="D1171" s="31">
        <f t="shared" si="92"/>
        <v>4</v>
      </c>
      <c r="E1171" s="69" t="s">
        <v>46</v>
      </c>
      <c r="F1171" s="31">
        <f t="shared" si="93"/>
        <v>6</v>
      </c>
      <c r="G1171" s="89" t="s">
        <v>2818</v>
      </c>
      <c r="H1171" s="138">
        <v>297</v>
      </c>
      <c r="I1171" s="92">
        <f t="shared" si="95"/>
        <v>0.49912511743417143</v>
      </c>
      <c r="J1171" s="95">
        <v>2.3486834288544201E-7</v>
      </c>
      <c r="K1171" s="137">
        <v>0.94180714285714295</v>
      </c>
      <c r="L1171" s="137">
        <v>0.99824999999999997</v>
      </c>
      <c r="M1171" s="137">
        <v>0.85714285714285698</v>
      </c>
      <c r="N1171" s="136">
        <v>0</v>
      </c>
      <c r="O1171" s="157">
        <v>42535</v>
      </c>
      <c r="P1171" s="98">
        <f t="shared" si="94"/>
        <v>0</v>
      </c>
      <c r="Q1171" s="113">
        <v>5.0999999999999996</v>
      </c>
      <c r="R1171" s="113">
        <v>0</v>
      </c>
      <c r="S1171" s="113">
        <v>0</v>
      </c>
      <c r="T1171" s="119" t="s">
        <v>48</v>
      </c>
      <c r="U1171" s="136" t="s">
        <v>4455</v>
      </c>
      <c r="V1171" s="172" t="s">
        <v>2820</v>
      </c>
      <c r="W1171" s="69">
        <v>111</v>
      </c>
      <c r="X1171" s="69">
        <v>1</v>
      </c>
      <c r="Y1171" s="69">
        <v>1</v>
      </c>
      <c r="AA1171" t="s">
        <v>4512</v>
      </c>
      <c r="AB1171" t="s">
        <v>87</v>
      </c>
      <c r="AC1171" t="s">
        <v>223</v>
      </c>
      <c r="AD1171" t="s">
        <v>4549</v>
      </c>
      <c r="AE1171" t="s">
        <v>4353</v>
      </c>
      <c r="AF1171" t="s">
        <v>4506</v>
      </c>
      <c r="AG1171" t="s">
        <v>4353</v>
      </c>
      <c r="AH1171" t="s">
        <v>4506</v>
      </c>
      <c r="AI1171" t="s">
        <v>4353</v>
      </c>
      <c r="AJ1171" t="s">
        <v>4506</v>
      </c>
      <c r="AK1171" t="s">
        <v>4519</v>
      </c>
      <c r="AL1171" t="s">
        <v>4541</v>
      </c>
      <c r="AM1171" t="s">
        <v>4592</v>
      </c>
      <c r="AN1171" t="s">
        <v>4690</v>
      </c>
      <c r="AO1171" s="134">
        <v>86.3333333333333</v>
      </c>
      <c r="AP1171" s="135">
        <v>91.269230769230802</v>
      </c>
      <c r="AQ1171">
        <v>0.53846153846153799</v>
      </c>
      <c r="AR1171" s="136">
        <v>1.3846153846153799</v>
      </c>
      <c r="AS1171">
        <v>10.846153846153801</v>
      </c>
      <c r="AU1171"/>
      <c r="AV1171"/>
      <c r="AW1171"/>
      <c r="AX1171"/>
    </row>
    <row r="1172" spans="1:50" s="69" customFormat="1" ht="61">
      <c r="A1172" s="65">
        <v>829</v>
      </c>
      <c r="B1172" s="69" t="s">
        <v>2179</v>
      </c>
      <c r="C1172" s="69" t="s">
        <v>45</v>
      </c>
      <c r="D1172" s="31">
        <f t="shared" si="92"/>
        <v>4</v>
      </c>
      <c r="E1172" s="69" t="s">
        <v>80</v>
      </c>
      <c r="F1172" s="31">
        <f t="shared" si="93"/>
        <v>4</v>
      </c>
      <c r="G1172" s="137" t="s">
        <v>2258</v>
      </c>
      <c r="H1172" s="138">
        <v>33</v>
      </c>
      <c r="I1172" s="92">
        <f t="shared" si="95"/>
        <v>0.87499979312703702</v>
      </c>
      <c r="J1172" s="95">
        <v>0.99999958625407404</v>
      </c>
      <c r="K1172" s="137">
        <v>0.58197624229580402</v>
      </c>
      <c r="L1172" s="137">
        <v>0.75</v>
      </c>
      <c r="M1172" s="137">
        <v>0.32994060573951001</v>
      </c>
      <c r="N1172" s="136">
        <v>1</v>
      </c>
      <c r="O1172" s="154">
        <v>42533</v>
      </c>
      <c r="P1172" s="98">
        <f t="shared" si="94"/>
        <v>1</v>
      </c>
      <c r="Q1172" s="113">
        <v>0</v>
      </c>
      <c r="R1172" s="113">
        <v>1.65</v>
      </c>
      <c r="S1172" s="113">
        <v>0</v>
      </c>
      <c r="T1172" s="114" t="s">
        <v>73</v>
      </c>
      <c r="U1172" s="69" t="s">
        <v>2259</v>
      </c>
      <c r="V1172" s="137" t="s">
        <v>2260</v>
      </c>
      <c r="W1172" s="69">
        <v>81</v>
      </c>
      <c r="X1172" s="69">
        <v>3</v>
      </c>
      <c r="Y1172" s="69">
        <v>22</v>
      </c>
      <c r="AA1172" t="s">
        <v>4556</v>
      </c>
      <c r="AB1172" t="s">
        <v>87</v>
      </c>
      <c r="AC1172" t="s">
        <v>4513</v>
      </c>
      <c r="AD1172" t="s">
        <v>5090</v>
      </c>
      <c r="AE1172" t="s">
        <v>4353</v>
      </c>
      <c r="AF1172" t="s">
        <v>4506</v>
      </c>
      <c r="AG1172" t="s">
        <v>4353</v>
      </c>
      <c r="AH1172" t="s">
        <v>4506</v>
      </c>
      <c r="AI1172" t="s">
        <v>4353</v>
      </c>
      <c r="AJ1172" t="s">
        <v>4506</v>
      </c>
      <c r="AK1172" t="s">
        <v>4519</v>
      </c>
      <c r="AL1172" t="s">
        <v>4541</v>
      </c>
      <c r="AM1172" t="s">
        <v>4528</v>
      </c>
      <c r="AN1172" t="s">
        <v>4542</v>
      </c>
      <c r="AO1172" s="134">
        <v>85.90625</v>
      </c>
      <c r="AP1172" s="135">
        <v>91.64</v>
      </c>
      <c r="AQ1172">
        <v>0.56000000000000005</v>
      </c>
      <c r="AR1172" s="136">
        <v>1.4</v>
      </c>
      <c r="AS1172">
        <v>11</v>
      </c>
      <c r="AU1172"/>
      <c r="AV1172"/>
      <c r="AW1172"/>
      <c r="AX1172"/>
    </row>
    <row r="1173" spans="1:50" s="69" customFormat="1" ht="91">
      <c r="A1173" s="65">
        <v>580</v>
      </c>
      <c r="B1173" s="69" t="s">
        <v>1222</v>
      </c>
      <c r="C1173" s="69" t="s">
        <v>45</v>
      </c>
      <c r="D1173" s="31">
        <f t="shared" si="92"/>
        <v>4</v>
      </c>
      <c r="E1173" s="69" t="s">
        <v>46</v>
      </c>
      <c r="F1173" s="31">
        <f t="shared" si="93"/>
        <v>6</v>
      </c>
      <c r="G1173" s="137" t="s">
        <v>1620</v>
      </c>
      <c r="H1173" s="138">
        <v>100</v>
      </c>
      <c r="I1173" s="92">
        <f t="shared" si="95"/>
        <v>0.645276147561191</v>
      </c>
      <c r="J1173" s="95">
        <v>0.60873411330420002</v>
      </c>
      <c r="K1173" s="137">
        <v>0.63766233766233804</v>
      </c>
      <c r="L1173" s="137">
        <v>0.68181818181818199</v>
      </c>
      <c r="M1173" s="137">
        <v>0.57142857142857095</v>
      </c>
      <c r="N1173" s="136">
        <v>0</v>
      </c>
      <c r="O1173" s="154">
        <v>42533</v>
      </c>
      <c r="P1173" s="98">
        <f t="shared" si="94"/>
        <v>0</v>
      </c>
      <c r="Q1173" s="111">
        <v>0</v>
      </c>
      <c r="R1173" s="111">
        <v>0</v>
      </c>
      <c r="S1173" s="111">
        <v>0</v>
      </c>
      <c r="T1173" s="112" t="s">
        <v>48</v>
      </c>
      <c r="U1173" s="147" t="s">
        <v>1621</v>
      </c>
      <c r="V1173" s="137" t="s">
        <v>1622</v>
      </c>
      <c r="W1173" s="69">
        <v>115</v>
      </c>
      <c r="X1173" s="171">
        <v>1</v>
      </c>
      <c r="Y1173" s="171">
        <v>9</v>
      </c>
      <c r="Z1173"/>
      <c r="AA1173" t="s">
        <v>4564</v>
      </c>
      <c r="AB1173" t="s">
        <v>51</v>
      </c>
      <c r="AC1173" t="s">
        <v>223</v>
      </c>
      <c r="AD1173" t="s">
        <v>4841</v>
      </c>
      <c r="AE1173" t="s">
        <v>4515</v>
      </c>
      <c r="AF1173" t="s">
        <v>4842</v>
      </c>
      <c r="AG1173" t="s">
        <v>223</v>
      </c>
      <c r="AH1173" t="s">
        <v>4841</v>
      </c>
      <c r="AI1173" t="s">
        <v>4353</v>
      </c>
      <c r="AJ1173" t="s">
        <v>4506</v>
      </c>
      <c r="AK1173" t="s">
        <v>4519</v>
      </c>
      <c r="AL1173" t="s">
        <v>4552</v>
      </c>
      <c r="AM1173" t="s">
        <v>4562</v>
      </c>
      <c r="AN1173" t="s">
        <v>4742</v>
      </c>
      <c r="AO1173" s="134">
        <v>86.9677419354839</v>
      </c>
      <c r="AP1173" s="135">
        <v>91.64</v>
      </c>
      <c r="AQ1173">
        <v>0.56000000000000005</v>
      </c>
      <c r="AR1173" s="136">
        <v>1.4</v>
      </c>
      <c r="AS1173">
        <v>11</v>
      </c>
      <c r="AU1173"/>
      <c r="AV1173"/>
      <c r="AW1173"/>
      <c r="AX1173"/>
    </row>
    <row r="1174" spans="1:50" s="69" customFormat="1" ht="61">
      <c r="A1174" s="65">
        <v>581</v>
      </c>
      <c r="B1174" s="69" t="s">
        <v>1222</v>
      </c>
      <c r="C1174" s="69" t="s">
        <v>45</v>
      </c>
      <c r="D1174" s="31">
        <f t="shared" ref="D1174:D1204" si="96">IF(C1174="投诉",4,IF(C1174="建议",1,IF(C1174="举报",2,IF(C1174="求助",3,5))))</f>
        <v>4</v>
      </c>
      <c r="E1174" s="69" t="s">
        <v>833</v>
      </c>
      <c r="F1174" s="31">
        <f t="shared" ref="F1174:F1204" si="97">IF(E1174="12345app",1,IF(E1174="e福州app",2,IF(E1174="qq",3,IF(E1174="电话",4,IF(E1174="短信",5,IF(E1174="网站",6,IF(E1174="微博",7,IF(E1174="微信",8,9))))))))</f>
        <v>3</v>
      </c>
      <c r="G1174" s="147" t="s">
        <v>1623</v>
      </c>
      <c r="H1174" s="138">
        <v>53</v>
      </c>
      <c r="I1174" s="92">
        <f t="shared" si="95"/>
        <v>0.53287047101254947</v>
      </c>
      <c r="J1174" s="95">
        <v>0.315740942025099</v>
      </c>
      <c r="K1174" s="137">
        <v>0.67857142857142805</v>
      </c>
      <c r="L1174" s="137">
        <v>0.75</v>
      </c>
      <c r="M1174" s="137">
        <v>0.57142857142857095</v>
      </c>
      <c r="N1174" s="136">
        <v>1</v>
      </c>
      <c r="O1174" s="168">
        <v>42533</v>
      </c>
      <c r="P1174" s="98">
        <f t="shared" ref="P1174:P1204" si="98">IF(T1174="利己",0,IF(T1174="生态",2,1))</f>
        <v>0</v>
      </c>
      <c r="Q1174" s="107">
        <v>0</v>
      </c>
      <c r="R1174" s="107">
        <v>0</v>
      </c>
      <c r="S1174" s="107">
        <v>0</v>
      </c>
      <c r="T1174" s="108" t="s">
        <v>48</v>
      </c>
      <c r="U1174" s="137" t="s">
        <v>1624</v>
      </c>
      <c r="V1174" s="137" t="s">
        <v>1625</v>
      </c>
      <c r="W1174" s="69">
        <v>83</v>
      </c>
      <c r="X1174" s="171">
        <v>1</v>
      </c>
      <c r="Y1174" s="171">
        <v>9</v>
      </c>
      <c r="Z1174"/>
      <c r="AA1174" t="s">
        <v>4660</v>
      </c>
      <c r="AB1174" t="s">
        <v>87</v>
      </c>
      <c r="AC1174" t="s">
        <v>4515</v>
      </c>
      <c r="AD1174" t="s">
        <v>4602</v>
      </c>
      <c r="AE1174" t="s">
        <v>223</v>
      </c>
      <c r="AF1174" t="s">
        <v>4689</v>
      </c>
      <c r="AG1174" t="s">
        <v>4353</v>
      </c>
      <c r="AH1174" t="s">
        <v>4506</v>
      </c>
      <c r="AI1174" t="s">
        <v>4353</v>
      </c>
      <c r="AJ1174" t="s">
        <v>4506</v>
      </c>
      <c r="AK1174" t="s">
        <v>4519</v>
      </c>
      <c r="AL1174" t="s">
        <v>4519</v>
      </c>
      <c r="AM1174" t="s">
        <v>4715</v>
      </c>
      <c r="AN1174" t="s">
        <v>4716</v>
      </c>
      <c r="AO1174" s="134">
        <v>88.766666666666694</v>
      </c>
      <c r="AP1174" s="135">
        <v>91.64</v>
      </c>
      <c r="AQ1174">
        <v>0.56000000000000005</v>
      </c>
      <c r="AR1174" s="136">
        <v>1.4</v>
      </c>
      <c r="AS1174">
        <v>11</v>
      </c>
      <c r="AU1174"/>
      <c r="AV1174"/>
      <c r="AW1174"/>
      <c r="AX1174"/>
    </row>
    <row r="1175" spans="1:50" s="69" customFormat="1" ht="76">
      <c r="A1175">
        <v>418</v>
      </c>
      <c r="B1175" s="69" t="s">
        <v>589</v>
      </c>
      <c r="C1175" s="69" t="s">
        <v>45</v>
      </c>
      <c r="D1175" s="31">
        <f t="shared" si="96"/>
        <v>4</v>
      </c>
      <c r="E1175" s="69" t="s">
        <v>80</v>
      </c>
      <c r="F1175" s="31">
        <f t="shared" si="97"/>
        <v>4</v>
      </c>
      <c r="G1175" s="137" t="s">
        <v>1171</v>
      </c>
      <c r="H1175" s="138">
        <v>66</v>
      </c>
      <c r="I1175" s="92">
        <f t="shared" si="95"/>
        <v>0.41527821593849873</v>
      </c>
      <c r="J1175" s="95">
        <v>5.5564318769975004E-3</v>
      </c>
      <c r="K1175" s="137">
        <v>0.75502915755524702</v>
      </c>
      <c r="L1175" s="137">
        <v>0.82499999999999996</v>
      </c>
      <c r="M1175" s="137">
        <v>0.65007289388811795</v>
      </c>
      <c r="N1175" s="136">
        <v>1</v>
      </c>
      <c r="O1175" s="154">
        <v>42529</v>
      </c>
      <c r="P1175" s="98">
        <f t="shared" si="98"/>
        <v>0</v>
      </c>
      <c r="Q1175" s="111">
        <v>0</v>
      </c>
      <c r="R1175" s="111">
        <v>1.65</v>
      </c>
      <c r="S1175" s="111">
        <v>1.87</v>
      </c>
      <c r="T1175" s="112" t="s">
        <v>48</v>
      </c>
      <c r="U1175" s="137" t="s">
        <v>1197</v>
      </c>
      <c r="V1175" s="137" t="s">
        <v>1198</v>
      </c>
      <c r="W1175" s="69">
        <v>93</v>
      </c>
      <c r="X1175" s="69">
        <v>1</v>
      </c>
      <c r="Y1175" s="69">
        <v>6</v>
      </c>
      <c r="Z1175"/>
      <c r="AA1175" t="s">
        <v>4556</v>
      </c>
      <c r="AB1175" t="s">
        <v>87</v>
      </c>
      <c r="AC1175" t="s">
        <v>4515</v>
      </c>
      <c r="AD1175" t="s">
        <v>4629</v>
      </c>
      <c r="AE1175" t="s">
        <v>223</v>
      </c>
      <c r="AF1175" t="s">
        <v>4540</v>
      </c>
      <c r="AG1175" t="s">
        <v>223</v>
      </c>
      <c r="AH1175" t="s">
        <v>4540</v>
      </c>
      <c r="AI1175" t="s">
        <v>4353</v>
      </c>
      <c r="AJ1175" t="s">
        <v>4506</v>
      </c>
      <c r="AK1175" t="s">
        <v>4519</v>
      </c>
      <c r="AL1175" t="s">
        <v>4519</v>
      </c>
      <c r="AM1175" t="s">
        <v>4510</v>
      </c>
      <c r="AN1175" t="s">
        <v>4550</v>
      </c>
      <c r="AO1175" s="134">
        <v>89.551724137931004</v>
      </c>
      <c r="AP1175" s="135">
        <v>91.64</v>
      </c>
      <c r="AQ1175">
        <v>0.56000000000000005</v>
      </c>
      <c r="AR1175" s="136">
        <v>1.4</v>
      </c>
      <c r="AS1175">
        <v>11</v>
      </c>
      <c r="AU1175"/>
      <c r="AV1175"/>
      <c r="AW1175"/>
      <c r="AX1175"/>
    </row>
    <row r="1176" spans="1:50" s="69" customFormat="1" ht="61">
      <c r="A1176" s="65">
        <v>965</v>
      </c>
      <c r="B1176" s="69" t="s">
        <v>2510</v>
      </c>
      <c r="C1176" s="69" t="s">
        <v>1191</v>
      </c>
      <c r="D1176" s="31">
        <f t="shared" si="96"/>
        <v>2</v>
      </c>
      <c r="E1176" s="69" t="s">
        <v>80</v>
      </c>
      <c r="F1176" s="31">
        <f t="shared" si="97"/>
        <v>4</v>
      </c>
      <c r="G1176" s="152" t="s">
        <v>2615</v>
      </c>
      <c r="H1176" s="138">
        <v>24</v>
      </c>
      <c r="I1176" s="92">
        <f t="shared" si="95"/>
        <v>0.42439780603473082</v>
      </c>
      <c r="J1176" s="95">
        <v>2.3795612069461701E-2</v>
      </c>
      <c r="K1176" s="137">
        <v>0.59262842159261797</v>
      </c>
      <c r="L1176" s="137">
        <v>0.82499999999999996</v>
      </c>
      <c r="M1176" s="137">
        <v>0.24407105398154499</v>
      </c>
      <c r="N1176" s="136">
        <v>1</v>
      </c>
      <c r="O1176" s="199">
        <v>42528</v>
      </c>
      <c r="P1176" s="98">
        <f t="shared" si="98"/>
        <v>1</v>
      </c>
      <c r="Q1176" s="111">
        <v>0</v>
      </c>
      <c r="R1176" s="111">
        <v>1.65</v>
      </c>
      <c r="S1176" s="111">
        <v>1.87</v>
      </c>
      <c r="T1176" s="112" t="s">
        <v>73</v>
      </c>
      <c r="U1176" s="209" t="s">
        <v>2616</v>
      </c>
      <c r="V1176" s="137" t="s">
        <v>2617</v>
      </c>
      <c r="W1176" s="69">
        <v>77</v>
      </c>
      <c r="X1176" s="171">
        <v>3</v>
      </c>
      <c r="Y1176" s="171">
        <v>28</v>
      </c>
      <c r="AA1176" t="s">
        <v>4556</v>
      </c>
      <c r="AB1176" t="s">
        <v>87</v>
      </c>
      <c r="AC1176" t="s">
        <v>4515</v>
      </c>
      <c r="AD1176" t="s">
        <v>4537</v>
      </c>
      <c r="AE1176" t="s">
        <v>223</v>
      </c>
      <c r="AF1176" t="s">
        <v>4631</v>
      </c>
      <c r="AG1176" t="s">
        <v>223</v>
      </c>
      <c r="AH1176" t="s">
        <v>4631</v>
      </c>
      <c r="AI1176" t="s">
        <v>4353</v>
      </c>
      <c r="AJ1176" t="s">
        <v>4506</v>
      </c>
      <c r="AK1176" t="s">
        <v>4519</v>
      </c>
      <c r="AL1176" t="s">
        <v>4552</v>
      </c>
      <c r="AM1176" t="s">
        <v>4528</v>
      </c>
      <c r="AN1176" t="s">
        <v>4618</v>
      </c>
      <c r="AO1176" s="134">
        <v>91.892857142857096</v>
      </c>
      <c r="AP1176" s="135">
        <v>91.64</v>
      </c>
      <c r="AQ1176">
        <v>0.56000000000000005</v>
      </c>
      <c r="AR1176" s="136">
        <v>1.4</v>
      </c>
      <c r="AS1176">
        <v>11</v>
      </c>
      <c r="AU1176"/>
      <c r="AV1176"/>
      <c r="AW1176"/>
      <c r="AX1176"/>
    </row>
    <row r="1177" spans="1:50" s="69" customFormat="1" ht="61">
      <c r="A1177" s="65">
        <v>157</v>
      </c>
      <c r="B1177" s="69" t="s">
        <v>217</v>
      </c>
      <c r="C1177" s="69" t="s">
        <v>119</v>
      </c>
      <c r="D1177" s="31">
        <f t="shared" si="96"/>
        <v>1</v>
      </c>
      <c r="E1177" s="69" t="s">
        <v>46</v>
      </c>
      <c r="F1177" s="31">
        <f t="shared" si="97"/>
        <v>6</v>
      </c>
      <c r="G1177" s="147" t="s">
        <v>493</v>
      </c>
      <c r="H1177" s="138">
        <v>22</v>
      </c>
      <c r="I1177" s="92">
        <f t="shared" si="95"/>
        <v>0.41390711061276841</v>
      </c>
      <c r="J1177" s="95">
        <v>2.81422122553687E-3</v>
      </c>
      <c r="K1177" s="137">
        <v>0.74381421079630905</v>
      </c>
      <c r="L1177" s="137">
        <v>0.82499999999999996</v>
      </c>
      <c r="M1177" s="137">
        <v>0.62203552699077302</v>
      </c>
      <c r="N1177" s="136">
        <v>1</v>
      </c>
      <c r="O1177" s="154">
        <v>42526</v>
      </c>
      <c r="P1177" s="98">
        <f t="shared" si="98"/>
        <v>1</v>
      </c>
      <c r="Q1177" s="107">
        <v>0</v>
      </c>
      <c r="R1177" s="107">
        <v>0</v>
      </c>
      <c r="S1177" s="107">
        <v>0</v>
      </c>
      <c r="T1177" s="108" t="s">
        <v>5078</v>
      </c>
      <c r="U1177" s="169" t="s">
        <v>494</v>
      </c>
      <c r="V1177" s="137" t="s">
        <v>495</v>
      </c>
      <c r="W1177" s="69">
        <v>82</v>
      </c>
      <c r="X1177" s="171">
        <v>1</v>
      </c>
      <c r="Y1177" s="171">
        <v>7</v>
      </c>
      <c r="Z1177"/>
      <c r="AA1177" t="s">
        <v>4556</v>
      </c>
      <c r="AB1177" t="s">
        <v>87</v>
      </c>
      <c r="AC1177" t="s">
        <v>4513</v>
      </c>
      <c r="AD1177" t="s">
        <v>4837</v>
      </c>
      <c r="AE1177" t="s">
        <v>223</v>
      </c>
      <c r="AF1177" t="s">
        <v>4639</v>
      </c>
      <c r="AG1177" t="s">
        <v>4353</v>
      </c>
      <c r="AH1177" t="s">
        <v>4506</v>
      </c>
      <c r="AI1177" t="s">
        <v>4353</v>
      </c>
      <c r="AJ1177" t="s">
        <v>4506</v>
      </c>
      <c r="AK1177" t="s">
        <v>4519</v>
      </c>
      <c r="AL1177" t="s">
        <v>4552</v>
      </c>
      <c r="AM1177" t="s">
        <v>4528</v>
      </c>
      <c r="AN1177" t="s">
        <v>4618</v>
      </c>
      <c r="AO1177" s="134">
        <v>94.481481481481495</v>
      </c>
      <c r="AP1177" s="135">
        <v>91.64</v>
      </c>
      <c r="AQ1177">
        <v>0.56000000000000005</v>
      </c>
      <c r="AR1177" s="136">
        <v>1.4</v>
      </c>
      <c r="AS1177">
        <v>11</v>
      </c>
      <c r="AU1177"/>
      <c r="AV1177"/>
      <c r="AW1177"/>
      <c r="AX1177"/>
    </row>
    <row r="1178" spans="1:50" s="69" customFormat="1" ht="106">
      <c r="A1178">
        <v>419</v>
      </c>
      <c r="B1178" s="69" t="s">
        <v>589</v>
      </c>
      <c r="C1178" s="69" t="s">
        <v>45</v>
      </c>
      <c r="D1178" s="31">
        <f t="shared" si="96"/>
        <v>4</v>
      </c>
      <c r="E1178" s="69" t="s">
        <v>46</v>
      </c>
      <c r="F1178" s="31">
        <f t="shared" si="97"/>
        <v>6</v>
      </c>
      <c r="G1178" s="147" t="s">
        <v>1199</v>
      </c>
      <c r="H1178" s="138">
        <v>187</v>
      </c>
      <c r="I1178" s="92">
        <f t="shared" si="95"/>
        <v>0.28175619341413644</v>
      </c>
      <c r="J1178" s="95">
        <v>2.6286152089882699E-5</v>
      </c>
      <c r="K1178" s="137">
        <v>0.53206015895062497</v>
      </c>
      <c r="L1178" s="137">
        <v>0.56348610067618299</v>
      </c>
      <c r="M1178" s="137">
        <v>0.48492124636228701</v>
      </c>
      <c r="N1178" s="136">
        <v>1</v>
      </c>
      <c r="O1178" s="154">
        <v>42523</v>
      </c>
      <c r="P1178" s="98">
        <f t="shared" si="98"/>
        <v>0</v>
      </c>
      <c r="Q1178" s="111">
        <v>0</v>
      </c>
      <c r="R1178" s="111">
        <v>0</v>
      </c>
      <c r="S1178" s="111">
        <v>0</v>
      </c>
      <c r="T1178" s="112" t="s">
        <v>48</v>
      </c>
      <c r="U1178" s="137" t="s">
        <v>1200</v>
      </c>
      <c r="V1178" s="137" t="s">
        <v>1168</v>
      </c>
      <c r="W1178" s="69">
        <v>83</v>
      </c>
      <c r="X1178" s="147">
        <v>1</v>
      </c>
      <c r="Y1178" s="147">
        <v>13</v>
      </c>
      <c r="Z1178"/>
      <c r="AA1178" t="s">
        <v>4653</v>
      </c>
      <c r="AB1178" t="s">
        <v>51</v>
      </c>
      <c r="AC1178" t="s">
        <v>223</v>
      </c>
      <c r="AD1178" t="s">
        <v>4555</v>
      </c>
      <c r="AE1178" t="s">
        <v>4530</v>
      </c>
      <c r="AF1178" t="s">
        <v>4577</v>
      </c>
      <c r="AG1178" t="s">
        <v>4353</v>
      </c>
      <c r="AH1178" t="s">
        <v>4506</v>
      </c>
      <c r="AI1178" t="s">
        <v>4353</v>
      </c>
      <c r="AJ1178" t="s">
        <v>4506</v>
      </c>
      <c r="AK1178" t="s">
        <v>4519</v>
      </c>
      <c r="AL1178" t="s">
        <v>4519</v>
      </c>
      <c r="AM1178" t="s">
        <v>4510</v>
      </c>
      <c r="AN1178" t="s">
        <v>4550</v>
      </c>
      <c r="AO1178" s="134">
        <v>90.923076923076906</v>
      </c>
      <c r="AP1178" s="135">
        <v>91.64</v>
      </c>
      <c r="AQ1178">
        <v>0.56000000000000005</v>
      </c>
      <c r="AR1178" s="136">
        <v>1.4</v>
      </c>
      <c r="AS1178">
        <v>11</v>
      </c>
      <c r="AU1178"/>
      <c r="AV1178"/>
      <c r="AW1178"/>
      <c r="AX1178"/>
    </row>
    <row r="1179" spans="1:50" s="69" customFormat="1" ht="76">
      <c r="A1179">
        <v>582</v>
      </c>
      <c r="B1179" s="69" t="s">
        <v>1222</v>
      </c>
      <c r="C1179" s="69" t="s">
        <v>59</v>
      </c>
      <c r="D1179" s="31">
        <f t="shared" si="96"/>
        <v>5</v>
      </c>
      <c r="E1179" s="69" t="s">
        <v>833</v>
      </c>
      <c r="F1179" s="31">
        <f t="shared" si="97"/>
        <v>3</v>
      </c>
      <c r="G1179" s="169" t="s">
        <v>1626</v>
      </c>
      <c r="H1179" s="138">
        <v>50</v>
      </c>
      <c r="I1179" s="92">
        <f t="shared" si="95"/>
        <v>0.84056080701337543</v>
      </c>
      <c r="J1179" s="95">
        <v>0.99930343220856899</v>
      </c>
      <c r="K1179" s="137">
        <v>0.603059407635824</v>
      </c>
      <c r="L1179" s="137">
        <v>0.68181818181818199</v>
      </c>
      <c r="M1179" s="137">
        <v>0.48492124636228701</v>
      </c>
      <c r="N1179" s="136">
        <v>1</v>
      </c>
      <c r="O1179" s="154">
        <v>42522</v>
      </c>
      <c r="P1179" s="98">
        <f t="shared" si="98"/>
        <v>0</v>
      </c>
      <c r="Q1179" s="111">
        <v>2.5499999999999998</v>
      </c>
      <c r="R1179" s="111">
        <v>0</v>
      </c>
      <c r="S1179" s="111">
        <v>0</v>
      </c>
      <c r="T1179" s="112" t="s">
        <v>48</v>
      </c>
      <c r="U1179" s="147" t="s">
        <v>1627</v>
      </c>
      <c r="V1179" s="137" t="s">
        <v>1618</v>
      </c>
      <c r="W1179" s="69">
        <v>104</v>
      </c>
      <c r="X1179" s="147">
        <v>4</v>
      </c>
      <c r="Y1179" s="147">
        <v>13</v>
      </c>
      <c r="Z1179"/>
      <c r="AA1179" t="s">
        <v>4556</v>
      </c>
      <c r="AB1179" t="s">
        <v>4597</v>
      </c>
      <c r="AC1179" t="s">
        <v>223</v>
      </c>
      <c r="AD1179" t="s">
        <v>4606</v>
      </c>
      <c r="AE1179" t="s">
        <v>4353</v>
      </c>
      <c r="AF1179" t="s">
        <v>4506</v>
      </c>
      <c r="AG1179" t="s">
        <v>223</v>
      </c>
      <c r="AH1179" t="s">
        <v>4606</v>
      </c>
      <c r="AI1179" t="s">
        <v>4353</v>
      </c>
      <c r="AJ1179" t="s">
        <v>4506</v>
      </c>
      <c r="AK1179" t="s">
        <v>4519</v>
      </c>
      <c r="AL1179" t="s">
        <v>4519</v>
      </c>
      <c r="AM1179" t="s">
        <v>4715</v>
      </c>
      <c r="AN1179" t="s">
        <v>4716</v>
      </c>
      <c r="AO1179" s="134">
        <v>92.56</v>
      </c>
      <c r="AP1179" s="135">
        <v>91.64</v>
      </c>
      <c r="AQ1179">
        <v>0.56000000000000005</v>
      </c>
      <c r="AR1179" s="136">
        <v>1.4</v>
      </c>
      <c r="AS1179">
        <v>11</v>
      </c>
      <c r="AU1179"/>
      <c r="AV1179"/>
      <c r="AW1179"/>
      <c r="AX1179"/>
    </row>
    <row r="1180" spans="1:50" s="69" customFormat="1" ht="121">
      <c r="A1180" s="65">
        <v>1080</v>
      </c>
      <c r="B1180" s="69" t="s">
        <v>2916</v>
      </c>
      <c r="C1180" s="69" t="s">
        <v>45</v>
      </c>
      <c r="D1180" s="31">
        <f t="shared" si="96"/>
        <v>4</v>
      </c>
      <c r="E1180" s="69" t="s">
        <v>46</v>
      </c>
      <c r="F1180" s="31">
        <f t="shared" si="97"/>
        <v>6</v>
      </c>
      <c r="G1180" s="89" t="s">
        <v>2935</v>
      </c>
      <c r="H1180" s="138">
        <v>83</v>
      </c>
      <c r="I1180" s="92">
        <f t="shared" si="95"/>
        <v>0.37500204849487545</v>
      </c>
      <c r="J1180" s="95">
        <v>4.0969897509013398E-6</v>
      </c>
      <c r="K1180" s="137">
        <v>0.75102566813892102</v>
      </c>
      <c r="L1180" s="137">
        <v>0.75</v>
      </c>
      <c r="M1180" s="137">
        <v>0.75256417034730305</v>
      </c>
      <c r="N1180" s="136">
        <v>1</v>
      </c>
      <c r="O1180" s="157">
        <v>42514</v>
      </c>
      <c r="P1180" s="98">
        <f t="shared" si="98"/>
        <v>0</v>
      </c>
      <c r="Q1180" s="113">
        <v>2.5499999999999998</v>
      </c>
      <c r="R1180" s="113">
        <v>4.95</v>
      </c>
      <c r="S1180" s="113">
        <v>0</v>
      </c>
      <c r="T1180" s="119" t="s">
        <v>48</v>
      </c>
      <c r="U1180" s="89" t="s">
        <v>2936</v>
      </c>
      <c r="V1180" s="172" t="s">
        <v>2937</v>
      </c>
      <c r="W1180" s="69">
        <v>162</v>
      </c>
      <c r="X1180" s="69">
        <v>1</v>
      </c>
      <c r="Y1180" s="69">
        <v>3</v>
      </c>
      <c r="AA1180" t="s">
        <v>4522</v>
      </c>
      <c r="AB1180" t="s">
        <v>358</v>
      </c>
      <c r="AC1180" t="s">
        <v>4353</v>
      </c>
      <c r="AD1180" t="s">
        <v>4506</v>
      </c>
      <c r="AE1180" t="s">
        <v>4353</v>
      </c>
      <c r="AF1180" t="s">
        <v>4506</v>
      </c>
      <c r="AG1180" t="s">
        <v>4353</v>
      </c>
      <c r="AH1180" t="s">
        <v>4506</v>
      </c>
      <c r="AI1180" t="s">
        <v>223</v>
      </c>
      <c r="AJ1180" t="s">
        <v>5008</v>
      </c>
      <c r="AK1180" t="s">
        <v>4519</v>
      </c>
      <c r="AL1180" t="s">
        <v>4552</v>
      </c>
      <c r="AM1180" t="s">
        <v>4510</v>
      </c>
      <c r="AN1180" t="s">
        <v>4634</v>
      </c>
      <c r="AO1180" s="134">
        <v>92.9583333333333</v>
      </c>
      <c r="AP1180" s="135">
        <v>87.409090909090907</v>
      </c>
      <c r="AQ1180">
        <v>0.59090909090909105</v>
      </c>
      <c r="AR1180" s="136">
        <v>1.4545454545454499</v>
      </c>
      <c r="AS1180">
        <v>11.136363636363599</v>
      </c>
      <c r="AU1180"/>
      <c r="AV1180"/>
      <c r="AW1180"/>
      <c r="AX1180"/>
    </row>
    <row r="1181" spans="1:50" s="69" customFormat="1" ht="91">
      <c r="A1181">
        <v>734</v>
      </c>
      <c r="B1181" s="69" t="s">
        <v>1989</v>
      </c>
      <c r="C1181" s="69" t="s">
        <v>45</v>
      </c>
      <c r="D1181" s="31">
        <f t="shared" si="96"/>
        <v>4</v>
      </c>
      <c r="E1181" s="69" t="s">
        <v>46</v>
      </c>
      <c r="F1181" s="31">
        <f t="shared" si="97"/>
        <v>6</v>
      </c>
      <c r="G1181" s="137" t="s">
        <v>2012</v>
      </c>
      <c r="H1181" s="138">
        <v>114</v>
      </c>
      <c r="I1181" s="92">
        <f t="shared" si="95"/>
        <v>0.375034155380844</v>
      </c>
      <c r="J1181" s="95">
        <v>6.8310761688006303E-5</v>
      </c>
      <c r="K1181" s="137">
        <v>0.65205133627784295</v>
      </c>
      <c r="L1181" s="137">
        <v>0.75</v>
      </c>
      <c r="M1181" s="137">
        <v>0.50512834069460699</v>
      </c>
      <c r="N1181" s="136">
        <v>1</v>
      </c>
      <c r="O1181" s="154">
        <v>42509</v>
      </c>
      <c r="P1181" s="98">
        <f t="shared" si="98"/>
        <v>1</v>
      </c>
      <c r="Q1181" s="111">
        <v>5.0999999999999996</v>
      </c>
      <c r="R1181" s="111">
        <v>0</v>
      </c>
      <c r="S1181" s="111">
        <v>0</v>
      </c>
      <c r="T1181" s="112" t="s">
        <v>73</v>
      </c>
      <c r="U1181" s="136" t="s">
        <v>2013</v>
      </c>
      <c r="V1181" s="137" t="s">
        <v>2014</v>
      </c>
      <c r="W1181" s="69">
        <v>123</v>
      </c>
      <c r="X1181" s="69">
        <v>1</v>
      </c>
      <c r="Y1181" s="69">
        <v>12</v>
      </c>
      <c r="AA1181" t="s">
        <v>4564</v>
      </c>
      <c r="AB1181" t="s">
        <v>51</v>
      </c>
      <c r="AC1181" t="s">
        <v>223</v>
      </c>
      <c r="AD1181" t="s">
        <v>4681</v>
      </c>
      <c r="AE1181" t="s">
        <v>4515</v>
      </c>
      <c r="AF1181" t="s">
        <v>4750</v>
      </c>
      <c r="AG1181" t="s">
        <v>223</v>
      </c>
      <c r="AH1181" t="s">
        <v>4681</v>
      </c>
      <c r="AI1181" t="s">
        <v>4353</v>
      </c>
      <c r="AJ1181" t="s">
        <v>4506</v>
      </c>
      <c r="AK1181" t="s">
        <v>4519</v>
      </c>
      <c r="AL1181" t="s">
        <v>4519</v>
      </c>
      <c r="AM1181" t="s">
        <v>4592</v>
      </c>
      <c r="AN1181" t="s">
        <v>4626</v>
      </c>
      <c r="AO1181" s="134">
        <v>92.043478260869605</v>
      </c>
      <c r="AP1181" s="135">
        <v>88</v>
      </c>
      <c r="AQ1181">
        <v>0.57142857142857095</v>
      </c>
      <c r="AR1181" s="136">
        <v>1.47619047619048</v>
      </c>
      <c r="AS1181">
        <v>11.1904761904762</v>
      </c>
      <c r="AU1181"/>
      <c r="AV1181"/>
      <c r="AW1181"/>
      <c r="AX1181"/>
    </row>
    <row r="1182" spans="1:50" s="69" customFormat="1" ht="151">
      <c r="A1182" s="65">
        <v>420</v>
      </c>
      <c r="B1182" s="69" t="s">
        <v>589</v>
      </c>
      <c r="C1182" s="69" t="s">
        <v>45</v>
      </c>
      <c r="D1182" s="31">
        <f t="shared" si="96"/>
        <v>4</v>
      </c>
      <c r="E1182" s="69" t="s">
        <v>46</v>
      </c>
      <c r="F1182" s="31">
        <f t="shared" si="97"/>
        <v>6</v>
      </c>
      <c r="G1182" s="147" t="s">
        <v>1201</v>
      </c>
      <c r="H1182" s="138">
        <v>294</v>
      </c>
      <c r="I1182" s="92">
        <f t="shared" si="95"/>
        <v>0.68543811191358595</v>
      </c>
      <c r="J1182" s="95">
        <v>0.68905804200899001</v>
      </c>
      <c r="K1182" s="137">
        <v>0.58777757502191397</v>
      </c>
      <c r="L1182" s="137">
        <v>0.68181818181818199</v>
      </c>
      <c r="M1182" s="137">
        <v>0.44671666482751199</v>
      </c>
      <c r="N1182" s="136">
        <v>0</v>
      </c>
      <c r="O1182" s="154">
        <v>42506</v>
      </c>
      <c r="P1182" s="98">
        <f t="shared" si="98"/>
        <v>0</v>
      </c>
      <c r="Q1182" s="111">
        <v>5.0999999999999996</v>
      </c>
      <c r="R1182" s="111">
        <v>0</v>
      </c>
      <c r="S1182" s="111">
        <v>0</v>
      </c>
      <c r="T1182" s="112" t="s">
        <v>48</v>
      </c>
      <c r="U1182" s="137" t="s">
        <v>1202</v>
      </c>
      <c r="V1182" s="137" t="s">
        <v>1168</v>
      </c>
      <c r="W1182" s="69">
        <v>83</v>
      </c>
      <c r="X1182" s="171">
        <v>2</v>
      </c>
      <c r="Y1182" s="171">
        <v>15</v>
      </c>
      <c r="Z1182"/>
      <c r="AA1182" t="s">
        <v>4564</v>
      </c>
      <c r="AB1182" t="s">
        <v>51</v>
      </c>
      <c r="AC1182" t="s">
        <v>223</v>
      </c>
      <c r="AD1182" t="s">
        <v>4555</v>
      </c>
      <c r="AE1182" t="s">
        <v>4530</v>
      </c>
      <c r="AF1182" t="s">
        <v>4577</v>
      </c>
      <c r="AG1182" t="s">
        <v>4353</v>
      </c>
      <c r="AH1182" t="s">
        <v>4506</v>
      </c>
      <c r="AI1182" t="s">
        <v>4353</v>
      </c>
      <c r="AJ1182" t="s">
        <v>4506</v>
      </c>
      <c r="AK1182" t="s">
        <v>4519</v>
      </c>
      <c r="AL1182" t="s">
        <v>4541</v>
      </c>
      <c r="AM1182" t="s">
        <v>4528</v>
      </c>
      <c r="AN1182" t="s">
        <v>4542</v>
      </c>
      <c r="AO1182" s="134">
        <v>82.863636363636402</v>
      </c>
      <c r="AP1182" s="135">
        <v>88.789473684210506</v>
      </c>
      <c r="AQ1182">
        <v>0.52631578947368396</v>
      </c>
      <c r="AR1182" s="136">
        <v>1.5263157894736801</v>
      </c>
      <c r="AS1182">
        <v>11.6315789473684</v>
      </c>
      <c r="AU1182"/>
      <c r="AV1182"/>
      <c r="AW1182"/>
      <c r="AX1182"/>
    </row>
    <row r="1183" spans="1:50" s="69" customFormat="1" ht="91">
      <c r="A1183" s="65">
        <v>1040</v>
      </c>
      <c r="B1183" s="69" t="s">
        <v>2752</v>
      </c>
      <c r="C1183" s="69" t="s">
        <v>59</v>
      </c>
      <c r="D1183" s="31">
        <f t="shared" si="96"/>
        <v>5</v>
      </c>
      <c r="E1183" s="69" t="s">
        <v>46</v>
      </c>
      <c r="F1183" s="31">
        <f t="shared" si="97"/>
        <v>6</v>
      </c>
      <c r="G1183" s="139" t="s">
        <v>2821</v>
      </c>
      <c r="H1183" s="138">
        <v>18</v>
      </c>
      <c r="I1183" s="92">
        <f t="shared" si="95"/>
        <v>0.82606016007655003</v>
      </c>
      <c r="J1183" s="95">
        <v>0.97030213833491796</v>
      </c>
      <c r="K1183" s="137">
        <v>0.62838932850985896</v>
      </c>
      <c r="L1183" s="137">
        <v>0.68181818181818199</v>
      </c>
      <c r="M1183" s="137">
        <v>0.54824604854737402</v>
      </c>
      <c r="N1183" s="136">
        <v>1</v>
      </c>
      <c r="O1183" s="157">
        <v>42503</v>
      </c>
      <c r="P1183" s="98">
        <f t="shared" si="98"/>
        <v>1</v>
      </c>
      <c r="Q1183" s="113">
        <v>0</v>
      </c>
      <c r="R1183" s="113">
        <v>0</v>
      </c>
      <c r="S1183" s="113">
        <v>0</v>
      </c>
      <c r="T1183" s="119" t="s">
        <v>73</v>
      </c>
      <c r="U1183" s="139" t="s">
        <v>2822</v>
      </c>
      <c r="V1183" s="136" t="s">
        <v>2823</v>
      </c>
      <c r="W1183" s="69">
        <v>75</v>
      </c>
      <c r="X1183" s="69">
        <v>2</v>
      </c>
      <c r="Y1183" s="69">
        <v>10</v>
      </c>
      <c r="AA1183" t="s">
        <v>4564</v>
      </c>
      <c r="AB1183" t="s">
        <v>71</v>
      </c>
      <c r="AC1183" t="s">
        <v>4353</v>
      </c>
      <c r="AD1183" t="s">
        <v>4506</v>
      </c>
      <c r="AE1183" t="s">
        <v>4353</v>
      </c>
      <c r="AF1183" t="s">
        <v>4506</v>
      </c>
      <c r="AG1183" t="s">
        <v>223</v>
      </c>
      <c r="AH1183" t="s">
        <v>4507</v>
      </c>
      <c r="AI1183" t="s">
        <v>4353</v>
      </c>
      <c r="AJ1183" t="s">
        <v>4506</v>
      </c>
      <c r="AK1183" t="s">
        <v>4519</v>
      </c>
      <c r="AL1183" t="s">
        <v>4519</v>
      </c>
      <c r="AM1183" t="s">
        <v>4562</v>
      </c>
      <c r="AN1183" t="s">
        <v>4563</v>
      </c>
      <c r="AO1183" s="134">
        <v>85.952380952380906</v>
      </c>
      <c r="AP1183" s="135">
        <v>88.789473684210506</v>
      </c>
      <c r="AQ1183">
        <v>0.52631578947368396</v>
      </c>
      <c r="AR1183" s="136">
        <v>1.5263157894736801</v>
      </c>
      <c r="AS1183">
        <v>11.6315789473684</v>
      </c>
      <c r="AU1183"/>
      <c r="AV1183"/>
      <c r="AW1183"/>
      <c r="AX1183"/>
    </row>
    <row r="1184" spans="1:50" s="69" customFormat="1" ht="91">
      <c r="A1184" s="65">
        <v>1041</v>
      </c>
      <c r="B1184" s="69" t="s">
        <v>2752</v>
      </c>
      <c r="C1184" s="69" t="s">
        <v>59</v>
      </c>
      <c r="D1184" s="31">
        <f t="shared" si="96"/>
        <v>5</v>
      </c>
      <c r="E1184" s="69" t="s">
        <v>46</v>
      </c>
      <c r="F1184" s="31">
        <f t="shared" si="97"/>
        <v>6</v>
      </c>
      <c r="G1184" s="139" t="s">
        <v>2824</v>
      </c>
      <c r="H1184" s="138">
        <v>37</v>
      </c>
      <c r="I1184" s="92">
        <f t="shared" si="95"/>
        <v>0.61873902335353603</v>
      </c>
      <c r="J1184" s="95">
        <v>0.48747804670707201</v>
      </c>
      <c r="K1184" s="137">
        <v>0.73571428571428599</v>
      </c>
      <c r="L1184" s="137">
        <v>0.75</v>
      </c>
      <c r="M1184" s="137">
        <v>0.71428571428571397</v>
      </c>
      <c r="N1184" s="136">
        <v>1</v>
      </c>
      <c r="O1184" s="157">
        <v>42503</v>
      </c>
      <c r="P1184" s="98">
        <f t="shared" si="98"/>
        <v>1</v>
      </c>
      <c r="Q1184" s="113">
        <v>2.5499999999999998</v>
      </c>
      <c r="R1184" s="113">
        <v>0</v>
      </c>
      <c r="S1184" s="113">
        <v>0</v>
      </c>
      <c r="T1184" s="114" t="s">
        <v>73</v>
      </c>
      <c r="U1184" s="89" t="s">
        <v>2825</v>
      </c>
      <c r="V1184" s="172" t="s">
        <v>2826</v>
      </c>
      <c r="W1184" s="69">
        <v>113</v>
      </c>
      <c r="X1184" s="69">
        <v>1</v>
      </c>
      <c r="Y1184" s="69">
        <v>4</v>
      </c>
      <c r="AA1184" t="s">
        <v>4522</v>
      </c>
      <c r="AB1184" t="s">
        <v>87</v>
      </c>
      <c r="AC1184" t="s">
        <v>4515</v>
      </c>
      <c r="AD1184" t="s">
        <v>4858</v>
      </c>
      <c r="AE1184" t="s">
        <v>4353</v>
      </c>
      <c r="AF1184" t="s">
        <v>4506</v>
      </c>
      <c r="AG1184" t="s">
        <v>4353</v>
      </c>
      <c r="AH1184" t="s">
        <v>4506</v>
      </c>
      <c r="AI1184" t="s">
        <v>4353</v>
      </c>
      <c r="AJ1184" t="s">
        <v>4506</v>
      </c>
      <c r="AK1184" t="s">
        <v>4519</v>
      </c>
      <c r="AL1184" t="s">
        <v>4552</v>
      </c>
      <c r="AM1184" t="s">
        <v>4528</v>
      </c>
      <c r="AN1184" t="s">
        <v>4618</v>
      </c>
      <c r="AO1184" s="134">
        <v>88.4</v>
      </c>
      <c r="AP1184" s="135">
        <v>88.789473684210506</v>
      </c>
      <c r="AQ1184">
        <v>0.52631578947368396</v>
      </c>
      <c r="AR1184" s="136">
        <v>1.5263157894736801</v>
      </c>
      <c r="AS1184">
        <v>11.6315789473684</v>
      </c>
      <c r="AU1184"/>
      <c r="AV1184"/>
      <c r="AW1184"/>
      <c r="AX1184"/>
    </row>
    <row r="1185" spans="1:50" s="69" customFormat="1" ht="91">
      <c r="A1185">
        <v>1042</v>
      </c>
      <c r="B1185" s="69" t="s">
        <v>2752</v>
      </c>
      <c r="C1185" s="69" t="s">
        <v>59</v>
      </c>
      <c r="D1185" s="31">
        <f t="shared" si="96"/>
        <v>5</v>
      </c>
      <c r="E1185" s="69" t="s">
        <v>80</v>
      </c>
      <c r="F1185" s="31">
        <f t="shared" si="97"/>
        <v>4</v>
      </c>
      <c r="G1185" s="139" t="s">
        <v>2827</v>
      </c>
      <c r="H1185" s="138">
        <v>46</v>
      </c>
      <c r="I1185" s="92">
        <f t="shared" si="95"/>
        <v>0.433478405235174</v>
      </c>
      <c r="J1185" s="95">
        <v>0.18513862865216599</v>
      </c>
      <c r="K1185" s="137">
        <v>0.69480519480519498</v>
      </c>
      <c r="L1185" s="137">
        <v>0.68181818181818199</v>
      </c>
      <c r="M1185" s="137">
        <v>0.71428571428571397</v>
      </c>
      <c r="N1185" s="136">
        <v>1</v>
      </c>
      <c r="O1185" s="157">
        <v>42497</v>
      </c>
      <c r="P1185" s="98">
        <f t="shared" si="98"/>
        <v>1</v>
      </c>
      <c r="Q1185" s="201">
        <v>7.65</v>
      </c>
      <c r="R1185" s="201">
        <v>1.65</v>
      </c>
      <c r="S1185" s="201">
        <v>0</v>
      </c>
      <c r="T1185" s="202" t="s">
        <v>73</v>
      </c>
      <c r="U1185" s="89" t="s">
        <v>2828</v>
      </c>
      <c r="V1185" s="172" t="s">
        <v>2829</v>
      </c>
      <c r="W1185" s="69">
        <v>112</v>
      </c>
      <c r="X1185" s="69">
        <v>2</v>
      </c>
      <c r="Y1185" s="69">
        <v>4</v>
      </c>
      <c r="AA1185" t="s">
        <v>4522</v>
      </c>
      <c r="AB1185" t="s">
        <v>87</v>
      </c>
      <c r="AC1185" t="s">
        <v>223</v>
      </c>
      <c r="AD1185" t="s">
        <v>4681</v>
      </c>
      <c r="AE1185" t="s">
        <v>4353</v>
      </c>
      <c r="AF1185" t="s">
        <v>4506</v>
      </c>
      <c r="AG1185" t="s">
        <v>4353</v>
      </c>
      <c r="AH1185" t="s">
        <v>4506</v>
      </c>
      <c r="AI1185" t="s">
        <v>4353</v>
      </c>
      <c r="AJ1185" t="s">
        <v>4506</v>
      </c>
      <c r="AK1185" t="s">
        <v>4519</v>
      </c>
      <c r="AL1185" t="s">
        <v>4519</v>
      </c>
      <c r="AM1185" t="s">
        <v>4519</v>
      </c>
      <c r="AN1185" t="s">
        <v>4564</v>
      </c>
      <c r="AO1185" s="134">
        <v>90.631578947368396</v>
      </c>
      <c r="AP1185" s="135">
        <v>85</v>
      </c>
      <c r="AQ1185">
        <v>0.52941176470588203</v>
      </c>
      <c r="AR1185" s="136">
        <v>1.5882352941176501</v>
      </c>
      <c r="AS1185">
        <v>12.0588235294118</v>
      </c>
      <c r="AU1185"/>
      <c r="AV1185"/>
      <c r="AW1185"/>
      <c r="AX1185"/>
    </row>
    <row r="1186" spans="1:50" s="69" customFormat="1" ht="46">
      <c r="A1186" s="65">
        <v>644</v>
      </c>
      <c r="B1186" s="69" t="s">
        <v>1707</v>
      </c>
      <c r="C1186" s="69" t="s">
        <v>45</v>
      </c>
      <c r="D1186" s="31">
        <f t="shared" si="96"/>
        <v>4</v>
      </c>
      <c r="E1186" s="69" t="s">
        <v>80</v>
      </c>
      <c r="F1186" s="31">
        <f t="shared" si="97"/>
        <v>4</v>
      </c>
      <c r="G1186" s="169" t="s">
        <v>1767</v>
      </c>
      <c r="H1186" s="138">
        <v>52</v>
      </c>
      <c r="I1186" s="92">
        <f t="shared" si="95"/>
        <v>0.4130346366974702</v>
      </c>
      <c r="J1186" s="95">
        <v>1.0692733949404501E-3</v>
      </c>
      <c r="K1186" s="137">
        <v>0.71429841941895</v>
      </c>
      <c r="L1186" s="137">
        <v>0.82499999999999996</v>
      </c>
      <c r="M1186" s="137">
        <v>0.54824604854737402</v>
      </c>
      <c r="N1186" s="136">
        <v>0</v>
      </c>
      <c r="O1186" s="154">
        <v>42496</v>
      </c>
      <c r="P1186" s="98">
        <f t="shared" si="98"/>
        <v>2</v>
      </c>
      <c r="Q1186" s="111">
        <v>2.5499999999999998</v>
      </c>
      <c r="R1186" s="111">
        <v>0</v>
      </c>
      <c r="S1186" s="111">
        <v>0</v>
      </c>
      <c r="T1186" s="112" t="s">
        <v>64</v>
      </c>
      <c r="U1186" s="137" t="s">
        <v>1774</v>
      </c>
      <c r="V1186" s="137" t="s">
        <v>1775</v>
      </c>
      <c r="W1186" s="69">
        <v>48</v>
      </c>
      <c r="X1186" s="69">
        <v>3</v>
      </c>
      <c r="Y1186" s="69">
        <v>10</v>
      </c>
      <c r="AA1186" t="s">
        <v>4551</v>
      </c>
      <c r="AB1186" t="s">
        <v>51</v>
      </c>
      <c r="AC1186" t="s">
        <v>4353</v>
      </c>
      <c r="AD1186" t="s">
        <v>4506</v>
      </c>
      <c r="AE1186" t="s">
        <v>4515</v>
      </c>
      <c r="AF1186" t="s">
        <v>4719</v>
      </c>
      <c r="AG1186" t="s">
        <v>4353</v>
      </c>
      <c r="AH1186" t="s">
        <v>4506</v>
      </c>
      <c r="AI1186" t="s">
        <v>4353</v>
      </c>
      <c r="AJ1186" t="s">
        <v>4506</v>
      </c>
      <c r="AK1186" t="s">
        <v>4519</v>
      </c>
      <c r="AL1186" t="s">
        <v>4552</v>
      </c>
      <c r="AM1186" t="s">
        <v>4510</v>
      </c>
      <c r="AN1186" t="s">
        <v>4634</v>
      </c>
      <c r="AO1186" s="134">
        <v>92.7777777777778</v>
      </c>
      <c r="AP1186" s="135">
        <v>85</v>
      </c>
      <c r="AQ1186">
        <v>0.52941176470588203</v>
      </c>
      <c r="AR1186" s="136">
        <v>1.5882352941176501</v>
      </c>
      <c r="AS1186">
        <v>12.0588235294118</v>
      </c>
      <c r="AU1186"/>
      <c r="AV1186"/>
      <c r="AW1186"/>
      <c r="AX1186"/>
    </row>
    <row r="1187" spans="1:50" s="69" customFormat="1" ht="136">
      <c r="A1187" s="65">
        <v>645</v>
      </c>
      <c r="B1187" s="69" t="s">
        <v>1707</v>
      </c>
      <c r="C1187" s="69" t="s">
        <v>45</v>
      </c>
      <c r="D1187" s="31">
        <f t="shared" si="96"/>
        <v>4</v>
      </c>
      <c r="E1187" s="69" t="s">
        <v>80</v>
      </c>
      <c r="F1187" s="31">
        <f t="shared" si="97"/>
        <v>4</v>
      </c>
      <c r="G1187" s="169" t="s">
        <v>1776</v>
      </c>
      <c r="H1187" s="138">
        <v>244</v>
      </c>
      <c r="I1187" s="92">
        <f t="shared" si="95"/>
        <v>0.37500061401777529</v>
      </c>
      <c r="J1187" s="95">
        <v>1.2280355505822599E-6</v>
      </c>
      <c r="K1187" s="137">
        <v>0.65205133627784295</v>
      </c>
      <c r="L1187" s="137">
        <v>0.75</v>
      </c>
      <c r="M1187" s="137">
        <v>0.50512834069460699</v>
      </c>
      <c r="N1187" s="136">
        <v>1</v>
      </c>
      <c r="O1187" s="154">
        <v>42489</v>
      </c>
      <c r="P1187" s="98">
        <f t="shared" si="98"/>
        <v>2</v>
      </c>
      <c r="Q1187" s="111">
        <v>7.65</v>
      </c>
      <c r="R1187" s="111">
        <v>0</v>
      </c>
      <c r="S1187" s="111">
        <v>0</v>
      </c>
      <c r="T1187" s="112" t="s">
        <v>64</v>
      </c>
      <c r="U1187" s="137" t="s">
        <v>1777</v>
      </c>
      <c r="V1187" s="136" t="s">
        <v>1778</v>
      </c>
      <c r="W1187" s="69">
        <v>130</v>
      </c>
      <c r="X1187" s="69">
        <v>1</v>
      </c>
      <c r="Y1187" s="69">
        <v>12</v>
      </c>
      <c r="AA1187" t="s">
        <v>4619</v>
      </c>
      <c r="AB1187" t="s">
        <v>87</v>
      </c>
      <c r="AC1187" t="s">
        <v>4515</v>
      </c>
      <c r="AD1187" t="s">
        <v>4643</v>
      </c>
      <c r="AE1187" t="s">
        <v>4353</v>
      </c>
      <c r="AF1187" t="s">
        <v>4506</v>
      </c>
      <c r="AG1187" t="s">
        <v>4353</v>
      </c>
      <c r="AH1187" t="s">
        <v>4506</v>
      </c>
      <c r="AI1187" t="s">
        <v>4353</v>
      </c>
      <c r="AJ1187" t="s">
        <v>4506</v>
      </c>
      <c r="AK1187" t="s">
        <v>4519</v>
      </c>
      <c r="AL1187" t="s">
        <v>4552</v>
      </c>
      <c r="AM1187" t="s">
        <v>4510</v>
      </c>
      <c r="AN1187" t="s">
        <v>4634</v>
      </c>
      <c r="AO1187" s="134">
        <v>83.882352941176507</v>
      </c>
      <c r="AP1187" s="135">
        <v>85</v>
      </c>
      <c r="AQ1187">
        <v>0.52941176470588203</v>
      </c>
      <c r="AR1187" s="136">
        <v>1.5882352941176501</v>
      </c>
      <c r="AS1187">
        <v>12.0588235294118</v>
      </c>
      <c r="AU1187"/>
      <c r="AV1187"/>
      <c r="AW1187"/>
      <c r="AX1187"/>
    </row>
    <row r="1188" spans="1:50" s="69" customFormat="1" ht="91">
      <c r="A1188">
        <v>191</v>
      </c>
      <c r="B1188" s="69" t="s">
        <v>499</v>
      </c>
      <c r="C1188" s="69" t="s">
        <v>59</v>
      </c>
      <c r="D1188" s="31">
        <f t="shared" si="96"/>
        <v>5</v>
      </c>
      <c r="E1188" s="69" t="s">
        <v>46</v>
      </c>
      <c r="F1188" s="31">
        <f t="shared" si="97"/>
        <v>6</v>
      </c>
      <c r="G1188" s="137" t="s">
        <v>4362</v>
      </c>
      <c r="H1188" s="138">
        <v>67</v>
      </c>
      <c r="I1188" s="92">
        <f t="shared" si="95"/>
        <v>0.47854230885649401</v>
      </c>
      <c r="J1188" s="95">
        <v>0.337249906969186</v>
      </c>
      <c r="K1188" s="137">
        <v>0.67292649458520204</v>
      </c>
      <c r="L1188" s="137">
        <v>0.61983471074380203</v>
      </c>
      <c r="M1188" s="137">
        <v>0.75256417034730305</v>
      </c>
      <c r="N1188" s="136">
        <v>1</v>
      </c>
      <c r="O1188" s="154">
        <v>42478</v>
      </c>
      <c r="P1188" s="98">
        <f t="shared" si="98"/>
        <v>1</v>
      </c>
      <c r="Q1188" s="111">
        <v>0</v>
      </c>
      <c r="R1188" s="111">
        <v>0</v>
      </c>
      <c r="S1188" s="111">
        <v>0</v>
      </c>
      <c r="T1188" s="112" t="s">
        <v>73</v>
      </c>
      <c r="U1188" s="136" t="s">
        <v>4363</v>
      </c>
      <c r="V1188" s="136" t="s">
        <v>4364</v>
      </c>
      <c r="W1188" s="69">
        <v>116</v>
      </c>
      <c r="X1188" s="69">
        <v>2</v>
      </c>
      <c r="Y1188" s="69">
        <v>3</v>
      </c>
      <c r="Z1188"/>
      <c r="AA1188" t="s">
        <v>4564</v>
      </c>
      <c r="AB1188" t="s">
        <v>87</v>
      </c>
      <c r="AC1188" t="s">
        <v>4513</v>
      </c>
      <c r="AD1188" t="s">
        <v>5091</v>
      </c>
      <c r="AE1188" t="s">
        <v>4353</v>
      </c>
      <c r="AF1188" t="s">
        <v>4506</v>
      </c>
      <c r="AG1188" t="s">
        <v>4353</v>
      </c>
      <c r="AH1188" t="s">
        <v>4506</v>
      </c>
      <c r="AI1188" t="s">
        <v>4353</v>
      </c>
      <c r="AJ1188" t="s">
        <v>4506</v>
      </c>
      <c r="AK1188" t="s">
        <v>4519</v>
      </c>
      <c r="AL1188" t="s">
        <v>4519</v>
      </c>
      <c r="AM1188" t="s">
        <v>4562</v>
      </c>
      <c r="AN1188" t="s">
        <v>4563</v>
      </c>
      <c r="AO1188" s="134">
        <v>84.9375</v>
      </c>
      <c r="AP1188" s="135">
        <v>86.230769230769198</v>
      </c>
      <c r="AQ1188">
        <v>0.53846153846153799</v>
      </c>
      <c r="AR1188" s="136">
        <v>1.7692307692307701</v>
      </c>
      <c r="AS1188">
        <v>13</v>
      </c>
      <c r="AU1188"/>
      <c r="AV1188"/>
      <c r="AW1188"/>
      <c r="AX1188"/>
    </row>
    <row r="1189" spans="1:50" s="69" customFormat="1" ht="61">
      <c r="A1189" s="65">
        <v>421</v>
      </c>
      <c r="B1189" s="69" t="s">
        <v>589</v>
      </c>
      <c r="C1189" s="69" t="s">
        <v>45</v>
      </c>
      <c r="D1189" s="31">
        <f t="shared" si="96"/>
        <v>4</v>
      </c>
      <c r="E1189" s="69" t="s">
        <v>46</v>
      </c>
      <c r="F1189" s="31">
        <f t="shared" si="97"/>
        <v>6</v>
      </c>
      <c r="G1189" s="137" t="s">
        <v>1203</v>
      </c>
      <c r="H1189" s="138">
        <v>106</v>
      </c>
      <c r="I1189" s="92">
        <f t="shared" si="95"/>
        <v>0.61990505794224204</v>
      </c>
      <c r="J1189" s="95">
        <v>0.97693969127344005</v>
      </c>
      <c r="K1189" s="137">
        <v>0.38629368333805503</v>
      </c>
      <c r="L1189" s="137">
        <v>0.26287042461104398</v>
      </c>
      <c r="M1189" s="137">
        <v>0.57142857142857095</v>
      </c>
      <c r="N1189" s="136">
        <v>1</v>
      </c>
      <c r="O1189" s="154">
        <v>42477</v>
      </c>
      <c r="P1189" s="98">
        <f t="shared" si="98"/>
        <v>0</v>
      </c>
      <c r="Q1189" s="111">
        <v>2.5499999999999998</v>
      </c>
      <c r="R1189" s="111">
        <v>1.65</v>
      </c>
      <c r="S1189" s="111">
        <v>1.87</v>
      </c>
      <c r="T1189" s="112" t="s">
        <v>48</v>
      </c>
      <c r="U1189" s="137" t="s">
        <v>1204</v>
      </c>
      <c r="V1189" s="137" t="s">
        <v>1205</v>
      </c>
      <c r="W1189" s="69">
        <v>42</v>
      </c>
      <c r="X1189" s="69">
        <v>1</v>
      </c>
      <c r="Y1189" s="69">
        <v>9</v>
      </c>
      <c r="Z1189"/>
      <c r="AA1189" t="s">
        <v>5092</v>
      </c>
      <c r="AB1189" t="s">
        <v>87</v>
      </c>
      <c r="AC1189" t="s">
        <v>4515</v>
      </c>
      <c r="AD1189" t="s">
        <v>4516</v>
      </c>
      <c r="AE1189" t="s">
        <v>4353</v>
      </c>
      <c r="AF1189" t="s">
        <v>4506</v>
      </c>
      <c r="AG1189" t="s">
        <v>223</v>
      </c>
      <c r="AH1189" t="s">
        <v>4517</v>
      </c>
      <c r="AI1189" t="s">
        <v>4353</v>
      </c>
      <c r="AJ1189" t="s">
        <v>4506</v>
      </c>
      <c r="AK1189" t="s">
        <v>4519</v>
      </c>
      <c r="AL1189" t="s">
        <v>4519</v>
      </c>
      <c r="AM1189" t="s">
        <v>4510</v>
      </c>
      <c r="AN1189" t="s">
        <v>4550</v>
      </c>
      <c r="AO1189" s="134">
        <v>83.533333333333303</v>
      </c>
      <c r="AP1189" s="135">
        <v>86.230769230769198</v>
      </c>
      <c r="AQ1189">
        <v>0.53846153846153799</v>
      </c>
      <c r="AR1189" s="136">
        <v>1.7692307692307701</v>
      </c>
      <c r="AS1189">
        <v>13</v>
      </c>
      <c r="AU1189"/>
      <c r="AV1189"/>
      <c r="AW1189"/>
      <c r="AX1189"/>
    </row>
    <row r="1190" spans="1:50" s="69" customFormat="1" ht="105">
      <c r="A1190">
        <v>1043</v>
      </c>
      <c r="B1190" s="69" t="s">
        <v>2752</v>
      </c>
      <c r="C1190" s="69" t="s">
        <v>45</v>
      </c>
      <c r="D1190" s="31">
        <f t="shared" si="96"/>
        <v>4</v>
      </c>
      <c r="E1190" s="69" t="s">
        <v>46</v>
      </c>
      <c r="F1190" s="31">
        <f t="shared" si="97"/>
        <v>6</v>
      </c>
      <c r="G1190" s="89" t="s">
        <v>2830</v>
      </c>
      <c r="H1190" s="138">
        <v>183</v>
      </c>
      <c r="I1190" s="92">
        <f t="shared" si="95"/>
        <v>0.874380746041023</v>
      </c>
      <c r="J1190" s="95">
        <v>0.99876149208204601</v>
      </c>
      <c r="K1190" s="137">
        <v>0.71002915755524698</v>
      </c>
      <c r="L1190" s="137">
        <v>0.75</v>
      </c>
      <c r="M1190" s="137">
        <v>0.65007289388811795</v>
      </c>
      <c r="N1190" s="136">
        <v>1</v>
      </c>
      <c r="O1190" s="157">
        <v>42472</v>
      </c>
      <c r="P1190" s="98">
        <f t="shared" si="98"/>
        <v>0</v>
      </c>
      <c r="Q1190" s="113">
        <v>10.199999999999999</v>
      </c>
      <c r="R1190" s="113">
        <v>1.65</v>
      </c>
      <c r="S1190" s="113">
        <v>3.74</v>
      </c>
      <c r="T1190" s="119" t="s">
        <v>48</v>
      </c>
      <c r="U1190" s="89" t="s">
        <v>2831</v>
      </c>
      <c r="V1190" s="172" t="s">
        <v>2832</v>
      </c>
      <c r="W1190" s="69">
        <v>119</v>
      </c>
      <c r="X1190" s="69">
        <v>2</v>
      </c>
      <c r="Y1190" s="69">
        <v>6</v>
      </c>
      <c r="AA1190" t="s">
        <v>4653</v>
      </c>
      <c r="AB1190" t="s">
        <v>51</v>
      </c>
      <c r="AC1190" t="s">
        <v>223</v>
      </c>
      <c r="AD1190" t="s">
        <v>4600</v>
      </c>
      <c r="AE1190" t="s">
        <v>4515</v>
      </c>
      <c r="AF1190" t="s">
        <v>4617</v>
      </c>
      <c r="AG1190" t="s">
        <v>4353</v>
      </c>
      <c r="AH1190" t="s">
        <v>4506</v>
      </c>
      <c r="AI1190" t="s">
        <v>4353</v>
      </c>
      <c r="AJ1190" t="s">
        <v>4506</v>
      </c>
      <c r="AK1190" t="s">
        <v>4519</v>
      </c>
      <c r="AL1190" t="s">
        <v>4509</v>
      </c>
      <c r="AM1190" t="s">
        <v>4528</v>
      </c>
      <c r="AN1190" t="s">
        <v>4688</v>
      </c>
      <c r="AO1190" s="134">
        <v>76.428571428571402</v>
      </c>
      <c r="AP1190" s="135">
        <v>87.5</v>
      </c>
      <c r="AQ1190">
        <v>0.5</v>
      </c>
      <c r="AR1190" s="136">
        <v>1.8333333333333299</v>
      </c>
      <c r="AS1190">
        <v>12.9166666666667</v>
      </c>
      <c r="AU1190"/>
      <c r="AV1190"/>
      <c r="AW1190"/>
      <c r="AX1190"/>
    </row>
    <row r="1191" spans="1:50" s="69" customFormat="1" ht="75">
      <c r="A1191" s="65">
        <v>1072</v>
      </c>
      <c r="B1191" s="69" t="s">
        <v>2833</v>
      </c>
      <c r="C1191" s="69" t="s">
        <v>45</v>
      </c>
      <c r="D1191" s="31">
        <f t="shared" si="96"/>
        <v>4</v>
      </c>
      <c r="E1191" s="69" t="s">
        <v>46</v>
      </c>
      <c r="F1191" s="31">
        <f t="shared" si="97"/>
        <v>6</v>
      </c>
      <c r="G1191" s="139" t="s">
        <v>2913</v>
      </c>
      <c r="H1191" s="138">
        <v>127</v>
      </c>
      <c r="I1191" s="92">
        <f t="shared" si="95"/>
        <v>0.37714168282986898</v>
      </c>
      <c r="J1191" s="95">
        <v>4.2833656597379699E-3</v>
      </c>
      <c r="K1191" s="137">
        <v>0.607563389307469</v>
      </c>
      <c r="L1191" s="137">
        <v>0.75</v>
      </c>
      <c r="M1191" s="137">
        <v>0.39390847326867401</v>
      </c>
      <c r="N1191" s="136">
        <v>1</v>
      </c>
      <c r="O1191" s="157">
        <v>42461</v>
      </c>
      <c r="P1191" s="98">
        <f t="shared" si="98"/>
        <v>1</v>
      </c>
      <c r="Q1191" s="113">
        <v>0</v>
      </c>
      <c r="R1191" s="113">
        <v>1.65</v>
      </c>
      <c r="S1191" s="113">
        <v>0</v>
      </c>
      <c r="T1191" s="114" t="s">
        <v>73</v>
      </c>
      <c r="U1191" s="89" t="s">
        <v>2914</v>
      </c>
      <c r="V1191" s="172" t="s">
        <v>2915</v>
      </c>
      <c r="W1191" s="69">
        <v>47</v>
      </c>
      <c r="X1191" s="69">
        <v>1</v>
      </c>
      <c r="Y1191" s="69">
        <v>18</v>
      </c>
      <c r="AA1191" t="s">
        <v>4564</v>
      </c>
      <c r="AB1191" t="s">
        <v>87</v>
      </c>
      <c r="AC1191" t="s">
        <v>223</v>
      </c>
      <c r="AD1191" t="s">
        <v>4648</v>
      </c>
      <c r="AE1191" t="s">
        <v>4353</v>
      </c>
      <c r="AF1191" t="s">
        <v>4506</v>
      </c>
      <c r="AG1191" t="s">
        <v>4353</v>
      </c>
      <c r="AH1191" t="s">
        <v>4506</v>
      </c>
      <c r="AI1191" t="s">
        <v>4353</v>
      </c>
      <c r="AJ1191" t="s">
        <v>4506</v>
      </c>
      <c r="AK1191" t="s">
        <v>4519</v>
      </c>
      <c r="AL1191" t="s">
        <v>4519</v>
      </c>
      <c r="AM1191" t="s">
        <v>4510</v>
      </c>
      <c r="AN1191" t="s">
        <v>4550</v>
      </c>
      <c r="AO1191" s="134">
        <v>72.538461538461505</v>
      </c>
      <c r="AP1191" s="135">
        <v>86.5</v>
      </c>
      <c r="AQ1191">
        <v>0.5</v>
      </c>
      <c r="AR1191" s="136">
        <v>1.25</v>
      </c>
      <c r="AS1191">
        <v>12.25</v>
      </c>
      <c r="AU1191"/>
      <c r="AV1191"/>
      <c r="AW1191"/>
      <c r="AX1191"/>
    </row>
    <row r="1192" spans="1:50" s="69" customFormat="1" ht="61">
      <c r="A1192">
        <v>422</v>
      </c>
      <c r="B1192" s="69" t="s">
        <v>589</v>
      </c>
      <c r="C1192" s="69" t="s">
        <v>45</v>
      </c>
      <c r="D1192" s="31">
        <f t="shared" si="96"/>
        <v>4</v>
      </c>
      <c r="E1192" s="69" t="s">
        <v>80</v>
      </c>
      <c r="F1192" s="31">
        <f t="shared" si="97"/>
        <v>4</v>
      </c>
      <c r="G1192" s="137" t="s">
        <v>1206</v>
      </c>
      <c r="H1192" s="138">
        <v>59</v>
      </c>
      <c r="I1192" s="92">
        <f t="shared" si="95"/>
        <v>0.37505428198697488</v>
      </c>
      <c r="J1192" s="95">
        <v>1.0856397394976E-4</v>
      </c>
      <c r="K1192" s="137">
        <v>0.63619100647005999</v>
      </c>
      <c r="L1192" s="137">
        <v>0.75</v>
      </c>
      <c r="M1192" s="137">
        <v>0.46547751617515098</v>
      </c>
      <c r="N1192" s="136">
        <v>1</v>
      </c>
      <c r="O1192" s="154">
        <v>42459</v>
      </c>
      <c r="P1192" s="98">
        <f t="shared" si="98"/>
        <v>1</v>
      </c>
      <c r="Q1192" s="111">
        <v>0</v>
      </c>
      <c r="R1192" s="111">
        <v>0</v>
      </c>
      <c r="S1192" s="111">
        <v>0</v>
      </c>
      <c r="T1192" s="112" t="s">
        <v>73</v>
      </c>
      <c r="U1192" s="137" t="s">
        <v>1207</v>
      </c>
      <c r="V1192" s="137" t="s">
        <v>1208</v>
      </c>
      <c r="W1192" s="69">
        <v>71</v>
      </c>
      <c r="X1192" s="69">
        <v>2</v>
      </c>
      <c r="Y1192" s="69">
        <v>14</v>
      </c>
      <c r="Z1192"/>
      <c r="AA1192" t="s">
        <v>4551</v>
      </c>
      <c r="AB1192" t="s">
        <v>51</v>
      </c>
      <c r="AC1192" t="s">
        <v>223</v>
      </c>
      <c r="AD1192" t="s">
        <v>4631</v>
      </c>
      <c r="AE1192" t="s">
        <v>4515</v>
      </c>
      <c r="AF1192" t="s">
        <v>4537</v>
      </c>
      <c r="AG1192" t="s">
        <v>4353</v>
      </c>
      <c r="AH1192" t="s">
        <v>4506</v>
      </c>
      <c r="AI1192" t="s">
        <v>4353</v>
      </c>
      <c r="AJ1192" t="s">
        <v>4506</v>
      </c>
      <c r="AK1192" t="s">
        <v>4519</v>
      </c>
      <c r="AL1192" t="s">
        <v>4552</v>
      </c>
      <c r="AM1192" t="s">
        <v>4528</v>
      </c>
      <c r="AN1192" t="s">
        <v>4618</v>
      </c>
      <c r="AO1192" s="134">
        <v>73.6666666666667</v>
      </c>
      <c r="AP1192" s="135">
        <v>88.428571428571402</v>
      </c>
      <c r="AQ1192">
        <v>0.57142857142857095</v>
      </c>
      <c r="AR1192" s="136">
        <v>1.28571428571429</v>
      </c>
      <c r="AS1192">
        <v>12.8571428571429</v>
      </c>
      <c r="AU1192"/>
      <c r="AV1192"/>
      <c r="AW1192"/>
      <c r="AX1192"/>
    </row>
    <row r="1193" spans="1:50" s="69" customFormat="1" ht="46">
      <c r="A1193">
        <v>423</v>
      </c>
      <c r="B1193" s="69" t="s">
        <v>589</v>
      </c>
      <c r="C1193" s="69" t="s">
        <v>1191</v>
      </c>
      <c r="D1193" s="31">
        <f t="shared" si="96"/>
        <v>2</v>
      </c>
      <c r="E1193" s="69" t="s">
        <v>46</v>
      </c>
      <c r="F1193" s="31">
        <f t="shared" si="97"/>
        <v>6</v>
      </c>
      <c r="G1193" s="137" t="s">
        <v>1209</v>
      </c>
      <c r="H1193" s="138">
        <v>77</v>
      </c>
      <c r="I1193" s="92">
        <f t="shared" si="95"/>
        <v>0.37969735763650969</v>
      </c>
      <c r="J1193" s="95">
        <v>7.7576533454837407E-2</v>
      </c>
      <c r="K1193" s="137">
        <v>0.59528191556096999</v>
      </c>
      <c r="L1193" s="137">
        <v>0.68181818181818199</v>
      </c>
      <c r="M1193" s="137">
        <v>0.46547751617515098</v>
      </c>
      <c r="N1193" s="136">
        <v>0</v>
      </c>
      <c r="O1193" s="154">
        <v>42457</v>
      </c>
      <c r="P1193" s="98">
        <f t="shared" si="98"/>
        <v>0</v>
      </c>
      <c r="Q1193" s="111">
        <v>0</v>
      </c>
      <c r="R1193" s="111">
        <v>1.65</v>
      </c>
      <c r="S1193" s="111">
        <v>0</v>
      </c>
      <c r="T1193" s="112" t="s">
        <v>48</v>
      </c>
      <c r="U1193" s="137" t="s">
        <v>1210</v>
      </c>
      <c r="V1193" s="137" t="s">
        <v>1211</v>
      </c>
      <c r="W1193" s="69">
        <v>55</v>
      </c>
      <c r="X1193" s="69">
        <v>3</v>
      </c>
      <c r="Y1193" s="69">
        <v>14</v>
      </c>
      <c r="Z1193"/>
      <c r="AA1193" t="s">
        <v>4543</v>
      </c>
      <c r="AB1193" t="s">
        <v>4992</v>
      </c>
      <c r="AC1193" t="s">
        <v>4353</v>
      </c>
      <c r="AD1193" t="s">
        <v>4506</v>
      </c>
      <c r="AE1193" t="s">
        <v>4353</v>
      </c>
      <c r="AF1193" t="s">
        <v>4506</v>
      </c>
      <c r="AG1193" t="s">
        <v>223</v>
      </c>
      <c r="AH1193" t="s">
        <v>4759</v>
      </c>
      <c r="AI1193" t="s">
        <v>223</v>
      </c>
      <c r="AJ1193" t="s">
        <v>4759</v>
      </c>
      <c r="AK1193" t="s">
        <v>4519</v>
      </c>
      <c r="AL1193" t="s">
        <v>4552</v>
      </c>
      <c r="AM1193" t="s">
        <v>4528</v>
      </c>
      <c r="AN1193" t="s">
        <v>4618</v>
      </c>
      <c r="AO1193" s="134">
        <v>65.909090909090907</v>
      </c>
      <c r="AP1193" s="135">
        <v>88.428571428571402</v>
      </c>
      <c r="AQ1193">
        <v>0.57142857142857095</v>
      </c>
      <c r="AR1193" s="136">
        <v>1.28571428571429</v>
      </c>
      <c r="AS1193">
        <v>12.8571428571429</v>
      </c>
      <c r="AU1193"/>
      <c r="AV1193"/>
      <c r="AW1193"/>
      <c r="AX1193"/>
    </row>
    <row r="1194" spans="1:50" s="69" customFormat="1" ht="136">
      <c r="A1194">
        <v>158</v>
      </c>
      <c r="B1194" s="69" t="s">
        <v>217</v>
      </c>
      <c r="C1194" s="69" t="s">
        <v>45</v>
      </c>
      <c r="D1194" s="31">
        <f t="shared" si="96"/>
        <v>4</v>
      </c>
      <c r="E1194" s="69" t="s">
        <v>46</v>
      </c>
      <c r="F1194" s="31">
        <f t="shared" si="97"/>
        <v>6</v>
      </c>
      <c r="G1194" s="137" t="s">
        <v>496</v>
      </c>
      <c r="H1194" s="138">
        <v>159</v>
      </c>
      <c r="I1194" s="92">
        <f t="shared" si="95"/>
        <v>0.28174345764168796</v>
      </c>
      <c r="J1194" s="95">
        <v>8.1460719292270099E-7</v>
      </c>
      <c r="K1194" s="137">
        <v>0.54857024381397301</v>
      </c>
      <c r="L1194" s="137">
        <v>0.56348610067618299</v>
      </c>
      <c r="M1194" s="137">
        <v>0.526196458520657</v>
      </c>
      <c r="N1194" s="136">
        <v>0</v>
      </c>
      <c r="O1194" s="161">
        <v>42457</v>
      </c>
      <c r="P1194" s="98">
        <f t="shared" si="98"/>
        <v>0</v>
      </c>
      <c r="Q1194" s="111">
        <v>0</v>
      </c>
      <c r="R1194" s="111">
        <v>0</v>
      </c>
      <c r="S1194" s="111">
        <v>0</v>
      </c>
      <c r="T1194" s="112" t="s">
        <v>48</v>
      </c>
      <c r="U1194" s="137" t="s">
        <v>497</v>
      </c>
      <c r="V1194" s="137" t="s">
        <v>498</v>
      </c>
      <c r="W1194" s="69">
        <v>193</v>
      </c>
      <c r="X1194" s="69">
        <v>1</v>
      </c>
      <c r="Y1194" s="69">
        <v>11</v>
      </c>
      <c r="Z1194"/>
      <c r="AA1194" t="s">
        <v>4543</v>
      </c>
      <c r="AB1194" t="s">
        <v>87</v>
      </c>
      <c r="AC1194" t="s">
        <v>4538</v>
      </c>
      <c r="AD1194" t="s">
        <v>5093</v>
      </c>
      <c r="AE1194" t="s">
        <v>4515</v>
      </c>
      <c r="AF1194" t="s">
        <v>4606</v>
      </c>
      <c r="AG1194" t="s">
        <v>223</v>
      </c>
      <c r="AH1194" t="s">
        <v>4567</v>
      </c>
      <c r="AI1194" t="s">
        <v>4353</v>
      </c>
      <c r="AJ1194" t="s">
        <v>4506</v>
      </c>
      <c r="AK1194" t="s">
        <v>4519</v>
      </c>
      <c r="AL1194" t="s">
        <v>4519</v>
      </c>
      <c r="AM1194" t="s">
        <v>4562</v>
      </c>
      <c r="AN1194" t="s">
        <v>4563</v>
      </c>
      <c r="AO1194" s="134">
        <v>64.8</v>
      </c>
      <c r="AP1194" s="135">
        <v>88.428571428571402</v>
      </c>
      <c r="AQ1194">
        <v>0.57142857142857095</v>
      </c>
      <c r="AR1194" s="136">
        <v>1.28571428571429</v>
      </c>
      <c r="AS1194">
        <v>12.8571428571429</v>
      </c>
      <c r="AU1194"/>
      <c r="AV1194"/>
      <c r="AW1194"/>
      <c r="AX1194"/>
    </row>
    <row r="1195" spans="1:50" s="69" customFormat="1" ht="46">
      <c r="A1195" s="65">
        <v>424</v>
      </c>
      <c r="B1195" s="69" t="s">
        <v>589</v>
      </c>
      <c r="C1195" s="69" t="s">
        <v>1191</v>
      </c>
      <c r="D1195" s="31">
        <f t="shared" si="96"/>
        <v>2</v>
      </c>
      <c r="E1195" s="69" t="s">
        <v>46</v>
      </c>
      <c r="F1195" s="31">
        <f t="shared" si="97"/>
        <v>6</v>
      </c>
      <c r="G1195" s="147" t="s">
        <v>1212</v>
      </c>
      <c r="H1195" s="138">
        <v>71</v>
      </c>
      <c r="I1195" s="92">
        <f t="shared" si="95"/>
        <v>0.38225628600600248</v>
      </c>
      <c r="J1195" s="95">
        <v>8.2694390193823006E-2</v>
      </c>
      <c r="K1195" s="137">
        <v>0.58051948051948099</v>
      </c>
      <c r="L1195" s="137">
        <v>0.68181818181818199</v>
      </c>
      <c r="M1195" s="137">
        <v>0.42857142857142899</v>
      </c>
      <c r="N1195" s="136">
        <v>1</v>
      </c>
      <c r="O1195" s="194">
        <v>42455</v>
      </c>
      <c r="P1195" s="98">
        <f t="shared" si="98"/>
        <v>0</v>
      </c>
      <c r="Q1195" s="111">
        <v>7.65</v>
      </c>
      <c r="R1195" s="111">
        <v>3.3</v>
      </c>
      <c r="S1195" s="111">
        <v>0</v>
      </c>
      <c r="T1195" s="112" t="s">
        <v>48</v>
      </c>
      <c r="U1195" s="137" t="s">
        <v>1213</v>
      </c>
      <c r="V1195" s="147" t="s">
        <v>1211</v>
      </c>
      <c r="W1195" s="69">
        <v>55</v>
      </c>
      <c r="X1195" s="171">
        <v>6</v>
      </c>
      <c r="Y1195" s="171">
        <v>16</v>
      </c>
      <c r="Z1195"/>
      <c r="AA1195" t="s">
        <v>4543</v>
      </c>
      <c r="AB1195" t="s">
        <v>4992</v>
      </c>
      <c r="AC1195" t="s">
        <v>4353</v>
      </c>
      <c r="AD1195" t="s">
        <v>4506</v>
      </c>
      <c r="AE1195" t="s">
        <v>4353</v>
      </c>
      <c r="AF1195" t="s">
        <v>4506</v>
      </c>
      <c r="AG1195" t="s">
        <v>223</v>
      </c>
      <c r="AH1195" t="s">
        <v>4759</v>
      </c>
      <c r="AI1195" t="s">
        <v>223</v>
      </c>
      <c r="AJ1195" t="s">
        <v>4759</v>
      </c>
      <c r="AK1195" t="s">
        <v>4519</v>
      </c>
      <c r="AL1195" t="s">
        <v>4552</v>
      </c>
      <c r="AM1195" t="s">
        <v>4528</v>
      </c>
      <c r="AN1195" t="s">
        <v>4618</v>
      </c>
      <c r="AO1195" s="134">
        <v>64.1111111111111</v>
      </c>
      <c r="AP1195" s="135">
        <v>88.428571428571402</v>
      </c>
      <c r="AQ1195">
        <v>0.57142857142857095</v>
      </c>
      <c r="AR1195" s="136">
        <v>1.28571428571429</v>
      </c>
      <c r="AS1195">
        <v>12.8571428571429</v>
      </c>
      <c r="AU1195"/>
      <c r="AV1195"/>
      <c r="AW1195"/>
      <c r="AX1195"/>
    </row>
    <row r="1196" spans="1:50" s="69" customFormat="1" ht="46">
      <c r="A1196" s="65">
        <v>425</v>
      </c>
      <c r="B1196" s="69" t="s">
        <v>589</v>
      </c>
      <c r="C1196" s="69" t="s">
        <v>1191</v>
      </c>
      <c r="D1196" s="31">
        <f t="shared" si="96"/>
        <v>2</v>
      </c>
      <c r="E1196" s="69" t="s">
        <v>46</v>
      </c>
      <c r="F1196" s="31">
        <f t="shared" si="97"/>
        <v>6</v>
      </c>
      <c r="G1196" s="137" t="s">
        <v>1209</v>
      </c>
      <c r="H1196" s="138">
        <v>71</v>
      </c>
      <c r="I1196" s="92">
        <f t="shared" si="95"/>
        <v>0.34178379675918052</v>
      </c>
      <c r="J1196" s="95">
        <v>1.7494117001790599E-3</v>
      </c>
      <c r="K1196" s="137">
        <v>0.58051948051948099</v>
      </c>
      <c r="L1196" s="137">
        <v>0.68181818181818199</v>
      </c>
      <c r="M1196" s="137">
        <v>0.42857142857142899</v>
      </c>
      <c r="N1196" s="136">
        <v>1</v>
      </c>
      <c r="O1196" s="154">
        <v>42455</v>
      </c>
      <c r="P1196" s="98">
        <f t="shared" si="98"/>
        <v>0</v>
      </c>
      <c r="Q1196" s="111">
        <v>2.5499999999999998</v>
      </c>
      <c r="R1196" s="111">
        <v>1.65</v>
      </c>
      <c r="S1196" s="111">
        <v>0</v>
      </c>
      <c r="T1196" s="112" t="s">
        <v>48</v>
      </c>
      <c r="U1196" s="137" t="s">
        <v>1213</v>
      </c>
      <c r="V1196" s="137" t="s">
        <v>1211</v>
      </c>
      <c r="W1196" s="69">
        <v>55</v>
      </c>
      <c r="X1196" s="69">
        <v>4</v>
      </c>
      <c r="Y1196" s="69">
        <v>16</v>
      </c>
      <c r="Z1196"/>
      <c r="AA1196" t="s">
        <v>4543</v>
      </c>
      <c r="AB1196" t="s">
        <v>4992</v>
      </c>
      <c r="AC1196" t="s">
        <v>4353</v>
      </c>
      <c r="AD1196" t="s">
        <v>4506</v>
      </c>
      <c r="AE1196" t="s">
        <v>4353</v>
      </c>
      <c r="AF1196" t="s">
        <v>4506</v>
      </c>
      <c r="AG1196" t="s">
        <v>223</v>
      </c>
      <c r="AH1196" t="s">
        <v>4759</v>
      </c>
      <c r="AI1196" t="s">
        <v>223</v>
      </c>
      <c r="AJ1196" t="s">
        <v>4759</v>
      </c>
      <c r="AK1196" t="s">
        <v>4519</v>
      </c>
      <c r="AL1196" t="s">
        <v>4552</v>
      </c>
      <c r="AM1196" t="s">
        <v>4528</v>
      </c>
      <c r="AN1196" t="s">
        <v>4618</v>
      </c>
      <c r="AO1196" s="134">
        <v>63.25</v>
      </c>
      <c r="AP1196" s="135">
        <v>88.428571428571402</v>
      </c>
      <c r="AQ1196">
        <v>0.57142857142857095</v>
      </c>
      <c r="AR1196" s="136">
        <v>1.28571428571429</v>
      </c>
      <c r="AS1196">
        <v>12.8571428571429</v>
      </c>
      <c r="AU1196"/>
      <c r="AV1196"/>
      <c r="AW1196"/>
      <c r="AX1196"/>
    </row>
    <row r="1197" spans="1:50" s="69" customFormat="1" ht="61">
      <c r="A1197">
        <v>426</v>
      </c>
      <c r="B1197" s="69" t="s">
        <v>589</v>
      </c>
      <c r="C1197" s="69" t="s">
        <v>45</v>
      </c>
      <c r="D1197" s="31">
        <f t="shared" si="96"/>
        <v>4</v>
      </c>
      <c r="E1197" s="69" t="s">
        <v>80</v>
      </c>
      <c r="F1197" s="31">
        <f t="shared" si="97"/>
        <v>4</v>
      </c>
      <c r="G1197" s="188" t="s">
        <v>1171</v>
      </c>
      <c r="H1197" s="138">
        <v>82</v>
      </c>
      <c r="I1197" s="92">
        <f t="shared" si="95"/>
        <v>0.39318309497917453</v>
      </c>
      <c r="J1197" s="95">
        <v>3.6366189958349102E-2</v>
      </c>
      <c r="K1197" s="137">
        <v>0.68837559287164596</v>
      </c>
      <c r="L1197" s="137">
        <v>0.75</v>
      </c>
      <c r="M1197" s="137">
        <v>0.59593898217911601</v>
      </c>
      <c r="N1197" s="136">
        <v>1</v>
      </c>
      <c r="O1197" s="154">
        <v>42452</v>
      </c>
      <c r="P1197" s="98">
        <f t="shared" si="98"/>
        <v>0</v>
      </c>
      <c r="Q1197" s="111">
        <v>2.5499999999999998</v>
      </c>
      <c r="R1197" s="111">
        <v>1.65</v>
      </c>
      <c r="S1197" s="111">
        <v>0</v>
      </c>
      <c r="T1197" s="112" t="s">
        <v>48</v>
      </c>
      <c r="U1197" s="188" t="s">
        <v>1214</v>
      </c>
      <c r="V1197" s="188" t="s">
        <v>1215</v>
      </c>
      <c r="W1197" s="69">
        <v>73</v>
      </c>
      <c r="X1197" s="188">
        <v>1</v>
      </c>
      <c r="Y1197" s="188">
        <v>8</v>
      </c>
      <c r="Z1197"/>
      <c r="AA1197" t="s">
        <v>4551</v>
      </c>
      <c r="AB1197" t="s">
        <v>51</v>
      </c>
      <c r="AC1197" t="s">
        <v>223</v>
      </c>
      <c r="AD1197" t="s">
        <v>4639</v>
      </c>
      <c r="AE1197" t="s">
        <v>4530</v>
      </c>
      <c r="AF1197" t="s">
        <v>5094</v>
      </c>
      <c r="AG1197" t="s">
        <v>4353</v>
      </c>
      <c r="AH1197" t="s">
        <v>4506</v>
      </c>
      <c r="AI1197" t="s">
        <v>4353</v>
      </c>
      <c r="AJ1197" t="s">
        <v>4506</v>
      </c>
      <c r="AK1197" t="s">
        <v>4519</v>
      </c>
      <c r="AL1197" t="s">
        <v>4541</v>
      </c>
      <c r="AM1197" t="s">
        <v>4528</v>
      </c>
      <c r="AN1197" t="s">
        <v>4542</v>
      </c>
      <c r="AO1197" s="134">
        <v>60.571428571428598</v>
      </c>
      <c r="AP1197" s="135">
        <v>83.3333333333333</v>
      </c>
      <c r="AQ1197">
        <v>0.66666666666666696</v>
      </c>
      <c r="AR1197" s="136">
        <v>1.3333333333333299</v>
      </c>
      <c r="AS1197">
        <v>13.3333333333333</v>
      </c>
      <c r="AU1197"/>
      <c r="AV1197"/>
      <c r="AW1197"/>
      <c r="AX1197"/>
    </row>
    <row r="1198" spans="1:50" s="69" customFormat="1" ht="91">
      <c r="A1198" s="65">
        <v>972</v>
      </c>
      <c r="B1198" s="69" t="s">
        <v>2618</v>
      </c>
      <c r="C1198" s="69" t="s">
        <v>45</v>
      </c>
      <c r="D1198" s="31">
        <f t="shared" si="96"/>
        <v>4</v>
      </c>
      <c r="E1198" s="69" t="s">
        <v>848</v>
      </c>
      <c r="F1198" s="31">
        <f t="shared" si="97"/>
        <v>9</v>
      </c>
      <c r="G1198" s="188" t="s">
        <v>2635</v>
      </c>
      <c r="H1198" s="138">
        <v>7</v>
      </c>
      <c r="I1198" s="92">
        <f t="shared" si="95"/>
        <v>0.64387535900369353</v>
      </c>
      <c r="J1198" s="95">
        <v>0.53775071800738705</v>
      </c>
      <c r="K1198" s="137">
        <v>0.66929841941894996</v>
      </c>
      <c r="L1198" s="137">
        <v>0.75</v>
      </c>
      <c r="M1198" s="137">
        <v>0.54824604854737402</v>
      </c>
      <c r="N1198" s="136">
        <v>1</v>
      </c>
      <c r="O1198" s="154">
        <v>42443</v>
      </c>
      <c r="P1198" s="98">
        <f t="shared" si="98"/>
        <v>1</v>
      </c>
      <c r="Q1198" s="111">
        <v>0</v>
      </c>
      <c r="R1198" s="111">
        <v>0</v>
      </c>
      <c r="S1198" s="111">
        <v>0</v>
      </c>
      <c r="T1198" s="112" t="s">
        <v>73</v>
      </c>
      <c r="U1198" s="152" t="s">
        <v>2636</v>
      </c>
      <c r="V1198" s="188" t="s">
        <v>2637</v>
      </c>
      <c r="W1198" s="69">
        <v>119</v>
      </c>
      <c r="X1198" s="195">
        <v>1</v>
      </c>
      <c r="Y1198" s="195">
        <v>10</v>
      </c>
      <c r="AA1198" t="s">
        <v>4603</v>
      </c>
      <c r="AB1198" t="s">
        <v>51</v>
      </c>
      <c r="AC1198" t="s">
        <v>223</v>
      </c>
      <c r="AD1198" t="s">
        <v>4549</v>
      </c>
      <c r="AE1198" t="s">
        <v>4515</v>
      </c>
      <c r="AF1198" t="s">
        <v>4547</v>
      </c>
      <c r="AG1198" t="s">
        <v>223</v>
      </c>
      <c r="AH1198" t="s">
        <v>4549</v>
      </c>
      <c r="AI1198" t="s">
        <v>4353</v>
      </c>
      <c r="AJ1198" t="s">
        <v>4506</v>
      </c>
      <c r="AK1198" t="s">
        <v>4519</v>
      </c>
      <c r="AL1198" t="s">
        <v>4519</v>
      </c>
      <c r="AM1198" t="s">
        <v>4528</v>
      </c>
      <c r="AN1198" t="s">
        <v>4529</v>
      </c>
      <c r="AO1198" s="134">
        <v>69.5</v>
      </c>
      <c r="AP1198" s="135">
        <v>69.400000000000006</v>
      </c>
      <c r="AQ1198">
        <v>0.4</v>
      </c>
      <c r="AR1198" s="136">
        <v>1.2</v>
      </c>
      <c r="AS1198">
        <v>8.8000000000000007</v>
      </c>
      <c r="AU1198"/>
      <c r="AV1198"/>
      <c r="AW1198"/>
      <c r="AX1198"/>
    </row>
    <row r="1199" spans="1:50" s="69" customFormat="1" ht="91">
      <c r="A1199">
        <v>427</v>
      </c>
      <c r="B1199" s="69" t="s">
        <v>589</v>
      </c>
      <c r="C1199" s="69" t="s">
        <v>45</v>
      </c>
      <c r="D1199" s="31">
        <f t="shared" si="96"/>
        <v>4</v>
      </c>
      <c r="E1199" s="69" t="s">
        <v>80</v>
      </c>
      <c r="F1199" s="31">
        <f t="shared" si="97"/>
        <v>4</v>
      </c>
      <c r="G1199" s="147" t="s">
        <v>1171</v>
      </c>
      <c r="H1199" s="138">
        <v>73</v>
      </c>
      <c r="I1199" s="92">
        <f t="shared" si="95"/>
        <v>0.39318309497917453</v>
      </c>
      <c r="J1199" s="95">
        <v>3.6366189958349102E-2</v>
      </c>
      <c r="K1199" s="137">
        <v>0.71002915755524698</v>
      </c>
      <c r="L1199" s="137">
        <v>0.75</v>
      </c>
      <c r="M1199" s="137">
        <v>0.65007289388811795</v>
      </c>
      <c r="N1199" s="136">
        <v>1</v>
      </c>
      <c r="O1199" s="154">
        <v>42432</v>
      </c>
      <c r="P1199" s="98">
        <f t="shared" si="98"/>
        <v>0</v>
      </c>
      <c r="Q1199" s="111">
        <v>5.0999999999999996</v>
      </c>
      <c r="R1199" s="111">
        <v>0</v>
      </c>
      <c r="S1199" s="111">
        <v>0</v>
      </c>
      <c r="T1199" s="112" t="s">
        <v>48</v>
      </c>
      <c r="U1199" s="147" t="s">
        <v>1216</v>
      </c>
      <c r="V1199" s="137" t="s">
        <v>1217</v>
      </c>
      <c r="W1199" s="69">
        <v>126</v>
      </c>
      <c r="X1199" s="147">
        <v>1</v>
      </c>
      <c r="Y1199" s="147">
        <v>6</v>
      </c>
      <c r="Z1199"/>
      <c r="AA1199" t="s">
        <v>4628</v>
      </c>
      <c r="AB1199" t="s">
        <v>87</v>
      </c>
      <c r="AC1199" t="s">
        <v>4530</v>
      </c>
      <c r="AD1199" t="s">
        <v>4724</v>
      </c>
      <c r="AE1199" t="s">
        <v>4353</v>
      </c>
      <c r="AF1199" t="s">
        <v>4506</v>
      </c>
      <c r="AG1199" t="s">
        <v>223</v>
      </c>
      <c r="AH1199" t="s">
        <v>4675</v>
      </c>
      <c r="AI1199" t="s">
        <v>4353</v>
      </c>
      <c r="AJ1199" t="s">
        <v>4506</v>
      </c>
      <c r="AK1199" t="s">
        <v>4519</v>
      </c>
      <c r="AL1199" t="s">
        <v>4552</v>
      </c>
      <c r="AM1199" t="s">
        <v>4510</v>
      </c>
      <c r="AN1199" t="s">
        <v>4634</v>
      </c>
      <c r="AO1199" s="134">
        <v>68.8</v>
      </c>
      <c r="AP1199" s="135">
        <v>61</v>
      </c>
      <c r="AQ1199">
        <v>0</v>
      </c>
      <c r="AR1199" s="136">
        <v>1.5</v>
      </c>
      <c r="AS1199">
        <v>11</v>
      </c>
      <c r="AU1199"/>
      <c r="AV1199"/>
      <c r="AW1199"/>
      <c r="AX1199"/>
    </row>
    <row r="1200" spans="1:50" s="69" customFormat="1" ht="76">
      <c r="A1200" s="65">
        <v>1012</v>
      </c>
      <c r="B1200" s="69" t="s">
        <v>2638</v>
      </c>
      <c r="C1200" s="69" t="s">
        <v>45</v>
      </c>
      <c r="D1200" s="31">
        <f t="shared" si="96"/>
        <v>4</v>
      </c>
      <c r="E1200" s="69" t="s">
        <v>46</v>
      </c>
      <c r="F1200" s="31">
        <f t="shared" si="97"/>
        <v>6</v>
      </c>
      <c r="G1200" s="89" t="s">
        <v>2746</v>
      </c>
      <c r="H1200" s="138">
        <v>135</v>
      </c>
      <c r="I1200" s="92">
        <f t="shared" si="95"/>
        <v>0.37500016254759383</v>
      </c>
      <c r="J1200" s="95">
        <v>3.2509518765877498E-7</v>
      </c>
      <c r="K1200" s="137">
        <v>0.72222468700001197</v>
      </c>
      <c r="L1200" s="137">
        <v>0.75</v>
      </c>
      <c r="M1200" s="137">
        <v>0.68056171750003003</v>
      </c>
      <c r="N1200" s="136">
        <v>0</v>
      </c>
      <c r="O1200" s="157">
        <v>42431</v>
      </c>
      <c r="P1200" s="98">
        <f t="shared" si="98"/>
        <v>0</v>
      </c>
      <c r="Q1200" s="124">
        <v>0</v>
      </c>
      <c r="R1200" s="124">
        <v>0</v>
      </c>
      <c r="S1200" s="124">
        <v>0</v>
      </c>
      <c r="T1200" s="125" t="s">
        <v>48</v>
      </c>
      <c r="U1200" s="172" t="s">
        <v>2747</v>
      </c>
      <c r="V1200" s="172" t="s">
        <v>2748</v>
      </c>
      <c r="W1200" s="69">
        <v>74</v>
      </c>
      <c r="X1200" s="69">
        <v>1</v>
      </c>
      <c r="Y1200" s="69">
        <v>5</v>
      </c>
      <c r="AA1200" t="s">
        <v>4619</v>
      </c>
      <c r="AB1200" t="s">
        <v>4594</v>
      </c>
      <c r="AC1200" t="s">
        <v>4515</v>
      </c>
      <c r="AD1200" t="s">
        <v>4813</v>
      </c>
      <c r="AE1200" t="s">
        <v>4515</v>
      </c>
      <c r="AF1200" t="s">
        <v>4813</v>
      </c>
      <c r="AG1200" t="s">
        <v>4353</v>
      </c>
      <c r="AH1200" t="s">
        <v>4506</v>
      </c>
      <c r="AI1200" t="s">
        <v>4353</v>
      </c>
      <c r="AJ1200" t="s">
        <v>4506</v>
      </c>
      <c r="AK1200" t="s">
        <v>4519</v>
      </c>
      <c r="AL1200" t="s">
        <v>4552</v>
      </c>
      <c r="AM1200" t="s">
        <v>4520</v>
      </c>
      <c r="AN1200" t="s">
        <v>4652</v>
      </c>
      <c r="AO1200" s="134">
        <v>52.25</v>
      </c>
      <c r="AP1200" s="135">
        <v>61</v>
      </c>
      <c r="AQ1200">
        <v>0</v>
      </c>
      <c r="AR1200" s="136">
        <v>1.5</v>
      </c>
      <c r="AS1200">
        <v>11</v>
      </c>
      <c r="AU1200"/>
      <c r="AV1200"/>
      <c r="AW1200"/>
      <c r="AX1200"/>
    </row>
    <row r="1201" spans="1:50" s="69" customFormat="1" ht="46">
      <c r="A1201" s="65">
        <v>192</v>
      </c>
      <c r="B1201" s="69" t="s">
        <v>499</v>
      </c>
      <c r="C1201" s="69" t="s">
        <v>59</v>
      </c>
      <c r="D1201" s="31">
        <f t="shared" si="96"/>
        <v>5</v>
      </c>
      <c r="E1201" s="69" t="s">
        <v>80</v>
      </c>
      <c r="F1201" s="31">
        <f t="shared" si="97"/>
        <v>4</v>
      </c>
      <c r="G1201" s="137" t="s">
        <v>587</v>
      </c>
      <c r="H1201" s="138">
        <v>12</v>
      </c>
      <c r="I1201" s="92">
        <f t="shared" si="95"/>
        <v>0.46727424077736601</v>
      </c>
      <c r="J1201" s="95">
        <v>0.25273029973654998</v>
      </c>
      <c r="K1201" s="137">
        <v>0.61956949249917204</v>
      </c>
      <c r="L1201" s="137">
        <v>0.68181818181818199</v>
      </c>
      <c r="M1201" s="137">
        <v>0.526196458520657</v>
      </c>
      <c r="N1201" s="136">
        <v>1</v>
      </c>
      <c r="O1201" s="154">
        <v>42429</v>
      </c>
      <c r="P1201" s="98">
        <f t="shared" si="98"/>
        <v>1</v>
      </c>
      <c r="Q1201" s="113">
        <v>2.5499999999999998</v>
      </c>
      <c r="R1201" s="113">
        <v>4.95</v>
      </c>
      <c r="S1201" s="113">
        <v>1.87</v>
      </c>
      <c r="T1201" s="114" t="s">
        <v>73</v>
      </c>
      <c r="U1201" s="152" t="s">
        <v>587</v>
      </c>
      <c r="V1201" s="137" t="s">
        <v>588</v>
      </c>
      <c r="W1201" s="69">
        <v>25</v>
      </c>
      <c r="X1201" s="171">
        <v>2</v>
      </c>
      <c r="Y1201" s="171">
        <v>11</v>
      </c>
      <c r="Z1201"/>
      <c r="AA1201" t="s">
        <v>4543</v>
      </c>
      <c r="AB1201" t="s">
        <v>4594</v>
      </c>
      <c r="AC1201" t="s">
        <v>223</v>
      </c>
      <c r="AD1201" t="s">
        <v>4577</v>
      </c>
      <c r="AE1201" t="s">
        <v>223</v>
      </c>
      <c r="AF1201" t="s">
        <v>4577</v>
      </c>
      <c r="AG1201" t="s">
        <v>4353</v>
      </c>
      <c r="AH1201" t="s">
        <v>4506</v>
      </c>
      <c r="AI1201" t="s">
        <v>4353</v>
      </c>
      <c r="AJ1201" t="s">
        <v>4506</v>
      </c>
      <c r="AK1201" t="s">
        <v>4519</v>
      </c>
      <c r="AL1201" t="s">
        <v>4519</v>
      </c>
      <c r="AM1201" t="s">
        <v>4562</v>
      </c>
      <c r="AN1201" t="s">
        <v>4563</v>
      </c>
      <c r="AO1201" s="134">
        <v>65.6666666666667</v>
      </c>
      <c r="AP1201" s="135">
        <v>61</v>
      </c>
      <c r="AQ1201">
        <v>0</v>
      </c>
      <c r="AR1201" s="136">
        <v>1.5</v>
      </c>
      <c r="AS1201">
        <v>12.8571428571429</v>
      </c>
      <c r="AU1201"/>
      <c r="AV1201"/>
      <c r="AW1201"/>
      <c r="AX1201"/>
    </row>
    <row r="1202" spans="1:50" s="69" customFormat="1" ht="106">
      <c r="A1202">
        <v>830</v>
      </c>
      <c r="B1202" s="69" t="s">
        <v>2179</v>
      </c>
      <c r="C1202" s="69" t="s">
        <v>45</v>
      </c>
      <c r="D1202" s="31">
        <f t="shared" si="96"/>
        <v>4</v>
      </c>
      <c r="E1202" s="69" t="s">
        <v>46</v>
      </c>
      <c r="F1202" s="31">
        <f t="shared" si="97"/>
        <v>6</v>
      </c>
      <c r="G1202" s="137" t="s">
        <v>2261</v>
      </c>
      <c r="H1202" s="138">
        <v>95</v>
      </c>
      <c r="I1202" s="92">
        <f t="shared" si="95"/>
        <v>0.70899309364871343</v>
      </c>
      <c r="J1202" s="95">
        <v>0.73616800547924499</v>
      </c>
      <c r="K1202" s="137">
        <v>0.466233766233766</v>
      </c>
      <c r="L1202" s="137">
        <v>0.68181818181818199</v>
      </c>
      <c r="M1202" s="137">
        <v>0.14285714285714299</v>
      </c>
      <c r="N1202" s="136">
        <v>1</v>
      </c>
      <c r="O1202" s="154">
        <v>42407</v>
      </c>
      <c r="P1202" s="98">
        <f t="shared" si="98"/>
        <v>1</v>
      </c>
      <c r="Q1202" s="113">
        <v>0</v>
      </c>
      <c r="R1202" s="113">
        <v>0</v>
      </c>
      <c r="S1202" s="113">
        <v>0</v>
      </c>
      <c r="T1202" s="114" t="s">
        <v>73</v>
      </c>
      <c r="U1202" s="189" t="s">
        <v>2262</v>
      </c>
      <c r="V1202" s="136" t="s">
        <v>2263</v>
      </c>
      <c r="W1202" s="69">
        <v>153</v>
      </c>
      <c r="X1202" s="195">
        <v>4</v>
      </c>
      <c r="Y1202" s="195">
        <v>36</v>
      </c>
      <c r="AA1202" t="s">
        <v>4564</v>
      </c>
      <c r="AB1202" t="s">
        <v>87</v>
      </c>
      <c r="AC1202" t="s">
        <v>4530</v>
      </c>
      <c r="AD1202" t="s">
        <v>5023</v>
      </c>
      <c r="AE1202" t="s">
        <v>4353</v>
      </c>
      <c r="AF1202" t="s">
        <v>4506</v>
      </c>
      <c r="AG1202" t="s">
        <v>4353</v>
      </c>
      <c r="AH1202" t="s">
        <v>4506</v>
      </c>
      <c r="AI1202" t="s">
        <v>4353</v>
      </c>
      <c r="AJ1202" t="s">
        <v>4506</v>
      </c>
      <c r="AK1202" t="s">
        <v>4519</v>
      </c>
      <c r="AL1202" t="s">
        <v>4519</v>
      </c>
      <c r="AM1202" t="s">
        <v>4528</v>
      </c>
      <c r="AN1202" t="s">
        <v>4529</v>
      </c>
      <c r="AO1202" s="134">
        <v>51</v>
      </c>
      <c r="AP1202" s="135">
        <v>61</v>
      </c>
      <c r="AQ1202">
        <v>0</v>
      </c>
      <c r="AR1202" s="136">
        <v>1</v>
      </c>
      <c r="AS1202">
        <v>11</v>
      </c>
      <c r="AU1202"/>
      <c r="AV1202"/>
      <c r="AW1202"/>
      <c r="AX1202"/>
    </row>
    <row r="1203" spans="1:50" s="69" customFormat="1" ht="46">
      <c r="A1203" s="65">
        <v>428</v>
      </c>
      <c r="B1203" s="69" t="s">
        <v>589</v>
      </c>
      <c r="C1203" s="69" t="s">
        <v>45</v>
      </c>
      <c r="D1203" s="31">
        <f t="shared" si="96"/>
        <v>4</v>
      </c>
      <c r="E1203" s="69" t="s">
        <v>80</v>
      </c>
      <c r="F1203" s="31">
        <f t="shared" si="97"/>
        <v>4</v>
      </c>
      <c r="G1203" s="152" t="s">
        <v>1218</v>
      </c>
      <c r="H1203" s="138">
        <v>31</v>
      </c>
      <c r="I1203" s="92">
        <f t="shared" si="95"/>
        <v>0.46715755505530249</v>
      </c>
      <c r="J1203" s="95">
        <v>0.184315110110605</v>
      </c>
      <c r="K1203" s="137">
        <v>0.643968498544915</v>
      </c>
      <c r="L1203" s="137">
        <v>0.75</v>
      </c>
      <c r="M1203" s="137">
        <v>0.48492124636228701</v>
      </c>
      <c r="N1203" s="136">
        <v>1</v>
      </c>
      <c r="O1203" s="154">
        <v>42404</v>
      </c>
      <c r="P1203" s="98">
        <f t="shared" si="98"/>
        <v>0</v>
      </c>
      <c r="Q1203" s="111">
        <v>2.5499999999999998</v>
      </c>
      <c r="R1203" s="111">
        <v>0</v>
      </c>
      <c r="S1203" s="111">
        <v>1.87</v>
      </c>
      <c r="T1203" s="112" t="s">
        <v>48</v>
      </c>
      <c r="U1203" s="169" t="s">
        <v>1219</v>
      </c>
      <c r="V1203" s="137" t="s">
        <v>1220</v>
      </c>
      <c r="W1203" s="69">
        <v>61</v>
      </c>
      <c r="X1203" s="171">
        <v>2</v>
      </c>
      <c r="Y1203" s="171">
        <v>13</v>
      </c>
      <c r="Z1203"/>
      <c r="AA1203" t="s">
        <v>4543</v>
      </c>
      <c r="AB1203" t="s">
        <v>51</v>
      </c>
      <c r="AC1203" t="s">
        <v>223</v>
      </c>
      <c r="AD1203" t="s">
        <v>4734</v>
      </c>
      <c r="AE1203" t="s">
        <v>4515</v>
      </c>
      <c r="AF1203" t="s">
        <v>4561</v>
      </c>
      <c r="AG1203" t="s">
        <v>4353</v>
      </c>
      <c r="AH1203" t="s">
        <v>4506</v>
      </c>
      <c r="AI1203" t="s">
        <v>4353</v>
      </c>
      <c r="AJ1203" t="s">
        <v>4506</v>
      </c>
      <c r="AK1203" t="s">
        <v>4519</v>
      </c>
      <c r="AL1203" t="s">
        <v>4552</v>
      </c>
      <c r="AM1203" t="s">
        <v>4528</v>
      </c>
      <c r="AN1203" t="s">
        <v>4618</v>
      </c>
      <c r="AO1203" s="134">
        <v>71</v>
      </c>
      <c r="AP1203" s="135">
        <v>61</v>
      </c>
      <c r="AQ1203">
        <v>0</v>
      </c>
      <c r="AR1203" s="136">
        <v>1</v>
      </c>
      <c r="AS1203">
        <v>11</v>
      </c>
      <c r="AU1203"/>
      <c r="AV1203"/>
      <c r="AW1203"/>
      <c r="AX1203"/>
    </row>
    <row r="1204" spans="1:50" s="69" customFormat="1" ht="46">
      <c r="A1204" s="65">
        <v>429</v>
      </c>
      <c r="B1204" s="69" t="s">
        <v>589</v>
      </c>
      <c r="C1204" s="69" t="s">
        <v>45</v>
      </c>
      <c r="D1204" s="31">
        <f t="shared" si="96"/>
        <v>4</v>
      </c>
      <c r="E1204" s="69" t="s">
        <v>80</v>
      </c>
      <c r="F1204" s="31">
        <f t="shared" si="97"/>
        <v>4</v>
      </c>
      <c r="G1204" s="188" t="s">
        <v>1171</v>
      </c>
      <c r="H1204" s="138">
        <v>71</v>
      </c>
      <c r="I1204" s="92">
        <f t="shared" si="95"/>
        <v>0.37517421194411471</v>
      </c>
      <c r="J1204" s="95">
        <v>3.48423888229421E-4</v>
      </c>
      <c r="K1204" s="137">
        <v>0.67857142857142805</v>
      </c>
      <c r="L1204" s="137">
        <v>0.75</v>
      </c>
      <c r="M1204" s="137">
        <v>0.57142857142857095</v>
      </c>
      <c r="N1204" s="136">
        <v>1</v>
      </c>
      <c r="O1204" s="154">
        <v>42389</v>
      </c>
      <c r="P1204" s="98">
        <f t="shared" si="98"/>
        <v>0</v>
      </c>
      <c r="Q1204" s="111">
        <v>0</v>
      </c>
      <c r="R1204" s="111">
        <v>0</v>
      </c>
      <c r="S1204" s="111">
        <v>0</v>
      </c>
      <c r="T1204" s="112" t="s">
        <v>48</v>
      </c>
      <c r="U1204" s="188" t="s">
        <v>1221</v>
      </c>
      <c r="V1204" s="137" t="s">
        <v>1220</v>
      </c>
      <c r="W1204" s="69">
        <v>61</v>
      </c>
      <c r="X1204" s="195">
        <v>1</v>
      </c>
      <c r="Y1204" s="195">
        <v>9</v>
      </c>
      <c r="Z1204"/>
      <c r="AA1204" t="s">
        <v>4512</v>
      </c>
      <c r="AB1204" t="s">
        <v>51</v>
      </c>
      <c r="AC1204" t="s">
        <v>223</v>
      </c>
      <c r="AD1204" t="s">
        <v>4734</v>
      </c>
      <c r="AE1204" t="s">
        <v>4515</v>
      </c>
      <c r="AF1204" t="s">
        <v>4561</v>
      </c>
      <c r="AG1204" t="s">
        <v>4353</v>
      </c>
      <c r="AH1204" t="s">
        <v>4506</v>
      </c>
      <c r="AI1204" t="s">
        <v>4353</v>
      </c>
      <c r="AJ1204" t="s">
        <v>4506</v>
      </c>
      <c r="AK1204" t="s">
        <v>4519</v>
      </c>
      <c r="AL1204" t="s">
        <v>4519</v>
      </c>
      <c r="AM1204" t="s">
        <v>4510</v>
      </c>
      <c r="AN1204" t="s">
        <v>4550</v>
      </c>
      <c r="AO1204" s="134" t="e">
        <v>#DIV/0!</v>
      </c>
      <c r="AP1204" s="135" t="e">
        <v>#DIV/0!</v>
      </c>
      <c r="AQ1204" t="e">
        <v>#DIV/0!</v>
      </c>
      <c r="AR1204" s="136" t="e">
        <v>#DIV/0!</v>
      </c>
      <c r="AS1204" t="e">
        <v>#DIV/0!</v>
      </c>
      <c r="AU1204"/>
      <c r="AV1204"/>
      <c r="AW1204"/>
      <c r="AX1204"/>
    </row>
    <row r="1205" spans="1:50">
      <c r="Q1205" s="240"/>
      <c r="R1205" s="240"/>
      <c r="S1205" s="240"/>
      <c r="T1205" s="241"/>
      <c r="V1205" s="65"/>
      <c r="W1205" s="65"/>
      <c r="X1205" s="65"/>
      <c r="Y1205" s="65"/>
      <c r="Z1205" s="65"/>
      <c r="AL1205" s="72"/>
      <c r="AN1205" s="72"/>
      <c r="AO1205" s="96"/>
      <c r="AP1205" s="242"/>
      <c r="AQ1205" s="72"/>
      <c r="AU1205" s="72"/>
      <c r="AV1205" s="72"/>
      <c r="AW1205" s="72"/>
      <c r="AX1205" s="72"/>
    </row>
    <row r="1206" spans="1:50">
      <c r="Q1206" s="240"/>
      <c r="R1206" s="240"/>
      <c r="S1206" s="240"/>
      <c r="T1206" s="241"/>
      <c r="V1206" s="65"/>
      <c r="W1206" s="65"/>
      <c r="X1206" s="65"/>
      <c r="Y1206" s="65"/>
      <c r="Z1206" s="65"/>
      <c r="AL1206" s="72"/>
      <c r="AN1206" s="72"/>
      <c r="AO1206" s="96"/>
      <c r="AP1206" s="242"/>
      <c r="AQ1206" s="72"/>
      <c r="AU1206" s="72"/>
      <c r="AV1206" s="72"/>
      <c r="AW1206" s="72"/>
      <c r="AX1206" s="72"/>
    </row>
    <row r="1207" spans="1:50">
      <c r="Q1207" s="240"/>
      <c r="R1207" s="240"/>
      <c r="S1207" s="240"/>
      <c r="T1207" s="241"/>
      <c r="V1207" s="65"/>
      <c r="W1207" s="65"/>
      <c r="X1207" s="65"/>
      <c r="Y1207" s="65"/>
      <c r="Z1207" s="65"/>
      <c r="AL1207" s="72"/>
      <c r="AN1207" s="72"/>
      <c r="AO1207" s="96"/>
      <c r="AP1207" s="242"/>
      <c r="AQ1207" s="72"/>
      <c r="AU1207" s="72"/>
      <c r="AV1207" s="72"/>
      <c r="AW1207" s="72"/>
      <c r="AX1207" s="72"/>
    </row>
    <row r="1208" spans="1:50">
      <c r="Q1208" s="240"/>
      <c r="R1208" s="240"/>
      <c r="S1208" s="240"/>
      <c r="T1208" s="241"/>
      <c r="V1208" s="65"/>
      <c r="W1208" s="65"/>
      <c r="X1208" s="65"/>
      <c r="Y1208" s="65"/>
      <c r="Z1208" s="65"/>
      <c r="AL1208" s="72"/>
      <c r="AN1208" s="72"/>
      <c r="AO1208" s="96"/>
      <c r="AP1208" s="242"/>
      <c r="AQ1208" s="72"/>
      <c r="AU1208" s="72"/>
      <c r="AV1208" s="72"/>
      <c r="AW1208" s="72"/>
      <c r="AX1208" s="72"/>
    </row>
    <row r="1209" spans="1:50">
      <c r="Q1209" s="240"/>
      <c r="R1209" s="240"/>
      <c r="S1209" s="240"/>
      <c r="T1209" s="241"/>
      <c r="V1209" s="65"/>
      <c r="W1209" s="65"/>
      <c r="X1209" s="65"/>
      <c r="Y1209" s="65"/>
      <c r="Z1209" s="65"/>
      <c r="AL1209" s="72"/>
      <c r="AN1209" s="72"/>
      <c r="AO1209" s="96"/>
      <c r="AP1209" s="242"/>
      <c r="AQ1209" s="72"/>
      <c r="AU1209" s="72"/>
      <c r="AV1209" s="72"/>
      <c r="AW1209" s="72"/>
      <c r="AX1209" s="72"/>
    </row>
    <row r="1210" spans="1:50">
      <c r="Q1210" s="240"/>
      <c r="R1210" s="240"/>
      <c r="S1210" s="240"/>
      <c r="T1210" s="241"/>
      <c r="V1210" s="65"/>
      <c r="W1210" s="65"/>
      <c r="X1210" s="65"/>
      <c r="Y1210" s="65"/>
      <c r="Z1210" s="65"/>
      <c r="AL1210" s="72"/>
      <c r="AN1210" s="72"/>
      <c r="AO1210" s="96"/>
      <c r="AP1210" s="242"/>
      <c r="AQ1210" s="72"/>
      <c r="AU1210" s="72"/>
      <c r="AV1210" s="72"/>
      <c r="AW1210" s="72"/>
      <c r="AX1210" s="72"/>
    </row>
    <row r="1211" spans="1:50">
      <c r="Q1211" s="240"/>
      <c r="R1211" s="240"/>
      <c r="S1211" s="240"/>
      <c r="T1211" s="241"/>
      <c r="V1211" s="65"/>
      <c r="W1211" s="65"/>
      <c r="X1211" s="65"/>
      <c r="Y1211" s="65"/>
      <c r="Z1211" s="65"/>
      <c r="AL1211" s="72"/>
      <c r="AN1211" s="72"/>
      <c r="AO1211" s="96"/>
      <c r="AP1211" s="242"/>
      <c r="AQ1211" s="72"/>
      <c r="AU1211" s="72"/>
      <c r="AV1211" s="72"/>
      <c r="AW1211" s="72"/>
      <c r="AX1211" s="72"/>
    </row>
    <row r="1212" spans="1:50">
      <c r="Q1212" s="240"/>
      <c r="R1212" s="240"/>
      <c r="S1212" s="240"/>
      <c r="T1212" s="241"/>
      <c r="V1212" s="65"/>
      <c r="W1212" s="65"/>
      <c r="X1212" s="65"/>
      <c r="Y1212" s="65"/>
      <c r="Z1212" s="65"/>
      <c r="AL1212" s="72"/>
      <c r="AN1212" s="72"/>
      <c r="AO1212" s="96"/>
      <c r="AP1212" s="242"/>
      <c r="AQ1212" s="72"/>
      <c r="AU1212" s="72"/>
      <c r="AV1212" s="72"/>
      <c r="AW1212" s="72"/>
      <c r="AX1212" s="72"/>
    </row>
    <row r="1213" spans="1:50">
      <c r="Q1213" s="240"/>
      <c r="R1213" s="240"/>
      <c r="S1213" s="240"/>
      <c r="T1213" s="241"/>
      <c r="V1213" s="65"/>
      <c r="W1213" s="65"/>
      <c r="X1213" s="65"/>
      <c r="Y1213" s="65"/>
      <c r="Z1213" s="65"/>
      <c r="AL1213" s="72"/>
      <c r="AN1213" s="72"/>
      <c r="AO1213" s="96"/>
      <c r="AP1213" s="242"/>
      <c r="AQ1213" s="72"/>
      <c r="AU1213" s="72"/>
      <c r="AV1213" s="72"/>
      <c r="AW1213" s="72"/>
      <c r="AX1213" s="72"/>
    </row>
    <row r="1214" spans="1:50">
      <c r="Q1214" s="240"/>
      <c r="R1214" s="240"/>
      <c r="S1214" s="240"/>
      <c r="T1214" s="241"/>
      <c r="V1214" s="65"/>
      <c r="W1214" s="65"/>
      <c r="X1214" s="65"/>
      <c r="Y1214" s="65"/>
      <c r="Z1214" s="65"/>
      <c r="AL1214" s="72"/>
      <c r="AN1214" s="72"/>
      <c r="AO1214" s="96"/>
      <c r="AP1214" s="242"/>
      <c r="AQ1214" s="72"/>
      <c r="AU1214" s="72"/>
      <c r="AV1214" s="72"/>
      <c r="AW1214" s="72"/>
      <c r="AX1214" s="72"/>
    </row>
    <row r="1215" spans="1:50">
      <c r="Q1215" s="240"/>
      <c r="R1215" s="240"/>
      <c r="S1215" s="240"/>
      <c r="T1215" s="241"/>
      <c r="V1215" s="65"/>
      <c r="W1215" s="65"/>
      <c r="X1215" s="65"/>
      <c r="Y1215" s="65"/>
      <c r="Z1215" s="65"/>
      <c r="AL1215" s="72"/>
      <c r="AN1215" s="72"/>
      <c r="AO1215" s="96"/>
      <c r="AP1215" s="242"/>
      <c r="AQ1215" s="72"/>
      <c r="AU1215" s="72"/>
      <c r="AV1215" s="72"/>
      <c r="AW1215" s="72"/>
      <c r="AX1215" s="72"/>
    </row>
    <row r="1216" spans="1:50">
      <c r="Q1216" s="240"/>
      <c r="R1216" s="240"/>
      <c r="S1216" s="240"/>
      <c r="T1216" s="241"/>
      <c r="V1216" s="65"/>
      <c r="W1216" s="65"/>
      <c r="X1216" s="65"/>
      <c r="Y1216" s="65"/>
      <c r="Z1216" s="65"/>
      <c r="AL1216" s="72"/>
      <c r="AN1216" s="72"/>
      <c r="AO1216" s="96"/>
      <c r="AP1216" s="242"/>
      <c r="AQ1216" s="72"/>
      <c r="AU1216" s="72"/>
      <c r="AV1216" s="72"/>
      <c r="AW1216" s="72"/>
      <c r="AX1216" s="72"/>
    </row>
    <row r="1217" spans="17:50">
      <c r="Q1217" s="240"/>
      <c r="R1217" s="240"/>
      <c r="S1217" s="240"/>
      <c r="T1217" s="241"/>
      <c r="V1217" s="65"/>
      <c r="W1217" s="65"/>
      <c r="X1217" s="65"/>
      <c r="Y1217" s="65"/>
      <c r="Z1217" s="65"/>
      <c r="AL1217" s="72"/>
      <c r="AN1217" s="72"/>
      <c r="AO1217" s="96"/>
      <c r="AP1217" s="242"/>
      <c r="AQ1217" s="72"/>
      <c r="AU1217" s="72"/>
      <c r="AV1217" s="72"/>
      <c r="AW1217" s="72"/>
      <c r="AX1217" s="72"/>
    </row>
    <row r="1218" spans="17:50">
      <c r="Q1218" s="240"/>
      <c r="R1218" s="240"/>
      <c r="S1218" s="240"/>
      <c r="T1218" s="241"/>
      <c r="V1218" s="65"/>
      <c r="W1218" s="65"/>
      <c r="X1218" s="65"/>
      <c r="Y1218" s="65"/>
      <c r="Z1218" s="65"/>
      <c r="AL1218" s="72"/>
      <c r="AN1218" s="72"/>
      <c r="AO1218" s="96"/>
      <c r="AP1218" s="242"/>
      <c r="AQ1218" s="72"/>
      <c r="AU1218" s="72"/>
      <c r="AV1218" s="72"/>
      <c r="AW1218" s="72"/>
      <c r="AX1218" s="72"/>
    </row>
    <row r="1219" spans="17:50">
      <c r="Q1219" s="240"/>
      <c r="R1219" s="240"/>
      <c r="S1219" s="240"/>
      <c r="T1219" s="241"/>
      <c r="V1219" s="65"/>
      <c r="W1219" s="65"/>
      <c r="X1219" s="65"/>
      <c r="Y1219" s="65"/>
      <c r="Z1219" s="65"/>
      <c r="AL1219" s="72"/>
      <c r="AN1219" s="72"/>
      <c r="AO1219" s="96"/>
      <c r="AP1219" s="242"/>
      <c r="AQ1219" s="72"/>
      <c r="AU1219" s="72"/>
      <c r="AV1219" s="72"/>
      <c r="AW1219" s="72"/>
      <c r="AX1219" s="72"/>
    </row>
    <row r="1220" spans="17:50">
      <c r="Q1220" s="240"/>
      <c r="R1220" s="240"/>
      <c r="S1220" s="240"/>
      <c r="T1220" s="241"/>
      <c r="V1220" s="65"/>
      <c r="W1220" s="65"/>
      <c r="X1220" s="65"/>
      <c r="Y1220" s="65"/>
      <c r="Z1220" s="65"/>
      <c r="AL1220" s="72"/>
      <c r="AN1220" s="72"/>
      <c r="AO1220" s="96"/>
      <c r="AP1220" s="242"/>
      <c r="AQ1220" s="72"/>
      <c r="AU1220" s="72"/>
      <c r="AV1220" s="72"/>
      <c r="AW1220" s="72"/>
      <c r="AX1220" s="72"/>
    </row>
    <row r="1221" spans="17:50">
      <c r="Q1221" s="240"/>
      <c r="R1221" s="240"/>
      <c r="S1221" s="240"/>
      <c r="T1221" s="241"/>
      <c r="V1221" s="65"/>
      <c r="W1221" s="65"/>
      <c r="X1221" s="65"/>
      <c r="Y1221" s="65"/>
      <c r="Z1221" s="65"/>
      <c r="AL1221" s="72"/>
      <c r="AN1221" s="72"/>
      <c r="AO1221" s="96"/>
      <c r="AP1221" s="242"/>
      <c r="AQ1221" s="72"/>
      <c r="AU1221" s="72"/>
      <c r="AV1221" s="72"/>
      <c r="AW1221" s="72"/>
      <c r="AX1221" s="72"/>
    </row>
    <row r="1222" spans="17:50">
      <c r="Q1222" s="240"/>
      <c r="R1222" s="240"/>
      <c r="S1222" s="240"/>
      <c r="T1222" s="241"/>
      <c r="V1222" s="65"/>
      <c r="W1222" s="65"/>
      <c r="X1222" s="65"/>
      <c r="Y1222" s="65"/>
      <c r="Z1222" s="65"/>
      <c r="AL1222" s="72"/>
      <c r="AN1222" s="72"/>
      <c r="AO1222" s="96"/>
      <c r="AP1222" s="242"/>
      <c r="AQ1222" s="72"/>
      <c r="AU1222" s="72"/>
      <c r="AV1222" s="72"/>
      <c r="AW1222" s="72"/>
      <c r="AX1222" s="72"/>
    </row>
    <row r="1223" spans="17:50">
      <c r="Q1223" s="240"/>
      <c r="R1223" s="240"/>
      <c r="S1223" s="240"/>
      <c r="T1223" s="241"/>
      <c r="V1223" s="65"/>
      <c r="W1223" s="65"/>
      <c r="X1223" s="65"/>
      <c r="Y1223" s="65"/>
      <c r="Z1223" s="65"/>
      <c r="AL1223" s="72"/>
      <c r="AN1223" s="72"/>
      <c r="AO1223" s="96"/>
      <c r="AP1223" s="242"/>
      <c r="AQ1223" s="72"/>
      <c r="AU1223" s="72"/>
      <c r="AV1223" s="72"/>
      <c r="AW1223" s="72"/>
      <c r="AX1223" s="72"/>
    </row>
    <row r="1224" spans="17:50">
      <c r="Q1224" s="240"/>
      <c r="R1224" s="240"/>
      <c r="S1224" s="240"/>
      <c r="T1224" s="241"/>
      <c r="V1224" s="65"/>
      <c r="W1224" s="65"/>
      <c r="X1224" s="65"/>
      <c r="Y1224" s="65"/>
      <c r="Z1224" s="65"/>
      <c r="AL1224" s="72"/>
      <c r="AN1224" s="72"/>
      <c r="AO1224" s="96"/>
      <c r="AP1224" s="242"/>
      <c r="AQ1224" s="72"/>
      <c r="AU1224" s="72"/>
      <c r="AV1224" s="72"/>
      <c r="AW1224" s="72"/>
      <c r="AX1224" s="72"/>
    </row>
    <row r="1225" spans="17:50">
      <c r="Q1225" s="240"/>
      <c r="R1225" s="240"/>
      <c r="S1225" s="240"/>
      <c r="T1225" s="241"/>
      <c r="V1225" s="65"/>
      <c r="W1225" s="65"/>
      <c r="X1225" s="65"/>
      <c r="Y1225" s="65"/>
      <c r="Z1225" s="65"/>
      <c r="AL1225" s="72"/>
      <c r="AN1225" s="72"/>
      <c r="AO1225" s="96"/>
      <c r="AP1225" s="242"/>
      <c r="AQ1225" s="72"/>
      <c r="AU1225" s="72"/>
      <c r="AV1225" s="72"/>
      <c r="AW1225" s="72"/>
      <c r="AX1225" s="72"/>
    </row>
    <row r="1226" spans="17:50">
      <c r="Q1226" s="240"/>
      <c r="R1226" s="240"/>
      <c r="S1226" s="240"/>
      <c r="T1226" s="241"/>
      <c r="V1226" s="65"/>
      <c r="W1226" s="65"/>
      <c r="X1226" s="65"/>
      <c r="Y1226" s="65"/>
      <c r="Z1226" s="65"/>
      <c r="AL1226" s="72"/>
      <c r="AN1226" s="72"/>
      <c r="AO1226" s="96"/>
      <c r="AP1226" s="242"/>
      <c r="AQ1226" s="72"/>
      <c r="AU1226" s="72"/>
      <c r="AV1226" s="72"/>
      <c r="AW1226" s="72"/>
      <c r="AX1226" s="72"/>
    </row>
    <row r="1227" spans="17:50">
      <c r="Q1227" s="240"/>
      <c r="R1227" s="240"/>
      <c r="S1227" s="240"/>
      <c r="T1227" s="241"/>
      <c r="V1227" s="65"/>
      <c r="W1227" s="65"/>
      <c r="X1227" s="65"/>
      <c r="Y1227" s="65"/>
      <c r="Z1227" s="65"/>
      <c r="AL1227" s="72"/>
      <c r="AN1227" s="72"/>
      <c r="AO1227" s="96"/>
      <c r="AP1227" s="242"/>
      <c r="AQ1227" s="72"/>
      <c r="AU1227" s="72"/>
      <c r="AV1227" s="72"/>
      <c r="AW1227" s="72"/>
      <c r="AX1227" s="72"/>
    </row>
    <row r="1228" spans="17:50">
      <c r="Q1228" s="240"/>
      <c r="R1228" s="240"/>
      <c r="S1228" s="240"/>
      <c r="T1228" s="241"/>
      <c r="V1228" s="65"/>
      <c r="W1228" s="65"/>
      <c r="X1228" s="65"/>
      <c r="Y1228" s="65"/>
      <c r="Z1228" s="65"/>
      <c r="AL1228" s="72"/>
      <c r="AN1228" s="72"/>
      <c r="AO1228" s="96"/>
      <c r="AP1228" s="242"/>
      <c r="AQ1228" s="72"/>
      <c r="AU1228" s="72"/>
      <c r="AV1228" s="72"/>
      <c r="AW1228" s="72"/>
      <c r="AX1228" s="72"/>
    </row>
    <row r="1229" spans="17:50">
      <c r="Q1229" s="240"/>
      <c r="R1229" s="240"/>
      <c r="S1229" s="240"/>
      <c r="T1229" s="241"/>
      <c r="V1229" s="65"/>
      <c r="W1229" s="65"/>
      <c r="X1229" s="65"/>
      <c r="Y1229" s="65"/>
      <c r="Z1229" s="65"/>
      <c r="AL1229" s="72"/>
      <c r="AN1229" s="72"/>
      <c r="AO1229" s="96"/>
      <c r="AP1229" s="242"/>
      <c r="AQ1229" s="72"/>
      <c r="AU1229" s="72"/>
      <c r="AV1229" s="72"/>
      <c r="AW1229" s="72"/>
      <c r="AX1229" s="72"/>
    </row>
    <row r="1230" spans="17:50">
      <c r="Q1230" s="240"/>
      <c r="R1230" s="240"/>
      <c r="S1230" s="240"/>
      <c r="T1230" s="241"/>
      <c r="V1230" s="65"/>
      <c r="W1230" s="65"/>
      <c r="X1230" s="65"/>
      <c r="Y1230" s="65"/>
      <c r="Z1230" s="65"/>
      <c r="AL1230" s="72"/>
      <c r="AN1230" s="72"/>
      <c r="AO1230" s="96"/>
      <c r="AP1230" s="242"/>
      <c r="AQ1230" s="72"/>
      <c r="AU1230" s="72"/>
      <c r="AV1230" s="72"/>
      <c r="AW1230" s="72"/>
      <c r="AX1230" s="72"/>
    </row>
    <row r="1231" spans="17:50">
      <c r="Q1231" s="240"/>
      <c r="R1231" s="240"/>
      <c r="S1231" s="240"/>
      <c r="T1231" s="241"/>
      <c r="V1231" s="65"/>
      <c r="W1231" s="65"/>
      <c r="X1231" s="65"/>
      <c r="Y1231" s="65"/>
      <c r="Z1231" s="65"/>
      <c r="AL1231" s="72"/>
      <c r="AN1231" s="72"/>
      <c r="AO1231" s="96"/>
      <c r="AP1231" s="242"/>
      <c r="AQ1231" s="72"/>
      <c r="AU1231" s="72"/>
      <c r="AV1231" s="72"/>
      <c r="AW1231" s="72"/>
      <c r="AX1231" s="72"/>
    </row>
    <row r="1232" spans="17:50">
      <c r="Q1232" s="240"/>
      <c r="R1232" s="240"/>
      <c r="S1232" s="240"/>
      <c r="T1232" s="241"/>
      <c r="V1232" s="65"/>
      <c r="W1232" s="65"/>
      <c r="X1232" s="65"/>
      <c r="Y1232" s="65"/>
      <c r="Z1232" s="65"/>
      <c r="AL1232" s="72"/>
      <c r="AN1232" s="72"/>
      <c r="AO1232" s="96"/>
      <c r="AP1232" s="242"/>
      <c r="AQ1232" s="72"/>
      <c r="AU1232" s="72"/>
      <c r="AV1232" s="72"/>
      <c r="AW1232" s="72"/>
      <c r="AX1232" s="72"/>
    </row>
    <row r="1233" spans="17:50">
      <c r="Q1233" s="240"/>
      <c r="R1233" s="240"/>
      <c r="S1233" s="240"/>
      <c r="T1233" s="241"/>
      <c r="V1233" s="65"/>
      <c r="W1233" s="65"/>
      <c r="X1233" s="65"/>
      <c r="Y1233" s="65"/>
      <c r="Z1233" s="65"/>
      <c r="AL1233" s="72"/>
      <c r="AN1233" s="72"/>
      <c r="AO1233" s="96"/>
      <c r="AP1233" s="242"/>
      <c r="AQ1233" s="72"/>
      <c r="AU1233" s="72"/>
      <c r="AV1233" s="72"/>
      <c r="AW1233" s="72"/>
      <c r="AX1233" s="72"/>
    </row>
    <row r="1234" spans="17:50">
      <c r="Q1234" s="240"/>
      <c r="R1234" s="240"/>
      <c r="S1234" s="240"/>
      <c r="T1234" s="241"/>
      <c r="V1234" s="65"/>
      <c r="W1234" s="65"/>
      <c r="X1234" s="65"/>
      <c r="Y1234" s="65"/>
      <c r="Z1234" s="65"/>
      <c r="AL1234" s="72"/>
      <c r="AN1234" s="72"/>
      <c r="AO1234" s="96"/>
      <c r="AP1234" s="242"/>
      <c r="AQ1234" s="72"/>
      <c r="AU1234" s="72"/>
      <c r="AV1234" s="72"/>
      <c r="AW1234" s="72"/>
      <c r="AX1234" s="72"/>
    </row>
    <row r="1235" spans="17:50">
      <c r="Q1235" s="240"/>
      <c r="R1235" s="240"/>
      <c r="S1235" s="240"/>
      <c r="T1235" s="241"/>
      <c r="V1235" s="65"/>
      <c r="W1235" s="65"/>
      <c r="X1235" s="65"/>
      <c r="Y1235" s="65"/>
      <c r="Z1235" s="65"/>
      <c r="AL1235" s="72"/>
      <c r="AN1235" s="72"/>
      <c r="AO1235" s="96"/>
      <c r="AP1235" s="242"/>
      <c r="AQ1235" s="72"/>
      <c r="AU1235" s="72"/>
      <c r="AV1235" s="72"/>
      <c r="AW1235" s="72"/>
      <c r="AX1235" s="72"/>
    </row>
    <row r="1236" spans="17:50">
      <c r="Q1236" s="240"/>
      <c r="R1236" s="240"/>
      <c r="S1236" s="240"/>
      <c r="T1236" s="241"/>
      <c r="V1236" s="65"/>
      <c r="W1236" s="65"/>
      <c r="X1236" s="65"/>
      <c r="Y1236" s="65"/>
      <c r="Z1236" s="65"/>
      <c r="AL1236" s="72"/>
      <c r="AN1236" s="72"/>
      <c r="AO1236" s="96"/>
      <c r="AP1236" s="242"/>
      <c r="AQ1236" s="72"/>
      <c r="AU1236" s="72"/>
      <c r="AV1236" s="72"/>
      <c r="AW1236" s="72"/>
      <c r="AX1236" s="72"/>
    </row>
    <row r="1237" spans="17:50">
      <c r="Q1237" s="240"/>
      <c r="R1237" s="240"/>
      <c r="S1237" s="240"/>
      <c r="T1237" s="241"/>
      <c r="V1237" s="65"/>
      <c r="W1237" s="65"/>
      <c r="X1237" s="65"/>
      <c r="Y1237" s="65"/>
      <c r="Z1237" s="65"/>
      <c r="AL1237" s="72"/>
      <c r="AN1237" s="72"/>
      <c r="AO1237" s="96"/>
      <c r="AP1237" s="242"/>
      <c r="AQ1237" s="72"/>
      <c r="AU1237" s="72"/>
      <c r="AV1237" s="72"/>
      <c r="AW1237" s="72"/>
      <c r="AX1237" s="72"/>
    </row>
    <row r="1238" spans="17:50">
      <c r="Q1238" s="240"/>
      <c r="R1238" s="240"/>
      <c r="S1238" s="240"/>
      <c r="T1238" s="241"/>
      <c r="V1238" s="65"/>
      <c r="W1238" s="65"/>
      <c r="X1238" s="65"/>
      <c r="Y1238" s="65"/>
      <c r="Z1238" s="65"/>
      <c r="AL1238" s="72"/>
      <c r="AN1238" s="72"/>
      <c r="AO1238" s="96"/>
      <c r="AP1238" s="242"/>
      <c r="AQ1238" s="72"/>
      <c r="AU1238" s="72"/>
      <c r="AV1238" s="72"/>
      <c r="AW1238" s="72"/>
      <c r="AX1238" s="72"/>
    </row>
    <row r="1239" spans="17:50">
      <c r="Q1239" s="240"/>
      <c r="R1239" s="240"/>
      <c r="S1239" s="240"/>
      <c r="T1239" s="241"/>
      <c r="V1239" s="65"/>
      <c r="W1239" s="65"/>
      <c r="X1239" s="65"/>
      <c r="Y1239" s="65"/>
      <c r="Z1239" s="65"/>
      <c r="AL1239" s="72"/>
      <c r="AN1239" s="72"/>
      <c r="AO1239" s="96"/>
      <c r="AP1239" s="242"/>
      <c r="AQ1239" s="72"/>
      <c r="AU1239" s="72"/>
      <c r="AV1239" s="72"/>
      <c r="AW1239" s="72"/>
      <c r="AX1239" s="72"/>
    </row>
    <row r="1240" spans="17:50">
      <c r="Q1240" s="240"/>
      <c r="R1240" s="240"/>
      <c r="S1240" s="240"/>
      <c r="T1240" s="241"/>
      <c r="V1240" s="65"/>
      <c r="W1240" s="65"/>
      <c r="X1240" s="65"/>
      <c r="Y1240" s="65"/>
      <c r="Z1240" s="65"/>
      <c r="AL1240" s="72"/>
      <c r="AN1240" s="72"/>
      <c r="AO1240" s="96"/>
      <c r="AP1240" s="242"/>
      <c r="AQ1240" s="72"/>
      <c r="AU1240" s="72"/>
      <c r="AV1240" s="72"/>
      <c r="AW1240" s="72"/>
      <c r="AX1240" s="72"/>
    </row>
    <row r="1241" spans="17:50">
      <c r="Q1241" s="240"/>
      <c r="R1241" s="240"/>
      <c r="S1241" s="240"/>
      <c r="T1241" s="241"/>
      <c r="V1241" s="65"/>
      <c r="W1241" s="65"/>
      <c r="X1241" s="65"/>
      <c r="Y1241" s="65"/>
      <c r="Z1241" s="65"/>
      <c r="AL1241" s="72"/>
      <c r="AN1241" s="72"/>
      <c r="AO1241" s="96"/>
      <c r="AP1241" s="242"/>
      <c r="AQ1241" s="72"/>
      <c r="AU1241" s="72"/>
      <c r="AV1241" s="72"/>
      <c r="AW1241" s="72"/>
      <c r="AX1241" s="72"/>
    </row>
    <row r="1242" spans="17:50">
      <c r="Q1242" s="240"/>
      <c r="R1242" s="240"/>
      <c r="S1242" s="240"/>
      <c r="T1242" s="241"/>
      <c r="V1242" s="65"/>
      <c r="W1242" s="65"/>
      <c r="X1242" s="65"/>
      <c r="Y1242" s="65"/>
      <c r="Z1242" s="65"/>
      <c r="AL1242" s="72"/>
      <c r="AN1242" s="72"/>
      <c r="AO1242" s="96"/>
      <c r="AP1242" s="242"/>
      <c r="AQ1242" s="72"/>
      <c r="AU1242" s="72"/>
      <c r="AV1242" s="72"/>
      <c r="AW1242" s="72"/>
      <c r="AX1242" s="72"/>
    </row>
    <row r="1243" spans="17:50">
      <c r="Q1243" s="240"/>
      <c r="R1243" s="240"/>
      <c r="S1243" s="240"/>
      <c r="T1243" s="241"/>
      <c r="V1243" s="65"/>
      <c r="W1243" s="65"/>
      <c r="X1243" s="65"/>
      <c r="Y1243" s="65"/>
      <c r="Z1243" s="65"/>
      <c r="AL1243" s="72"/>
      <c r="AN1243" s="72"/>
      <c r="AO1243" s="96"/>
      <c r="AP1243" s="242"/>
      <c r="AQ1243" s="72"/>
      <c r="AU1243" s="72"/>
      <c r="AV1243" s="72"/>
      <c r="AW1243" s="72"/>
      <c r="AX1243" s="72"/>
    </row>
    <row r="1244" spans="17:50">
      <c r="Q1244" s="240"/>
      <c r="R1244" s="240"/>
      <c r="S1244" s="240"/>
      <c r="T1244" s="241"/>
      <c r="V1244" s="65"/>
      <c r="W1244" s="65"/>
      <c r="X1244" s="65"/>
      <c r="Y1244" s="65"/>
      <c r="Z1244" s="65"/>
      <c r="AL1244" s="72"/>
      <c r="AN1244" s="72"/>
      <c r="AO1244" s="96"/>
      <c r="AP1244" s="242"/>
      <c r="AQ1244" s="72"/>
      <c r="AU1244" s="72"/>
      <c r="AV1244" s="72"/>
      <c r="AW1244" s="72"/>
      <c r="AX1244" s="72"/>
    </row>
    <row r="1245" spans="17:50">
      <c r="Q1245" s="240"/>
      <c r="R1245" s="240"/>
      <c r="S1245" s="240"/>
      <c r="T1245" s="241"/>
      <c r="V1245" s="65"/>
      <c r="W1245" s="65"/>
      <c r="X1245" s="65"/>
      <c r="Y1245" s="65"/>
      <c r="Z1245" s="65"/>
      <c r="AL1245" s="72"/>
      <c r="AN1245" s="72"/>
      <c r="AO1245" s="96"/>
      <c r="AP1245" s="242"/>
      <c r="AQ1245" s="72"/>
      <c r="AU1245" s="72"/>
      <c r="AV1245" s="72"/>
      <c r="AW1245" s="72"/>
      <c r="AX1245" s="72"/>
    </row>
    <row r="1246" spans="17:50">
      <c r="Q1246" s="240"/>
      <c r="R1246" s="240"/>
      <c r="S1246" s="240"/>
      <c r="T1246" s="241"/>
      <c r="V1246" s="65"/>
      <c r="W1246" s="65"/>
      <c r="X1246" s="65"/>
      <c r="Y1246" s="65"/>
      <c r="Z1246" s="65"/>
      <c r="AL1246" s="72"/>
      <c r="AN1246" s="72"/>
      <c r="AO1246" s="96"/>
      <c r="AP1246" s="242"/>
      <c r="AQ1246" s="72"/>
      <c r="AU1246" s="72"/>
      <c r="AV1246" s="72"/>
      <c r="AW1246" s="72"/>
      <c r="AX1246" s="72"/>
    </row>
    <row r="1247" spans="17:50">
      <c r="Q1247" s="240"/>
      <c r="R1247" s="240"/>
      <c r="S1247" s="240"/>
      <c r="T1247" s="241"/>
      <c r="V1247" s="65"/>
      <c r="W1247" s="65"/>
      <c r="X1247" s="65"/>
      <c r="Y1247" s="65"/>
      <c r="Z1247" s="65"/>
      <c r="AL1247" s="72"/>
      <c r="AN1247" s="72"/>
      <c r="AO1247" s="96"/>
      <c r="AP1247" s="242"/>
      <c r="AQ1247" s="72"/>
      <c r="AU1247" s="72"/>
      <c r="AV1247" s="72"/>
      <c r="AW1247" s="72"/>
      <c r="AX1247" s="72"/>
    </row>
    <row r="1248" spans="17:50">
      <c r="Q1248" s="240"/>
      <c r="R1248" s="240"/>
      <c r="S1248" s="240"/>
      <c r="T1248" s="241"/>
      <c r="V1248" s="65"/>
      <c r="W1248" s="65"/>
      <c r="X1248" s="65"/>
      <c r="Y1248" s="65"/>
      <c r="Z1248" s="65"/>
      <c r="AL1248" s="72"/>
      <c r="AN1248" s="72"/>
      <c r="AO1248" s="96"/>
      <c r="AP1248" s="242"/>
      <c r="AQ1248" s="72"/>
      <c r="AU1248" s="72"/>
      <c r="AV1248" s="72"/>
      <c r="AW1248" s="72"/>
      <c r="AX1248" s="72"/>
    </row>
    <row r="1249" spans="17:50">
      <c r="Q1249" s="240"/>
      <c r="R1249" s="240"/>
      <c r="S1249" s="240"/>
      <c r="T1249" s="241"/>
      <c r="V1249" s="65"/>
      <c r="W1249" s="65"/>
      <c r="X1249" s="65"/>
      <c r="Y1249" s="65"/>
      <c r="Z1249" s="65"/>
      <c r="AL1249" s="72"/>
      <c r="AN1249" s="72"/>
      <c r="AO1249" s="96"/>
      <c r="AP1249" s="242"/>
      <c r="AQ1249" s="72"/>
      <c r="AU1249" s="72"/>
      <c r="AV1249" s="72"/>
      <c r="AW1249" s="72"/>
      <c r="AX1249" s="72"/>
    </row>
    <row r="1250" spans="17:50">
      <c r="Q1250" s="240"/>
      <c r="R1250" s="240"/>
      <c r="S1250" s="240"/>
      <c r="T1250" s="241"/>
      <c r="V1250" s="65"/>
      <c r="W1250" s="65"/>
      <c r="X1250" s="65"/>
      <c r="Y1250" s="65"/>
      <c r="Z1250" s="65"/>
      <c r="AL1250" s="72"/>
      <c r="AN1250" s="72"/>
      <c r="AO1250" s="96"/>
      <c r="AP1250" s="242"/>
      <c r="AQ1250" s="72"/>
      <c r="AU1250" s="72"/>
      <c r="AV1250" s="72"/>
      <c r="AW1250" s="72"/>
      <c r="AX1250" s="72"/>
    </row>
    <row r="1251" spans="17:50">
      <c r="Q1251" s="240"/>
      <c r="R1251" s="240"/>
      <c r="S1251" s="240"/>
      <c r="T1251" s="241"/>
      <c r="V1251" s="65"/>
      <c r="W1251" s="65"/>
      <c r="X1251" s="65"/>
      <c r="Y1251" s="65"/>
      <c r="Z1251" s="65"/>
      <c r="AL1251" s="72"/>
      <c r="AN1251" s="72"/>
      <c r="AO1251" s="96"/>
      <c r="AP1251" s="242"/>
      <c r="AQ1251" s="72"/>
      <c r="AU1251" s="72"/>
      <c r="AV1251" s="72"/>
      <c r="AW1251" s="72"/>
      <c r="AX1251" s="72"/>
    </row>
    <row r="1252" spans="17:50">
      <c r="Q1252" s="240"/>
      <c r="R1252" s="240"/>
      <c r="S1252" s="240"/>
      <c r="T1252" s="241"/>
      <c r="V1252" s="65"/>
      <c r="W1252" s="65"/>
      <c r="X1252" s="65"/>
      <c r="Y1252" s="65"/>
      <c r="Z1252" s="65"/>
      <c r="AL1252" s="72"/>
      <c r="AN1252" s="72"/>
      <c r="AO1252" s="96"/>
      <c r="AP1252" s="242"/>
      <c r="AQ1252" s="72"/>
      <c r="AU1252" s="72"/>
      <c r="AV1252" s="72"/>
      <c r="AW1252" s="72"/>
      <c r="AX1252" s="72"/>
    </row>
    <row r="1253" spans="17:50">
      <c r="Q1253" s="240"/>
      <c r="R1253" s="240"/>
      <c r="S1253" s="240"/>
      <c r="T1253" s="241"/>
      <c r="V1253" s="65"/>
      <c r="W1253" s="65"/>
      <c r="X1253" s="65"/>
      <c r="Y1253" s="65"/>
      <c r="Z1253" s="65"/>
      <c r="AL1253" s="72"/>
      <c r="AN1253" s="72"/>
      <c r="AO1253" s="96"/>
      <c r="AP1253" s="242"/>
      <c r="AQ1253" s="72"/>
      <c r="AU1253" s="72"/>
      <c r="AV1253" s="72"/>
      <c r="AW1253" s="72"/>
      <c r="AX1253" s="72"/>
    </row>
    <row r="1254" spans="17:50">
      <c r="Q1254" s="240"/>
      <c r="R1254" s="240"/>
      <c r="S1254" s="240"/>
      <c r="T1254" s="241"/>
      <c r="V1254" s="65"/>
      <c r="W1254" s="65"/>
      <c r="X1254" s="65"/>
      <c r="Y1254" s="65"/>
      <c r="Z1254" s="65"/>
      <c r="AL1254" s="72"/>
      <c r="AN1254" s="72"/>
      <c r="AO1254" s="96"/>
      <c r="AP1254" s="242"/>
      <c r="AQ1254" s="72"/>
      <c r="AU1254" s="72"/>
      <c r="AV1254" s="72"/>
      <c r="AW1254" s="72"/>
      <c r="AX1254" s="72"/>
    </row>
    <row r="1255" spans="17:50">
      <c r="Q1255" s="240"/>
      <c r="R1255" s="240"/>
      <c r="S1255" s="240"/>
      <c r="T1255" s="241"/>
      <c r="V1255" s="65"/>
      <c r="W1255" s="65"/>
      <c r="X1255" s="65"/>
      <c r="Y1255" s="65"/>
      <c r="Z1255" s="65"/>
      <c r="AL1255" s="72"/>
      <c r="AN1255" s="72"/>
      <c r="AO1255" s="96"/>
      <c r="AP1255" s="242"/>
      <c r="AQ1255" s="72"/>
      <c r="AU1255" s="72"/>
      <c r="AV1255" s="72"/>
      <c r="AW1255" s="72"/>
      <c r="AX1255" s="72"/>
    </row>
    <row r="1256" spans="17:50">
      <c r="Q1256" s="240"/>
      <c r="R1256" s="240"/>
      <c r="S1256" s="240"/>
      <c r="T1256" s="241"/>
      <c r="V1256" s="65"/>
      <c r="W1256" s="65"/>
      <c r="X1256" s="65"/>
      <c r="Y1256" s="65"/>
      <c r="Z1256" s="65"/>
      <c r="AL1256" s="72"/>
      <c r="AN1256" s="72"/>
      <c r="AO1256" s="96"/>
      <c r="AP1256" s="242"/>
      <c r="AQ1256" s="72"/>
      <c r="AU1256" s="72"/>
      <c r="AV1256" s="72"/>
      <c r="AW1256" s="72"/>
      <c r="AX1256" s="72"/>
    </row>
    <row r="1257" spans="17:50">
      <c r="Q1257" s="240"/>
      <c r="R1257" s="240"/>
      <c r="S1257" s="240"/>
      <c r="T1257" s="241"/>
      <c r="V1257" s="65"/>
      <c r="W1257" s="65"/>
      <c r="X1257" s="65"/>
      <c r="Y1257" s="65"/>
      <c r="Z1257" s="65"/>
      <c r="AL1257" s="72"/>
      <c r="AN1257" s="72"/>
      <c r="AO1257" s="96"/>
      <c r="AP1257" s="242"/>
      <c r="AQ1257" s="72"/>
      <c r="AU1257" s="72"/>
      <c r="AV1257" s="72"/>
      <c r="AW1257" s="72"/>
      <c r="AX1257" s="72"/>
    </row>
    <row r="1258" spans="17:50">
      <c r="Q1258" s="240"/>
      <c r="R1258" s="240"/>
      <c r="S1258" s="240"/>
      <c r="T1258" s="241"/>
      <c r="V1258" s="65"/>
      <c r="W1258" s="65"/>
      <c r="X1258" s="65"/>
      <c r="Y1258" s="65"/>
      <c r="Z1258" s="65"/>
      <c r="AL1258" s="72"/>
      <c r="AN1258" s="72"/>
      <c r="AO1258" s="96"/>
      <c r="AP1258" s="242"/>
      <c r="AQ1258" s="72"/>
      <c r="AU1258" s="72"/>
      <c r="AV1258" s="72"/>
      <c r="AW1258" s="72"/>
      <c r="AX1258" s="72"/>
    </row>
    <row r="1259" spans="17:50">
      <c r="Q1259" s="240"/>
      <c r="R1259" s="240"/>
      <c r="S1259" s="240"/>
      <c r="T1259" s="241"/>
      <c r="V1259" s="65"/>
      <c r="W1259" s="65"/>
      <c r="X1259" s="65"/>
      <c r="Y1259" s="65"/>
      <c r="Z1259" s="65"/>
      <c r="AL1259" s="72"/>
      <c r="AN1259" s="72"/>
      <c r="AO1259" s="96"/>
      <c r="AP1259" s="242"/>
      <c r="AQ1259" s="72"/>
      <c r="AU1259" s="72"/>
      <c r="AV1259" s="72"/>
      <c r="AW1259" s="72"/>
      <c r="AX1259" s="72"/>
    </row>
    <row r="1260" spans="17:50">
      <c r="Q1260" s="240"/>
      <c r="R1260" s="240"/>
      <c r="S1260" s="240"/>
      <c r="T1260" s="241"/>
      <c r="V1260" s="65"/>
      <c r="W1260" s="65"/>
      <c r="X1260" s="65"/>
      <c r="Y1260" s="65"/>
      <c r="Z1260" s="65"/>
      <c r="AL1260" s="72"/>
      <c r="AN1260" s="72"/>
      <c r="AO1260" s="96"/>
      <c r="AP1260" s="242"/>
      <c r="AQ1260" s="72"/>
      <c r="AU1260" s="72"/>
      <c r="AV1260" s="72"/>
      <c r="AW1260" s="72"/>
      <c r="AX1260" s="72"/>
    </row>
    <row r="1261" spans="17:50">
      <c r="Q1261" s="240"/>
      <c r="R1261" s="240"/>
      <c r="S1261" s="240"/>
      <c r="T1261" s="241"/>
      <c r="V1261" s="65"/>
      <c r="W1261" s="65"/>
      <c r="X1261" s="65"/>
      <c r="Y1261" s="65"/>
      <c r="Z1261" s="65"/>
      <c r="AL1261" s="72"/>
      <c r="AN1261" s="72"/>
      <c r="AO1261" s="96"/>
      <c r="AP1261" s="242"/>
      <c r="AQ1261" s="72"/>
      <c r="AU1261" s="72"/>
      <c r="AV1261" s="72"/>
      <c r="AW1261" s="72"/>
      <c r="AX1261" s="72"/>
    </row>
    <row r="1262" spans="17:50">
      <c r="Q1262" s="240"/>
      <c r="R1262" s="240"/>
      <c r="S1262" s="240"/>
      <c r="T1262" s="241"/>
      <c r="V1262" s="65"/>
      <c r="W1262" s="65"/>
      <c r="X1262" s="65"/>
      <c r="Y1262" s="65"/>
      <c r="Z1262" s="65"/>
      <c r="AL1262" s="72"/>
      <c r="AN1262" s="72"/>
      <c r="AO1262" s="96"/>
      <c r="AP1262" s="242"/>
      <c r="AQ1262" s="72"/>
      <c r="AU1262" s="72"/>
      <c r="AV1262" s="72"/>
      <c r="AW1262" s="72"/>
      <c r="AX1262" s="72"/>
    </row>
    <row r="1263" spans="17:50">
      <c r="Q1263" s="240"/>
      <c r="R1263" s="240"/>
      <c r="S1263" s="240"/>
      <c r="T1263" s="241"/>
      <c r="V1263" s="65"/>
      <c r="W1263" s="65"/>
      <c r="X1263" s="65"/>
      <c r="Y1263" s="65"/>
      <c r="Z1263" s="65"/>
      <c r="AL1263" s="72"/>
      <c r="AN1263" s="72"/>
      <c r="AO1263" s="96"/>
      <c r="AP1263" s="242"/>
      <c r="AQ1263" s="72"/>
      <c r="AU1263" s="72"/>
      <c r="AV1263" s="72"/>
      <c r="AW1263" s="72"/>
      <c r="AX1263" s="72"/>
    </row>
    <row r="1264" spans="17:50">
      <c r="Q1264" s="240"/>
      <c r="R1264" s="240"/>
      <c r="S1264" s="240"/>
      <c r="T1264" s="241"/>
      <c r="V1264" s="65"/>
      <c r="W1264" s="65"/>
      <c r="X1264" s="65"/>
      <c r="Y1264" s="65"/>
      <c r="Z1264" s="65"/>
      <c r="AL1264" s="72"/>
      <c r="AN1264" s="72"/>
      <c r="AO1264" s="96"/>
      <c r="AP1264" s="242"/>
      <c r="AQ1264" s="72"/>
      <c r="AU1264" s="72"/>
      <c r="AV1264" s="72"/>
      <c r="AW1264" s="72"/>
      <c r="AX1264" s="72"/>
    </row>
    <row r="1265" spans="17:50">
      <c r="Q1265" s="240"/>
      <c r="R1265" s="240"/>
      <c r="S1265" s="240"/>
      <c r="T1265" s="241"/>
      <c r="V1265" s="65"/>
      <c r="W1265" s="65"/>
      <c r="X1265" s="65"/>
      <c r="Y1265" s="65"/>
      <c r="Z1265" s="65"/>
      <c r="AL1265" s="72"/>
      <c r="AN1265" s="72"/>
      <c r="AO1265" s="96"/>
      <c r="AP1265" s="242"/>
      <c r="AQ1265" s="72"/>
      <c r="AU1265" s="72"/>
      <c r="AV1265" s="72"/>
      <c r="AW1265" s="72"/>
      <c r="AX1265" s="72"/>
    </row>
    <row r="1266" spans="17:50">
      <c r="Q1266" s="240"/>
      <c r="R1266" s="240"/>
      <c r="S1266" s="240"/>
      <c r="T1266" s="241"/>
      <c r="V1266" s="65"/>
      <c r="W1266" s="65"/>
      <c r="X1266" s="65"/>
      <c r="Y1266" s="65"/>
      <c r="Z1266" s="65"/>
      <c r="AL1266" s="72"/>
      <c r="AN1266" s="72"/>
      <c r="AO1266" s="96"/>
      <c r="AP1266" s="242"/>
      <c r="AQ1266" s="72"/>
      <c r="AU1266" s="72"/>
      <c r="AV1266" s="72"/>
      <c r="AW1266" s="72"/>
      <c r="AX1266" s="72"/>
    </row>
    <row r="1267" spans="17:50">
      <c r="Q1267" s="240"/>
      <c r="R1267" s="240"/>
      <c r="S1267" s="240"/>
      <c r="T1267" s="241"/>
      <c r="V1267" s="65"/>
      <c r="W1267" s="65"/>
      <c r="X1267" s="65"/>
      <c r="Y1267" s="65"/>
      <c r="Z1267" s="65"/>
      <c r="AL1267" s="72"/>
      <c r="AN1267" s="72"/>
      <c r="AO1267" s="96"/>
      <c r="AP1267" s="242"/>
      <c r="AQ1267" s="72"/>
      <c r="AU1267" s="72"/>
      <c r="AV1267" s="72"/>
      <c r="AW1267" s="72"/>
      <c r="AX1267" s="72"/>
    </row>
    <row r="1268" spans="17:50">
      <c r="Q1268" s="240"/>
      <c r="R1268" s="240"/>
      <c r="S1268" s="240"/>
      <c r="T1268" s="241"/>
      <c r="V1268" s="65"/>
      <c r="W1268" s="65"/>
      <c r="X1268" s="65"/>
      <c r="Y1268" s="65"/>
      <c r="Z1268" s="65"/>
      <c r="AL1268" s="72"/>
      <c r="AN1268" s="72"/>
      <c r="AO1268" s="96"/>
      <c r="AP1268" s="242"/>
      <c r="AQ1268" s="72"/>
      <c r="AU1268" s="72"/>
      <c r="AV1268" s="72"/>
      <c r="AW1268" s="72"/>
      <c r="AX1268" s="72"/>
    </row>
    <row r="1269" spans="17:50">
      <c r="Q1269" s="240"/>
      <c r="R1269" s="240"/>
      <c r="S1269" s="240"/>
      <c r="T1269" s="241"/>
      <c r="V1269" s="65"/>
      <c r="W1269" s="65"/>
      <c r="X1269" s="65"/>
      <c r="Y1269" s="65"/>
      <c r="Z1269" s="65"/>
      <c r="AL1269" s="72"/>
      <c r="AN1269" s="72"/>
      <c r="AO1269" s="96"/>
      <c r="AP1269" s="242"/>
      <c r="AQ1269" s="72"/>
      <c r="AU1269" s="72"/>
      <c r="AV1269" s="72"/>
      <c r="AW1269" s="72"/>
      <c r="AX1269" s="72"/>
    </row>
    <row r="1270" spans="17:50">
      <c r="Q1270" s="240"/>
      <c r="R1270" s="240"/>
      <c r="S1270" s="240"/>
      <c r="T1270" s="241"/>
      <c r="V1270" s="65"/>
      <c r="W1270" s="65"/>
      <c r="X1270" s="65"/>
      <c r="Y1270" s="65"/>
      <c r="Z1270" s="65"/>
      <c r="AL1270" s="72"/>
      <c r="AN1270" s="72"/>
      <c r="AO1270" s="96"/>
      <c r="AP1270" s="242"/>
      <c r="AQ1270" s="72"/>
      <c r="AU1270" s="72"/>
      <c r="AV1270" s="72"/>
      <c r="AW1270" s="72"/>
      <c r="AX1270" s="72"/>
    </row>
    <row r="1271" spans="17:50">
      <c r="Q1271" s="240"/>
      <c r="R1271" s="240"/>
      <c r="S1271" s="240"/>
      <c r="T1271" s="241"/>
      <c r="V1271" s="65"/>
      <c r="W1271" s="65"/>
      <c r="X1271" s="65"/>
      <c r="Y1271" s="65"/>
      <c r="Z1271" s="65"/>
      <c r="AL1271" s="72"/>
      <c r="AN1271" s="72"/>
      <c r="AO1271" s="96"/>
      <c r="AP1271" s="242"/>
      <c r="AQ1271" s="72"/>
      <c r="AU1271" s="72"/>
      <c r="AV1271" s="72"/>
      <c r="AW1271" s="72"/>
      <c r="AX1271" s="72"/>
    </row>
    <row r="1272" spans="17:50">
      <c r="Q1272" s="240"/>
      <c r="R1272" s="240"/>
      <c r="S1272" s="240"/>
      <c r="T1272" s="241"/>
      <c r="V1272" s="65"/>
      <c r="W1272" s="65"/>
      <c r="X1272" s="65"/>
      <c r="Y1272" s="65"/>
      <c r="Z1272" s="65"/>
      <c r="AL1272" s="72"/>
      <c r="AN1272" s="72"/>
      <c r="AO1272" s="96"/>
      <c r="AP1272" s="242"/>
      <c r="AQ1272" s="72"/>
      <c r="AU1272" s="72"/>
      <c r="AV1272" s="72"/>
      <c r="AW1272" s="72"/>
      <c r="AX1272" s="72"/>
    </row>
    <row r="1273" spans="17:50">
      <c r="Q1273" s="240"/>
      <c r="R1273" s="240"/>
      <c r="S1273" s="240"/>
      <c r="T1273" s="241"/>
      <c r="V1273" s="65"/>
      <c r="W1273" s="65"/>
      <c r="X1273" s="65"/>
      <c r="Y1273" s="65"/>
      <c r="Z1273" s="65"/>
      <c r="AL1273" s="72"/>
      <c r="AN1273" s="72"/>
      <c r="AO1273" s="96"/>
      <c r="AP1273" s="242"/>
      <c r="AQ1273" s="72"/>
      <c r="AU1273" s="72"/>
      <c r="AV1273" s="72"/>
      <c r="AW1273" s="72"/>
      <c r="AX1273" s="72"/>
    </row>
    <row r="1274" spans="17:50">
      <c r="Q1274" s="240"/>
      <c r="R1274" s="240"/>
      <c r="S1274" s="240"/>
      <c r="T1274" s="241"/>
      <c r="V1274" s="65"/>
      <c r="W1274" s="65"/>
      <c r="X1274" s="65"/>
      <c r="Y1274" s="65"/>
      <c r="Z1274" s="65"/>
      <c r="AL1274" s="72"/>
      <c r="AN1274" s="72"/>
      <c r="AO1274" s="96"/>
      <c r="AP1274" s="242"/>
      <c r="AQ1274" s="72"/>
      <c r="AU1274" s="72"/>
      <c r="AV1274" s="72"/>
      <c r="AW1274" s="72"/>
      <c r="AX1274" s="72"/>
    </row>
    <row r="1275" spans="17:50">
      <c r="Q1275" s="240"/>
      <c r="R1275" s="240"/>
      <c r="S1275" s="240"/>
      <c r="T1275" s="241"/>
      <c r="V1275" s="65"/>
      <c r="W1275" s="65"/>
      <c r="X1275" s="65"/>
      <c r="Y1275" s="65"/>
      <c r="Z1275" s="65"/>
      <c r="AL1275" s="72"/>
      <c r="AN1275" s="72"/>
      <c r="AO1275" s="96"/>
      <c r="AP1275" s="242"/>
      <c r="AQ1275" s="72"/>
      <c r="AU1275" s="72"/>
      <c r="AV1275" s="72"/>
      <c r="AW1275" s="72"/>
      <c r="AX1275" s="72"/>
    </row>
    <row r="1276" spans="17:50">
      <c r="Q1276" s="240"/>
      <c r="R1276" s="240"/>
      <c r="S1276" s="240"/>
      <c r="T1276" s="241"/>
      <c r="V1276" s="65"/>
      <c r="W1276" s="65"/>
      <c r="X1276" s="65"/>
      <c r="Y1276" s="65"/>
      <c r="Z1276" s="65"/>
      <c r="AL1276" s="72"/>
      <c r="AN1276" s="72"/>
      <c r="AO1276" s="96"/>
      <c r="AP1276" s="242"/>
      <c r="AQ1276" s="72"/>
      <c r="AU1276" s="72"/>
      <c r="AV1276" s="72"/>
      <c r="AW1276" s="72"/>
      <c r="AX1276" s="72"/>
    </row>
    <row r="1277" spans="17:50">
      <c r="Q1277" s="240"/>
      <c r="R1277" s="240"/>
      <c r="S1277" s="240"/>
      <c r="T1277" s="241"/>
      <c r="V1277" s="65"/>
      <c r="W1277" s="65"/>
      <c r="X1277" s="65"/>
      <c r="Y1277" s="65"/>
      <c r="Z1277" s="65"/>
      <c r="AL1277" s="72"/>
      <c r="AN1277" s="72"/>
      <c r="AO1277" s="96"/>
      <c r="AP1277" s="242"/>
      <c r="AQ1277" s="72"/>
      <c r="AU1277" s="72"/>
      <c r="AV1277" s="72"/>
      <c r="AW1277" s="72"/>
      <c r="AX1277" s="72"/>
    </row>
    <row r="1278" spans="17:50">
      <c r="Q1278" s="240"/>
      <c r="R1278" s="240"/>
      <c r="S1278" s="240"/>
      <c r="T1278" s="241"/>
      <c r="V1278" s="65"/>
      <c r="W1278" s="65"/>
      <c r="X1278" s="65"/>
      <c r="Y1278" s="65"/>
      <c r="Z1278" s="65"/>
      <c r="AL1278" s="72"/>
      <c r="AN1278" s="72"/>
      <c r="AO1278" s="96"/>
      <c r="AP1278" s="242"/>
      <c r="AQ1278" s="72"/>
      <c r="AU1278" s="72"/>
      <c r="AV1278" s="72"/>
      <c r="AW1278" s="72"/>
      <c r="AX1278" s="72"/>
    </row>
    <row r="1279" spans="17:50">
      <c r="Q1279" s="240"/>
      <c r="R1279" s="240"/>
      <c r="S1279" s="240"/>
      <c r="T1279" s="241"/>
      <c r="V1279" s="65"/>
      <c r="W1279" s="65"/>
      <c r="X1279" s="65"/>
      <c r="Y1279" s="65"/>
      <c r="Z1279" s="65"/>
      <c r="AL1279" s="72"/>
      <c r="AN1279" s="72"/>
      <c r="AO1279" s="96"/>
      <c r="AP1279" s="242"/>
      <c r="AQ1279" s="72"/>
      <c r="AU1279" s="72"/>
      <c r="AV1279" s="72"/>
      <c r="AW1279" s="72"/>
      <c r="AX1279" s="72"/>
    </row>
    <row r="1280" spans="17:50">
      <c r="Q1280" s="240"/>
      <c r="R1280" s="240"/>
      <c r="S1280" s="240"/>
      <c r="T1280" s="241"/>
      <c r="V1280" s="65"/>
      <c r="W1280" s="65"/>
      <c r="X1280" s="65"/>
      <c r="Y1280" s="65"/>
      <c r="Z1280" s="65"/>
      <c r="AL1280" s="72"/>
      <c r="AN1280" s="72"/>
      <c r="AO1280" s="96"/>
      <c r="AP1280" s="242"/>
      <c r="AQ1280" s="72"/>
      <c r="AU1280" s="72"/>
      <c r="AV1280" s="72"/>
      <c r="AW1280" s="72"/>
      <c r="AX1280" s="72"/>
    </row>
    <row r="1281" spans="17:50">
      <c r="Q1281" s="240"/>
      <c r="R1281" s="240"/>
      <c r="S1281" s="240"/>
      <c r="T1281" s="241"/>
      <c r="V1281" s="65"/>
      <c r="W1281" s="65"/>
      <c r="X1281" s="65"/>
      <c r="Y1281" s="65"/>
      <c r="Z1281" s="65"/>
      <c r="AL1281" s="72"/>
      <c r="AN1281" s="72"/>
      <c r="AO1281" s="96"/>
      <c r="AP1281" s="242"/>
      <c r="AQ1281" s="72"/>
      <c r="AU1281" s="72"/>
      <c r="AV1281" s="72"/>
      <c r="AW1281" s="72"/>
      <c r="AX1281" s="72"/>
    </row>
    <row r="1282" spans="17:50">
      <c r="Q1282" s="240"/>
      <c r="R1282" s="240"/>
      <c r="S1282" s="240"/>
      <c r="T1282" s="241"/>
      <c r="V1282" s="65"/>
      <c r="W1282" s="65"/>
      <c r="X1282" s="65"/>
      <c r="Y1282" s="65"/>
      <c r="Z1282" s="65"/>
      <c r="AL1282" s="72"/>
      <c r="AN1282" s="72"/>
      <c r="AO1282" s="96"/>
      <c r="AP1282" s="242"/>
      <c r="AQ1282" s="72"/>
      <c r="AU1282" s="72"/>
      <c r="AV1282" s="72"/>
      <c r="AW1282" s="72"/>
      <c r="AX1282" s="72"/>
    </row>
    <row r="1283" spans="17:50">
      <c r="Q1283" s="240"/>
      <c r="R1283" s="240"/>
      <c r="S1283" s="240"/>
      <c r="T1283" s="241"/>
      <c r="V1283" s="65"/>
      <c r="W1283" s="65"/>
      <c r="X1283" s="65"/>
      <c r="Y1283" s="65"/>
      <c r="Z1283" s="65"/>
      <c r="AL1283" s="72"/>
      <c r="AN1283" s="72"/>
      <c r="AO1283" s="96"/>
      <c r="AP1283" s="242"/>
      <c r="AQ1283" s="72"/>
      <c r="AU1283" s="72"/>
      <c r="AV1283" s="72"/>
      <c r="AW1283" s="72"/>
      <c r="AX1283" s="72"/>
    </row>
    <row r="1284" spans="17:50">
      <c r="Q1284" s="240"/>
      <c r="R1284" s="240"/>
      <c r="S1284" s="240"/>
      <c r="T1284" s="241"/>
      <c r="V1284" s="65"/>
      <c r="W1284" s="65"/>
      <c r="X1284" s="65"/>
      <c r="Y1284" s="65"/>
      <c r="Z1284" s="65"/>
      <c r="AL1284" s="72"/>
      <c r="AN1284" s="72"/>
      <c r="AO1284" s="96"/>
      <c r="AP1284" s="242"/>
      <c r="AQ1284" s="72"/>
      <c r="AU1284" s="72"/>
      <c r="AV1284" s="72"/>
      <c r="AW1284" s="72"/>
      <c r="AX1284" s="72"/>
    </row>
    <row r="1285" spans="17:50">
      <c r="Q1285" s="240"/>
      <c r="R1285" s="240"/>
      <c r="S1285" s="240"/>
      <c r="T1285" s="241"/>
      <c r="V1285" s="65"/>
      <c r="W1285" s="65"/>
      <c r="X1285" s="65"/>
      <c r="Y1285" s="65"/>
      <c r="Z1285" s="65"/>
      <c r="AL1285" s="72"/>
      <c r="AN1285" s="72"/>
      <c r="AO1285" s="96"/>
      <c r="AP1285" s="242"/>
      <c r="AQ1285" s="72"/>
      <c r="AU1285" s="72"/>
      <c r="AV1285" s="72"/>
      <c r="AW1285" s="72"/>
      <c r="AX1285" s="72"/>
    </row>
    <row r="1286" spans="17:50">
      <c r="Q1286" s="240"/>
      <c r="R1286" s="240"/>
      <c r="S1286" s="240"/>
      <c r="T1286" s="241"/>
      <c r="V1286" s="65"/>
      <c r="W1286" s="65"/>
      <c r="X1286" s="65"/>
      <c r="Y1286" s="65"/>
      <c r="Z1286" s="65"/>
      <c r="AL1286" s="72"/>
      <c r="AN1286" s="72"/>
      <c r="AO1286" s="96"/>
      <c r="AP1286" s="242"/>
      <c r="AQ1286" s="72"/>
      <c r="AU1286" s="72"/>
      <c r="AV1286" s="72"/>
      <c r="AW1286" s="72"/>
      <c r="AX1286" s="72"/>
    </row>
    <row r="1287" spans="17:50">
      <c r="Q1287" s="240"/>
      <c r="R1287" s="240"/>
      <c r="S1287" s="240"/>
      <c r="T1287" s="241"/>
      <c r="V1287" s="65"/>
      <c r="W1287" s="65"/>
      <c r="X1287" s="65"/>
      <c r="Y1287" s="65"/>
      <c r="Z1287" s="65"/>
      <c r="AL1287" s="72"/>
      <c r="AN1287" s="72"/>
      <c r="AO1287" s="96"/>
      <c r="AP1287" s="242"/>
      <c r="AQ1287" s="72"/>
      <c r="AU1287" s="72"/>
      <c r="AV1287" s="72"/>
      <c r="AW1287" s="72"/>
      <c r="AX1287" s="72"/>
    </row>
    <row r="1288" spans="17:50">
      <c r="Q1288" s="240"/>
      <c r="R1288" s="240"/>
      <c r="S1288" s="240"/>
      <c r="T1288" s="241"/>
      <c r="V1288" s="65"/>
      <c r="W1288" s="65"/>
      <c r="X1288" s="65"/>
      <c r="Y1288" s="65"/>
      <c r="Z1288" s="65"/>
      <c r="AL1288" s="72"/>
      <c r="AN1288" s="72"/>
      <c r="AO1288" s="96"/>
      <c r="AP1288" s="242"/>
      <c r="AQ1288" s="72"/>
      <c r="AU1288" s="72"/>
      <c r="AV1288" s="72"/>
      <c r="AW1288" s="72"/>
      <c r="AX1288" s="72"/>
    </row>
    <row r="1289" spans="17:50">
      <c r="Q1289" s="240"/>
      <c r="R1289" s="240"/>
      <c r="S1289" s="240"/>
      <c r="T1289" s="241"/>
      <c r="V1289" s="65"/>
      <c r="W1289" s="65"/>
      <c r="X1289" s="65"/>
      <c r="Y1289" s="65"/>
      <c r="Z1289" s="65"/>
      <c r="AL1289" s="72"/>
      <c r="AN1289" s="72"/>
      <c r="AO1289" s="96"/>
      <c r="AP1289" s="242"/>
      <c r="AQ1289" s="72"/>
      <c r="AU1289" s="72"/>
      <c r="AV1289" s="72"/>
      <c r="AW1289" s="72"/>
      <c r="AX1289" s="72"/>
    </row>
    <row r="1290" spans="17:50">
      <c r="Q1290" s="240"/>
      <c r="R1290" s="240"/>
      <c r="S1290" s="240"/>
      <c r="T1290" s="241"/>
      <c r="V1290" s="65"/>
      <c r="W1290" s="65"/>
      <c r="X1290" s="65"/>
      <c r="Y1290" s="65"/>
      <c r="Z1290" s="65"/>
      <c r="AL1290" s="72"/>
      <c r="AN1290" s="72"/>
      <c r="AO1290" s="96"/>
      <c r="AP1290" s="242"/>
      <c r="AQ1290" s="72"/>
      <c r="AU1290" s="72"/>
      <c r="AV1290" s="72"/>
      <c r="AW1290" s="72"/>
      <c r="AX1290" s="72"/>
    </row>
    <row r="1291" spans="17:50">
      <c r="Q1291" s="240"/>
      <c r="R1291" s="240"/>
      <c r="S1291" s="240"/>
      <c r="T1291" s="241"/>
      <c r="V1291" s="65"/>
      <c r="W1291" s="65"/>
      <c r="X1291" s="65"/>
      <c r="Y1291" s="65"/>
      <c r="Z1291" s="65"/>
      <c r="AL1291" s="72"/>
      <c r="AN1291" s="72"/>
      <c r="AO1291" s="96"/>
      <c r="AP1291" s="242"/>
      <c r="AQ1291" s="72"/>
      <c r="AU1291" s="72"/>
      <c r="AV1291" s="72"/>
      <c r="AW1291" s="72"/>
      <c r="AX1291" s="72"/>
    </row>
  </sheetData>
  <autoFilter ref="A1:AN1204" xr:uid="{00000000-0009-0000-0000-000009000000}"/>
  <phoneticPr fontId="16" type="noConversion"/>
  <hyperlinks>
    <hyperlink ref="G572" r:id="rId1" tooltip="http://fz12345.fuzhou.gov.cn/fzwp/callDetail.jsp?callId=FZ18061600385" xr:uid="{00000000-0004-0000-0900-000000000000}"/>
  </hyperlinks>
  <pageMargins left="0.7" right="0.7" top="0.75" bottom="0.75" header="0.3" footer="0.3"/>
  <pageSetup paperSize="9" orientation="portrait" horizontalDpi="100" verticalDpi="1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207"/>
  <sheetViews>
    <sheetView workbookViewId="0">
      <selection activeCell="G3" sqref="G3:G1205"/>
    </sheetView>
  </sheetViews>
  <sheetFormatPr baseColWidth="10" defaultColWidth="9" defaultRowHeight="15"/>
  <cols>
    <col min="1" max="2" width="8.6640625" style="2"/>
    <col min="3" max="3" width="9.83203125" style="3" customWidth="1"/>
    <col min="4" max="4" width="12.1640625" style="4" customWidth="1"/>
    <col min="5" max="5" width="8.6640625" style="2"/>
    <col min="6" max="6" width="9.5" style="5" customWidth="1"/>
    <col min="7" max="7" width="8.6640625" style="6"/>
    <col min="8" max="9" width="8.6640625" style="3"/>
    <col min="10" max="10" width="12.5" style="7" customWidth="1"/>
    <col min="11" max="11" width="12.5" style="8" customWidth="1"/>
    <col min="12" max="12" width="12.5" style="9" customWidth="1"/>
    <col min="13" max="13" width="8.83203125" style="4" customWidth="1"/>
    <col min="14" max="14" width="8.6640625" style="10"/>
    <col min="15" max="15" width="12.33203125" style="11" customWidth="1"/>
    <col min="16" max="16" width="8.6640625" style="4"/>
    <col min="17" max="17" width="11.33203125" style="4" customWidth="1"/>
    <col min="18" max="18" width="8.6640625" style="4"/>
    <col min="19" max="19" width="12.83203125" style="4" customWidth="1"/>
    <col min="20" max="20" width="8.6640625" style="4"/>
    <col min="21" max="21" width="12.83203125" style="4" customWidth="1"/>
  </cols>
  <sheetData>
    <row r="1" spans="1:23" s="1" customFormat="1" ht="32">
      <c r="A1" s="12" t="s">
        <v>5095</v>
      </c>
      <c r="B1" s="12" t="s">
        <v>1</v>
      </c>
      <c r="C1" s="13" t="s">
        <v>5096</v>
      </c>
      <c r="D1" s="14" t="s">
        <v>5097</v>
      </c>
      <c r="E1" s="12" t="s">
        <v>5098</v>
      </c>
      <c r="F1" s="15" t="s">
        <v>4500</v>
      </c>
      <c r="G1" s="16" t="s">
        <v>5099</v>
      </c>
      <c r="H1" s="13" t="s">
        <v>5100</v>
      </c>
      <c r="I1" s="13" t="s">
        <v>5101</v>
      </c>
      <c r="J1" s="25" t="s">
        <v>5102</v>
      </c>
      <c r="K1" s="26" t="s">
        <v>5103</v>
      </c>
      <c r="L1" s="27" t="s">
        <v>5104</v>
      </c>
      <c r="M1" s="14" t="s">
        <v>5105</v>
      </c>
      <c r="N1" s="28" t="s">
        <v>20</v>
      </c>
      <c r="O1" s="29" t="s">
        <v>4501</v>
      </c>
      <c r="P1" s="14" t="s">
        <v>21</v>
      </c>
      <c r="Q1" s="14" t="s">
        <v>4502</v>
      </c>
      <c r="R1" s="14" t="s">
        <v>4344</v>
      </c>
      <c r="S1" s="14" t="s">
        <v>4503</v>
      </c>
      <c r="T1" s="14" t="s">
        <v>5106</v>
      </c>
      <c r="U1" s="14" t="s">
        <v>5107</v>
      </c>
      <c r="V1" s="46" t="s">
        <v>5108</v>
      </c>
      <c r="W1" s="46" t="s">
        <v>5109</v>
      </c>
    </row>
    <row r="2" spans="1:23">
      <c r="A2" s="17" t="s">
        <v>5110</v>
      </c>
      <c r="B2" s="17" t="s">
        <v>5111</v>
      </c>
      <c r="C2" s="18" t="s">
        <v>5112</v>
      </c>
      <c r="D2" s="19" t="s">
        <v>5113</v>
      </c>
      <c r="E2" s="20" t="s">
        <v>5114</v>
      </c>
      <c r="F2" s="21" t="s">
        <v>5115</v>
      </c>
      <c r="G2" s="22" t="s">
        <v>5116</v>
      </c>
      <c r="H2" s="18" t="s">
        <v>5117</v>
      </c>
      <c r="I2" s="18"/>
      <c r="J2" s="30" t="s">
        <v>5118</v>
      </c>
      <c r="K2" s="31" t="s">
        <v>5119</v>
      </c>
      <c r="L2" s="32" t="s">
        <v>5120</v>
      </c>
      <c r="M2" s="19" t="s">
        <v>5121</v>
      </c>
      <c r="N2" s="33" t="s">
        <v>5122</v>
      </c>
      <c r="O2" s="34" t="s">
        <v>5123</v>
      </c>
      <c r="P2" s="24" t="s">
        <v>5124</v>
      </c>
      <c r="Q2" s="24" t="s">
        <v>5125</v>
      </c>
      <c r="R2" s="24" t="s">
        <v>5126</v>
      </c>
      <c r="S2" s="24" t="s">
        <v>5127</v>
      </c>
      <c r="T2" s="24" t="s">
        <v>5128</v>
      </c>
      <c r="U2" s="24" t="s">
        <v>5129</v>
      </c>
      <c r="V2" s="24" t="s">
        <v>5130</v>
      </c>
      <c r="W2" s="47" t="s">
        <v>5131</v>
      </c>
    </row>
    <row r="3" spans="1:23">
      <c r="A3" s="23">
        <v>2</v>
      </c>
      <c r="B3" s="23">
        <v>6</v>
      </c>
      <c r="C3" s="18">
        <v>4</v>
      </c>
      <c r="D3" s="18">
        <v>6</v>
      </c>
      <c r="E3" s="20">
        <v>179</v>
      </c>
      <c r="F3" s="21">
        <f>AVERAGE(E4:E1205)</f>
        <v>107.47504159733776</v>
      </c>
      <c r="G3" s="22">
        <v>0.35062168896524798</v>
      </c>
      <c r="H3" s="18">
        <v>1</v>
      </c>
      <c r="I3" s="18">
        <f>IF(H3=1,0,1)</f>
        <v>0</v>
      </c>
      <c r="J3" s="35">
        <v>44194</v>
      </c>
      <c r="K3" s="36">
        <v>2020</v>
      </c>
      <c r="L3" s="32">
        <f t="shared" ref="L3:L66" si="0">J3+T3</f>
        <v>44196</v>
      </c>
      <c r="M3" s="37">
        <v>1</v>
      </c>
      <c r="N3" s="33">
        <v>63</v>
      </c>
      <c r="O3" s="34">
        <f>AVERAGEIF(L3:L1205,"&lt;2017/11/4",N3:N1205)</f>
        <v>118.53197674418605</v>
      </c>
      <c r="P3" s="38">
        <v>0</v>
      </c>
      <c r="Q3" s="38">
        <f>AVERAGEIF(L3:L1205,"&lt;2020/12/29",P3:P1205)</f>
        <v>0.42429284525790351</v>
      </c>
      <c r="R3" s="38">
        <v>4</v>
      </c>
      <c r="S3" s="38">
        <f>AVERAGEIF(L3:L1205,"&lt;2020/12/29",R3:R1205)</f>
        <v>1.2121464226289518</v>
      </c>
      <c r="T3" s="38">
        <v>2</v>
      </c>
      <c r="U3" s="38">
        <f>AVERAGEIF(L3:L1205,"&lt;2020/12/29",T3:T1205)</f>
        <v>6.772046589018303</v>
      </c>
      <c r="V3" s="24">
        <v>1202</v>
      </c>
      <c r="W3" s="47" t="s">
        <v>4511</v>
      </c>
    </row>
    <row r="4" spans="1:23">
      <c r="A4" s="23">
        <v>2</v>
      </c>
      <c r="B4" s="23">
        <v>15</v>
      </c>
      <c r="C4" s="18">
        <v>4</v>
      </c>
      <c r="D4" s="18">
        <v>4</v>
      </c>
      <c r="E4" s="20">
        <v>43</v>
      </c>
      <c r="F4" s="21">
        <f t="shared" ref="F4:F67" si="1">AVERAGE(E5:E1206)</f>
        <v>107.52872606161532</v>
      </c>
      <c r="G4" s="22">
        <v>0.41416921055879402</v>
      </c>
      <c r="H4" s="18">
        <v>1</v>
      </c>
      <c r="I4" s="18">
        <f t="shared" ref="I4:I67" si="2">IF(H4=1,0,1)</f>
        <v>0</v>
      </c>
      <c r="J4" s="35">
        <v>44178</v>
      </c>
      <c r="K4" s="36">
        <v>2020</v>
      </c>
      <c r="L4" s="32">
        <f t="shared" si="0"/>
        <v>44181</v>
      </c>
      <c r="M4" s="24">
        <v>0</v>
      </c>
      <c r="N4" s="33">
        <v>32</v>
      </c>
      <c r="O4" s="34">
        <f>AVERAGEIF(L3:L1205,"&lt;2020/12/13",N3:N1205)</f>
        <v>111.81270903010034</v>
      </c>
      <c r="P4" s="38">
        <v>0</v>
      </c>
      <c r="Q4" s="38">
        <f>AVERAGEIF(L3:L1205,"&lt;2020/12/13",P3:P1205)</f>
        <v>0.42642140468227424</v>
      </c>
      <c r="R4" s="38">
        <v>1</v>
      </c>
      <c r="S4" s="38">
        <f>AVERAGEIF(L3:L1205,"&lt;2020/12/13",R3:R1205)</f>
        <v>1.2123745819397993</v>
      </c>
      <c r="T4" s="38">
        <v>3</v>
      </c>
      <c r="U4" s="38">
        <f>AVERAGEIF(L3:L1205,"&lt;2020/12/13",T3:T1205)</f>
        <v>6.7859531772575252</v>
      </c>
      <c r="V4" s="24">
        <v>1201</v>
      </c>
      <c r="W4" s="47" t="s">
        <v>4521</v>
      </c>
    </row>
    <row r="5" spans="1:23">
      <c r="A5" s="23">
        <v>2</v>
      </c>
      <c r="B5" s="23">
        <v>6</v>
      </c>
      <c r="C5" s="18">
        <v>4</v>
      </c>
      <c r="D5" s="18">
        <v>6</v>
      </c>
      <c r="E5" s="20">
        <v>169</v>
      </c>
      <c r="F5" s="21">
        <f t="shared" si="1"/>
        <v>107.47750000000001</v>
      </c>
      <c r="G5" s="22">
        <v>0.56287056207179997</v>
      </c>
      <c r="H5" s="18">
        <v>1</v>
      </c>
      <c r="I5" s="18">
        <f t="shared" si="2"/>
        <v>0</v>
      </c>
      <c r="J5" s="35">
        <v>44176</v>
      </c>
      <c r="K5" s="36">
        <v>2020</v>
      </c>
      <c r="L5" s="32">
        <f t="shared" si="0"/>
        <v>44179</v>
      </c>
      <c r="M5" s="37">
        <v>0</v>
      </c>
      <c r="N5" s="33">
        <v>249</v>
      </c>
      <c r="O5" s="34">
        <f>AVERAGEIF(L3:L1205,"&lt;2020/12/11",N3:N1205)</f>
        <v>111.78158995815899</v>
      </c>
      <c r="P5" s="38">
        <v>0</v>
      </c>
      <c r="Q5" s="38">
        <f>AVERAGEIF(L3:L1205,"&lt;2020/12/11",P3:P1205)</f>
        <v>0.42510460251046023</v>
      </c>
      <c r="R5" s="38">
        <v>2</v>
      </c>
      <c r="S5" s="38">
        <f>AVERAGEIF(L3:L1205,"&lt;2020/12/11",R3:R1205)</f>
        <v>1.2125523012552302</v>
      </c>
      <c r="T5" s="38">
        <v>3</v>
      </c>
      <c r="U5" s="38">
        <f>AVERAGEIF(L3:L1205,"&lt;2020/12/11",T3:T1205)</f>
        <v>6.7698744769874475</v>
      </c>
      <c r="V5" s="24">
        <v>1200</v>
      </c>
      <c r="W5" s="47" t="s">
        <v>4529</v>
      </c>
    </row>
    <row r="6" spans="1:23">
      <c r="A6" s="23">
        <v>2</v>
      </c>
      <c r="B6" s="23">
        <v>15</v>
      </c>
      <c r="C6" s="18">
        <v>4</v>
      </c>
      <c r="D6" s="18">
        <v>4</v>
      </c>
      <c r="E6" s="20">
        <v>32</v>
      </c>
      <c r="F6" s="21">
        <f t="shared" si="1"/>
        <v>107.54045037531276</v>
      </c>
      <c r="G6" s="22">
        <v>0.30992364631052399</v>
      </c>
      <c r="H6" s="18">
        <v>1</v>
      </c>
      <c r="I6" s="18">
        <f t="shared" si="2"/>
        <v>0</v>
      </c>
      <c r="J6" s="35">
        <v>44176</v>
      </c>
      <c r="K6" s="36">
        <v>2020</v>
      </c>
      <c r="L6" s="32">
        <f t="shared" si="0"/>
        <v>44180</v>
      </c>
      <c r="M6" s="24">
        <v>0</v>
      </c>
      <c r="N6" s="33">
        <v>32</v>
      </c>
      <c r="O6" s="34">
        <f>AVERAGEIF(L3:L1205,"&lt;2020/12/11",N3:N1205)</f>
        <v>111.78158995815899</v>
      </c>
      <c r="P6" s="38">
        <v>0</v>
      </c>
      <c r="Q6" s="38">
        <f>AVERAGEIF(L3:L1205,"&lt;2020/12/11",P3:P1205)</f>
        <v>0.42510460251046023</v>
      </c>
      <c r="R6" s="38">
        <v>1</v>
      </c>
      <c r="S6" s="38">
        <f>AVERAGEIF(L3:L1205,"&lt;2020/12/11",R3:R1205)</f>
        <v>1.2125523012552302</v>
      </c>
      <c r="T6" s="38">
        <v>4</v>
      </c>
      <c r="U6" s="38">
        <f>AVERAGEIF(L3:L1205,"&lt;2020/12/11",T3:T1205)</f>
        <v>6.7698744769874475</v>
      </c>
      <c r="V6" s="24">
        <v>1199</v>
      </c>
      <c r="W6" s="47" t="s">
        <v>4523</v>
      </c>
    </row>
    <row r="7" spans="1:23">
      <c r="A7" s="23">
        <v>2</v>
      </c>
      <c r="B7" s="23">
        <v>15</v>
      </c>
      <c r="C7" s="18">
        <v>4</v>
      </c>
      <c r="D7" s="18">
        <v>4</v>
      </c>
      <c r="E7" s="20">
        <v>53</v>
      </c>
      <c r="F7" s="21">
        <f t="shared" si="1"/>
        <v>107.58597662771285</v>
      </c>
      <c r="G7" s="22">
        <v>0.44170029407126898</v>
      </c>
      <c r="H7" s="18">
        <v>1</v>
      </c>
      <c r="I7" s="18">
        <f t="shared" si="2"/>
        <v>0</v>
      </c>
      <c r="J7" s="35">
        <v>44175</v>
      </c>
      <c r="K7" s="36">
        <v>2020</v>
      </c>
      <c r="L7" s="32">
        <f t="shared" si="0"/>
        <v>44179</v>
      </c>
      <c r="M7" s="24">
        <v>0</v>
      </c>
      <c r="N7" s="33">
        <v>144</v>
      </c>
      <c r="O7" s="34">
        <f>AVERAGEIF(L3:L1205,"&lt;2020/12/10",N3:N1205)</f>
        <v>111.78158995815899</v>
      </c>
      <c r="P7" s="38">
        <v>0</v>
      </c>
      <c r="Q7" s="38">
        <f>AVERAGEIF(L3:L1205,"&lt;2020/12/10",P3:P1205)</f>
        <v>0.42510460251046023</v>
      </c>
      <c r="R7" s="38">
        <v>1</v>
      </c>
      <c r="S7" s="38">
        <f>AVERAGEIF(L3:L1205,"&lt;2020/12/10",R3:R1205)</f>
        <v>1.2125523012552302</v>
      </c>
      <c r="T7" s="38">
        <v>4</v>
      </c>
      <c r="U7" s="38">
        <f>AVERAGEIF(L3:L1205,"&lt;2020/12/10",T3:T1205)</f>
        <v>6.7698744769874475</v>
      </c>
      <c r="V7" s="24">
        <v>1198</v>
      </c>
      <c r="W7" s="47" t="s">
        <v>4523</v>
      </c>
    </row>
    <row r="8" spans="1:23">
      <c r="A8" s="23">
        <v>2</v>
      </c>
      <c r="B8" s="23">
        <v>15</v>
      </c>
      <c r="C8" s="18">
        <v>4</v>
      </c>
      <c r="D8" s="18">
        <v>4</v>
      </c>
      <c r="E8" s="20">
        <v>32</v>
      </c>
      <c r="F8" s="21">
        <f t="shared" si="1"/>
        <v>107.64912280701755</v>
      </c>
      <c r="G8" s="22">
        <v>0.41356654360303002</v>
      </c>
      <c r="H8" s="18">
        <v>1</v>
      </c>
      <c r="I8" s="18">
        <f t="shared" si="2"/>
        <v>0</v>
      </c>
      <c r="J8" s="35">
        <v>44175</v>
      </c>
      <c r="K8" s="36">
        <v>2020</v>
      </c>
      <c r="L8" s="32">
        <f t="shared" si="0"/>
        <v>44180</v>
      </c>
      <c r="M8" s="24">
        <v>0</v>
      </c>
      <c r="N8" s="33">
        <v>32</v>
      </c>
      <c r="O8" s="34">
        <f>AVERAGEIF(L3:L1205,"&lt;2020/12/10",N3:N1205)</f>
        <v>111.78158995815899</v>
      </c>
      <c r="P8" s="38">
        <v>0</v>
      </c>
      <c r="Q8" s="38">
        <f>AVERAGEIF(L3:L1205,"&lt;2020/12/10",P3:P1205)</f>
        <v>0.42510460251046023</v>
      </c>
      <c r="R8" s="38">
        <v>1</v>
      </c>
      <c r="S8" s="38">
        <f>AVERAGEIF(L3:L1205,"&lt;2020/12/10",R3:R1205)</f>
        <v>1.2125523012552302</v>
      </c>
      <c r="T8" s="38">
        <v>5</v>
      </c>
      <c r="U8" s="38">
        <f>AVERAGEIF(L3:L1205,"&lt;2020/12/10",T3:T1205)</f>
        <v>6.7698744769874475</v>
      </c>
      <c r="V8" s="24">
        <v>1197</v>
      </c>
      <c r="W8" s="47" t="s">
        <v>4523</v>
      </c>
    </row>
    <row r="9" spans="1:23">
      <c r="A9" s="23">
        <v>2</v>
      </c>
      <c r="B9" s="23">
        <v>15</v>
      </c>
      <c r="C9" s="18">
        <v>4</v>
      </c>
      <c r="D9" s="18">
        <v>4</v>
      </c>
      <c r="E9" s="20">
        <v>55</v>
      </c>
      <c r="F9" s="21">
        <f t="shared" si="1"/>
        <v>107.69314381270902</v>
      </c>
      <c r="G9" s="22">
        <v>0.45445036782201298</v>
      </c>
      <c r="H9" s="18">
        <v>1</v>
      </c>
      <c r="I9" s="18">
        <f t="shared" si="2"/>
        <v>0</v>
      </c>
      <c r="J9" s="35">
        <v>44174</v>
      </c>
      <c r="K9" s="36">
        <v>2020</v>
      </c>
      <c r="L9" s="32">
        <f t="shared" si="0"/>
        <v>44179</v>
      </c>
      <c r="M9" s="24">
        <v>0</v>
      </c>
      <c r="N9" s="33">
        <v>32</v>
      </c>
      <c r="O9" s="34">
        <f>AVERAGEIF(L3:L1205,"&lt;2020/12/9",N3:N1205)</f>
        <v>111.90863369656329</v>
      </c>
      <c r="P9" s="38">
        <v>0</v>
      </c>
      <c r="Q9" s="38">
        <f>AVERAGEIF(L3:L1205,"&lt;2020/12/9",P3:P1205)</f>
        <v>0.42581726739312659</v>
      </c>
      <c r="R9" s="38">
        <v>1</v>
      </c>
      <c r="S9" s="38">
        <f>AVERAGEIF(L3:L1205,"&lt;2020/12/9",R3:R1205)</f>
        <v>1.2129086336965633</v>
      </c>
      <c r="T9" s="38">
        <v>5</v>
      </c>
      <c r="U9" s="38">
        <f>AVERAGEIF(L3:L1205,"&lt;2020/12/9",T3:T1205)</f>
        <v>6.7753562447611069</v>
      </c>
      <c r="V9" s="24">
        <v>1196</v>
      </c>
      <c r="W9" s="47" t="s">
        <v>4521</v>
      </c>
    </row>
    <row r="10" spans="1:23">
      <c r="A10" s="23">
        <v>2</v>
      </c>
      <c r="B10" s="23">
        <v>15</v>
      </c>
      <c r="C10" s="18">
        <v>4</v>
      </c>
      <c r="D10" s="18">
        <v>4</v>
      </c>
      <c r="E10" s="20">
        <v>41</v>
      </c>
      <c r="F10" s="21">
        <f t="shared" si="1"/>
        <v>107.7489539748954</v>
      </c>
      <c r="G10" s="22">
        <v>0.59668324262886097</v>
      </c>
      <c r="H10" s="18">
        <v>1</v>
      </c>
      <c r="I10" s="18">
        <f t="shared" si="2"/>
        <v>0</v>
      </c>
      <c r="J10" s="35">
        <v>44172</v>
      </c>
      <c r="K10" s="36">
        <v>2020</v>
      </c>
      <c r="L10" s="32">
        <f t="shared" si="0"/>
        <v>44173</v>
      </c>
      <c r="M10" s="24">
        <v>0</v>
      </c>
      <c r="N10" s="33">
        <v>137</v>
      </c>
      <c r="O10" s="34">
        <f>AVERAGEIF(L3:L1205,"&lt;2020/12/7",N3:N1205)</f>
        <v>111.92586352148273</v>
      </c>
      <c r="P10" s="38">
        <v>0</v>
      </c>
      <c r="Q10" s="38">
        <f>AVERAGEIF(L3:L1205,"&lt;2020/12/7",P3:P1205)</f>
        <v>0.42712721145745575</v>
      </c>
      <c r="R10" s="24">
        <v>1</v>
      </c>
      <c r="S10" s="24">
        <f>AVERAGEIF(L3:L1205,"&lt;2020/12/7",R3:R1205)</f>
        <v>1.2122999157540018</v>
      </c>
      <c r="T10" s="38">
        <v>1</v>
      </c>
      <c r="U10" s="38">
        <f>AVERAGEIF(L3:L1205,"&lt;2020/12/7",T3:T1205)</f>
        <v>6.7994945240101092</v>
      </c>
      <c r="V10" s="24">
        <v>1195</v>
      </c>
      <c r="W10" s="47" t="s">
        <v>4521</v>
      </c>
    </row>
    <row r="11" spans="1:23">
      <c r="A11" s="23">
        <v>2</v>
      </c>
      <c r="B11" s="23">
        <v>9</v>
      </c>
      <c r="C11" s="18">
        <v>4</v>
      </c>
      <c r="D11" s="18">
        <v>2</v>
      </c>
      <c r="E11" s="20">
        <v>38</v>
      </c>
      <c r="F11" s="21">
        <f t="shared" si="1"/>
        <v>107.80737018425461</v>
      </c>
      <c r="G11" s="22">
        <v>0.41899719244018202</v>
      </c>
      <c r="H11" s="18">
        <v>1</v>
      </c>
      <c r="I11" s="18">
        <f t="shared" si="2"/>
        <v>0</v>
      </c>
      <c r="J11" s="39">
        <v>44171</v>
      </c>
      <c r="K11" s="36">
        <v>2020</v>
      </c>
      <c r="L11" s="32">
        <f t="shared" si="0"/>
        <v>44172</v>
      </c>
      <c r="M11" s="40">
        <v>1</v>
      </c>
      <c r="N11" s="33">
        <v>83</v>
      </c>
      <c r="O11" s="34">
        <f>AVERAGEIF(L3:L1205,"&lt;2020/12/6",N3:N1205)</f>
        <v>111.92586352148273</v>
      </c>
      <c r="P11" s="38">
        <v>0</v>
      </c>
      <c r="Q11" s="38">
        <f>AVERAGEIF(L3:L1205,"&lt;2020/12/6",P3:P1205)</f>
        <v>0.42712721145745575</v>
      </c>
      <c r="R11" s="38">
        <v>1</v>
      </c>
      <c r="S11" s="38">
        <f>AVERAGEIF(L3:L1205,"&lt;2020/12/6",R3:R1205)</f>
        <v>1.2122999157540018</v>
      </c>
      <c r="T11" s="38">
        <v>1</v>
      </c>
      <c r="U11" s="38">
        <f>AVERAGEIF(L3:L1205,"&lt;2020/12/6",T3:T1205)</f>
        <v>6.7994945240101092</v>
      </c>
      <c r="V11" s="24">
        <v>1194</v>
      </c>
      <c r="W11" s="47" t="s">
        <v>4542</v>
      </c>
    </row>
    <row r="12" spans="1:23">
      <c r="A12" s="23">
        <v>2</v>
      </c>
      <c r="B12" s="23">
        <v>15</v>
      </c>
      <c r="C12" s="18">
        <v>4</v>
      </c>
      <c r="D12" s="18">
        <v>4</v>
      </c>
      <c r="E12" s="20">
        <v>75</v>
      </c>
      <c r="F12" s="21">
        <f t="shared" si="1"/>
        <v>107.83487007544007</v>
      </c>
      <c r="G12" s="22">
        <v>0.37523288912639402</v>
      </c>
      <c r="H12" s="18">
        <v>1</v>
      </c>
      <c r="I12" s="18">
        <f t="shared" si="2"/>
        <v>0</v>
      </c>
      <c r="J12" s="35">
        <v>44171</v>
      </c>
      <c r="K12" s="36">
        <v>2020</v>
      </c>
      <c r="L12" s="32">
        <f t="shared" si="0"/>
        <v>44172</v>
      </c>
      <c r="M12" s="24">
        <v>0</v>
      </c>
      <c r="N12" s="33">
        <v>112</v>
      </c>
      <c r="O12" s="34">
        <f>AVERAGEIF(L3:L1205,"&lt;2020/12/6",N3:N1205)</f>
        <v>111.92586352148273</v>
      </c>
      <c r="P12" s="38">
        <v>0</v>
      </c>
      <c r="Q12" s="38">
        <f>AVERAGEIF(L3:L1205,"&lt;2020/12/6",P3:P1205)</f>
        <v>0.42712721145745575</v>
      </c>
      <c r="R12" s="38">
        <v>1</v>
      </c>
      <c r="S12" s="38">
        <f>AVERAGEIF(L3:L1205,"&lt;2020/12/6",R3:R1205)</f>
        <v>1.2122999157540018</v>
      </c>
      <c r="T12" s="38">
        <v>1</v>
      </c>
      <c r="U12" s="38">
        <f>AVERAGEIF(L3:L1205,"&lt;2020/12/6",T3:T1205)</f>
        <v>6.7994945240101092</v>
      </c>
      <c r="V12" s="24">
        <v>1193</v>
      </c>
      <c r="W12" s="47" t="s">
        <v>4523</v>
      </c>
    </row>
    <row r="13" spans="1:23">
      <c r="A13" s="23">
        <v>2</v>
      </c>
      <c r="B13" s="23">
        <v>15</v>
      </c>
      <c r="C13" s="18">
        <v>4</v>
      </c>
      <c r="D13" s="18">
        <v>4</v>
      </c>
      <c r="E13" s="20">
        <v>37</v>
      </c>
      <c r="F13" s="21">
        <f t="shared" si="1"/>
        <v>107.89429530201342</v>
      </c>
      <c r="G13" s="22">
        <v>0.375053296961464</v>
      </c>
      <c r="H13" s="18">
        <v>1</v>
      </c>
      <c r="I13" s="18">
        <f t="shared" si="2"/>
        <v>0</v>
      </c>
      <c r="J13" s="35">
        <v>44171</v>
      </c>
      <c r="K13" s="36">
        <v>2020</v>
      </c>
      <c r="L13" s="32">
        <f t="shared" si="0"/>
        <v>44174</v>
      </c>
      <c r="M13" s="24">
        <v>0</v>
      </c>
      <c r="N13" s="33">
        <v>36</v>
      </c>
      <c r="O13" s="34">
        <f>AVERAGEIF(L3:L1205,"&lt;2020/12/6",N3:N1205)</f>
        <v>111.92586352148273</v>
      </c>
      <c r="P13" s="38">
        <v>0</v>
      </c>
      <c r="Q13" s="38">
        <f>AVERAGEIF(L3:L1205,"&lt;2020/12/6",P3:P1205)</f>
        <v>0.42712721145745575</v>
      </c>
      <c r="R13" s="38">
        <v>1</v>
      </c>
      <c r="S13" s="38">
        <f>AVERAGEIF(L3:L1205,"&lt;2020/12/6",R3:R1205)</f>
        <v>1.2122999157540018</v>
      </c>
      <c r="T13" s="38">
        <v>3</v>
      </c>
      <c r="U13" s="38">
        <f>AVERAGEIF(L3:L1205,"&lt;2020/12/6",T3:T1205)</f>
        <v>6.7994945240101092</v>
      </c>
      <c r="V13" s="24">
        <v>1192</v>
      </c>
      <c r="W13" s="47" t="s">
        <v>4523</v>
      </c>
    </row>
    <row r="14" spans="1:23">
      <c r="A14" s="23">
        <v>2</v>
      </c>
      <c r="B14" s="23">
        <v>7</v>
      </c>
      <c r="C14" s="18">
        <v>4</v>
      </c>
      <c r="D14" s="18">
        <v>8</v>
      </c>
      <c r="E14" s="20">
        <v>81</v>
      </c>
      <c r="F14" s="21">
        <f t="shared" si="1"/>
        <v>107.91687657430731</v>
      </c>
      <c r="G14" s="22">
        <v>0.51799716629075399</v>
      </c>
      <c r="H14" s="18">
        <v>1</v>
      </c>
      <c r="I14" s="18">
        <f t="shared" si="2"/>
        <v>0</v>
      </c>
      <c r="J14" s="35">
        <v>44170</v>
      </c>
      <c r="K14" s="36">
        <v>2020</v>
      </c>
      <c r="L14" s="32">
        <f t="shared" si="0"/>
        <v>44173</v>
      </c>
      <c r="M14" s="40">
        <v>1</v>
      </c>
      <c r="N14" s="33">
        <v>115</v>
      </c>
      <c r="O14" s="34">
        <f>AVERAGEIF(L3:L1205,"&lt;2020/12/5",N3:N1205)</f>
        <v>111.92586352148273</v>
      </c>
      <c r="P14" s="38">
        <v>0</v>
      </c>
      <c r="Q14" s="38">
        <f>AVERAGEIF(L3:L1205,"&lt;2020/12/5",P3:P1205)</f>
        <v>0.42712721145745575</v>
      </c>
      <c r="R14" s="38">
        <v>2</v>
      </c>
      <c r="S14" s="38">
        <f>AVERAGEIF(L3:L1205,"&lt;2020/12/5",R3:R1205)</f>
        <v>1.2122999157540018</v>
      </c>
      <c r="T14" s="38">
        <v>3</v>
      </c>
      <c r="U14" s="38">
        <f>AVERAGEIF(L3:L1205,"&lt;2020/12/5",T3:T1205)</f>
        <v>6.7994945240101092</v>
      </c>
      <c r="V14" s="24">
        <v>1191</v>
      </c>
      <c r="W14" s="47" t="s">
        <v>4550</v>
      </c>
    </row>
    <row r="15" spans="1:23">
      <c r="A15" s="23">
        <v>2</v>
      </c>
      <c r="B15" s="23">
        <v>15</v>
      </c>
      <c r="C15" s="18">
        <v>4</v>
      </c>
      <c r="D15" s="18">
        <v>4</v>
      </c>
      <c r="E15" s="20">
        <v>46</v>
      </c>
      <c r="F15" s="21">
        <f t="shared" si="1"/>
        <v>107.96890756302521</v>
      </c>
      <c r="G15" s="22">
        <v>0.42494712220075997</v>
      </c>
      <c r="H15" s="18">
        <v>1</v>
      </c>
      <c r="I15" s="18">
        <f t="shared" si="2"/>
        <v>0</v>
      </c>
      <c r="J15" s="35">
        <v>44170</v>
      </c>
      <c r="K15" s="36">
        <v>2020</v>
      </c>
      <c r="L15" s="32">
        <f t="shared" si="0"/>
        <v>44174</v>
      </c>
      <c r="M15" s="24">
        <v>0</v>
      </c>
      <c r="N15" s="33">
        <v>36</v>
      </c>
      <c r="O15" s="34">
        <f>AVERAGEIF(L3:L1205,"&lt;2020/12/5",N3:N1205)</f>
        <v>111.92586352148273</v>
      </c>
      <c r="P15" s="38">
        <v>0</v>
      </c>
      <c r="Q15" s="38">
        <f>AVERAGEIF(L3:L1205,"&lt;2020/12/5",P3:P1205)</f>
        <v>0.42712721145745575</v>
      </c>
      <c r="R15" s="38">
        <v>1</v>
      </c>
      <c r="S15" s="38">
        <f>AVERAGEIF(L3:L1205,"&lt;2020/12/5",R3:R1205)</f>
        <v>1.2122999157540018</v>
      </c>
      <c r="T15" s="38">
        <v>4</v>
      </c>
      <c r="U15" s="38">
        <f>AVERAGEIF(L3:L1205,"&lt;2020/12/5",T3:T1205)</f>
        <v>6.7994945240101092</v>
      </c>
      <c r="V15" s="24">
        <v>1190</v>
      </c>
      <c r="W15" s="47" t="s">
        <v>4553</v>
      </c>
    </row>
    <row r="16" spans="1:23">
      <c r="A16" s="23">
        <v>2</v>
      </c>
      <c r="B16" s="23">
        <v>17</v>
      </c>
      <c r="C16" s="18">
        <v>4</v>
      </c>
      <c r="D16" s="18">
        <v>2</v>
      </c>
      <c r="E16" s="20">
        <v>40</v>
      </c>
      <c r="F16" s="21">
        <f t="shared" si="1"/>
        <v>108.02607232968882</v>
      </c>
      <c r="G16" s="22">
        <v>0.41250260703840702</v>
      </c>
      <c r="H16" s="18">
        <v>1</v>
      </c>
      <c r="I16" s="18">
        <f t="shared" si="2"/>
        <v>0</v>
      </c>
      <c r="J16" s="41">
        <v>44170</v>
      </c>
      <c r="K16" s="36">
        <v>2020</v>
      </c>
      <c r="L16" s="32">
        <f t="shared" si="0"/>
        <v>44173</v>
      </c>
      <c r="M16" s="40">
        <v>1</v>
      </c>
      <c r="N16" s="33">
        <v>92</v>
      </c>
      <c r="O16" s="34">
        <f>AVERAGEIF(L3:L1205,"&lt;2020/12/5",N3:N1205)</f>
        <v>111.92586352148273</v>
      </c>
      <c r="P16" s="40">
        <v>0</v>
      </c>
      <c r="Q16" s="40">
        <f>AVERAGEIF(L3:L1205,"&lt;2020/12/5",P3:P1205)</f>
        <v>0.42712721145745575</v>
      </c>
      <c r="R16" s="40">
        <v>2</v>
      </c>
      <c r="S16" s="40">
        <f>AVERAGEIF(L3:L1205,"&lt;2020/12/5",R3:R1205)</f>
        <v>1.2122999157540018</v>
      </c>
      <c r="T16" s="40">
        <v>3</v>
      </c>
      <c r="U16" s="40">
        <f>AVERAGEIF(L3:L1205,"&lt;2020/12/5",T3:T1205)</f>
        <v>6.7994945240101092</v>
      </c>
      <c r="V16" s="24">
        <v>1189</v>
      </c>
      <c r="W16" s="47" t="s">
        <v>4529</v>
      </c>
    </row>
    <row r="17" spans="1:23">
      <c r="A17" s="23">
        <v>2</v>
      </c>
      <c r="B17" s="23">
        <v>15</v>
      </c>
      <c r="C17" s="18">
        <v>4</v>
      </c>
      <c r="D17" s="18">
        <v>4</v>
      </c>
      <c r="E17" s="20">
        <v>40</v>
      </c>
      <c r="F17" s="21">
        <f t="shared" si="1"/>
        <v>108.08333333333333</v>
      </c>
      <c r="G17" s="22">
        <v>0.86577884620433498</v>
      </c>
      <c r="H17" s="18">
        <v>1</v>
      </c>
      <c r="I17" s="18">
        <f t="shared" si="2"/>
        <v>0</v>
      </c>
      <c r="J17" s="35">
        <v>44169</v>
      </c>
      <c r="K17" s="36">
        <v>2020</v>
      </c>
      <c r="L17" s="32">
        <f t="shared" si="0"/>
        <v>44172</v>
      </c>
      <c r="M17" s="24">
        <v>0</v>
      </c>
      <c r="N17" s="33">
        <v>112</v>
      </c>
      <c r="O17" s="34">
        <f>AVERAGEIF(L3:L1205,"&lt;2020/12/4",N3:N1205)</f>
        <v>111.92586352148273</v>
      </c>
      <c r="P17" s="38">
        <v>1</v>
      </c>
      <c r="Q17" s="38">
        <f>AVERAGEIF(L3:L1205,"&lt;2020/12/4",P3:P1205)</f>
        <v>0.42712721145745575</v>
      </c>
      <c r="R17" s="38">
        <v>1</v>
      </c>
      <c r="S17" s="38">
        <f>AVERAGEIF(L3:L1205,"&lt;2020/12/4",R3:R1205)</f>
        <v>1.2122999157540018</v>
      </c>
      <c r="T17" s="38">
        <v>3</v>
      </c>
      <c r="U17" s="38">
        <f>AVERAGEIF(L3:L1205,"&lt;2020/12/4",T3:T1205)</f>
        <v>6.7994945240101092</v>
      </c>
      <c r="V17" s="24">
        <v>1188</v>
      </c>
      <c r="W17" s="47" t="s">
        <v>4557</v>
      </c>
    </row>
    <row r="18" spans="1:23">
      <c r="A18" s="23">
        <v>4</v>
      </c>
      <c r="B18" s="23">
        <v>35</v>
      </c>
      <c r="C18" s="18">
        <v>4</v>
      </c>
      <c r="D18" s="18">
        <v>4</v>
      </c>
      <c r="E18" s="20">
        <v>53</v>
      </c>
      <c r="F18" s="21">
        <f t="shared" si="1"/>
        <v>108.12973883740523</v>
      </c>
      <c r="G18" s="22">
        <v>0.38298569539181199</v>
      </c>
      <c r="H18" s="18">
        <v>1</v>
      </c>
      <c r="I18" s="18">
        <f t="shared" si="2"/>
        <v>0</v>
      </c>
      <c r="J18" s="35">
        <v>44166</v>
      </c>
      <c r="K18" s="36">
        <v>2020</v>
      </c>
      <c r="L18" s="32">
        <f t="shared" si="0"/>
        <v>44167</v>
      </c>
      <c r="M18" s="42">
        <v>0</v>
      </c>
      <c r="N18" s="33">
        <v>67</v>
      </c>
      <c r="O18" s="34">
        <f>AVERAGEIF(L3:L1205,"&lt;2020/12/1",N3:N1205)</f>
        <v>111.91469594594595</v>
      </c>
      <c r="P18" s="38">
        <v>0</v>
      </c>
      <c r="Q18" s="38">
        <f>AVERAGEIF(L3:L1205,"&lt;2020/12/1",P3:P1205)</f>
        <v>0.42652027027027029</v>
      </c>
      <c r="R18" s="38">
        <v>1</v>
      </c>
      <c r="S18" s="38">
        <f>AVERAGEIF(L3:L1205,"&lt;2020/12/1",R3:R1205)</f>
        <v>1.2128378378378379</v>
      </c>
      <c r="T18" s="38">
        <v>1</v>
      </c>
      <c r="U18" s="38">
        <f>AVERAGEIF(L3:L1205,"&lt;2020/12/1",T3:T1205)</f>
        <v>6.8116554054054053</v>
      </c>
      <c r="V18" s="24">
        <v>1187</v>
      </c>
      <c r="W18" s="47" t="s">
        <v>4558</v>
      </c>
    </row>
    <row r="19" spans="1:23">
      <c r="A19" s="23">
        <v>2</v>
      </c>
      <c r="B19" s="23">
        <v>13</v>
      </c>
      <c r="C19" s="18">
        <v>4</v>
      </c>
      <c r="D19" s="18">
        <v>4</v>
      </c>
      <c r="E19" s="20">
        <v>127</v>
      </c>
      <c r="F19" s="21">
        <f t="shared" si="1"/>
        <v>108.11382799325463</v>
      </c>
      <c r="G19" s="22">
        <v>0.41381465454600802</v>
      </c>
      <c r="H19" s="18">
        <v>1</v>
      </c>
      <c r="I19" s="18">
        <f t="shared" si="2"/>
        <v>0</v>
      </c>
      <c r="J19" s="41">
        <v>44165</v>
      </c>
      <c r="K19" s="36">
        <v>2020</v>
      </c>
      <c r="L19" s="32">
        <f t="shared" si="0"/>
        <v>44167</v>
      </c>
      <c r="M19" s="40">
        <v>1</v>
      </c>
      <c r="N19" s="33">
        <v>148</v>
      </c>
      <c r="O19" s="34">
        <f>AVERAGEIF(L3:L1205,"&lt;2020/11/30",N3:N1205)</f>
        <v>111.88071065989848</v>
      </c>
      <c r="P19" s="38">
        <v>2</v>
      </c>
      <c r="Q19" s="38">
        <f>AVERAGEIF(L3:L1205,"&lt;2020/11/30",P3:P1205)</f>
        <v>0.42639593908629442</v>
      </c>
      <c r="R19" s="38">
        <v>1</v>
      </c>
      <c r="S19" s="38">
        <f>AVERAGEIF(L3:L1205,"&lt;2020/11/30",R3:R1205)</f>
        <v>1.2131979695431472</v>
      </c>
      <c r="T19" s="38">
        <v>2</v>
      </c>
      <c r="U19" s="38">
        <f>AVERAGEIF(L3:L1205,"&lt;2020/11/30",T3:T1205)</f>
        <v>6.8181049069373945</v>
      </c>
      <c r="V19" s="24">
        <v>1186</v>
      </c>
      <c r="W19" s="47" t="s">
        <v>4550</v>
      </c>
    </row>
    <row r="20" spans="1:23">
      <c r="A20" s="23">
        <v>3</v>
      </c>
      <c r="B20" s="23">
        <v>25</v>
      </c>
      <c r="C20" s="18">
        <v>4</v>
      </c>
      <c r="D20" s="18">
        <v>6</v>
      </c>
      <c r="E20" s="20">
        <v>137</v>
      </c>
      <c r="F20" s="21">
        <f t="shared" si="1"/>
        <v>108.08945147679324</v>
      </c>
      <c r="G20" s="22">
        <v>0.37500046754213401</v>
      </c>
      <c r="H20" s="3">
        <v>1</v>
      </c>
      <c r="I20" s="18">
        <f t="shared" si="2"/>
        <v>0</v>
      </c>
      <c r="J20" s="35">
        <v>44163</v>
      </c>
      <c r="K20" s="36">
        <v>2020</v>
      </c>
      <c r="L20" s="32">
        <f t="shared" si="0"/>
        <v>44166</v>
      </c>
      <c r="M20" s="40">
        <v>1</v>
      </c>
      <c r="N20" s="33">
        <v>134</v>
      </c>
      <c r="O20" s="34">
        <f>AVERAGEIF(L3:L1205,"&lt;2020/11/28",N3:N1205)</f>
        <v>111.88071065989848</v>
      </c>
      <c r="P20" s="38">
        <v>0</v>
      </c>
      <c r="Q20" s="38">
        <f>AVERAGEIF(L3:L1205,"&lt;2020/11/28",P3:P1205)</f>
        <v>0.42639593908629442</v>
      </c>
      <c r="R20" s="38">
        <v>1</v>
      </c>
      <c r="S20" s="38">
        <f>AVERAGEIF(L3:L1205,"&lt;2020/11/28",R3:R1205)</f>
        <v>1.2131979695431472</v>
      </c>
      <c r="T20" s="38">
        <v>3</v>
      </c>
      <c r="U20" s="38">
        <f>AVERAGEIF(L3:L1205,"&lt;2020/11/28",T3:T1205)</f>
        <v>6.8181049069373945</v>
      </c>
      <c r="V20" s="24">
        <v>1185</v>
      </c>
      <c r="W20" s="47" t="s">
        <v>4563</v>
      </c>
    </row>
    <row r="21" spans="1:23">
      <c r="A21" s="23">
        <v>2</v>
      </c>
      <c r="B21" s="23">
        <v>4</v>
      </c>
      <c r="C21" s="18">
        <v>4</v>
      </c>
      <c r="D21" s="18">
        <v>4</v>
      </c>
      <c r="E21" s="20">
        <v>23</v>
      </c>
      <c r="F21" s="21">
        <f t="shared" si="1"/>
        <v>108.16131756756756</v>
      </c>
      <c r="G21" s="22">
        <v>0.87304540467872604</v>
      </c>
      <c r="H21" s="18">
        <v>1</v>
      </c>
      <c r="I21" s="18">
        <f t="shared" si="2"/>
        <v>0</v>
      </c>
      <c r="J21" s="43">
        <v>44162</v>
      </c>
      <c r="K21" s="36">
        <v>2020</v>
      </c>
      <c r="L21" s="32">
        <f t="shared" si="0"/>
        <v>44165</v>
      </c>
      <c r="M21" s="40">
        <v>0</v>
      </c>
      <c r="N21" s="33">
        <v>77</v>
      </c>
      <c r="O21" s="34">
        <f>AVERAGEIF(L3:L1205,"&lt;2020/11/27",N3:N1205)</f>
        <v>111.80016934801016</v>
      </c>
      <c r="P21" s="24">
        <v>1</v>
      </c>
      <c r="Q21" s="24">
        <f>AVERAGEIF(L3:L1205,"&lt;2020/11/27",P3:P1205)</f>
        <v>0.42675698560541914</v>
      </c>
      <c r="R21" s="24">
        <v>1</v>
      </c>
      <c r="S21" s="24">
        <f>AVERAGEIF(L3:L1205,"&lt;2020/11/27",R3:R1205)</f>
        <v>1.2125317527519051</v>
      </c>
      <c r="T21" s="24">
        <v>3</v>
      </c>
      <c r="U21" s="24">
        <f>AVERAGEIF(L3:L1205,"&lt;2020/11/27",T3:T1205)</f>
        <v>6.8238780694326842</v>
      </c>
      <c r="V21" s="24">
        <v>1184</v>
      </c>
      <c r="W21" s="47" t="s">
        <v>4529</v>
      </c>
    </row>
    <row r="22" spans="1:23">
      <c r="A22" s="23">
        <v>2</v>
      </c>
      <c r="B22" s="23">
        <v>6</v>
      </c>
      <c r="C22" s="18">
        <v>4</v>
      </c>
      <c r="D22" s="18">
        <v>6</v>
      </c>
      <c r="E22" s="20">
        <v>190</v>
      </c>
      <c r="F22" s="21">
        <f t="shared" si="1"/>
        <v>108.09213863060018</v>
      </c>
      <c r="G22" s="22">
        <v>0.341009870923627</v>
      </c>
      <c r="H22" s="18">
        <v>1</v>
      </c>
      <c r="I22" s="18">
        <f t="shared" si="2"/>
        <v>0</v>
      </c>
      <c r="J22" s="35">
        <v>44162</v>
      </c>
      <c r="K22" s="36">
        <v>2020</v>
      </c>
      <c r="L22" s="32">
        <f t="shared" si="0"/>
        <v>44165</v>
      </c>
      <c r="M22" s="37">
        <v>1</v>
      </c>
      <c r="N22" s="33">
        <v>187</v>
      </c>
      <c r="O22" s="34">
        <f>AVERAGEIF(L3:L1205,"&lt;2020/11/27",N3:N1205)</f>
        <v>111.80016934801016</v>
      </c>
      <c r="P22" s="38">
        <v>0</v>
      </c>
      <c r="Q22" s="38">
        <f>AVERAGEIF(L3:L1205,"&lt;2020/11/28",P3:P1205)</f>
        <v>0.42639593908629442</v>
      </c>
      <c r="R22" s="38">
        <v>1</v>
      </c>
      <c r="S22" s="38">
        <f>AVERAGEIF(L3:L1205,"&lt;2020/11/27",R3:R1205)</f>
        <v>1.2125317527519051</v>
      </c>
      <c r="T22" s="38">
        <v>3</v>
      </c>
      <c r="U22" s="38">
        <f>AVERAGEIF(L3:L1205,"&lt;2020/11/27",T3:T1205)</f>
        <v>6.8238780694326842</v>
      </c>
      <c r="V22" s="24">
        <v>1183</v>
      </c>
      <c r="W22" s="47" t="s">
        <v>4572</v>
      </c>
    </row>
    <row r="23" spans="1:23">
      <c r="A23" s="23">
        <v>2</v>
      </c>
      <c r="B23" s="23">
        <v>6</v>
      </c>
      <c r="C23" s="18">
        <v>4</v>
      </c>
      <c r="D23" s="18">
        <v>2</v>
      </c>
      <c r="E23" s="20">
        <v>126</v>
      </c>
      <c r="F23" s="21">
        <f t="shared" si="1"/>
        <v>108.07698815566836</v>
      </c>
      <c r="G23" s="22">
        <v>0.192434294486412</v>
      </c>
      <c r="H23" s="18">
        <v>1</v>
      </c>
      <c r="I23" s="18">
        <f t="shared" si="2"/>
        <v>0</v>
      </c>
      <c r="J23" s="35">
        <v>44162</v>
      </c>
      <c r="K23" s="36">
        <v>2020</v>
      </c>
      <c r="L23" s="32">
        <f t="shared" si="0"/>
        <v>44162</v>
      </c>
      <c r="M23" s="37">
        <v>0</v>
      </c>
      <c r="N23" s="33">
        <v>207</v>
      </c>
      <c r="O23" s="34">
        <f>AVERAGEIF(L3:L1205,"&lt;2020/11/27",N3:N1205)</f>
        <v>111.80016934801016</v>
      </c>
      <c r="P23" s="38">
        <v>0</v>
      </c>
      <c r="Q23" s="38">
        <f>AVERAGEIF(L3:L1205,"&lt;2020/11/28",P3:P1205)</f>
        <v>0.42639593908629442</v>
      </c>
      <c r="R23" s="38">
        <v>2</v>
      </c>
      <c r="S23" s="38">
        <f>AVERAGEIF(L3:L1205,"&lt;2020/11/27",R3:R1205)</f>
        <v>1.2125317527519051</v>
      </c>
      <c r="T23" s="38">
        <v>0</v>
      </c>
      <c r="U23" s="38">
        <f>AVERAGEIF(L3:L1205,"&lt;2020/11/27",T3:T1205)</f>
        <v>6.8238780694326842</v>
      </c>
      <c r="V23" s="24">
        <v>1182</v>
      </c>
      <c r="W23" s="47" t="s">
        <v>4529</v>
      </c>
    </row>
    <row r="24" spans="1:23">
      <c r="A24" s="23">
        <v>2</v>
      </c>
      <c r="B24" s="23">
        <v>4</v>
      </c>
      <c r="C24" s="18">
        <v>5</v>
      </c>
      <c r="D24" s="18">
        <v>2</v>
      </c>
      <c r="E24" s="20">
        <v>84</v>
      </c>
      <c r="F24" s="21">
        <f t="shared" si="1"/>
        <v>108.0973751058425</v>
      </c>
      <c r="G24" s="22">
        <v>0.77668545063483396</v>
      </c>
      <c r="H24" s="18" t="s">
        <v>223</v>
      </c>
      <c r="I24" s="18">
        <f t="shared" si="2"/>
        <v>1</v>
      </c>
      <c r="J24" s="35">
        <v>44160</v>
      </c>
      <c r="K24" s="36">
        <v>2020</v>
      </c>
      <c r="L24" s="32">
        <f t="shared" si="0"/>
        <v>44161</v>
      </c>
      <c r="M24" s="24">
        <v>1</v>
      </c>
      <c r="N24" s="33">
        <v>110</v>
      </c>
      <c r="O24" s="34">
        <f>AVERAGEIF(L3:L1205,"&lt;2020/11/25",N3:N1205)</f>
        <v>111.78710771840542</v>
      </c>
      <c r="P24" s="24">
        <v>0</v>
      </c>
      <c r="Q24" s="24">
        <f>AVERAGEIF(L3:L1205,"&lt;2020/11/25",P3:P1205)</f>
        <v>0.42748091603053434</v>
      </c>
      <c r="R24" s="24">
        <v>1</v>
      </c>
      <c r="S24" s="24">
        <f>AVERAGEIF(L3:L1205,"&lt;2020/11/25",R3:R1205)</f>
        <v>1.2128922815945717</v>
      </c>
      <c r="T24" s="24">
        <v>1</v>
      </c>
      <c r="U24" s="24">
        <f>AVERAGEIF(L3:L1205,"&lt;2020/11/25",T3:T1205)</f>
        <v>6.8329092451229858</v>
      </c>
      <c r="V24" s="24">
        <v>1181</v>
      </c>
      <c r="W24" s="47" t="s">
        <v>4563</v>
      </c>
    </row>
    <row r="25" spans="1:23">
      <c r="A25" s="23">
        <v>2</v>
      </c>
      <c r="B25" s="23">
        <v>9</v>
      </c>
      <c r="C25" s="18">
        <v>4</v>
      </c>
      <c r="D25" s="18">
        <v>4</v>
      </c>
      <c r="E25" s="20">
        <v>55</v>
      </c>
      <c r="F25" s="21">
        <f t="shared" si="1"/>
        <v>108.14237288135594</v>
      </c>
      <c r="G25" s="22">
        <v>0.45514911890971299</v>
      </c>
      <c r="H25" s="18">
        <v>1</v>
      </c>
      <c r="I25" s="18">
        <f t="shared" si="2"/>
        <v>0</v>
      </c>
      <c r="J25" s="35">
        <v>44158</v>
      </c>
      <c r="K25" s="36">
        <v>2020</v>
      </c>
      <c r="L25" s="32">
        <f t="shared" si="0"/>
        <v>44160</v>
      </c>
      <c r="M25" s="40">
        <v>1</v>
      </c>
      <c r="N25" s="33">
        <v>129</v>
      </c>
      <c r="O25" s="34">
        <f>AVERAGEIF(L3:L1205,"&lt;2020/11/23",N3:N1205)</f>
        <v>111.85471537807986</v>
      </c>
      <c r="P25" s="38">
        <v>0</v>
      </c>
      <c r="Q25" s="38">
        <f>AVERAGEIF(L3:L1205,"&lt;2020/11/23",P3:P1205)</f>
        <v>0.42650807136788443</v>
      </c>
      <c r="R25" s="38">
        <v>1</v>
      </c>
      <c r="S25" s="38">
        <f>AVERAGEIF(L3:L1205,"&lt;2020/11/23",R3:R1205)</f>
        <v>1.2132540356839423</v>
      </c>
      <c r="T25" s="38">
        <v>2</v>
      </c>
      <c r="U25" s="38">
        <f>AVERAGEIF(L3:L1205,"&lt;2020/11/23",T3:T1205)</f>
        <v>6.8326253186066266</v>
      </c>
      <c r="V25" s="24">
        <v>1180</v>
      </c>
      <c r="W25" s="47" t="s">
        <v>4521</v>
      </c>
    </row>
    <row r="26" spans="1:23">
      <c r="A26" s="23">
        <v>2</v>
      </c>
      <c r="B26" s="23">
        <v>18</v>
      </c>
      <c r="C26" s="18">
        <v>4</v>
      </c>
      <c r="D26" s="18">
        <v>4</v>
      </c>
      <c r="E26" s="20">
        <v>53</v>
      </c>
      <c r="F26" s="21">
        <f t="shared" si="1"/>
        <v>108.1891433418151</v>
      </c>
      <c r="G26" s="22">
        <v>0.375834621430502</v>
      </c>
      <c r="H26" s="18">
        <v>1</v>
      </c>
      <c r="I26" s="18">
        <f t="shared" si="2"/>
        <v>0</v>
      </c>
      <c r="J26" s="35">
        <v>44153</v>
      </c>
      <c r="K26" s="36">
        <v>2020</v>
      </c>
      <c r="L26" s="32">
        <f t="shared" si="0"/>
        <v>44158</v>
      </c>
      <c r="M26" s="40">
        <v>0</v>
      </c>
      <c r="N26" s="33">
        <v>22</v>
      </c>
      <c r="O26" s="34">
        <f>AVERAGEIF(L3:L1205,"&lt;2020/11/18",N3:N1205)</f>
        <v>111.85471537807986</v>
      </c>
      <c r="P26" s="38">
        <v>0</v>
      </c>
      <c r="Q26" s="38">
        <f>AVERAGEIF(L3:L1205,"&lt;2020/11/18",P3:P1205)</f>
        <v>0.42650807136788443</v>
      </c>
      <c r="R26" s="38">
        <v>1</v>
      </c>
      <c r="S26" s="38">
        <f>AVERAGEIF(L3:L1205,"&lt;2020/11/18",R3:R1205)</f>
        <v>1.2132540356839423</v>
      </c>
      <c r="T26" s="38">
        <v>5</v>
      </c>
      <c r="U26" s="38">
        <f>AVERAGEIF(L3:L1205,"&lt;2020/11/18",T3:T1205)</f>
        <v>6.8326253186066266</v>
      </c>
      <c r="V26" s="24">
        <v>1179</v>
      </c>
      <c r="W26" s="47" t="s">
        <v>4579</v>
      </c>
    </row>
    <row r="27" spans="1:23">
      <c r="A27" s="23">
        <v>2</v>
      </c>
      <c r="B27" s="23">
        <v>6</v>
      </c>
      <c r="C27" s="18">
        <v>4</v>
      </c>
      <c r="D27" s="18">
        <v>4</v>
      </c>
      <c r="E27" s="20">
        <v>97</v>
      </c>
      <c r="F27" s="21">
        <f t="shared" si="1"/>
        <v>108.19864176570458</v>
      </c>
      <c r="G27" s="22">
        <v>0.911241890996774</v>
      </c>
      <c r="H27" s="18">
        <v>1</v>
      </c>
      <c r="I27" s="18">
        <f t="shared" si="2"/>
        <v>0</v>
      </c>
      <c r="J27" s="35">
        <v>44151</v>
      </c>
      <c r="K27" s="36">
        <v>2020</v>
      </c>
      <c r="L27" s="32">
        <f t="shared" si="0"/>
        <v>44152</v>
      </c>
      <c r="M27" s="37">
        <v>1</v>
      </c>
      <c r="N27" s="33">
        <v>174</v>
      </c>
      <c r="O27" s="34">
        <f>AVERAGEIF(L3:L1205,"&lt;2020/11/16",N3:N1205)</f>
        <v>111.80187074829932</v>
      </c>
      <c r="P27" s="38">
        <v>3</v>
      </c>
      <c r="Q27" s="38">
        <f>AVERAGEIF(L3:L1205,"&lt;2020/11/16",P3:P1205)</f>
        <v>0.42431972789115646</v>
      </c>
      <c r="R27" s="38">
        <v>3</v>
      </c>
      <c r="S27" s="38">
        <f>AVERAGEIF(L3:L1205,"&lt;2020/11/16",R3:R1205)</f>
        <v>1.2117346938775511</v>
      </c>
      <c r="T27" s="38">
        <v>1</v>
      </c>
      <c r="U27" s="38">
        <f>AVERAGEIF(L3:L1205,"&lt;2020/11/16",T3:T1205)</f>
        <v>6.8375850340136051</v>
      </c>
      <c r="V27" s="24">
        <v>1178</v>
      </c>
      <c r="W27" s="47" t="s">
        <v>4523</v>
      </c>
    </row>
    <row r="28" spans="1:23">
      <c r="A28" s="23">
        <v>4</v>
      </c>
      <c r="B28" s="23">
        <v>33</v>
      </c>
      <c r="C28" s="18">
        <v>4</v>
      </c>
      <c r="D28" s="18">
        <v>4</v>
      </c>
      <c r="E28" s="20">
        <v>94</v>
      </c>
      <c r="F28" s="21">
        <f t="shared" si="1"/>
        <v>108.21070518266779</v>
      </c>
      <c r="G28" s="22">
        <v>0.41994561674916098</v>
      </c>
      <c r="H28" s="18">
        <v>1</v>
      </c>
      <c r="I28" s="18">
        <f t="shared" si="2"/>
        <v>0</v>
      </c>
      <c r="J28" s="35">
        <v>44150</v>
      </c>
      <c r="K28" s="36">
        <v>2020</v>
      </c>
      <c r="L28" s="32">
        <f t="shared" si="0"/>
        <v>44176</v>
      </c>
      <c r="M28" s="42">
        <v>1</v>
      </c>
      <c r="N28" s="33">
        <v>149</v>
      </c>
      <c r="O28" s="34">
        <f>AVERAGEIF(L3:L1205,"&lt;2020/1/15",N3:N1205)</f>
        <v>112.20967741935483</v>
      </c>
      <c r="P28" s="38">
        <v>2</v>
      </c>
      <c r="Q28" s="38">
        <f>AVERAGEIF(L3:L1205,"&lt;2020/11/15",P3:P1205)</f>
        <v>0.42431972789115646</v>
      </c>
      <c r="R28" s="38">
        <v>1</v>
      </c>
      <c r="S28" s="38">
        <f>AVERAGEIF(L3:L1205,"&lt;2020/11/15",R3:R1205)</f>
        <v>1.2117346938775511</v>
      </c>
      <c r="T28" s="38">
        <v>26</v>
      </c>
      <c r="U28" s="38">
        <f>AVERAGEIF(L3:L1205,"&lt;2020/11/15",T3:T1205)</f>
        <v>6.8375850340136051</v>
      </c>
      <c r="V28" s="24">
        <v>1177</v>
      </c>
      <c r="W28" s="47" t="s">
        <v>4550</v>
      </c>
    </row>
    <row r="29" spans="1:23">
      <c r="A29" s="23">
        <v>3</v>
      </c>
      <c r="B29" s="23">
        <v>25</v>
      </c>
      <c r="C29" s="18">
        <v>4</v>
      </c>
      <c r="D29" s="18">
        <v>6</v>
      </c>
      <c r="E29" s="20">
        <v>42</v>
      </c>
      <c r="F29" s="21">
        <f t="shared" si="1"/>
        <v>108.26700680272108</v>
      </c>
      <c r="G29" s="22">
        <v>0.71058620773442005</v>
      </c>
      <c r="H29" s="3">
        <v>1</v>
      </c>
      <c r="I29" s="18">
        <f t="shared" si="2"/>
        <v>0</v>
      </c>
      <c r="J29" s="35">
        <v>44149</v>
      </c>
      <c r="K29" s="36">
        <v>2020</v>
      </c>
      <c r="L29" s="32">
        <f t="shared" si="0"/>
        <v>44158</v>
      </c>
      <c r="M29" s="40">
        <v>1</v>
      </c>
      <c r="N29" s="33">
        <v>122</v>
      </c>
      <c r="O29" s="34">
        <f>AVERAGEIF(L3:L1205,"&lt;2020/11/14",N3:N1205)</f>
        <v>111.80187074829932</v>
      </c>
      <c r="P29" s="38">
        <v>2</v>
      </c>
      <c r="Q29" s="38">
        <f>AVERAGEIF(L3:L1205,"&lt;2020/11/14",P3:P1205)</f>
        <v>0.42431972789115646</v>
      </c>
      <c r="R29" s="38">
        <v>1</v>
      </c>
      <c r="S29" s="38">
        <f>AVERAGEIF(L3:L1205,"&lt;2020/11/14",R3:R1205)</f>
        <v>1.2117346938775511</v>
      </c>
      <c r="T29" s="38">
        <v>9</v>
      </c>
      <c r="U29" s="38">
        <f>AVERAGEIF(L3:L1205,"&lt;2020/11/14",T3:T1205)</f>
        <v>6.8375850340136051</v>
      </c>
      <c r="V29" s="24">
        <v>1176</v>
      </c>
      <c r="W29" s="47" t="s">
        <v>4529</v>
      </c>
    </row>
    <row r="30" spans="1:23">
      <c r="A30" s="23">
        <v>2</v>
      </c>
      <c r="B30" s="23">
        <v>7</v>
      </c>
      <c r="C30" s="18">
        <v>4</v>
      </c>
      <c r="D30" s="18">
        <v>8</v>
      </c>
      <c r="E30" s="20">
        <v>89</v>
      </c>
      <c r="F30" s="21">
        <f t="shared" si="1"/>
        <v>108.28340425531916</v>
      </c>
      <c r="G30" s="22">
        <v>0.23348367464035499</v>
      </c>
      <c r="H30" s="18">
        <v>1</v>
      </c>
      <c r="I30" s="18">
        <f t="shared" si="2"/>
        <v>0</v>
      </c>
      <c r="J30" s="35">
        <v>44145</v>
      </c>
      <c r="K30" s="36">
        <v>2020</v>
      </c>
      <c r="L30" s="32">
        <f t="shared" si="0"/>
        <v>44146</v>
      </c>
      <c r="M30" s="40">
        <v>1</v>
      </c>
      <c r="N30" s="33">
        <v>116</v>
      </c>
      <c r="O30" s="34">
        <f>AVERAGEIF(L3:L1205,"&lt;2020/11/10",N3:N1205)</f>
        <v>111.75</v>
      </c>
      <c r="P30" s="38">
        <v>0</v>
      </c>
      <c r="Q30" s="38">
        <f>AVERAGEIF(L3:L1205,"&lt;2020/11/10",P3:P1205)</f>
        <v>0.42491467576791808</v>
      </c>
      <c r="R30" s="38">
        <v>1</v>
      </c>
      <c r="S30" s="38">
        <f>AVERAGEIF(L3:L1205,"&lt;2020/11/10",R3:R1205)</f>
        <v>1.21160409556314</v>
      </c>
      <c r="T30" s="38">
        <v>1</v>
      </c>
      <c r="U30" s="38">
        <f>AVERAGEIF(L3:L1205,"&lt;2020/11/10",T3:T1205)</f>
        <v>6.848976109215017</v>
      </c>
      <c r="V30" s="24">
        <v>1175</v>
      </c>
      <c r="W30" s="47" t="s">
        <v>4558</v>
      </c>
    </row>
    <row r="31" spans="1:23">
      <c r="A31" s="23">
        <v>2</v>
      </c>
      <c r="B31" s="23">
        <v>7</v>
      </c>
      <c r="C31" s="18">
        <v>4</v>
      </c>
      <c r="D31" s="18">
        <v>8</v>
      </c>
      <c r="E31" s="20">
        <v>93</v>
      </c>
      <c r="F31" s="21">
        <f t="shared" si="1"/>
        <v>108.29642248722317</v>
      </c>
      <c r="G31" s="22">
        <v>0.31007306366686399</v>
      </c>
      <c r="H31" s="18">
        <v>1</v>
      </c>
      <c r="I31" s="18">
        <f t="shared" si="2"/>
        <v>0</v>
      </c>
      <c r="J31" s="35">
        <v>44145</v>
      </c>
      <c r="K31" s="36">
        <v>2020</v>
      </c>
      <c r="L31" s="32">
        <f t="shared" si="0"/>
        <v>44146</v>
      </c>
      <c r="M31" s="40">
        <v>1</v>
      </c>
      <c r="N31" s="33">
        <v>113</v>
      </c>
      <c r="O31" s="34">
        <f>AVERAGEIF(L3:L1205,"&lt;2020/11/10",N3:N1205)</f>
        <v>111.75</v>
      </c>
      <c r="P31" s="38">
        <v>0</v>
      </c>
      <c r="Q31" s="38">
        <f>AVERAGEIF(L3:L1205,"&lt;2020/11/10",P3:P1205)</f>
        <v>0.42491467576791808</v>
      </c>
      <c r="R31" s="38">
        <v>1</v>
      </c>
      <c r="S31" s="38">
        <f>AVERAGEIF(L3:L1205,"&lt;2020/11/10",R3:R1205)</f>
        <v>1.21160409556314</v>
      </c>
      <c r="T31" s="38">
        <v>1</v>
      </c>
      <c r="U31" s="38">
        <f>AVERAGEIF(L3:L1205,"&lt;2020/11/10",T3:T1205)</f>
        <v>6.848976109215017</v>
      </c>
      <c r="V31" s="24">
        <v>1174</v>
      </c>
      <c r="W31" s="47" t="s">
        <v>4593</v>
      </c>
    </row>
    <row r="32" spans="1:23">
      <c r="A32" s="23">
        <v>2</v>
      </c>
      <c r="B32" s="23">
        <v>7</v>
      </c>
      <c r="C32" s="18">
        <v>5</v>
      </c>
      <c r="D32" s="18">
        <v>8</v>
      </c>
      <c r="E32" s="20">
        <v>50</v>
      </c>
      <c r="F32" s="21">
        <f t="shared" si="1"/>
        <v>108.34612105711849</v>
      </c>
      <c r="G32" s="22">
        <v>0.37602247103179998</v>
      </c>
      <c r="H32" s="18">
        <v>1</v>
      </c>
      <c r="I32" s="18">
        <f t="shared" si="2"/>
        <v>0</v>
      </c>
      <c r="J32" s="35">
        <v>44144</v>
      </c>
      <c r="K32" s="36">
        <v>2020</v>
      </c>
      <c r="L32" s="32">
        <f t="shared" si="0"/>
        <v>44145</v>
      </c>
      <c r="M32" s="40">
        <v>1</v>
      </c>
      <c r="N32" s="33">
        <v>61</v>
      </c>
      <c r="O32" s="34">
        <f>AVERAGEIF(L3:L1205,"&lt;2020/11/9",N3:N1205)</f>
        <v>111.75</v>
      </c>
      <c r="P32" s="38">
        <v>0</v>
      </c>
      <c r="Q32" s="38">
        <f>AVERAGEIF(L3:L1205,"&lt;2020/11/9",P3:P1205)</f>
        <v>0.42491467576791808</v>
      </c>
      <c r="R32" s="38">
        <v>1</v>
      </c>
      <c r="S32" s="38">
        <f>AVERAGEIF(L3:L1205,"&lt;2020/11/9",R3:R1205)</f>
        <v>1.21160409556314</v>
      </c>
      <c r="T32" s="38">
        <v>1</v>
      </c>
      <c r="U32" s="38">
        <f>AVERAGEIF(L3:L1205,"&lt;2020/11/9",T3:T1205)</f>
        <v>6.848976109215017</v>
      </c>
      <c r="V32" s="24">
        <v>1173</v>
      </c>
      <c r="W32" s="47" t="s">
        <v>4563</v>
      </c>
    </row>
    <row r="33" spans="1:23">
      <c r="A33" s="23">
        <v>2</v>
      </c>
      <c r="B33" s="23">
        <v>7</v>
      </c>
      <c r="C33" s="18">
        <v>5</v>
      </c>
      <c r="D33" s="18">
        <v>8</v>
      </c>
      <c r="E33" s="20">
        <v>121</v>
      </c>
      <c r="F33" s="21">
        <f t="shared" si="1"/>
        <v>108.33532423208192</v>
      </c>
      <c r="G33" s="22">
        <v>0.19366378269015699</v>
      </c>
      <c r="H33" s="18">
        <v>1</v>
      </c>
      <c r="I33" s="18">
        <f t="shared" si="2"/>
        <v>0</v>
      </c>
      <c r="J33" s="35">
        <v>44140</v>
      </c>
      <c r="K33" s="36">
        <v>2020</v>
      </c>
      <c r="L33" s="32">
        <f t="shared" si="0"/>
        <v>44141</v>
      </c>
      <c r="M33" s="40">
        <v>1</v>
      </c>
      <c r="N33" s="33">
        <v>185</v>
      </c>
      <c r="O33" s="34">
        <f>AVERAGEIF(L3:L1205,"&lt;2020/11/5",N3:N1205)</f>
        <v>111.7051282051282</v>
      </c>
      <c r="P33" s="38">
        <v>0</v>
      </c>
      <c r="Q33" s="38">
        <f>AVERAGEIF(L3:L1205,"&lt;2020/11/5",P3:P1205)</f>
        <v>0.42564102564102563</v>
      </c>
      <c r="R33" s="38">
        <v>1</v>
      </c>
      <c r="S33" s="38">
        <f>AVERAGEIF(L3:L1205,"&lt;2020/11/5",R3:R1205)</f>
        <v>1.2119658119658119</v>
      </c>
      <c r="T33" s="38">
        <v>1</v>
      </c>
      <c r="U33" s="38">
        <f>AVERAGEIF(L3:L1205,"&lt;2020/11/5",T3:T1205)</f>
        <v>6.8581196581196577</v>
      </c>
      <c r="V33" s="24">
        <v>1172</v>
      </c>
      <c r="W33" s="47" t="s">
        <v>4563</v>
      </c>
    </row>
    <row r="34" spans="1:23">
      <c r="A34" s="23">
        <v>2</v>
      </c>
      <c r="B34" s="23">
        <v>7</v>
      </c>
      <c r="C34" s="18">
        <v>5</v>
      </c>
      <c r="D34" s="18">
        <v>8</v>
      </c>
      <c r="E34" s="20">
        <v>164</v>
      </c>
      <c r="F34" s="21">
        <f t="shared" si="1"/>
        <v>108.28778821520068</v>
      </c>
      <c r="G34" s="22">
        <v>0.80011729225790895</v>
      </c>
      <c r="H34" s="18">
        <v>1</v>
      </c>
      <c r="I34" s="18">
        <f t="shared" si="2"/>
        <v>0</v>
      </c>
      <c r="J34" s="35">
        <v>44139</v>
      </c>
      <c r="K34" s="36">
        <v>2020</v>
      </c>
      <c r="L34" s="32">
        <f t="shared" si="0"/>
        <v>44139</v>
      </c>
      <c r="M34" s="40">
        <v>1</v>
      </c>
      <c r="N34" s="33">
        <v>120</v>
      </c>
      <c r="O34" s="34">
        <f>AVERAGEIF(L3:L1205,"&lt;2020/11/4",N3:N1205)</f>
        <v>111.69092465753425</v>
      </c>
      <c r="P34" s="38">
        <v>0</v>
      </c>
      <c r="Q34" s="38">
        <f>AVERAGEIF(L3:L1205,"&lt;2020/11/4",P3:P1205)</f>
        <v>0.42636986301369861</v>
      </c>
      <c r="R34" s="38">
        <v>1</v>
      </c>
      <c r="S34" s="38">
        <f>AVERAGEIF(L3:L1205,"&lt;2020/11/4",R3:R1205)</f>
        <v>1.2123287671232876</v>
      </c>
      <c r="T34" s="38">
        <v>0</v>
      </c>
      <c r="U34" s="38">
        <f>AVERAGEIF(L3:L1205,"&lt;2020/11/4",T3:T1205)</f>
        <v>6.8698630136986303</v>
      </c>
      <c r="V34" s="24">
        <v>1171</v>
      </c>
      <c r="W34" s="47" t="s">
        <v>4563</v>
      </c>
    </row>
    <row r="35" spans="1:23">
      <c r="A35" s="23">
        <v>2</v>
      </c>
      <c r="B35" s="23">
        <v>17</v>
      </c>
      <c r="C35" s="18">
        <v>5</v>
      </c>
      <c r="D35" s="18">
        <v>8</v>
      </c>
      <c r="E35" s="20">
        <v>164</v>
      </c>
      <c r="F35" s="21">
        <f t="shared" si="1"/>
        <v>108.24017094017094</v>
      </c>
      <c r="G35" s="22">
        <v>0.34346492658383099</v>
      </c>
      <c r="H35" s="18">
        <v>1</v>
      </c>
      <c r="I35" s="18">
        <f t="shared" si="2"/>
        <v>0</v>
      </c>
      <c r="J35" s="41">
        <v>44139</v>
      </c>
      <c r="K35" s="36">
        <v>2020</v>
      </c>
      <c r="L35" s="32">
        <f t="shared" si="0"/>
        <v>44139</v>
      </c>
      <c r="M35" s="40">
        <v>1</v>
      </c>
      <c r="N35" s="33">
        <v>120</v>
      </c>
      <c r="O35" s="34">
        <f>AVERAGEIF(L3:L1205,"&lt;2020/11/4",N3:N1205)</f>
        <v>111.69092465753425</v>
      </c>
      <c r="P35" s="40">
        <v>0</v>
      </c>
      <c r="Q35" s="40">
        <f>AVERAGEIF(L3:L1205,"&lt;2020/11/4",P3:P1205)</f>
        <v>0.42636986301369861</v>
      </c>
      <c r="R35" s="40">
        <v>1</v>
      </c>
      <c r="S35" s="40">
        <f>AVERAGEIF(L3:L1205,"&lt;2020/11/4",R3:R1205)</f>
        <v>1.2123287671232876</v>
      </c>
      <c r="T35" s="40">
        <v>0</v>
      </c>
      <c r="U35" s="40">
        <f>AVERAGEIF(L3:L1205,"&lt;2020/11/4",T3:T1205)</f>
        <v>6.8698630136986303</v>
      </c>
      <c r="V35" s="24">
        <v>1170</v>
      </c>
      <c r="W35" s="47" t="s">
        <v>4563</v>
      </c>
    </row>
    <row r="36" spans="1:23">
      <c r="A36" s="23">
        <v>2</v>
      </c>
      <c r="B36" s="23">
        <v>9</v>
      </c>
      <c r="C36" s="18">
        <v>4</v>
      </c>
      <c r="D36" s="18">
        <v>4</v>
      </c>
      <c r="E36" s="20">
        <v>49</v>
      </c>
      <c r="F36" s="21">
        <f t="shared" si="1"/>
        <v>108.29084687767323</v>
      </c>
      <c r="G36" s="22">
        <v>0.37747543214463197</v>
      </c>
      <c r="H36" s="18">
        <v>1</v>
      </c>
      <c r="I36" s="18">
        <f t="shared" si="2"/>
        <v>0</v>
      </c>
      <c r="J36" s="35">
        <v>44138</v>
      </c>
      <c r="K36" s="36">
        <v>2020</v>
      </c>
      <c r="L36" s="32">
        <f t="shared" si="0"/>
        <v>44140</v>
      </c>
      <c r="M36" s="40">
        <v>0</v>
      </c>
      <c r="N36" s="33">
        <v>91</v>
      </c>
      <c r="O36" s="34">
        <f>AVERAGEIF(L3:L1205,"&lt;2020/11/3",N3:N1205)</f>
        <v>111.69092465753425</v>
      </c>
      <c r="P36" s="38">
        <v>0</v>
      </c>
      <c r="Q36" s="38">
        <f>AVERAGEIF(L3:L1205,"&lt;2020/11/3",P3:P1205)</f>
        <v>0.42636986301369861</v>
      </c>
      <c r="R36" s="38">
        <v>1</v>
      </c>
      <c r="S36" s="38">
        <f>AVERAGEIF(L3:L1205,"&lt;2020/11/3",R3:R1205)</f>
        <v>1.2123287671232876</v>
      </c>
      <c r="T36" s="38">
        <v>2</v>
      </c>
      <c r="U36" s="38">
        <f>AVERAGEIF(L3:L1205,"&lt;2020/11/3",T3:T1205)</f>
        <v>6.8698630136986303</v>
      </c>
      <c r="V36" s="24">
        <v>1169</v>
      </c>
      <c r="W36" s="47" t="s">
        <v>4521</v>
      </c>
    </row>
    <row r="37" spans="1:23">
      <c r="A37" s="23">
        <v>2</v>
      </c>
      <c r="B37" s="23">
        <v>16</v>
      </c>
      <c r="C37" s="18">
        <v>4</v>
      </c>
      <c r="D37" s="18">
        <v>2</v>
      </c>
      <c r="E37" s="20">
        <v>110</v>
      </c>
      <c r="F37" s="21">
        <f t="shared" si="1"/>
        <v>108.28938356164383</v>
      </c>
      <c r="G37" s="22">
        <v>0.85314482084073395</v>
      </c>
      <c r="H37" s="18">
        <v>1</v>
      </c>
      <c r="I37" s="18">
        <f t="shared" si="2"/>
        <v>0</v>
      </c>
      <c r="J37" s="35">
        <v>44134</v>
      </c>
      <c r="K37" s="36">
        <v>2020</v>
      </c>
      <c r="L37" s="32">
        <f t="shared" si="0"/>
        <v>44145</v>
      </c>
      <c r="M37" s="40">
        <v>1</v>
      </c>
      <c r="N37" s="33">
        <v>218</v>
      </c>
      <c r="O37" s="34">
        <f>AVERAGEIF(L3:L1205,"&lt;2020/10/30",N3:N1205)</f>
        <v>111.55660377358491</v>
      </c>
      <c r="P37" s="38">
        <v>1</v>
      </c>
      <c r="Q37" s="38">
        <f>AVERAGEIF(L3:L1205,"&lt;2020/10/30",P3:P1205)</f>
        <v>0.42538593481989706</v>
      </c>
      <c r="R37" s="38">
        <v>2</v>
      </c>
      <c r="S37" s="38">
        <f>AVERAGEIF(L3:L1205,"&lt;2020/10/30",R3:R1205)</f>
        <v>1.211835334476844</v>
      </c>
      <c r="T37" s="38">
        <v>11</v>
      </c>
      <c r="U37" s="38">
        <f>AVERAGEIF(L3:L1205,"&lt;2020/10/30",T3:T1205)</f>
        <v>6.8739279588336188</v>
      </c>
      <c r="V37" s="24">
        <v>1168</v>
      </c>
      <c r="W37" s="47" t="s">
        <v>4529</v>
      </c>
    </row>
    <row r="38" spans="1:23">
      <c r="A38" s="23">
        <v>2</v>
      </c>
      <c r="B38" s="23">
        <v>6</v>
      </c>
      <c r="C38" s="18">
        <v>4</v>
      </c>
      <c r="D38" s="18">
        <v>6</v>
      </c>
      <c r="E38" s="20">
        <v>66</v>
      </c>
      <c r="F38" s="21">
        <f t="shared" si="1"/>
        <v>108.32562125107113</v>
      </c>
      <c r="G38" s="22">
        <v>0.86597899645768805</v>
      </c>
      <c r="H38" s="18">
        <v>1</v>
      </c>
      <c r="I38" s="18">
        <f t="shared" si="2"/>
        <v>0</v>
      </c>
      <c r="J38" s="35">
        <v>44133</v>
      </c>
      <c r="K38" s="36">
        <v>2020</v>
      </c>
      <c r="L38" s="32">
        <f t="shared" si="0"/>
        <v>44134</v>
      </c>
      <c r="M38" s="37">
        <v>0</v>
      </c>
      <c r="N38" s="33">
        <v>100</v>
      </c>
      <c r="O38" s="34">
        <f>AVERAGEIF(L3:L1205,"&lt;2020/10/29",N3:N1205)</f>
        <v>111.40584694754943</v>
      </c>
      <c r="P38" s="38">
        <v>0</v>
      </c>
      <c r="Q38" s="38">
        <f>AVERAGEIF(L3:L1205,"&lt;2020/10/29",P3:P1205)</f>
        <v>0.42648323301805674</v>
      </c>
      <c r="R38" s="38">
        <v>1</v>
      </c>
      <c r="S38" s="38">
        <f>AVERAGEIF(L3:L1205,"&lt;2020/10/29",R3:R1205)</f>
        <v>1.2123817712811693</v>
      </c>
      <c r="T38" s="38">
        <v>1</v>
      </c>
      <c r="U38" s="38">
        <f>AVERAGEIF(L3:L1205,"&lt;2020/10/29",T3:T1205)</f>
        <v>6.8873602751504732</v>
      </c>
      <c r="V38" s="24">
        <v>1167</v>
      </c>
      <c r="W38" s="47" t="s">
        <v>4529</v>
      </c>
    </row>
    <row r="39" spans="1:23">
      <c r="A39" s="23">
        <v>2</v>
      </c>
      <c r="B39" s="23">
        <v>6</v>
      </c>
      <c r="C39" s="18">
        <v>1</v>
      </c>
      <c r="D39" s="18">
        <v>2</v>
      </c>
      <c r="E39" s="20">
        <v>117</v>
      </c>
      <c r="F39" s="21">
        <f t="shared" si="1"/>
        <v>108.31818181818181</v>
      </c>
      <c r="G39" s="22">
        <v>0.81802835032675802</v>
      </c>
      <c r="H39" s="18">
        <v>1</v>
      </c>
      <c r="I39" s="18">
        <f t="shared" si="2"/>
        <v>0</v>
      </c>
      <c r="J39" s="35">
        <v>44132</v>
      </c>
      <c r="K39" s="36">
        <v>2020</v>
      </c>
      <c r="L39" s="32">
        <f t="shared" si="0"/>
        <v>44133</v>
      </c>
      <c r="M39" s="37">
        <v>1</v>
      </c>
      <c r="N39" s="33">
        <v>190</v>
      </c>
      <c r="O39" s="34">
        <f>AVERAGEIF(L3:L1205,"&lt;2020/10/28",N3:N1205)</f>
        <v>111.48406546080965</v>
      </c>
      <c r="P39" s="38">
        <v>0</v>
      </c>
      <c r="Q39" s="38">
        <f>AVERAGEIF(L3:L1205,"&lt;2020/10/28",P3:P1205)</f>
        <v>0.4272179155900086</v>
      </c>
      <c r="R39" s="38">
        <v>1</v>
      </c>
      <c r="S39" s="38">
        <f>AVERAGEIF(L3:L1205,"&lt;2020/10/28",R3:R1205)</f>
        <v>1.2127476313522825</v>
      </c>
      <c r="T39" s="38">
        <v>1</v>
      </c>
      <c r="U39" s="38">
        <f>AVERAGEIF(L3:L1205,"&lt;2020/10/28",T3:T1205)</f>
        <v>6.8923341946597763</v>
      </c>
      <c r="V39" s="24">
        <v>1166</v>
      </c>
      <c r="W39" s="47" t="s">
        <v>4610</v>
      </c>
    </row>
    <row r="40" spans="1:23">
      <c r="A40" s="23">
        <v>2</v>
      </c>
      <c r="B40" s="23">
        <v>6</v>
      </c>
      <c r="C40" s="18">
        <v>4</v>
      </c>
      <c r="D40" s="18">
        <v>2</v>
      </c>
      <c r="E40" s="20">
        <v>27</v>
      </c>
      <c r="F40" s="21">
        <f t="shared" si="1"/>
        <v>108.38798283261802</v>
      </c>
      <c r="G40" s="22">
        <v>0.87499999992667399</v>
      </c>
      <c r="H40" s="18">
        <v>0</v>
      </c>
      <c r="I40" s="18">
        <f t="shared" si="2"/>
        <v>1</v>
      </c>
      <c r="J40" s="35">
        <v>44131</v>
      </c>
      <c r="K40" s="36">
        <v>2020</v>
      </c>
      <c r="L40" s="32">
        <f t="shared" si="0"/>
        <v>44133</v>
      </c>
      <c r="M40" s="37">
        <v>0</v>
      </c>
      <c r="N40" s="33">
        <v>106</v>
      </c>
      <c r="O40" s="34">
        <f>AVERAGEIF(L3:L1205,"&lt;2020/10/27",N3:N1205)</f>
        <v>111.54357204486627</v>
      </c>
      <c r="P40" s="38">
        <v>0</v>
      </c>
      <c r="Q40" s="38">
        <f>AVERAGEIF(L3:L1205,"&lt;2020/10/27",P3:P1205)</f>
        <v>0.42795513373597927</v>
      </c>
      <c r="R40" s="38">
        <v>1</v>
      </c>
      <c r="S40" s="38">
        <f>AVERAGEIF(L3:L1205,"&lt;2020/10/27",R3:R1205)</f>
        <v>1.2122519413287316</v>
      </c>
      <c r="T40" s="38">
        <v>2</v>
      </c>
      <c r="U40" s="38">
        <f>AVERAGEIF(L3:L1205,"&lt;2020/10/27",T3:T1205)</f>
        <v>6.8973252804141501</v>
      </c>
      <c r="V40" s="24">
        <v>1165</v>
      </c>
      <c r="W40" s="47" t="s">
        <v>4550</v>
      </c>
    </row>
    <row r="41" spans="1:23">
      <c r="A41" s="23">
        <v>2</v>
      </c>
      <c r="B41" s="23">
        <v>6</v>
      </c>
      <c r="C41" s="18">
        <v>4</v>
      </c>
      <c r="D41" s="18">
        <v>6</v>
      </c>
      <c r="E41" s="20">
        <v>322</v>
      </c>
      <c r="F41" s="21">
        <f t="shared" si="1"/>
        <v>108.20446735395188</v>
      </c>
      <c r="G41" s="22">
        <v>0.41299942056317901</v>
      </c>
      <c r="H41" s="18">
        <v>0</v>
      </c>
      <c r="I41" s="18">
        <f t="shared" si="2"/>
        <v>1</v>
      </c>
      <c r="J41" s="35">
        <v>44131</v>
      </c>
      <c r="K41" s="36">
        <v>2020</v>
      </c>
      <c r="L41" s="32">
        <f t="shared" si="0"/>
        <v>44133</v>
      </c>
      <c r="M41" s="37">
        <v>1</v>
      </c>
      <c r="N41" s="33">
        <v>214</v>
      </c>
      <c r="O41" s="34">
        <f>AVERAGEIF(L3:L1205,"&lt;2020/10/27",N3:N1205)</f>
        <v>111.54357204486627</v>
      </c>
      <c r="P41" s="38">
        <v>0</v>
      </c>
      <c r="Q41" s="38">
        <f>AVERAGEIF(L3:L1205,"&lt;2020/10/27",P3:P1205)</f>
        <v>0.42795513373597927</v>
      </c>
      <c r="R41" s="38">
        <v>1</v>
      </c>
      <c r="S41" s="38">
        <f>AVERAGEIF(L3:L1205,"&lt;2020/10/27",R3:R1205)</f>
        <v>1.2122519413287316</v>
      </c>
      <c r="T41" s="38">
        <v>2</v>
      </c>
      <c r="U41" s="38">
        <f>AVERAGEIF(L3:L1205,"&lt;2020/10/27",T3:T1205)</f>
        <v>6.8973252804141501</v>
      </c>
      <c r="V41" s="24">
        <v>1164</v>
      </c>
      <c r="W41" s="47" t="s">
        <v>4529</v>
      </c>
    </row>
    <row r="42" spans="1:23">
      <c r="A42" s="23">
        <v>2</v>
      </c>
      <c r="B42" s="23">
        <v>8</v>
      </c>
      <c r="C42" s="18">
        <v>4</v>
      </c>
      <c r="D42" s="18">
        <v>4</v>
      </c>
      <c r="E42" s="20">
        <v>108</v>
      </c>
      <c r="F42" s="21">
        <f t="shared" si="1"/>
        <v>108.20464316423043</v>
      </c>
      <c r="G42" s="22">
        <v>0.80530426256184995</v>
      </c>
      <c r="H42" s="18">
        <v>1</v>
      </c>
      <c r="I42" s="18">
        <f t="shared" si="2"/>
        <v>0</v>
      </c>
      <c r="J42" s="35">
        <v>44129</v>
      </c>
      <c r="K42" s="36">
        <v>2020</v>
      </c>
      <c r="L42" s="32">
        <f t="shared" si="0"/>
        <v>44132</v>
      </c>
      <c r="M42" s="40">
        <v>1</v>
      </c>
      <c r="N42" s="33">
        <v>67</v>
      </c>
      <c r="O42" s="34">
        <f>AVERAGEIF(L3:L1205,"&lt;2020/10/25",N3:N1205)</f>
        <v>111.54357204486627</v>
      </c>
      <c r="P42" s="40">
        <v>0</v>
      </c>
      <c r="Q42" s="40">
        <f>AVERAGEIF(L3:L1205,"&lt;2020/10/25",P3:P1205)</f>
        <v>0.42795513373597927</v>
      </c>
      <c r="R42" s="40">
        <v>1</v>
      </c>
      <c r="S42" s="40">
        <f>AVERAGEIF(L3:L1205,"&lt;2020/10/25",R3:R1205)</f>
        <v>1.2122519413287316</v>
      </c>
      <c r="T42" s="40">
        <v>3</v>
      </c>
      <c r="U42" s="40">
        <f>AVERAGEIF(L3:L1205,"&lt;2020/10/25",T3:T1205)</f>
        <v>6.8973252804141501</v>
      </c>
      <c r="V42" s="24">
        <v>1163</v>
      </c>
      <c r="W42" s="47" t="s">
        <v>4550</v>
      </c>
    </row>
    <row r="43" spans="1:23">
      <c r="A43" s="23">
        <v>4</v>
      </c>
      <c r="B43" s="23">
        <v>29</v>
      </c>
      <c r="C43" s="18">
        <v>4</v>
      </c>
      <c r="D43" s="18">
        <v>6</v>
      </c>
      <c r="E43" s="20">
        <v>56</v>
      </c>
      <c r="F43" s="21">
        <f t="shared" si="1"/>
        <v>108.24956970740104</v>
      </c>
      <c r="G43" s="22">
        <v>0.37607823238143501</v>
      </c>
      <c r="H43" s="18">
        <v>0</v>
      </c>
      <c r="I43" s="18">
        <f t="shared" si="2"/>
        <v>1</v>
      </c>
      <c r="J43" s="35">
        <v>44129</v>
      </c>
      <c r="K43" s="36">
        <v>2020</v>
      </c>
      <c r="L43" s="32">
        <f t="shared" si="0"/>
        <v>44137</v>
      </c>
      <c r="M43" s="44">
        <v>1</v>
      </c>
      <c r="N43" s="33">
        <v>280</v>
      </c>
      <c r="O43" s="34">
        <f>AVERAGEIF(L3:L1205,"&lt;2020/10/25",N3:N1205)</f>
        <v>111.54357204486627</v>
      </c>
      <c r="P43" s="38">
        <v>2</v>
      </c>
      <c r="Q43" s="38">
        <f>AVERAGEIF(L3:L1205,"&lt;2020/10/25",P3:P1205)</f>
        <v>0.42795513373597927</v>
      </c>
      <c r="R43" s="38">
        <v>2</v>
      </c>
      <c r="S43" s="38">
        <f>AVERAGEIF(L3:L1205,"&lt;2020/10/25",R3:R1205)</f>
        <v>1.2122519413287316</v>
      </c>
      <c r="T43" s="38">
        <v>8</v>
      </c>
      <c r="U43" s="38">
        <f>AVERAGEIF(L3:L1205,"&lt;2020/10/25",T3:T1205)</f>
        <v>6.8973252804141501</v>
      </c>
      <c r="V43" s="24">
        <v>1162</v>
      </c>
      <c r="W43" s="47" t="s">
        <v>4529</v>
      </c>
    </row>
    <row r="44" spans="1:23">
      <c r="A44" s="23">
        <v>2</v>
      </c>
      <c r="B44" s="23">
        <v>13</v>
      </c>
      <c r="C44" s="18">
        <v>4</v>
      </c>
      <c r="D44" s="18">
        <v>6</v>
      </c>
      <c r="E44" s="20">
        <v>121</v>
      </c>
      <c r="F44" s="21">
        <f t="shared" si="1"/>
        <v>108.23858742463393</v>
      </c>
      <c r="G44" s="22">
        <v>0.59706782129340397</v>
      </c>
      <c r="H44" s="18">
        <v>1</v>
      </c>
      <c r="I44" s="18">
        <f t="shared" si="2"/>
        <v>0</v>
      </c>
      <c r="J44" s="41">
        <v>44128</v>
      </c>
      <c r="K44" s="36">
        <v>2020</v>
      </c>
      <c r="L44" s="32">
        <f t="shared" si="0"/>
        <v>44131</v>
      </c>
      <c r="M44" s="40">
        <v>0</v>
      </c>
      <c r="N44" s="33">
        <v>121</v>
      </c>
      <c r="O44" s="34">
        <f>AVERAGEIF(L3:L1205,"&lt;2020/10/24",N3:N1205)</f>
        <v>111.54357204486627</v>
      </c>
      <c r="P44" s="38">
        <v>0</v>
      </c>
      <c r="Q44" s="38">
        <f>AVERAGEIF(L3:L1205,"&lt;2020/10/24",P3:P1205)</f>
        <v>0.42795513373597927</v>
      </c>
      <c r="R44" s="38">
        <v>1</v>
      </c>
      <c r="S44" s="38">
        <f>AVERAGEIF(L3:L1205,"&lt;2020/10/24",R3:R1205)</f>
        <v>1.2122519413287316</v>
      </c>
      <c r="T44" s="38">
        <v>3</v>
      </c>
      <c r="U44" s="38">
        <f>AVERAGEIF(L3:L1205,"&lt;2020/10/24",T3:T1205)</f>
        <v>6.8973252804141501</v>
      </c>
      <c r="V44" s="24">
        <v>1161</v>
      </c>
      <c r="W44" s="47" t="s">
        <v>4618</v>
      </c>
    </row>
    <row r="45" spans="1:23">
      <c r="A45" s="23">
        <v>2</v>
      </c>
      <c r="B45" s="23">
        <v>8</v>
      </c>
      <c r="C45" s="18">
        <v>4</v>
      </c>
      <c r="D45" s="18">
        <v>4</v>
      </c>
      <c r="E45" s="20">
        <v>96</v>
      </c>
      <c r="F45" s="21">
        <f t="shared" si="1"/>
        <v>108.24913793103448</v>
      </c>
      <c r="G45" s="22">
        <v>0.37520377940432498</v>
      </c>
      <c r="H45" s="18">
        <v>1</v>
      </c>
      <c r="I45" s="18">
        <f t="shared" si="2"/>
        <v>0</v>
      </c>
      <c r="J45" s="35">
        <v>44127</v>
      </c>
      <c r="K45" s="36">
        <v>2020</v>
      </c>
      <c r="L45" s="32">
        <f t="shared" si="0"/>
        <v>44132</v>
      </c>
      <c r="M45" s="40">
        <v>1</v>
      </c>
      <c r="N45" s="33">
        <v>65</v>
      </c>
      <c r="O45" s="34">
        <f>AVERAGEIF(L3:L1205,"&lt;2020/10/23",N3:N1205)</f>
        <v>111.54357204486627</v>
      </c>
      <c r="P45" s="40">
        <v>0</v>
      </c>
      <c r="Q45" s="40">
        <f>AVERAGEIF(L3:L1205,"&lt;2020/10/23",P3:P1205)</f>
        <v>0.42795513373597927</v>
      </c>
      <c r="R45" s="40">
        <v>1</v>
      </c>
      <c r="S45" s="40">
        <f>AVERAGEIF(L3:L1205,"&lt;2020/10/23",R3:R1205)</f>
        <v>1.2122519413287316</v>
      </c>
      <c r="T45" s="40">
        <v>5</v>
      </c>
      <c r="U45" s="40">
        <f>AVERAGEIF(L3:L1205,"&lt;2020/10/23",T3:T1205)</f>
        <v>6.8973252804141501</v>
      </c>
      <c r="V45" s="24">
        <v>1160</v>
      </c>
      <c r="W45" s="47" t="s">
        <v>4621</v>
      </c>
    </row>
    <row r="46" spans="1:23">
      <c r="A46" s="23">
        <v>2</v>
      </c>
      <c r="B46" s="23">
        <v>16</v>
      </c>
      <c r="C46" s="18">
        <v>4</v>
      </c>
      <c r="D46" s="18">
        <v>2</v>
      </c>
      <c r="E46" s="20">
        <v>49</v>
      </c>
      <c r="F46" s="21">
        <f t="shared" si="1"/>
        <v>108.30025884383089</v>
      </c>
      <c r="G46" s="22">
        <v>0.87434757008365005</v>
      </c>
      <c r="H46" s="18">
        <v>0</v>
      </c>
      <c r="I46" s="18">
        <f t="shared" si="2"/>
        <v>1</v>
      </c>
      <c r="J46" s="35">
        <v>44126</v>
      </c>
      <c r="K46" s="36">
        <v>2020</v>
      </c>
      <c r="L46" s="32">
        <f t="shared" si="0"/>
        <v>44131</v>
      </c>
      <c r="M46" s="40">
        <v>0</v>
      </c>
      <c r="N46" s="33">
        <v>33</v>
      </c>
      <c r="O46" s="34">
        <f>AVERAGEIF(L3:L1205,"&lt;2020/10/22",N3:N1205)</f>
        <v>111.63958513396716</v>
      </c>
      <c r="P46" s="38">
        <v>0</v>
      </c>
      <c r="Q46" s="38">
        <f>AVERAGEIF(L3:L1205,"&lt;2020/10/22",P3:P1205)</f>
        <v>0.42783059636992221</v>
      </c>
      <c r="R46" s="38">
        <v>2</v>
      </c>
      <c r="S46" s="38">
        <f>AVERAGEIF(L3:L1205,"&lt;2020/10/22",R3:R1205)</f>
        <v>1.2126188418323249</v>
      </c>
      <c r="T46" s="38">
        <v>5</v>
      </c>
      <c r="U46" s="38">
        <f>AVERAGEIF(L3:L1205,"&lt;2020/10/22",T3:T1205)</f>
        <v>6.9031979256698355</v>
      </c>
      <c r="V46" s="24">
        <v>1159</v>
      </c>
      <c r="W46" s="47" t="s">
        <v>4624</v>
      </c>
    </row>
    <row r="47" spans="1:23">
      <c r="A47" s="23">
        <v>4</v>
      </c>
      <c r="B47" s="23">
        <v>29</v>
      </c>
      <c r="C47" s="18">
        <v>4</v>
      </c>
      <c r="D47" s="18">
        <v>4</v>
      </c>
      <c r="E47" s="20">
        <v>49</v>
      </c>
      <c r="F47" s="21">
        <f t="shared" si="1"/>
        <v>108.35146804835924</v>
      </c>
      <c r="G47" s="22">
        <v>0.35893296924846602</v>
      </c>
      <c r="H47" s="18">
        <v>1</v>
      </c>
      <c r="I47" s="18">
        <f t="shared" si="2"/>
        <v>0</v>
      </c>
      <c r="J47" s="45">
        <v>44124</v>
      </c>
      <c r="K47" s="36">
        <v>2020</v>
      </c>
      <c r="L47" s="32">
        <f t="shared" si="0"/>
        <v>44126</v>
      </c>
      <c r="M47" s="44">
        <v>1</v>
      </c>
      <c r="N47" s="33">
        <v>29</v>
      </c>
      <c r="O47" s="34">
        <f>AVERAGEIF(L3:L1205,"&lt;2020/10/20",N3:N1205)</f>
        <v>111.63958513396716</v>
      </c>
      <c r="P47" s="38">
        <v>0</v>
      </c>
      <c r="Q47" s="38">
        <f>AVERAGEIF(L3:L1205,"&lt;2020/10/20",P3:P1205)</f>
        <v>0.42783059636992221</v>
      </c>
      <c r="R47" s="38">
        <v>1</v>
      </c>
      <c r="S47" s="38">
        <f>AVERAGEIF(L3:L1205,"&lt;2020/10/20",R3:R1205)</f>
        <v>1.2126188418323249</v>
      </c>
      <c r="T47" s="38">
        <v>2</v>
      </c>
      <c r="U47" s="38">
        <f>AVERAGEIF(L3:L1205,"&lt;2020/10/20",T3:T1205)</f>
        <v>6.9031979256698355</v>
      </c>
      <c r="V47" s="24">
        <v>1158</v>
      </c>
      <c r="W47" s="47" t="s">
        <v>4626</v>
      </c>
    </row>
    <row r="48" spans="1:23">
      <c r="A48" s="23">
        <v>2</v>
      </c>
      <c r="B48" s="23">
        <v>14</v>
      </c>
      <c r="C48" s="18">
        <v>4</v>
      </c>
      <c r="D48" s="18">
        <v>4</v>
      </c>
      <c r="E48" s="20">
        <v>59</v>
      </c>
      <c r="F48" s="21">
        <f t="shared" si="1"/>
        <v>108.39412273120138</v>
      </c>
      <c r="G48" s="22">
        <v>0.41663125198286999</v>
      </c>
      <c r="H48" s="18">
        <v>1</v>
      </c>
      <c r="I48" s="18">
        <f t="shared" si="2"/>
        <v>0</v>
      </c>
      <c r="J48" s="35">
        <v>44121</v>
      </c>
      <c r="K48" s="36">
        <v>2020</v>
      </c>
      <c r="L48" s="32">
        <f t="shared" si="0"/>
        <v>44126</v>
      </c>
      <c r="M48" s="24">
        <v>1</v>
      </c>
      <c r="N48" s="33">
        <v>83</v>
      </c>
      <c r="O48" s="34">
        <f>AVERAGEIF(L3:L1205,"&lt;2020/10/17",N3:N1205)</f>
        <v>111.63958513396716</v>
      </c>
      <c r="P48" s="38">
        <v>1</v>
      </c>
      <c r="Q48" s="38">
        <f>AVERAGEIF(L3:L1205,"&lt;2020/10/17",P3:P1205)</f>
        <v>0.42783059636992221</v>
      </c>
      <c r="R48" s="38">
        <v>1</v>
      </c>
      <c r="S48" s="38">
        <f>AVERAGEIF(L3:L1205,"&lt;2020/10/17",R3:R1205)</f>
        <v>1.2126188418323249</v>
      </c>
      <c r="T48" s="38">
        <v>5</v>
      </c>
      <c r="U48" s="38">
        <f>AVERAGEIF(L3:L1205,"&lt;2020/10/17",T3:T1205)</f>
        <v>6.9031979256698355</v>
      </c>
      <c r="V48" s="24">
        <v>1157</v>
      </c>
      <c r="W48" s="47" t="s">
        <v>4558</v>
      </c>
    </row>
    <row r="49" spans="1:23">
      <c r="A49" s="23">
        <v>4</v>
      </c>
      <c r="B49" s="23">
        <v>31</v>
      </c>
      <c r="C49" s="18">
        <v>4</v>
      </c>
      <c r="D49" s="18">
        <v>4</v>
      </c>
      <c r="E49" s="20">
        <v>61</v>
      </c>
      <c r="F49" s="21">
        <f t="shared" si="1"/>
        <v>108.43512110726644</v>
      </c>
      <c r="G49" s="22">
        <v>0.89387498492377504</v>
      </c>
      <c r="H49" s="18">
        <v>1</v>
      </c>
      <c r="I49" s="18">
        <f t="shared" si="2"/>
        <v>0</v>
      </c>
      <c r="J49" s="35">
        <v>44115</v>
      </c>
      <c r="K49" s="36">
        <v>2020</v>
      </c>
      <c r="L49" s="32">
        <f t="shared" si="0"/>
        <v>44116</v>
      </c>
      <c r="M49" s="42">
        <v>1</v>
      </c>
      <c r="N49" s="33">
        <v>82</v>
      </c>
      <c r="O49" s="34">
        <f>AVERAGEIF(L3:L1205,"&lt;2020/10/11",N3:N1205)</f>
        <v>111.73570190641247</v>
      </c>
      <c r="P49" s="38">
        <v>0</v>
      </c>
      <c r="Q49" s="38">
        <f>AVERAGEIF(L3:L1205,"&lt;2020/10/11",P3:P1205)</f>
        <v>0.4289428076256499</v>
      </c>
      <c r="R49" s="38">
        <v>1</v>
      </c>
      <c r="S49" s="38">
        <f>AVERAGEIF(L3:L1205,"&lt;2020/10/11",R3:R1205)</f>
        <v>1.2131715771230502</v>
      </c>
      <c r="T49" s="38">
        <v>1</v>
      </c>
      <c r="U49" s="38">
        <f>AVERAGEIF(L3:L1205,"&lt;2020/10/11",T3:T1205)</f>
        <v>6.9055459272097055</v>
      </c>
      <c r="V49" s="24">
        <v>1156</v>
      </c>
      <c r="W49" s="47" t="s">
        <v>4630</v>
      </c>
    </row>
    <row r="50" spans="1:23">
      <c r="A50" s="23">
        <v>2</v>
      </c>
      <c r="B50" s="23">
        <v>4</v>
      </c>
      <c r="C50" s="18">
        <v>4</v>
      </c>
      <c r="D50" s="18">
        <v>2</v>
      </c>
      <c r="E50" s="20">
        <v>47</v>
      </c>
      <c r="F50" s="21">
        <f t="shared" si="1"/>
        <v>108.48831168831168</v>
      </c>
      <c r="G50" s="22">
        <v>0.80222593551570198</v>
      </c>
      <c r="H50" s="18">
        <v>1</v>
      </c>
      <c r="I50" s="18">
        <f t="shared" si="2"/>
        <v>0</v>
      </c>
      <c r="J50" s="35">
        <v>44112</v>
      </c>
      <c r="K50" s="36">
        <v>2020</v>
      </c>
      <c r="L50" s="32">
        <f t="shared" si="0"/>
        <v>44116</v>
      </c>
      <c r="M50" s="19" t="s">
        <v>223</v>
      </c>
      <c r="N50" s="33">
        <v>68</v>
      </c>
      <c r="O50" s="34">
        <f>AVERAGEIF(L3:L1205,"&lt;2020/10/8",N3:N1205)</f>
        <v>111.55208333333333</v>
      </c>
      <c r="P50" s="24">
        <v>0</v>
      </c>
      <c r="Q50" s="24">
        <f>AVERAGEIF(L3:L1205,"&lt;2020/10/8",P3:P1205)</f>
        <v>0.4296875</v>
      </c>
      <c r="R50" s="24">
        <v>1</v>
      </c>
      <c r="S50" s="24">
        <f>AVERAGEIF(L3:L1205,"&lt;2020/10/8",R3:R1205)</f>
        <v>1.2135416666666667</v>
      </c>
      <c r="T50" s="24">
        <v>4</v>
      </c>
      <c r="U50" s="24">
        <f>AVERAGEIF(L3:L1205,"&lt;2020/10/8",T3:T1205)</f>
        <v>6.9105902777777777</v>
      </c>
      <c r="V50" s="24">
        <v>1155</v>
      </c>
      <c r="W50" s="47" t="s">
        <v>4529</v>
      </c>
    </row>
    <row r="51" spans="1:23">
      <c r="A51" s="23">
        <v>2</v>
      </c>
      <c r="B51" s="23">
        <v>6</v>
      </c>
      <c r="C51" s="18">
        <v>4</v>
      </c>
      <c r="D51" s="18">
        <v>2</v>
      </c>
      <c r="E51" s="20">
        <v>85</v>
      </c>
      <c r="F51" s="21">
        <f t="shared" si="1"/>
        <v>108.50866551126516</v>
      </c>
      <c r="G51" s="22">
        <v>0.233008703204068</v>
      </c>
      <c r="H51" s="18">
        <v>0</v>
      </c>
      <c r="I51" s="18">
        <f t="shared" si="2"/>
        <v>1</v>
      </c>
      <c r="J51" s="35">
        <v>44112</v>
      </c>
      <c r="K51" s="36">
        <v>2020</v>
      </c>
      <c r="L51" s="32">
        <f t="shared" si="0"/>
        <v>44113</v>
      </c>
      <c r="M51" s="37">
        <v>0</v>
      </c>
      <c r="N51" s="33">
        <v>271</v>
      </c>
      <c r="O51" s="34">
        <f>AVERAGEIF(L3:L1205,"&lt;2020/10/8",N3:N1205)</f>
        <v>111.55208333333333</v>
      </c>
      <c r="P51" s="38">
        <v>0</v>
      </c>
      <c r="Q51" s="38">
        <f>AVERAGEIF(L3:L1205,"&lt;2020/10/8",P3:P1205)</f>
        <v>0.4296875</v>
      </c>
      <c r="R51" s="38">
        <v>1</v>
      </c>
      <c r="S51" s="38">
        <f>AVERAGEIF(L3:L1205,"&lt;2020/10/8",R3:R1205)</f>
        <v>1.2135416666666667</v>
      </c>
      <c r="T51" s="38">
        <v>1</v>
      </c>
      <c r="U51" s="38">
        <f>AVERAGEIF(L3:L1205,"&lt;2020/10/8",T3:T1205)</f>
        <v>6.9105902777777777</v>
      </c>
      <c r="V51" s="24">
        <v>1154</v>
      </c>
      <c r="W51" s="47" t="s">
        <v>4550</v>
      </c>
    </row>
    <row r="52" spans="1:23">
      <c r="A52" s="23">
        <v>2</v>
      </c>
      <c r="B52" s="23">
        <v>6</v>
      </c>
      <c r="C52" s="18">
        <v>4</v>
      </c>
      <c r="D52" s="18">
        <v>4</v>
      </c>
      <c r="E52" s="20">
        <v>74</v>
      </c>
      <c r="F52" s="21">
        <f t="shared" si="1"/>
        <v>108.53859496964441</v>
      </c>
      <c r="G52" s="22">
        <v>0.41250740859547602</v>
      </c>
      <c r="H52" s="18">
        <v>1</v>
      </c>
      <c r="I52" s="18">
        <f t="shared" si="2"/>
        <v>0</v>
      </c>
      <c r="J52" s="35">
        <v>44107</v>
      </c>
      <c r="K52" s="36">
        <v>2020</v>
      </c>
      <c r="L52" s="32">
        <f t="shared" si="0"/>
        <v>44114</v>
      </c>
      <c r="M52" s="37">
        <v>0</v>
      </c>
      <c r="N52" s="33">
        <v>164</v>
      </c>
      <c r="O52" s="34">
        <f>AVERAGEIF(L3:L1205,"&lt;2020/10/3",N3:N1205)</f>
        <v>111.55208333333333</v>
      </c>
      <c r="P52" s="38">
        <v>0</v>
      </c>
      <c r="Q52" s="38">
        <f>AVERAGEIF(L3:L1205,"&lt;2020/10/3",P3:P1205)</f>
        <v>0.4296875</v>
      </c>
      <c r="R52" s="38">
        <v>1</v>
      </c>
      <c r="S52" s="38">
        <f>AVERAGEIF(L3:L1205,"&lt;2020/10/3",R3:R1205)</f>
        <v>1.2135416666666667</v>
      </c>
      <c r="T52" s="38">
        <v>7</v>
      </c>
      <c r="U52" s="38">
        <f>AVERAGEIF(L3:L1205,"&lt;2020/10/3",T3:T1205)</f>
        <v>6.9105902777777777</v>
      </c>
      <c r="V52" s="24">
        <v>1153</v>
      </c>
      <c r="W52" s="47" t="s">
        <v>4634</v>
      </c>
    </row>
    <row r="53" spans="1:23">
      <c r="A53" s="23">
        <v>2</v>
      </c>
      <c r="B53" s="23">
        <v>14</v>
      </c>
      <c r="C53" s="18">
        <v>4</v>
      </c>
      <c r="D53" s="18">
        <v>4</v>
      </c>
      <c r="E53" s="20">
        <v>41</v>
      </c>
      <c r="F53" s="21">
        <f t="shared" si="1"/>
        <v>108.59722222222223</v>
      </c>
      <c r="G53" s="22">
        <v>0.41397051026040699</v>
      </c>
      <c r="H53" s="18">
        <v>1</v>
      </c>
      <c r="I53" s="18">
        <f t="shared" si="2"/>
        <v>0</v>
      </c>
      <c r="J53" s="35">
        <v>44104</v>
      </c>
      <c r="K53" s="36">
        <v>2020</v>
      </c>
      <c r="L53" s="32">
        <f t="shared" si="0"/>
        <v>44117</v>
      </c>
      <c r="M53" s="24">
        <v>1</v>
      </c>
      <c r="N53" s="33">
        <v>74</v>
      </c>
      <c r="O53" s="34">
        <f>AVERAGEIF(L3:L1205,"&lt;2020/9/30",N3:N1205)</f>
        <v>111.55208333333333</v>
      </c>
      <c r="P53" s="38">
        <v>0</v>
      </c>
      <c r="Q53" s="38">
        <f>AVERAGEIF(L3:L1205,"&lt;2020/9/30",P3:P1205)</f>
        <v>0.4296875</v>
      </c>
      <c r="R53" s="38">
        <v>1</v>
      </c>
      <c r="S53" s="38">
        <f>AVERAGEIF(L3:L1205,"&lt;2020/9/30",R3:R1205)</f>
        <v>1.2135416666666667</v>
      </c>
      <c r="T53" s="38">
        <v>13</v>
      </c>
      <c r="U53" s="38">
        <f>AVERAGEIF(L3:L1205,"&lt;2020/9/30",T3:T1205)</f>
        <v>6.9105902777777777</v>
      </c>
      <c r="V53" s="24">
        <v>1152</v>
      </c>
      <c r="W53" s="47" t="s">
        <v>4550</v>
      </c>
    </row>
    <row r="54" spans="1:23">
      <c r="A54" s="23">
        <v>2</v>
      </c>
      <c r="B54" s="23">
        <v>4</v>
      </c>
      <c r="C54" s="18">
        <v>5</v>
      </c>
      <c r="D54" s="18">
        <v>4</v>
      </c>
      <c r="E54" s="20">
        <v>47</v>
      </c>
      <c r="F54" s="21">
        <f t="shared" si="1"/>
        <v>108.65073848827107</v>
      </c>
      <c r="G54" s="22">
        <v>0.512539551555516</v>
      </c>
      <c r="H54" s="18">
        <v>1</v>
      </c>
      <c r="I54" s="18">
        <f t="shared" si="2"/>
        <v>0</v>
      </c>
      <c r="J54" s="43">
        <v>44089</v>
      </c>
      <c r="K54" s="36">
        <v>2020</v>
      </c>
      <c r="L54" s="32">
        <f t="shared" si="0"/>
        <v>44090</v>
      </c>
      <c r="M54" s="19" t="s">
        <v>4353</v>
      </c>
      <c r="N54" s="33">
        <v>94</v>
      </c>
      <c r="O54" s="34">
        <f>AVERAGEIF(L3:L1205,"&lt;2020/9/15",N3:N1205)</f>
        <v>111.56733275412685</v>
      </c>
      <c r="P54" s="24">
        <v>0</v>
      </c>
      <c r="Q54" s="24">
        <f>AVERAGEIF(L3:L1205,"&lt;2020/9/15",P3:P1205)</f>
        <v>0.43006081668114682</v>
      </c>
      <c r="R54" s="24">
        <v>1</v>
      </c>
      <c r="S54" s="24">
        <f>AVERAGEIF(L3:L1205,"&lt;2020/9/15",R3:R1205)</f>
        <v>1.2137271937445699</v>
      </c>
      <c r="T54" s="24">
        <v>1</v>
      </c>
      <c r="U54" s="24">
        <f>AVERAGEIF(L3:L1205,"&lt;2020/9/15",T3:T1205)</f>
        <v>6.9157254561251085</v>
      </c>
      <c r="V54" s="24">
        <v>1151</v>
      </c>
      <c r="W54" s="47" t="s">
        <v>4529</v>
      </c>
    </row>
    <row r="55" spans="1:23">
      <c r="A55" s="23">
        <v>2</v>
      </c>
      <c r="B55" s="23">
        <v>6</v>
      </c>
      <c r="C55" s="18">
        <v>4</v>
      </c>
      <c r="D55" s="18">
        <v>2</v>
      </c>
      <c r="E55" s="20">
        <v>55</v>
      </c>
      <c r="F55" s="21">
        <f t="shared" si="1"/>
        <v>108.69739130434783</v>
      </c>
      <c r="G55" s="22">
        <v>0.38400326012524599</v>
      </c>
      <c r="H55" s="18">
        <v>1</v>
      </c>
      <c r="I55" s="18">
        <f t="shared" si="2"/>
        <v>0</v>
      </c>
      <c r="J55" s="35">
        <v>44078</v>
      </c>
      <c r="K55" s="36">
        <v>2020</v>
      </c>
      <c r="L55" s="32">
        <f t="shared" si="0"/>
        <v>44081</v>
      </c>
      <c r="M55" s="37">
        <v>0</v>
      </c>
      <c r="N55" s="33">
        <v>116</v>
      </c>
      <c r="O55" s="34">
        <f>AVERAGEIF(L3:L1205,"&lt;2020/9/4",N3:N1205)</f>
        <v>111.56832027850305</v>
      </c>
      <c r="P55" s="38">
        <v>0</v>
      </c>
      <c r="Q55" s="38">
        <f>AVERAGEIF(L3:L1205,"&lt;2020/9/4",P3:P1205)</f>
        <v>0.42993907745865972</v>
      </c>
      <c r="R55" s="38">
        <v>1</v>
      </c>
      <c r="S55" s="38">
        <f>AVERAGEIF(L3:L1205,"&lt;2020/9/4",R3:R1205)</f>
        <v>1.2140992167101827</v>
      </c>
      <c r="T55" s="38">
        <v>3</v>
      </c>
      <c r="U55" s="38">
        <f>AVERAGEIF(L3:L1205,"&lt;2020/9/4",T3:T1205)</f>
        <v>6.9199303742384686</v>
      </c>
      <c r="V55" s="24">
        <v>1150</v>
      </c>
      <c r="W55" s="47" t="s">
        <v>4563</v>
      </c>
    </row>
    <row r="56" spans="1:23">
      <c r="A56" s="17">
        <v>1</v>
      </c>
      <c r="B56" s="17">
        <v>1</v>
      </c>
      <c r="C56" s="18">
        <v>4</v>
      </c>
      <c r="D56" s="18">
        <v>6</v>
      </c>
      <c r="E56" s="20">
        <v>166</v>
      </c>
      <c r="F56" s="21">
        <f t="shared" si="1"/>
        <v>108.64751958224544</v>
      </c>
      <c r="G56" s="22">
        <v>0.37500535868632701</v>
      </c>
      <c r="H56" s="24">
        <v>1</v>
      </c>
      <c r="I56" s="18">
        <f t="shared" si="2"/>
        <v>0</v>
      </c>
      <c r="J56" s="32">
        <v>44077</v>
      </c>
      <c r="K56" s="36">
        <v>2020</v>
      </c>
      <c r="L56" s="32">
        <f t="shared" si="0"/>
        <v>44083</v>
      </c>
      <c r="M56" s="40">
        <v>0</v>
      </c>
      <c r="N56" s="33">
        <v>106</v>
      </c>
      <c r="O56" s="34">
        <f>AVERAGEIF(L3:L1205,"&lt;2020/9/3",N3:N1205)</f>
        <v>111.56832027850305</v>
      </c>
      <c r="P56" s="24">
        <v>1</v>
      </c>
      <c r="Q56" s="24">
        <f>AVERAGEIF(L3:L1205,"&lt;2020/9/3",P3:P1205)</f>
        <v>0.42993907745865972</v>
      </c>
      <c r="R56" s="24">
        <v>1</v>
      </c>
      <c r="S56" s="24">
        <f>AVERAGEIF(L3:L1205,"&lt;2020/9/3",R3:R1205)</f>
        <v>1.2140992167101827</v>
      </c>
      <c r="T56" s="24">
        <v>6</v>
      </c>
      <c r="U56" s="24">
        <f>AVERAGEIF(L3:L1205,"&lt;2020/9/3",T3:T1205)</f>
        <v>6.9199303742384686</v>
      </c>
      <c r="V56" s="24">
        <v>1149</v>
      </c>
      <c r="W56" s="47" t="s">
        <v>4550</v>
      </c>
    </row>
    <row r="57" spans="1:23">
      <c r="A57" s="23">
        <v>2</v>
      </c>
      <c r="B57" s="23">
        <v>17</v>
      </c>
      <c r="C57" s="18">
        <v>4</v>
      </c>
      <c r="D57" s="18">
        <v>8</v>
      </c>
      <c r="E57" s="20">
        <v>143</v>
      </c>
      <c r="F57" s="21">
        <f t="shared" si="1"/>
        <v>108.61759581881533</v>
      </c>
      <c r="G57" s="22">
        <v>0.69243416926930301</v>
      </c>
      <c r="H57" s="18">
        <v>1</v>
      </c>
      <c r="I57" s="18">
        <f t="shared" si="2"/>
        <v>0</v>
      </c>
      <c r="J57" s="41">
        <v>44069</v>
      </c>
      <c r="K57" s="36">
        <v>2020</v>
      </c>
      <c r="L57" s="32">
        <f t="shared" si="0"/>
        <v>44070</v>
      </c>
      <c r="M57" s="40">
        <v>1</v>
      </c>
      <c r="N57" s="33">
        <v>157</v>
      </c>
      <c r="O57" s="34">
        <f>AVERAGEIF(L3:L1205,"&lt;2020/8/26",N3:N1205)</f>
        <v>111.5287456445993</v>
      </c>
      <c r="P57" s="40">
        <v>0</v>
      </c>
      <c r="Q57" s="40">
        <f>AVERAGEIF(L3:L1205,"&lt;2020/8/26",P3:P1205)</f>
        <v>0.43031358885017423</v>
      </c>
      <c r="R57" s="40">
        <v>1</v>
      </c>
      <c r="S57" s="40">
        <f>AVERAGEIF(L3:L1205,"&lt;2020/8/26",R3:R1205)</f>
        <v>1.2142857142857142</v>
      </c>
      <c r="T57" s="40">
        <v>1</v>
      </c>
      <c r="U57" s="40">
        <f>AVERAGEIF(L3:L1205,"&lt;2020/8/26",T3:T1205)</f>
        <v>6.9250871080139369</v>
      </c>
      <c r="V57" s="24">
        <v>1148</v>
      </c>
      <c r="W57" s="47" t="s">
        <v>4638</v>
      </c>
    </row>
    <row r="58" spans="1:23">
      <c r="A58" s="23">
        <v>2</v>
      </c>
      <c r="B58" s="23">
        <v>6</v>
      </c>
      <c r="C58" s="18">
        <v>4</v>
      </c>
      <c r="D58" s="18">
        <v>6</v>
      </c>
      <c r="E58" s="20">
        <v>67</v>
      </c>
      <c r="F58" s="21">
        <f t="shared" si="1"/>
        <v>108.65387968613776</v>
      </c>
      <c r="G58" s="22">
        <v>0.82039097036355302</v>
      </c>
      <c r="H58" s="18">
        <v>0</v>
      </c>
      <c r="I58" s="18">
        <f t="shared" si="2"/>
        <v>1</v>
      </c>
      <c r="J58" s="35">
        <v>44067</v>
      </c>
      <c r="K58" s="36">
        <v>2020</v>
      </c>
      <c r="L58" s="32">
        <f t="shared" si="0"/>
        <v>44068</v>
      </c>
      <c r="M58" s="37">
        <v>0</v>
      </c>
      <c r="N58" s="33">
        <v>159</v>
      </c>
      <c r="O58" s="34">
        <f>AVERAGEIF(L3:L1205,"&lt;2020/8/24",N3:N1205)</f>
        <v>111.487358326068</v>
      </c>
      <c r="P58" s="38">
        <v>0</v>
      </c>
      <c r="Q58" s="38">
        <f>AVERAGEIF(L3:L1205,"&lt;2020/8/24",P3:P1205)</f>
        <v>0.43068875326939843</v>
      </c>
      <c r="R58" s="38">
        <v>1</v>
      </c>
      <c r="S58" s="38">
        <f>AVERAGEIF(L3:L1205,"&lt;2020/8/24",R3:R1205)</f>
        <v>1.2144725370531821</v>
      </c>
      <c r="T58" s="38">
        <v>1</v>
      </c>
      <c r="U58" s="38">
        <f>AVERAGEIF(L3:L1205,"&lt;2020/8/24",T3:T1205)</f>
        <v>6.9302528334786402</v>
      </c>
      <c r="V58" s="24">
        <v>1147</v>
      </c>
      <c r="W58" s="47" t="s">
        <v>4563</v>
      </c>
    </row>
    <row r="59" spans="1:23">
      <c r="A59" s="23">
        <v>2</v>
      </c>
      <c r="B59" s="23">
        <v>6</v>
      </c>
      <c r="C59" s="18">
        <v>5</v>
      </c>
      <c r="D59" s="18">
        <v>6</v>
      </c>
      <c r="E59" s="20">
        <v>53</v>
      </c>
      <c r="F59" s="21">
        <f t="shared" si="1"/>
        <v>108.70244328097731</v>
      </c>
      <c r="G59" s="22">
        <v>0.34578002240036299</v>
      </c>
      <c r="H59" s="18">
        <v>0</v>
      </c>
      <c r="I59" s="18">
        <f t="shared" si="2"/>
        <v>1</v>
      </c>
      <c r="J59" s="35">
        <v>44061</v>
      </c>
      <c r="K59" s="36">
        <v>2020</v>
      </c>
      <c r="L59" s="32">
        <f t="shared" si="0"/>
        <v>44062</v>
      </c>
      <c r="M59" s="37">
        <v>0</v>
      </c>
      <c r="N59" s="33">
        <v>161</v>
      </c>
      <c r="O59" s="34">
        <f>AVERAGEIF(L3:L1205,"&lt;2020/8/18",N3:N1205)</f>
        <v>111.47947598253275</v>
      </c>
      <c r="P59" s="38">
        <v>0</v>
      </c>
      <c r="Q59" s="38">
        <f>AVERAGEIF(L3:L1205,"&lt;2020/8/18",P3:P1205)</f>
        <v>0.43144104803493449</v>
      </c>
      <c r="R59" s="38">
        <v>1</v>
      </c>
      <c r="S59" s="38">
        <f>AVERAGEIF(L3:L1205,"&lt;2020/8/18",R3:R1205)</f>
        <v>1.2148471615720524</v>
      </c>
      <c r="T59" s="38">
        <v>1</v>
      </c>
      <c r="U59" s="38">
        <f>AVERAGEIF(L3:L1205,"&lt;2020/8/18",T3:T1205)</f>
        <v>6.9397379912663757</v>
      </c>
      <c r="V59" s="24">
        <v>1146</v>
      </c>
      <c r="W59" s="47" t="s">
        <v>4563</v>
      </c>
    </row>
    <row r="60" spans="1:23">
      <c r="A60" s="23">
        <v>2</v>
      </c>
      <c r="B60" s="23">
        <v>8</v>
      </c>
      <c r="C60" s="18">
        <v>4</v>
      </c>
      <c r="D60" s="18">
        <v>6</v>
      </c>
      <c r="E60" s="20">
        <v>91</v>
      </c>
      <c r="F60" s="21">
        <f t="shared" si="1"/>
        <v>108.717903930131</v>
      </c>
      <c r="G60" s="22">
        <v>0.41250655739793601</v>
      </c>
      <c r="H60" s="18">
        <v>0</v>
      </c>
      <c r="I60" s="18">
        <f t="shared" si="2"/>
        <v>1</v>
      </c>
      <c r="J60" s="35">
        <v>44061</v>
      </c>
      <c r="K60" s="36">
        <v>2020</v>
      </c>
      <c r="L60" s="32">
        <f t="shared" si="0"/>
        <v>44063</v>
      </c>
      <c r="M60" s="40">
        <v>1</v>
      </c>
      <c r="N60" s="33">
        <v>71</v>
      </c>
      <c r="O60" s="34">
        <f>AVERAGEIF(L3:L1205,"&lt;2020/8/18",N3:N1205)</f>
        <v>111.47947598253275</v>
      </c>
      <c r="P60" s="40">
        <v>0</v>
      </c>
      <c r="Q60" s="40">
        <f>AVERAGEIF(L3:L1205,"&lt;2020/8/18",P3:P1205)</f>
        <v>0.43144104803493449</v>
      </c>
      <c r="R60" s="40">
        <v>1</v>
      </c>
      <c r="S60" s="40">
        <f>AVERAGEIF(L3:L1205,"&lt;2020/8/18",R3:R1205)</f>
        <v>1.2148471615720524</v>
      </c>
      <c r="T60" s="40">
        <v>2</v>
      </c>
      <c r="U60" s="40">
        <f>AVERAGEIF(L3:L1205,"&lt;2020/8/18",T3:T1205)</f>
        <v>6.9397379912663757</v>
      </c>
      <c r="V60" s="24">
        <v>1145</v>
      </c>
      <c r="W60" s="47" t="s">
        <v>4624</v>
      </c>
    </row>
    <row r="61" spans="1:23">
      <c r="A61" s="23">
        <v>2</v>
      </c>
      <c r="B61" s="23">
        <v>4</v>
      </c>
      <c r="C61" s="18">
        <v>4</v>
      </c>
      <c r="D61" s="18">
        <v>4</v>
      </c>
      <c r="E61" s="20">
        <v>50</v>
      </c>
      <c r="F61" s="21">
        <f t="shared" si="1"/>
        <v>108.76923076923077</v>
      </c>
      <c r="G61" s="22">
        <v>0.37652621875595499</v>
      </c>
      <c r="H61" s="18">
        <v>1</v>
      </c>
      <c r="I61" s="18">
        <f t="shared" si="2"/>
        <v>0</v>
      </c>
      <c r="J61" s="35">
        <v>44055</v>
      </c>
      <c r="K61" s="36">
        <v>2020</v>
      </c>
      <c r="L61" s="32">
        <f t="shared" si="0"/>
        <v>44060</v>
      </c>
      <c r="M61" s="19" t="s">
        <v>223</v>
      </c>
      <c r="N61" s="33">
        <v>63</v>
      </c>
      <c r="O61" s="34">
        <f>AVERAGEIF(L3:L1205,"&lt;2020/8/12",N3:N1205)</f>
        <v>111.5573053368329</v>
      </c>
      <c r="P61" s="24">
        <v>1</v>
      </c>
      <c r="Q61" s="24">
        <f>AVERAGEIF(L3:L1205,"&lt;2020/8/12",P3:P1205)</f>
        <v>0.43132108486439197</v>
      </c>
      <c r="R61" s="24">
        <v>1</v>
      </c>
      <c r="S61" s="24">
        <f>AVERAGEIF(L3:L1205,"&lt;2020/8/12",R3:R1205)</f>
        <v>1.2152230971128608</v>
      </c>
      <c r="T61" s="24">
        <v>5</v>
      </c>
      <c r="U61" s="24">
        <f>AVERAGEIF(L3:L1205,"&lt;2020/8/12",T3:T1205)</f>
        <v>6.9431321084864388</v>
      </c>
      <c r="V61" s="24">
        <v>1144</v>
      </c>
      <c r="W61" s="47" t="s">
        <v>4550</v>
      </c>
    </row>
    <row r="62" spans="1:23">
      <c r="A62" s="23">
        <v>4</v>
      </c>
      <c r="B62" s="23">
        <v>28</v>
      </c>
      <c r="C62" s="18">
        <v>4</v>
      </c>
      <c r="D62" s="18">
        <v>4</v>
      </c>
      <c r="E62" s="20">
        <v>80</v>
      </c>
      <c r="F62" s="21">
        <f t="shared" si="1"/>
        <v>108.79440069991252</v>
      </c>
      <c r="G62" s="22">
        <v>0.41264745737770298</v>
      </c>
      <c r="H62" s="18">
        <v>1</v>
      </c>
      <c r="I62" s="18">
        <f t="shared" si="2"/>
        <v>0</v>
      </c>
      <c r="J62" s="35">
        <v>44055</v>
      </c>
      <c r="K62" s="36">
        <v>2020</v>
      </c>
      <c r="L62" s="32">
        <f t="shared" si="0"/>
        <v>44060</v>
      </c>
      <c r="M62" s="24">
        <v>0</v>
      </c>
      <c r="N62" s="33">
        <v>71</v>
      </c>
      <c r="O62" s="34">
        <f>AVERAGEIF(L3:L1205,"&lt;2020/8/12",N3:N1205)</f>
        <v>111.5573053368329</v>
      </c>
      <c r="P62" s="24">
        <v>0</v>
      </c>
      <c r="Q62" s="24">
        <f>AVERAGEIF(L3:L1205,"&lt;2020/8/12",P3:P1205)</f>
        <v>0.43132108486439197</v>
      </c>
      <c r="R62" s="24">
        <v>1</v>
      </c>
      <c r="S62" s="24">
        <f>AVERAGEIF(L3:L1205,"&lt;2020/8/12",R3:R1205)</f>
        <v>1.2152230971128608</v>
      </c>
      <c r="T62" s="24">
        <v>5</v>
      </c>
      <c r="U62" s="24">
        <f>AVERAGEIF(L3:L1205,"&lt;2020/8/12",T3:T1205)</f>
        <v>6.9431321084864388</v>
      </c>
      <c r="V62" s="24">
        <v>1143</v>
      </c>
      <c r="W62" s="47" t="s">
        <v>4626</v>
      </c>
    </row>
    <row r="63" spans="1:23">
      <c r="A63" s="23">
        <v>2</v>
      </c>
      <c r="B63" s="23">
        <v>4</v>
      </c>
      <c r="C63" s="18">
        <v>5</v>
      </c>
      <c r="D63" s="18">
        <v>2</v>
      </c>
      <c r="E63" s="20">
        <v>15</v>
      </c>
      <c r="F63" s="21">
        <f t="shared" si="1"/>
        <v>108.87653239929948</v>
      </c>
      <c r="G63" s="22">
        <v>0.558466140020772</v>
      </c>
      <c r="H63" s="18">
        <v>1</v>
      </c>
      <c r="I63" s="18">
        <f t="shared" si="2"/>
        <v>0</v>
      </c>
      <c r="J63" s="35">
        <v>44050</v>
      </c>
      <c r="K63" s="36">
        <v>2020</v>
      </c>
      <c r="L63" s="32">
        <f t="shared" si="0"/>
        <v>44050</v>
      </c>
      <c r="M63" s="19" t="s">
        <v>4353</v>
      </c>
      <c r="N63" s="33">
        <v>40</v>
      </c>
      <c r="O63" s="34">
        <f>AVERAGEIF(L3:L1205,"&lt;2020/8/7",N3:N1205)</f>
        <v>111.6199649737303</v>
      </c>
      <c r="P63" s="24">
        <v>0</v>
      </c>
      <c r="Q63" s="24">
        <f>AVERAGEIF(L3:L1205,"&lt;2020/8/7",P3:P1205)</f>
        <v>0.4316987740805604</v>
      </c>
      <c r="R63" s="24">
        <v>1</v>
      </c>
      <c r="S63" s="24">
        <f>AVERAGEIF(L3:L1205,"&lt;2020/8/7",R3:R1205)</f>
        <v>1.2154115586690017</v>
      </c>
      <c r="T63" s="24">
        <v>0</v>
      </c>
      <c r="U63" s="24">
        <f>AVERAGEIF(L3:L1205,"&lt;2020/8/7",T3:T1205)</f>
        <v>6.9492119089316988</v>
      </c>
      <c r="V63" s="24">
        <v>1142</v>
      </c>
      <c r="W63" s="47" t="s">
        <v>4563</v>
      </c>
    </row>
    <row r="64" spans="1:23">
      <c r="A64" s="23">
        <v>2</v>
      </c>
      <c r="B64" s="23">
        <v>4</v>
      </c>
      <c r="C64" s="18">
        <v>5</v>
      </c>
      <c r="D64" s="18">
        <v>2</v>
      </c>
      <c r="E64" s="20">
        <v>32</v>
      </c>
      <c r="F64" s="21">
        <f t="shared" si="1"/>
        <v>108.94390885188432</v>
      </c>
      <c r="G64" s="22">
        <v>0.69334215276533995</v>
      </c>
      <c r="H64" s="18">
        <v>1</v>
      </c>
      <c r="I64" s="18">
        <f t="shared" si="2"/>
        <v>0</v>
      </c>
      <c r="J64" s="35">
        <v>44046</v>
      </c>
      <c r="K64" s="36">
        <v>2020</v>
      </c>
      <c r="L64" s="32">
        <f t="shared" si="0"/>
        <v>44047</v>
      </c>
      <c r="M64" s="19" t="s">
        <v>4353</v>
      </c>
      <c r="N64" s="33">
        <v>171</v>
      </c>
      <c r="O64" s="34">
        <f>AVERAGEIF(L3:L1205,"&lt;2020/8/3",N3:N1205)</f>
        <v>111.73039647577093</v>
      </c>
      <c r="P64" s="24">
        <v>0</v>
      </c>
      <c r="Q64" s="24">
        <f>AVERAGEIF(L3:L1205,"&lt;2020/8/3",P3:P1205)</f>
        <v>0.43348017621145374</v>
      </c>
      <c r="R64" s="24">
        <v>1</v>
      </c>
      <c r="S64" s="24">
        <f>AVERAGEIF(L3:L1205,"&lt;2020/8/3",R3:R1205)</f>
        <v>1.2167400881057269</v>
      </c>
      <c r="T64" s="24">
        <v>1</v>
      </c>
      <c r="U64" s="24">
        <f>AVERAGEIF(L3:L1205,"&lt;2020/8/3",T3:T1205)</f>
        <v>6.9656387665198238</v>
      </c>
      <c r="V64" s="24">
        <v>1141</v>
      </c>
      <c r="W64" s="47" t="s">
        <v>4529</v>
      </c>
    </row>
    <row r="65" spans="1:23">
      <c r="A65" s="23">
        <v>4</v>
      </c>
      <c r="B65" s="23">
        <v>29</v>
      </c>
      <c r="C65" s="18">
        <v>4</v>
      </c>
      <c r="D65" s="18">
        <v>2</v>
      </c>
      <c r="E65" s="20">
        <v>86</v>
      </c>
      <c r="F65" s="21">
        <f t="shared" si="1"/>
        <v>108.9640350877193</v>
      </c>
      <c r="G65" s="22">
        <v>0.418048522275971</v>
      </c>
      <c r="H65" s="18">
        <v>1</v>
      </c>
      <c r="I65" s="18">
        <f t="shared" si="2"/>
        <v>0</v>
      </c>
      <c r="J65" s="35">
        <v>44046</v>
      </c>
      <c r="K65" s="36">
        <v>2020</v>
      </c>
      <c r="L65" s="32">
        <f t="shared" si="0"/>
        <v>44048</v>
      </c>
      <c r="M65" s="44">
        <v>1</v>
      </c>
      <c r="N65" s="33">
        <v>68</v>
      </c>
      <c r="O65" s="34">
        <f>AVERAGEIF(L3:L1205,"&lt;2020/8/3",N3:N1205)</f>
        <v>111.73039647577093</v>
      </c>
      <c r="P65" s="38">
        <v>0</v>
      </c>
      <c r="Q65" s="38">
        <f>AVERAGEIF(L3:L1205,"&lt;2020/8/3",P3:P1205)</f>
        <v>0.43348017621145374</v>
      </c>
      <c r="R65" s="38">
        <v>1</v>
      </c>
      <c r="S65" s="38">
        <f>AVERAGEIF(L3:L1205,"&lt;2020/8/3",R3:R1205)</f>
        <v>1.2167400881057269</v>
      </c>
      <c r="T65" s="38">
        <v>2</v>
      </c>
      <c r="U65" s="38">
        <f>AVERAGEIF(L3:L1205,"&lt;2020/8/3",T3:T1205)</f>
        <v>6.9656387665198238</v>
      </c>
      <c r="V65" s="24">
        <v>1140</v>
      </c>
      <c r="W65" s="47" t="s">
        <v>4634</v>
      </c>
    </row>
    <row r="66" spans="1:23">
      <c r="A66" s="23">
        <v>2</v>
      </c>
      <c r="B66" s="23">
        <v>6</v>
      </c>
      <c r="C66" s="18">
        <v>5</v>
      </c>
      <c r="D66" s="18">
        <v>2</v>
      </c>
      <c r="E66" s="20">
        <v>35</v>
      </c>
      <c r="F66" s="21">
        <f t="shared" si="1"/>
        <v>109.0289727831431</v>
      </c>
      <c r="G66" s="22">
        <v>0.31697037484440299</v>
      </c>
      <c r="H66" s="18">
        <v>1</v>
      </c>
      <c r="I66" s="18">
        <f t="shared" si="2"/>
        <v>0</v>
      </c>
      <c r="J66" s="35">
        <v>44045</v>
      </c>
      <c r="K66" s="36">
        <v>2020</v>
      </c>
      <c r="L66" s="32">
        <f t="shared" si="0"/>
        <v>44046</v>
      </c>
      <c r="M66" s="37">
        <v>0</v>
      </c>
      <c r="N66" s="33">
        <v>93</v>
      </c>
      <c r="O66" s="34">
        <f>AVERAGEIF(L3:L1205,"&lt;2020/8/2",N3:N1205)</f>
        <v>111.73039647577093</v>
      </c>
      <c r="P66" s="38">
        <v>0</v>
      </c>
      <c r="Q66" s="38">
        <f>AVERAGEIF(L3:L1205,"&lt;2020/8/2",P3:P1205)</f>
        <v>0.43348017621145374</v>
      </c>
      <c r="R66" s="38">
        <v>1</v>
      </c>
      <c r="S66" s="38">
        <f>AVERAGEIF(L3:L1205,"&lt;2020/8/2",R3:R1205)</f>
        <v>1.2167400881057269</v>
      </c>
      <c r="T66" s="38">
        <v>1</v>
      </c>
      <c r="U66" s="38">
        <f>AVERAGEIF(L3:L1205,"&lt;2020/8/2",T3:T1205)</f>
        <v>6.9656387665198238</v>
      </c>
      <c r="V66" s="24">
        <v>1139</v>
      </c>
      <c r="W66" s="47" t="s">
        <v>4650</v>
      </c>
    </row>
    <row r="67" spans="1:23">
      <c r="A67" s="23">
        <v>4</v>
      </c>
      <c r="B67" s="23">
        <v>28</v>
      </c>
      <c r="C67" s="18">
        <v>4</v>
      </c>
      <c r="D67" s="18">
        <v>4</v>
      </c>
      <c r="E67" s="20">
        <v>41</v>
      </c>
      <c r="F67" s="21">
        <f t="shared" si="1"/>
        <v>109.08875219683655</v>
      </c>
      <c r="G67" s="22">
        <v>0.689859101437442</v>
      </c>
      <c r="H67" s="18">
        <v>1</v>
      </c>
      <c r="I67" s="18">
        <f t="shared" si="2"/>
        <v>0</v>
      </c>
      <c r="J67" s="35">
        <v>44043</v>
      </c>
      <c r="K67" s="36">
        <v>2020</v>
      </c>
      <c r="L67" s="32">
        <f t="shared" ref="L67:L130" si="3">J67+T67</f>
        <v>44046</v>
      </c>
      <c r="M67" s="24">
        <v>0</v>
      </c>
      <c r="N67" s="33">
        <v>51</v>
      </c>
      <c r="O67" s="34">
        <f>AVERAGEIF(L3:L1205,"&lt;2020/7/31",N3:N1205)</f>
        <v>111.85789938217123</v>
      </c>
      <c r="P67" s="24">
        <v>0</v>
      </c>
      <c r="Q67" s="24">
        <f>AVERAGEIF(L3:L1205,"&lt;2020/7/31",P3:P1205)</f>
        <v>0.42983230361871139</v>
      </c>
      <c r="R67" s="24">
        <v>1</v>
      </c>
      <c r="S67" s="24">
        <f>AVERAGEIF(L3:L1205,"&lt;2020/7/31",R3:R1205)</f>
        <v>1.2162400706090026</v>
      </c>
      <c r="T67" s="24">
        <v>3</v>
      </c>
      <c r="U67" s="24">
        <f>AVERAGEIF(L3:L1205,"&lt;2020/7/31",T3:T1205)</f>
        <v>6.9346866725507503</v>
      </c>
      <c r="V67" s="24">
        <v>1138</v>
      </c>
      <c r="W67" s="47" t="s">
        <v>4626</v>
      </c>
    </row>
    <row r="68" spans="1:23">
      <c r="A68" s="23">
        <v>2</v>
      </c>
      <c r="B68" s="23">
        <v>14</v>
      </c>
      <c r="C68" s="18">
        <v>4</v>
      </c>
      <c r="D68" s="18">
        <v>4</v>
      </c>
      <c r="E68" s="20">
        <v>80</v>
      </c>
      <c r="F68" s="21">
        <f t="shared" ref="F68:F131" si="4">AVERAGE(E69:E1270)</f>
        <v>109.11433597185577</v>
      </c>
      <c r="G68" s="22">
        <v>0.44454232381901898</v>
      </c>
      <c r="H68" s="18">
        <v>1</v>
      </c>
      <c r="I68" s="18">
        <f t="shared" ref="I68:I131" si="5">IF(H68=1,0,1)</f>
        <v>0</v>
      </c>
      <c r="J68" s="35">
        <v>44042</v>
      </c>
      <c r="K68" s="36">
        <v>2020</v>
      </c>
      <c r="L68" s="32">
        <f t="shared" si="3"/>
        <v>44048</v>
      </c>
      <c r="M68" s="24">
        <v>0</v>
      </c>
      <c r="N68" s="33">
        <v>171</v>
      </c>
      <c r="O68" s="34">
        <f>AVERAGEIF(L3:L1205,"&lt;2020/7/30",N3:N1205)</f>
        <v>111.85789938217123</v>
      </c>
      <c r="P68" s="38">
        <v>1</v>
      </c>
      <c r="Q68" s="38">
        <f>AVERAGEIF(L3:L1205,"&lt;2020/7/30",P3:P1205)</f>
        <v>0.42983230361871139</v>
      </c>
      <c r="R68" s="38">
        <v>1</v>
      </c>
      <c r="S68" s="38">
        <f>AVERAGEIF(L3:L1205,"&lt;2020/7/30",R3:R1205)</f>
        <v>1.2162400706090026</v>
      </c>
      <c r="T68" s="38">
        <v>6</v>
      </c>
      <c r="U68" s="38">
        <f>AVERAGEIF(L3:L1205,"&lt;2020/7/30",T3:T1205)</f>
        <v>6.9346866725507503</v>
      </c>
      <c r="V68" s="24">
        <v>1137</v>
      </c>
      <c r="W68" s="47" t="s">
        <v>4652</v>
      </c>
    </row>
    <row r="69" spans="1:23">
      <c r="A69" s="23">
        <v>4</v>
      </c>
      <c r="B69" s="23">
        <v>28</v>
      </c>
      <c r="C69" s="18">
        <v>4</v>
      </c>
      <c r="D69" s="18">
        <v>4</v>
      </c>
      <c r="E69" s="20">
        <v>53</v>
      </c>
      <c r="F69" s="21">
        <f t="shared" si="4"/>
        <v>109.16373239436619</v>
      </c>
      <c r="G69" s="22">
        <v>0.35847945124723402</v>
      </c>
      <c r="H69" s="18">
        <v>1</v>
      </c>
      <c r="I69" s="18">
        <f t="shared" si="5"/>
        <v>0</v>
      </c>
      <c r="J69" s="35">
        <v>44042</v>
      </c>
      <c r="K69" s="36">
        <v>2020</v>
      </c>
      <c r="L69" s="32">
        <f t="shared" si="3"/>
        <v>44046</v>
      </c>
      <c r="M69" s="20">
        <v>0</v>
      </c>
      <c r="N69" s="33">
        <v>51</v>
      </c>
      <c r="O69" s="34">
        <f>AVERAGEIF(L3:L1205,"&lt;2020/7/30",N3:N1205)</f>
        <v>111.85789938217123</v>
      </c>
      <c r="P69" s="24">
        <v>0</v>
      </c>
      <c r="Q69" s="24">
        <f>AVERAGEIF(L3:L1205,"&lt;2020/7/30",P3:P1205)</f>
        <v>0.42983230361871139</v>
      </c>
      <c r="R69" s="24">
        <v>1</v>
      </c>
      <c r="S69" s="24">
        <f>AVERAGEIF(L3:L1205,"&lt;2020/7/30",R3:R1205)</f>
        <v>1.2162400706090026</v>
      </c>
      <c r="T69" s="24">
        <v>4</v>
      </c>
      <c r="U69" s="24">
        <f>AVERAGEIF(L3:L1205,"&lt;2020/7/30",T3:T1205)</f>
        <v>6.9346866725507503</v>
      </c>
      <c r="V69" s="24">
        <v>1136</v>
      </c>
      <c r="W69" s="47" t="s">
        <v>4626</v>
      </c>
    </row>
    <row r="70" spans="1:23">
      <c r="A70" s="23">
        <v>2</v>
      </c>
      <c r="B70" s="23">
        <v>6</v>
      </c>
      <c r="C70" s="18">
        <v>4</v>
      </c>
      <c r="D70" s="18">
        <v>4</v>
      </c>
      <c r="E70" s="20">
        <v>48</v>
      </c>
      <c r="F70" s="21">
        <f t="shared" si="4"/>
        <v>109.21762114537445</v>
      </c>
      <c r="G70" s="22">
        <v>0.41295507792285702</v>
      </c>
      <c r="H70" s="18">
        <v>1</v>
      </c>
      <c r="I70" s="18">
        <f t="shared" si="5"/>
        <v>0</v>
      </c>
      <c r="J70" s="35">
        <v>44037</v>
      </c>
      <c r="K70" s="36">
        <v>2020</v>
      </c>
      <c r="L70" s="32">
        <f t="shared" si="3"/>
        <v>44039</v>
      </c>
      <c r="M70" s="37">
        <v>0</v>
      </c>
      <c r="N70" s="33">
        <v>96</v>
      </c>
      <c r="O70" s="34">
        <f>AVERAGEIF(L3:L1205,"&lt;2020/7/25",N3:N1205)</f>
        <v>111.81432360742706</v>
      </c>
      <c r="P70" s="38">
        <v>0</v>
      </c>
      <c r="Q70" s="38">
        <f>AVERAGEIF(L3:L1205,"&lt;2020/7/25",P3:P1205)</f>
        <v>0.43059239610963751</v>
      </c>
      <c r="R70" s="38">
        <v>1</v>
      </c>
      <c r="S70" s="38">
        <f>AVERAGEIF(L3:L1205,"&lt;2020/7/25",R3:R1205)</f>
        <v>1.2166224580017684</v>
      </c>
      <c r="T70" s="38">
        <v>2</v>
      </c>
      <c r="U70" s="38">
        <f>AVERAGEIF(L3:L1205,"&lt;2020/7/25",T3:T1205)</f>
        <v>6.9389920424403186</v>
      </c>
      <c r="V70" s="24">
        <v>1135</v>
      </c>
      <c r="W70" s="47" t="s">
        <v>4521</v>
      </c>
    </row>
    <row r="71" spans="1:23">
      <c r="A71" s="23">
        <v>2</v>
      </c>
      <c r="B71" s="23">
        <v>6</v>
      </c>
      <c r="C71" s="18">
        <v>4</v>
      </c>
      <c r="D71" s="18">
        <v>6</v>
      </c>
      <c r="E71" s="20">
        <v>100</v>
      </c>
      <c r="F71" s="21">
        <f t="shared" si="4"/>
        <v>109.2257495590829</v>
      </c>
      <c r="G71" s="22">
        <v>0.84078562752786301</v>
      </c>
      <c r="H71" s="18">
        <v>0</v>
      </c>
      <c r="I71" s="18">
        <f t="shared" si="5"/>
        <v>1</v>
      </c>
      <c r="J71" s="35">
        <v>44034</v>
      </c>
      <c r="K71" s="36">
        <v>2020</v>
      </c>
      <c r="L71" s="32">
        <f t="shared" si="3"/>
        <v>44035</v>
      </c>
      <c r="M71" s="37">
        <v>1</v>
      </c>
      <c r="N71" s="33">
        <v>187</v>
      </c>
      <c r="O71" s="34">
        <f>AVERAGEIF(L3:L1205,"&lt;2020/7/22",N3:N1205)</f>
        <v>111.80673758865248</v>
      </c>
      <c r="P71" s="38">
        <v>2</v>
      </c>
      <c r="Q71" s="38">
        <f>AVERAGEIF(L3:L1205,"&lt;2020/7/22",P3:P1205)</f>
        <v>0.42996453900709219</v>
      </c>
      <c r="R71" s="38">
        <v>1</v>
      </c>
      <c r="S71" s="38">
        <f>AVERAGEIF(L3:L1205,"&lt;2020/7/22",R3:R1205)</f>
        <v>1.2171985815602837</v>
      </c>
      <c r="T71" s="38">
        <v>1</v>
      </c>
      <c r="U71" s="38">
        <f>AVERAGEIF(L3:L1205,"&lt;2020/7/22",T3:T1205)</f>
        <v>6.9547872340425529</v>
      </c>
      <c r="V71" s="24">
        <v>1134</v>
      </c>
      <c r="W71" s="47" t="s">
        <v>4659</v>
      </c>
    </row>
    <row r="72" spans="1:23">
      <c r="A72" s="23">
        <v>2</v>
      </c>
      <c r="B72" s="23">
        <v>17</v>
      </c>
      <c r="C72" s="18">
        <v>5</v>
      </c>
      <c r="D72" s="18">
        <v>8</v>
      </c>
      <c r="E72" s="20">
        <v>31</v>
      </c>
      <c r="F72" s="21">
        <f t="shared" si="4"/>
        <v>109.29479258605473</v>
      </c>
      <c r="G72" s="22">
        <v>0.311141917086947</v>
      </c>
      <c r="H72" s="18">
        <v>1</v>
      </c>
      <c r="I72" s="18">
        <f t="shared" si="5"/>
        <v>0</v>
      </c>
      <c r="J72" s="41">
        <v>44034</v>
      </c>
      <c r="K72" s="36">
        <v>2020</v>
      </c>
      <c r="L72" s="32">
        <f t="shared" si="3"/>
        <v>44035</v>
      </c>
      <c r="M72" s="37">
        <v>1</v>
      </c>
      <c r="N72" s="33">
        <v>96</v>
      </c>
      <c r="O72" s="34">
        <f>AVERAGEIF(L3:L1205,"&lt;2020/7/22",N3:N1205)</f>
        <v>111.80673758865248</v>
      </c>
      <c r="P72" s="38">
        <v>0</v>
      </c>
      <c r="Q72" s="38">
        <f>AVERAGEIF(L3:L1205,"&lt;2020/7/22",P3:P1205)</f>
        <v>0.42996453900709219</v>
      </c>
      <c r="R72" s="38">
        <v>1</v>
      </c>
      <c r="S72" s="38">
        <f>AVERAGEIF(L3:L1205,"&lt;2020/7/22",R3:R1205)</f>
        <v>1.2171985815602837</v>
      </c>
      <c r="T72" s="38">
        <v>1</v>
      </c>
      <c r="U72" s="38">
        <f>AVERAGEIF(L3:L1205,"&lt;2020/7/22",T3:T1205)</f>
        <v>6.9547872340425529</v>
      </c>
      <c r="V72" s="24">
        <v>1133</v>
      </c>
      <c r="W72" s="47" t="s">
        <v>4563</v>
      </c>
    </row>
    <row r="73" spans="1:23">
      <c r="A73" s="23">
        <v>4</v>
      </c>
      <c r="B73" s="23">
        <v>28</v>
      </c>
      <c r="C73" s="18">
        <v>4</v>
      </c>
      <c r="D73" s="18">
        <v>4</v>
      </c>
      <c r="E73" s="20">
        <v>37</v>
      </c>
      <c r="F73" s="21">
        <f t="shared" si="4"/>
        <v>109.35865724381625</v>
      </c>
      <c r="G73" s="22">
        <v>0.41262174035719501</v>
      </c>
      <c r="H73" s="18">
        <v>1</v>
      </c>
      <c r="I73" s="18">
        <f t="shared" si="5"/>
        <v>0</v>
      </c>
      <c r="J73" s="35">
        <v>44034</v>
      </c>
      <c r="K73" s="36">
        <v>2020</v>
      </c>
      <c r="L73" s="32">
        <f t="shared" si="3"/>
        <v>44047</v>
      </c>
      <c r="M73" s="20">
        <v>0</v>
      </c>
      <c r="N73" s="33">
        <v>51</v>
      </c>
      <c r="O73" s="34">
        <f>AVERAGEIF(L3:L1205,"&lt;2020/7/22",N3:N1205)</f>
        <v>111.80673758865248</v>
      </c>
      <c r="P73" s="24">
        <v>0</v>
      </c>
      <c r="Q73" s="24">
        <f>AVERAGEIF(L3:L1205,"&lt;2020/7/22",P3:P1205)</f>
        <v>0.42996453900709219</v>
      </c>
      <c r="R73" s="24">
        <v>1</v>
      </c>
      <c r="S73" s="24">
        <f>AVERAGEIF(L3:L1205,"&lt;2020/7/22",R3:R1205)</f>
        <v>1.2171985815602837</v>
      </c>
      <c r="T73" s="24">
        <v>13</v>
      </c>
      <c r="U73" s="24">
        <f>AVERAGEIF(L3:L1205,"&lt;2020/7/22",T3:T1205)</f>
        <v>6.9547872340425529</v>
      </c>
      <c r="V73" s="24">
        <v>1132</v>
      </c>
      <c r="W73" s="47" t="s">
        <v>4626</v>
      </c>
    </row>
    <row r="74" spans="1:23">
      <c r="A74" s="23">
        <v>2</v>
      </c>
      <c r="B74" s="23">
        <v>8</v>
      </c>
      <c r="C74" s="18">
        <v>4</v>
      </c>
      <c r="D74" s="18">
        <v>4</v>
      </c>
      <c r="E74" s="20">
        <v>46</v>
      </c>
      <c r="F74" s="21">
        <f t="shared" si="4"/>
        <v>109.41467727674625</v>
      </c>
      <c r="G74" s="22">
        <v>0.87089186547271003</v>
      </c>
      <c r="H74" s="18">
        <v>1</v>
      </c>
      <c r="I74" s="18">
        <f t="shared" si="5"/>
        <v>0</v>
      </c>
      <c r="J74" s="35">
        <v>44033</v>
      </c>
      <c r="K74" s="36">
        <v>2020</v>
      </c>
      <c r="L74" s="32">
        <f t="shared" si="3"/>
        <v>44034</v>
      </c>
      <c r="M74" s="40">
        <v>0</v>
      </c>
      <c r="N74" s="33">
        <v>61</v>
      </c>
      <c r="O74" s="34">
        <f>AVERAGEIF(L3:L1205,"&lt;2020/7/21",N3:N1205)</f>
        <v>111.80673758865248</v>
      </c>
      <c r="P74" s="40">
        <v>0</v>
      </c>
      <c r="Q74" s="40">
        <f>AVERAGEIF(L3:L1205,"&lt;2020/7/21",P3:P1205)</f>
        <v>0.42996453900709219</v>
      </c>
      <c r="R74" s="40">
        <v>1</v>
      </c>
      <c r="S74" s="40">
        <f>AVERAGEIF(L3:L1205,"&lt;2020/7/21",R3:R1205)</f>
        <v>1.2171985815602837</v>
      </c>
      <c r="T74" s="40">
        <v>1</v>
      </c>
      <c r="U74" s="40">
        <f>AVERAGEIF(L3:L1205,"&lt;2020/7/21",T3:T1205)</f>
        <v>6.9547872340425529</v>
      </c>
      <c r="V74" s="24">
        <v>1131</v>
      </c>
      <c r="W74" s="47" t="s">
        <v>4661</v>
      </c>
    </row>
    <row r="75" spans="1:23">
      <c r="A75" s="23">
        <v>2</v>
      </c>
      <c r="B75" s="23">
        <v>17</v>
      </c>
      <c r="C75" s="18">
        <v>4</v>
      </c>
      <c r="D75" s="18">
        <v>8</v>
      </c>
      <c r="E75" s="20">
        <v>111</v>
      </c>
      <c r="F75" s="21">
        <f t="shared" si="4"/>
        <v>109.41327433628318</v>
      </c>
      <c r="G75" s="22">
        <v>0.45307203334732099</v>
      </c>
      <c r="H75" s="18">
        <v>1</v>
      </c>
      <c r="I75" s="18">
        <f t="shared" si="5"/>
        <v>0</v>
      </c>
      <c r="J75" s="48">
        <v>44032</v>
      </c>
      <c r="K75" s="36">
        <v>2020</v>
      </c>
      <c r="L75" s="32">
        <f t="shared" si="3"/>
        <v>44039</v>
      </c>
      <c r="M75" s="40">
        <v>1</v>
      </c>
      <c r="N75" s="33">
        <v>177</v>
      </c>
      <c r="O75" s="34">
        <f>AVERAGEIF(L3:L1205,"&lt;2020/7/20",N3:N1205)</f>
        <v>111.80673758865248</v>
      </c>
      <c r="P75" s="38">
        <v>0</v>
      </c>
      <c r="Q75" s="38">
        <f>AVERAGEIF(L3:L1205,"&lt;2020/7/20",P3:P1205)</f>
        <v>0.42996453900709219</v>
      </c>
      <c r="R75" s="38">
        <v>1</v>
      </c>
      <c r="S75" s="38">
        <f>AVERAGEIF(L3:L1205,"&lt;2020/7/20",R3:R1205)</f>
        <v>1.2171985815602837</v>
      </c>
      <c r="T75" s="38">
        <v>7</v>
      </c>
      <c r="U75" s="38">
        <f>AVERAGEIF(L3:L1205,"&lt;2020/7/20",T3:T1205)</f>
        <v>6.9547872340425529</v>
      </c>
      <c r="V75" s="24">
        <v>1130</v>
      </c>
      <c r="W75" s="47" t="s">
        <v>4550</v>
      </c>
    </row>
    <row r="76" spans="1:23">
      <c r="A76" s="23">
        <v>4</v>
      </c>
      <c r="B76" s="23">
        <v>28</v>
      </c>
      <c r="C76" s="18">
        <v>4</v>
      </c>
      <c r="D76" s="18">
        <v>4</v>
      </c>
      <c r="E76" s="20">
        <v>40</v>
      </c>
      <c r="F76" s="21">
        <f t="shared" si="4"/>
        <v>109.47475642161204</v>
      </c>
      <c r="G76" s="22">
        <v>0.353767208338432</v>
      </c>
      <c r="H76" s="18">
        <v>0</v>
      </c>
      <c r="I76" s="18">
        <f t="shared" si="5"/>
        <v>1</v>
      </c>
      <c r="J76" s="35">
        <v>44032</v>
      </c>
      <c r="K76" s="36">
        <v>2020</v>
      </c>
      <c r="L76" s="32">
        <f t="shared" si="3"/>
        <v>44043</v>
      </c>
      <c r="M76" s="20">
        <v>0</v>
      </c>
      <c r="N76" s="33">
        <v>51</v>
      </c>
      <c r="O76" s="34">
        <f>AVERAGEIF(L3:L1205,"&lt;2020/7/20",N3:N1205)</f>
        <v>111.80673758865248</v>
      </c>
      <c r="P76" s="24">
        <v>3</v>
      </c>
      <c r="Q76" s="24">
        <f>AVERAGEIF(L3:L1205,"&lt;2020/7/20",P3:P1205)</f>
        <v>0.42996453900709219</v>
      </c>
      <c r="R76" s="24">
        <v>1</v>
      </c>
      <c r="S76" s="24">
        <f>AVERAGEIF(L3:L1205,"&lt;2020/7/20",R3:R1205)</f>
        <v>1.2171985815602837</v>
      </c>
      <c r="T76" s="24">
        <v>11</v>
      </c>
      <c r="U76" s="24">
        <f>AVERAGEIF(L3:L1205,"&lt;2020/7/20",T3:T1205)</f>
        <v>6.9547872340425529</v>
      </c>
      <c r="V76" s="24">
        <v>1129</v>
      </c>
      <c r="W76" s="47" t="s">
        <v>4661</v>
      </c>
    </row>
    <row r="77" spans="1:23">
      <c r="A77" s="23">
        <v>2</v>
      </c>
      <c r="B77" s="23">
        <v>5</v>
      </c>
      <c r="C77" s="18">
        <v>4</v>
      </c>
      <c r="D77" s="18">
        <v>2</v>
      </c>
      <c r="E77" s="20">
        <v>54</v>
      </c>
      <c r="F77" s="21">
        <f t="shared" si="4"/>
        <v>109.52393617021276</v>
      </c>
      <c r="G77" s="22">
        <v>0.90804741732174299</v>
      </c>
      <c r="H77" s="18">
        <v>1</v>
      </c>
      <c r="I77" s="18">
        <f t="shared" si="5"/>
        <v>0</v>
      </c>
      <c r="J77" s="41">
        <v>44023</v>
      </c>
      <c r="K77" s="36">
        <v>2020</v>
      </c>
      <c r="L77" s="32">
        <f t="shared" si="3"/>
        <v>44029</v>
      </c>
      <c r="M77" s="40">
        <v>1</v>
      </c>
      <c r="N77" s="33">
        <v>132</v>
      </c>
      <c r="O77" s="34">
        <f>AVERAGEIF(L3:L1205,"&lt;2020/7/11",N3:N1205)</f>
        <v>111.68117229129662</v>
      </c>
      <c r="P77" s="38">
        <v>1</v>
      </c>
      <c r="Q77" s="38">
        <f>AVERAGEIF(L3:L1205,"&lt;2020/7/11",P3:P1205)</f>
        <v>0.42984014209591476</v>
      </c>
      <c r="R77" s="38">
        <v>1</v>
      </c>
      <c r="S77" s="38">
        <f>AVERAGEIF(L3:L1205,"&lt;2020/7/11",R3:R1205)</f>
        <v>1.2175843694493784</v>
      </c>
      <c r="T77" s="38">
        <v>6</v>
      </c>
      <c r="U77" s="38">
        <f>AVERAGEIF(L3:L1205,"&lt;2020/7/11",T3:T1205)</f>
        <v>6.9573712255772646</v>
      </c>
      <c r="V77" s="24">
        <v>1128</v>
      </c>
      <c r="W77" s="47" t="s">
        <v>4618</v>
      </c>
    </row>
    <row r="78" spans="1:23">
      <c r="A78" s="23">
        <v>4</v>
      </c>
      <c r="B78" s="23">
        <v>29</v>
      </c>
      <c r="C78" s="18">
        <v>4</v>
      </c>
      <c r="D78" s="18">
        <v>4</v>
      </c>
      <c r="E78" s="20">
        <v>64</v>
      </c>
      <c r="F78" s="21">
        <f t="shared" si="4"/>
        <v>109.56433007985802</v>
      </c>
      <c r="G78" s="22">
        <v>0.85966188432244905</v>
      </c>
      <c r="H78" s="18">
        <v>1</v>
      </c>
      <c r="I78" s="18">
        <f t="shared" si="5"/>
        <v>0</v>
      </c>
      <c r="J78" s="45">
        <v>44022</v>
      </c>
      <c r="K78" s="36">
        <v>2020</v>
      </c>
      <c r="L78" s="32">
        <f t="shared" si="3"/>
        <v>44027</v>
      </c>
      <c r="M78" s="42">
        <v>0</v>
      </c>
      <c r="N78" s="33">
        <v>233</v>
      </c>
      <c r="O78" s="34">
        <f>AVERAGEIF(L3:L1205,"&lt;2020/7/10",N3:N1205)</f>
        <v>111.68117229129662</v>
      </c>
      <c r="P78" s="38">
        <v>0</v>
      </c>
      <c r="Q78" s="38">
        <f>AVERAGEIF(L3:L1205,"&lt;2020/7/10",P3:P1205)</f>
        <v>0.42984014209591476</v>
      </c>
      <c r="R78" s="38">
        <v>1</v>
      </c>
      <c r="S78" s="38">
        <f>AVERAGEIF(L3:L1205,"&lt;2020/7/10",R3:R1205)</f>
        <v>1.2175843694493784</v>
      </c>
      <c r="T78" s="38">
        <v>5</v>
      </c>
      <c r="U78" s="38">
        <f>AVERAGEIF(L3:L1205,"&lt;2020/7/10",T3:T1205)</f>
        <v>6.9573712255772646</v>
      </c>
      <c r="V78" s="24">
        <v>1127</v>
      </c>
      <c r="W78" s="47" t="s">
        <v>4550</v>
      </c>
    </row>
    <row r="79" spans="1:23">
      <c r="A79" s="23">
        <v>4</v>
      </c>
      <c r="B79" s="23">
        <v>28</v>
      </c>
      <c r="C79" s="18">
        <v>4</v>
      </c>
      <c r="D79" s="18">
        <v>6</v>
      </c>
      <c r="E79" s="20">
        <v>200</v>
      </c>
      <c r="F79" s="21">
        <f t="shared" si="4"/>
        <v>109.48401420959148</v>
      </c>
      <c r="G79" s="22">
        <v>0.37500000002108203</v>
      </c>
      <c r="H79" s="18">
        <v>1</v>
      </c>
      <c r="I79" s="18">
        <f t="shared" si="5"/>
        <v>0</v>
      </c>
      <c r="J79" s="35">
        <v>44018</v>
      </c>
      <c r="K79" s="36">
        <v>2020</v>
      </c>
      <c r="L79" s="32">
        <f t="shared" si="3"/>
        <v>44019</v>
      </c>
      <c r="M79" s="20">
        <v>0</v>
      </c>
      <c r="N79" s="33">
        <v>100</v>
      </c>
      <c r="O79" s="34">
        <f>AVERAGEIF(L3:L1205,"&lt;2020/7/6",N3:N1205)</f>
        <v>111.75557537912579</v>
      </c>
      <c r="P79" s="24">
        <v>0</v>
      </c>
      <c r="Q79" s="24">
        <f>AVERAGEIF(L3:L1205,"&lt;2020/7/6",P3:P1205)</f>
        <v>0.42283675289919714</v>
      </c>
      <c r="R79" s="24">
        <v>1</v>
      </c>
      <c r="S79" s="24">
        <f>AVERAGEIF(L3:L1205,"&lt;2020/7/6",R3:R1205)</f>
        <v>1.2176628010704729</v>
      </c>
      <c r="T79" s="24">
        <v>1</v>
      </c>
      <c r="U79" s="24">
        <f>AVERAGEIF(L3:L1205,"&lt;2020/7/6",T3:T1205)</f>
        <v>6.9562890276538809</v>
      </c>
      <c r="V79" s="24">
        <v>1126</v>
      </c>
      <c r="W79" s="47" t="s">
        <v>4661</v>
      </c>
    </row>
    <row r="80" spans="1:23">
      <c r="A80" s="23">
        <v>2</v>
      </c>
      <c r="B80" s="23">
        <v>6</v>
      </c>
      <c r="C80" s="18">
        <v>4</v>
      </c>
      <c r="D80" s="18">
        <v>4</v>
      </c>
      <c r="E80" s="20">
        <v>60</v>
      </c>
      <c r="F80" s="21">
        <f t="shared" si="4"/>
        <v>109.52800000000001</v>
      </c>
      <c r="G80" s="22">
        <v>0.53593946552193406</v>
      </c>
      <c r="H80" s="18">
        <v>1</v>
      </c>
      <c r="I80" s="18">
        <f t="shared" si="5"/>
        <v>0</v>
      </c>
      <c r="J80" s="35">
        <v>44013</v>
      </c>
      <c r="K80" s="36">
        <v>2020</v>
      </c>
      <c r="L80" s="32">
        <f t="shared" si="3"/>
        <v>44014</v>
      </c>
      <c r="M80" s="37">
        <v>0</v>
      </c>
      <c r="N80" s="33">
        <v>132</v>
      </c>
      <c r="O80" s="34">
        <f>AVERAGEIF(L3:L1205,"&lt;2020/7/1",N3:N1205)</f>
        <v>111.69982078853046</v>
      </c>
      <c r="P80" s="38">
        <v>0</v>
      </c>
      <c r="Q80" s="38">
        <f>AVERAGEIF(L3:L1205,"&lt;2020/7/1",P3:P1205)</f>
        <v>0.42473118279569894</v>
      </c>
      <c r="R80" s="38">
        <v>1</v>
      </c>
      <c r="S80" s="38">
        <f>AVERAGEIF(L3:L1205,"&lt;2020/7/1",R3:R1205)</f>
        <v>1.217741935483871</v>
      </c>
      <c r="T80" s="38">
        <v>1</v>
      </c>
      <c r="U80" s="38">
        <f>AVERAGEIF(L3:L1205,"&lt;2020/7/1",T3:T1205)</f>
        <v>6.9560931899641574</v>
      </c>
      <c r="V80" s="24">
        <v>1125</v>
      </c>
      <c r="W80" s="47" t="s">
        <v>4558</v>
      </c>
    </row>
    <row r="81" spans="1:23">
      <c r="A81" s="23">
        <v>2</v>
      </c>
      <c r="B81" s="23">
        <v>6</v>
      </c>
      <c r="C81" s="18">
        <v>4</v>
      </c>
      <c r="D81" s="18">
        <v>4</v>
      </c>
      <c r="E81" s="20">
        <v>48</v>
      </c>
      <c r="F81" s="21">
        <f t="shared" si="4"/>
        <v>109.58274021352314</v>
      </c>
      <c r="G81" s="22">
        <v>0.340975119494904</v>
      </c>
      <c r="H81" s="18">
        <v>1</v>
      </c>
      <c r="I81" s="18">
        <f t="shared" si="5"/>
        <v>0</v>
      </c>
      <c r="J81" s="41">
        <v>44013</v>
      </c>
      <c r="K81" s="36">
        <v>2020</v>
      </c>
      <c r="L81" s="32">
        <f t="shared" si="3"/>
        <v>44014</v>
      </c>
      <c r="M81" s="40">
        <v>0</v>
      </c>
      <c r="N81" s="33">
        <v>118</v>
      </c>
      <c r="O81" s="34">
        <f>AVERAGEIF(L3:L1205,"&lt;2020/7/1",N3:N1205)</f>
        <v>111.69982078853046</v>
      </c>
      <c r="P81" s="38">
        <v>0</v>
      </c>
      <c r="Q81" s="38">
        <f>AVERAGEIF(L3:L1205,"&lt;2020/7/1",P3:P1205)</f>
        <v>0.42473118279569894</v>
      </c>
      <c r="R81" s="38">
        <v>1</v>
      </c>
      <c r="S81" s="38">
        <f>AVERAGEIF(L3:L1205,"&lt;2020/7/1",R3:R1205)</f>
        <v>1.217741935483871</v>
      </c>
      <c r="T81" s="38">
        <v>1</v>
      </c>
      <c r="U81" s="38">
        <f>AVERAGEIF(L3:L1205,"&lt;2020/7/1",T3:T1205)</f>
        <v>6.9560931899641574</v>
      </c>
      <c r="V81" s="24">
        <v>1124</v>
      </c>
      <c r="W81" s="47" t="s">
        <v>4558</v>
      </c>
    </row>
    <row r="82" spans="1:23">
      <c r="A82" s="23">
        <v>4</v>
      </c>
      <c r="B82" s="23">
        <v>35</v>
      </c>
      <c r="C82" s="18">
        <v>4</v>
      </c>
      <c r="D82" s="18">
        <v>4</v>
      </c>
      <c r="E82" s="20">
        <v>49</v>
      </c>
      <c r="F82" s="21">
        <f t="shared" si="4"/>
        <v>109.6366874443455</v>
      </c>
      <c r="G82" s="22">
        <v>0.41253191127894501</v>
      </c>
      <c r="H82" s="18">
        <v>1</v>
      </c>
      <c r="I82" s="18">
        <f t="shared" si="5"/>
        <v>0</v>
      </c>
      <c r="J82" s="45">
        <v>44013</v>
      </c>
      <c r="K82" s="36">
        <v>2020</v>
      </c>
      <c r="L82" s="32">
        <f t="shared" si="3"/>
        <v>44018</v>
      </c>
      <c r="M82" s="42">
        <v>0</v>
      </c>
      <c r="N82" s="33">
        <v>89</v>
      </c>
      <c r="O82" s="34">
        <f>AVERAGEIF(L3:L1205,"&lt;2020/7/1",N3:N1205)</f>
        <v>111.69982078853046</v>
      </c>
      <c r="P82" s="38">
        <v>0</v>
      </c>
      <c r="Q82" s="38">
        <f>AVERAGEIF(L3:L1205,"&lt;2020/7/1",P3:P1205)</f>
        <v>0.42473118279569894</v>
      </c>
      <c r="R82" s="38">
        <v>1</v>
      </c>
      <c r="S82" s="38">
        <f>AVERAGEIF(L3:L1205,"&lt;2020/7/1",R3:R1205)</f>
        <v>1.217741935483871</v>
      </c>
      <c r="T82" s="38">
        <v>5</v>
      </c>
      <c r="U82" s="38">
        <f>AVERAGEIF(L3:L1205,"&lt;2020/7/1",T3:T1205)</f>
        <v>6.9560931899641574</v>
      </c>
      <c r="V82" s="24">
        <v>1123</v>
      </c>
      <c r="W82" s="47" t="s">
        <v>4672</v>
      </c>
    </row>
    <row r="83" spans="1:23">
      <c r="A83" s="23">
        <v>2</v>
      </c>
      <c r="B83" s="23">
        <v>6</v>
      </c>
      <c r="C83" s="18">
        <v>4</v>
      </c>
      <c r="D83" s="18">
        <v>4</v>
      </c>
      <c r="E83" s="20">
        <v>58</v>
      </c>
      <c r="F83" s="21">
        <f t="shared" si="4"/>
        <v>109.68270944741533</v>
      </c>
      <c r="G83" s="22">
        <v>0.412878931216902</v>
      </c>
      <c r="H83" s="18">
        <v>1</v>
      </c>
      <c r="I83" s="18">
        <f t="shared" si="5"/>
        <v>0</v>
      </c>
      <c r="J83" s="41">
        <v>44011</v>
      </c>
      <c r="K83" s="36">
        <v>2020</v>
      </c>
      <c r="L83" s="32">
        <f t="shared" si="3"/>
        <v>44012</v>
      </c>
      <c r="M83" s="40">
        <v>0</v>
      </c>
      <c r="N83" s="33">
        <v>109</v>
      </c>
      <c r="O83" s="34">
        <f>AVERAGEIF(L3:L1205,"&lt;2020/6/29",N3:N1205)</f>
        <v>111.76576576576576</v>
      </c>
      <c r="P83" s="49">
        <v>0</v>
      </c>
      <c r="Q83" s="38">
        <f>AVERAGEIF(L3:L1205,"&lt;2020/6/29",P3:P1205)</f>
        <v>0.42522522522522521</v>
      </c>
      <c r="R83" s="38">
        <v>1</v>
      </c>
      <c r="S83" s="38">
        <f>AVERAGEIF(L3:L1205,"&lt;2020/6/29",R3:R1205)</f>
        <v>1.2189189189189189</v>
      </c>
      <c r="T83" s="49">
        <v>1</v>
      </c>
      <c r="U83" s="38">
        <f>AVERAGEIF(L3:L1205,"&lt;2020/6/29",T3:T1205)</f>
        <v>6.9765765765765764</v>
      </c>
      <c r="V83" s="24">
        <v>1122</v>
      </c>
      <c r="W83" s="47" t="s">
        <v>4634</v>
      </c>
    </row>
    <row r="84" spans="1:23">
      <c r="A84" s="23">
        <v>2</v>
      </c>
      <c r="B84" s="23">
        <v>8</v>
      </c>
      <c r="C84" s="18">
        <v>4</v>
      </c>
      <c r="D84" s="18">
        <v>2</v>
      </c>
      <c r="E84" s="20">
        <v>49</v>
      </c>
      <c r="F84" s="21">
        <f t="shared" si="4"/>
        <v>109.73684210526316</v>
      </c>
      <c r="G84" s="22">
        <v>0.37502271306743401</v>
      </c>
      <c r="H84" s="18">
        <v>1</v>
      </c>
      <c r="I84" s="18">
        <f t="shared" si="5"/>
        <v>0</v>
      </c>
      <c r="J84" s="35">
        <v>44011</v>
      </c>
      <c r="K84" s="36">
        <v>2020</v>
      </c>
      <c r="L84" s="32">
        <f t="shared" si="3"/>
        <v>44013</v>
      </c>
      <c r="M84" s="40">
        <v>1</v>
      </c>
      <c r="N84" s="33">
        <v>63</v>
      </c>
      <c r="O84" s="34">
        <f>AVERAGEIF(L3:L1205,"&lt;2020/6/29",N3:N1205)</f>
        <v>111.76576576576576</v>
      </c>
      <c r="P84" s="40">
        <v>0</v>
      </c>
      <c r="Q84" s="40">
        <f>AVERAGEIF(L3:L1205,"&lt;2020/6/29",P3:P1205)</f>
        <v>0.42522522522522521</v>
      </c>
      <c r="R84" s="40">
        <v>1</v>
      </c>
      <c r="S84" s="40">
        <f>AVERAGEIF(L3:L1205,"&lt;2020/6/29",R3:R1205)</f>
        <v>1.2189189189189189</v>
      </c>
      <c r="T84" s="40">
        <v>2</v>
      </c>
      <c r="U84" s="40">
        <f>AVERAGEIF(L3:L1205,"&lt;2020/6/29",T3:T1205)</f>
        <v>6.9765765765765764</v>
      </c>
      <c r="V84" s="24">
        <v>1121</v>
      </c>
      <c r="W84" s="47" t="s">
        <v>4563</v>
      </c>
    </row>
    <row r="85" spans="1:23">
      <c r="A85" s="23">
        <v>2</v>
      </c>
      <c r="B85" s="23">
        <v>5</v>
      </c>
      <c r="C85" s="18">
        <v>4</v>
      </c>
      <c r="D85" s="18">
        <v>2</v>
      </c>
      <c r="E85" s="20">
        <v>56</v>
      </c>
      <c r="F85" s="21">
        <f t="shared" si="4"/>
        <v>109.78482142857143</v>
      </c>
      <c r="G85" s="22">
        <v>0.87315857004266695</v>
      </c>
      <c r="H85" s="18">
        <v>1</v>
      </c>
      <c r="I85" s="18">
        <f t="shared" si="5"/>
        <v>0</v>
      </c>
      <c r="J85" s="41">
        <v>44010</v>
      </c>
      <c r="K85" s="36">
        <v>2020</v>
      </c>
      <c r="L85" s="32">
        <f t="shared" si="3"/>
        <v>44019</v>
      </c>
      <c r="M85" s="40">
        <v>0</v>
      </c>
      <c r="N85" s="33">
        <v>48</v>
      </c>
      <c r="O85" s="34">
        <f>AVERAGEIF(L3:L1205,"&lt;2020/6/28",N3:N1205)</f>
        <v>111.78990081154193</v>
      </c>
      <c r="P85" s="38">
        <v>4</v>
      </c>
      <c r="Q85" s="38">
        <f>AVERAGEIF(L3:L1205,"&lt;2020/6/28",P3:P1205)</f>
        <v>0.42560865644724977</v>
      </c>
      <c r="R85" s="38">
        <v>1</v>
      </c>
      <c r="S85" s="38">
        <f>AVERAGEIF(L3:L1205,"&lt;2020/6/28",R3:R1205)</f>
        <v>1.2191163210099187</v>
      </c>
      <c r="T85" s="38">
        <v>9</v>
      </c>
      <c r="U85" s="38">
        <f>AVERAGEIF(L3:L1205,"&lt;2020/6/28",T3:T1205)</f>
        <v>6.9756537421100093</v>
      </c>
      <c r="V85" s="24">
        <v>1120</v>
      </c>
      <c r="W85" s="47" t="s">
        <v>4529</v>
      </c>
    </row>
    <row r="86" spans="1:23">
      <c r="A86" s="23">
        <v>2</v>
      </c>
      <c r="B86" s="23">
        <v>6</v>
      </c>
      <c r="C86" s="18">
        <v>4</v>
      </c>
      <c r="D86" s="18">
        <v>2</v>
      </c>
      <c r="E86" s="20">
        <v>27</v>
      </c>
      <c r="F86" s="21">
        <f t="shared" si="4"/>
        <v>109.85880250223414</v>
      </c>
      <c r="G86" s="22">
        <v>0.68421881430947895</v>
      </c>
      <c r="H86" s="18">
        <v>1</v>
      </c>
      <c r="I86" s="18">
        <f t="shared" si="5"/>
        <v>0</v>
      </c>
      <c r="J86" s="41">
        <v>44010</v>
      </c>
      <c r="K86" s="36">
        <v>2020</v>
      </c>
      <c r="L86" s="32">
        <f t="shared" si="3"/>
        <v>44011</v>
      </c>
      <c r="M86" s="37">
        <v>0</v>
      </c>
      <c r="N86" s="33">
        <v>124</v>
      </c>
      <c r="O86" s="34">
        <f>AVERAGEIF(L3:L1205,"&lt;2020/6/28",N3:N1205)</f>
        <v>111.78990081154193</v>
      </c>
      <c r="P86" s="38">
        <v>0</v>
      </c>
      <c r="Q86" s="38">
        <f>AVERAGEIF(L3:L1205,"&lt;2020/6/29",P3:P1205)</f>
        <v>0.42522522522522521</v>
      </c>
      <c r="R86" s="38">
        <v>1</v>
      </c>
      <c r="S86" s="38">
        <f>AVERAGEIF(L3:L1205,"&lt;2020/6/28",R3:R1205)</f>
        <v>1.2191163210099187</v>
      </c>
      <c r="T86" s="38">
        <v>1</v>
      </c>
      <c r="U86" s="38">
        <f>AVERAGEIF(L3:L1205,"&lt;2020/6/28",T3:T1205)</f>
        <v>6.9756537421100093</v>
      </c>
      <c r="V86" s="24">
        <v>1119</v>
      </c>
      <c r="W86" s="47" t="s">
        <v>4550</v>
      </c>
    </row>
    <row r="87" spans="1:23">
      <c r="A87" s="23">
        <v>2</v>
      </c>
      <c r="B87" s="23">
        <v>4</v>
      </c>
      <c r="C87" s="18">
        <v>4</v>
      </c>
      <c r="D87" s="18">
        <v>4</v>
      </c>
      <c r="E87" s="20">
        <v>108</v>
      </c>
      <c r="F87" s="21">
        <f t="shared" si="4"/>
        <v>109.86046511627907</v>
      </c>
      <c r="G87" s="22">
        <v>0.74855842830155495</v>
      </c>
      <c r="H87" s="18">
        <v>1</v>
      </c>
      <c r="I87" s="18">
        <f t="shared" si="5"/>
        <v>0</v>
      </c>
      <c r="J87" s="43">
        <v>44008</v>
      </c>
      <c r="K87" s="36">
        <v>2020</v>
      </c>
      <c r="L87" s="32">
        <f t="shared" si="3"/>
        <v>44019</v>
      </c>
      <c r="M87" s="40">
        <v>0</v>
      </c>
      <c r="N87" s="33">
        <v>121</v>
      </c>
      <c r="O87" s="34">
        <f>AVERAGEIF(L3:L1205,"&lt;2020/6/26",N3:N1205)</f>
        <v>111.78990081154193</v>
      </c>
      <c r="P87" s="38">
        <v>2</v>
      </c>
      <c r="Q87" s="38">
        <f>AVERAGEIF(L3:L1205,"&lt;2020/6/26",P3:P1205)</f>
        <v>0.42560865644724977</v>
      </c>
      <c r="R87" s="38">
        <v>1</v>
      </c>
      <c r="S87" s="38">
        <f>AVERAGEIF(L3:L1205,"&lt;2020/6/26",R3:R1205)</f>
        <v>1.2191163210099187</v>
      </c>
      <c r="T87" s="38">
        <v>11</v>
      </c>
      <c r="U87" s="38">
        <f>AVERAGEIF(L3:L1205,"&lt;2020/6/26",T3:T1205)</f>
        <v>6.9756537421100093</v>
      </c>
      <c r="V87" s="24">
        <v>1118</v>
      </c>
      <c r="W87" s="47" t="s">
        <v>4523</v>
      </c>
    </row>
    <row r="88" spans="1:23">
      <c r="A88" s="23">
        <v>2</v>
      </c>
      <c r="B88" s="23">
        <v>4</v>
      </c>
      <c r="C88" s="18">
        <v>4</v>
      </c>
      <c r="D88" s="18">
        <v>4</v>
      </c>
      <c r="E88" s="20">
        <v>109</v>
      </c>
      <c r="F88" s="21">
        <f t="shared" si="4"/>
        <v>109.86123545210386</v>
      </c>
      <c r="G88" s="22">
        <v>0.29555951454330198</v>
      </c>
      <c r="H88" s="18">
        <v>1</v>
      </c>
      <c r="I88" s="18">
        <f t="shared" si="5"/>
        <v>0</v>
      </c>
      <c r="J88" s="41">
        <v>44008</v>
      </c>
      <c r="K88" s="36">
        <v>2020</v>
      </c>
      <c r="L88" s="32">
        <f t="shared" si="3"/>
        <v>44018</v>
      </c>
      <c r="M88" s="24">
        <v>1</v>
      </c>
      <c r="N88" s="33">
        <v>117</v>
      </c>
      <c r="O88" s="34">
        <f>AVERAGEIF(L3:L1205,"&lt;2020/6/26",N3:N1205)</f>
        <v>111.78990081154193</v>
      </c>
      <c r="P88" s="49">
        <v>4</v>
      </c>
      <c r="Q88" s="38">
        <f>AVERAGEIF(L3:L1205,"&lt;2020/6/26",P3:P1205)</f>
        <v>0.42560865644724977</v>
      </c>
      <c r="R88" s="38">
        <v>2</v>
      </c>
      <c r="S88" s="38">
        <f>AVERAGEIF(L3:L1205,"&lt;2020/6/26",R3:R1205)</f>
        <v>1.2191163210099187</v>
      </c>
      <c r="T88" s="49">
        <v>10</v>
      </c>
      <c r="U88" s="38">
        <f>AVERAGEIF(L3:L1205,"&lt;2020/6/26",T3:T1205)</f>
        <v>6.9756537421100093</v>
      </c>
      <c r="V88" s="24">
        <v>1117</v>
      </c>
      <c r="W88" s="47" t="s">
        <v>4558</v>
      </c>
    </row>
    <row r="89" spans="1:23">
      <c r="A89" s="23">
        <v>2</v>
      </c>
      <c r="B89" s="23">
        <v>6</v>
      </c>
      <c r="C89" s="18">
        <v>4</v>
      </c>
      <c r="D89" s="18">
        <v>2</v>
      </c>
      <c r="E89" s="20">
        <v>57</v>
      </c>
      <c r="F89" s="21">
        <f t="shared" si="4"/>
        <v>109.90860215053763</v>
      </c>
      <c r="G89" s="22">
        <v>0.37712921406900601</v>
      </c>
      <c r="H89" s="18">
        <v>1</v>
      </c>
      <c r="I89" s="18">
        <f t="shared" si="5"/>
        <v>0</v>
      </c>
      <c r="J89" s="41">
        <v>44008</v>
      </c>
      <c r="K89" s="36">
        <v>2020</v>
      </c>
      <c r="L89" s="32">
        <f t="shared" si="3"/>
        <v>44011</v>
      </c>
      <c r="M89" s="40">
        <v>0</v>
      </c>
      <c r="N89" s="33">
        <v>170</v>
      </c>
      <c r="O89" s="34">
        <f>AVERAGEIF(L3:L1205,"&lt;2020/6/26",N3:N1205)</f>
        <v>111.78990081154193</v>
      </c>
      <c r="P89" s="38">
        <v>0</v>
      </c>
      <c r="Q89" s="38">
        <f>AVERAGEIF(L3:L1205,"&lt;2020/6/26",P3:P1205)</f>
        <v>0.42560865644724977</v>
      </c>
      <c r="R89" s="38">
        <v>1</v>
      </c>
      <c r="S89" s="38">
        <f>AVERAGEIF(L3:L1205,"&lt;2020/6/26",R3:R1205)</f>
        <v>1.2191163210099187</v>
      </c>
      <c r="T89" s="38">
        <v>3</v>
      </c>
      <c r="U89" s="38">
        <f>AVERAGEIF(L3:L1205,"&lt;2020/6/26",T3:T1205)</f>
        <v>6.9756537421100093</v>
      </c>
      <c r="V89" s="24">
        <v>1116</v>
      </c>
      <c r="W89" s="47" t="s">
        <v>4550</v>
      </c>
    </row>
    <row r="90" spans="1:23">
      <c r="A90" s="23">
        <v>4</v>
      </c>
      <c r="B90" s="23">
        <v>28</v>
      </c>
      <c r="C90" s="18">
        <v>4</v>
      </c>
      <c r="D90" s="18">
        <v>4</v>
      </c>
      <c r="E90" s="20">
        <v>50</v>
      </c>
      <c r="F90" s="21">
        <f t="shared" si="4"/>
        <v>109.96233183856502</v>
      </c>
      <c r="G90" s="22">
        <v>0.56669189370451001</v>
      </c>
      <c r="H90" s="18">
        <v>1</v>
      </c>
      <c r="I90" s="18">
        <f t="shared" si="5"/>
        <v>0</v>
      </c>
      <c r="J90" s="35">
        <v>44007</v>
      </c>
      <c r="K90" s="36">
        <v>2020</v>
      </c>
      <c r="L90" s="32">
        <f t="shared" si="3"/>
        <v>44011</v>
      </c>
      <c r="M90" s="20">
        <v>0</v>
      </c>
      <c r="N90" s="33">
        <v>73</v>
      </c>
      <c r="O90" s="34">
        <f>AVERAGEIF(L3:L1205,"&lt;2020/6/25",N3:N1205)</f>
        <v>111.78990081154193</v>
      </c>
      <c r="P90" s="24">
        <v>0</v>
      </c>
      <c r="Q90" s="24">
        <f>AVERAGEIF(L3:L1205,"&lt;2020/6/25",P3:P1205)</f>
        <v>0.42560865644724977</v>
      </c>
      <c r="R90" s="24">
        <v>1</v>
      </c>
      <c r="S90" s="24">
        <f>AVERAGEIF(L3:L1205,"&lt;2020/6/25",R3:R1205)</f>
        <v>1.2191163210099187</v>
      </c>
      <c r="T90" s="24">
        <v>4</v>
      </c>
      <c r="U90" s="24">
        <f>AVERAGEIF(L3:L1205,"&lt;2020/6/25",T3:T1205)</f>
        <v>6.9756537421100093</v>
      </c>
      <c r="V90" s="24">
        <v>1115</v>
      </c>
      <c r="W90" s="47" t="s">
        <v>4626</v>
      </c>
    </row>
    <row r="91" spans="1:23">
      <c r="A91" s="23">
        <v>4</v>
      </c>
      <c r="B91" s="23">
        <v>28</v>
      </c>
      <c r="C91" s="18">
        <v>4</v>
      </c>
      <c r="D91" s="18">
        <v>4</v>
      </c>
      <c r="E91" s="20">
        <v>41</v>
      </c>
      <c r="F91" s="21">
        <f t="shared" si="4"/>
        <v>110.02423698384202</v>
      </c>
      <c r="G91" s="22">
        <v>0.42635696958906</v>
      </c>
      <c r="H91" s="18">
        <v>1</v>
      </c>
      <c r="I91" s="18">
        <f t="shared" si="5"/>
        <v>0</v>
      </c>
      <c r="J91" s="35">
        <v>44007</v>
      </c>
      <c r="K91" s="36">
        <v>2020</v>
      </c>
      <c r="L91" s="32">
        <f t="shared" si="3"/>
        <v>44011</v>
      </c>
      <c r="M91" s="20">
        <v>0</v>
      </c>
      <c r="N91" s="33">
        <v>73</v>
      </c>
      <c r="O91" s="34">
        <f>AVERAGEIF(L3:L1205,"&lt;2020/6/25",N3:N1205)</f>
        <v>111.78990081154193</v>
      </c>
      <c r="P91" s="24">
        <v>0</v>
      </c>
      <c r="Q91" s="24">
        <f>AVERAGEIF(L3:L1205,"&lt;2020/6/25",P3:P1205)</f>
        <v>0.42560865644724977</v>
      </c>
      <c r="R91" s="24">
        <v>1</v>
      </c>
      <c r="S91" s="24">
        <f>AVERAGEIF(L3:L1205,"&lt;2020/6/25",R3:R1205)</f>
        <v>1.2191163210099187</v>
      </c>
      <c r="T91" s="24">
        <v>4</v>
      </c>
      <c r="U91" s="24">
        <f>AVERAGEIF(L3:L1205,"&lt;2020/6/25",T3:T1205)</f>
        <v>6.9756537421100093</v>
      </c>
      <c r="V91" s="24">
        <v>1114</v>
      </c>
      <c r="W91" s="47" t="s">
        <v>4626</v>
      </c>
    </row>
    <row r="92" spans="1:23">
      <c r="A92" s="23">
        <v>2</v>
      </c>
      <c r="B92" s="23">
        <v>5</v>
      </c>
      <c r="C92" s="18">
        <v>4</v>
      </c>
      <c r="D92" s="18">
        <v>2</v>
      </c>
      <c r="E92" s="20">
        <v>57</v>
      </c>
      <c r="F92" s="21">
        <f t="shared" si="4"/>
        <v>110.07187780772686</v>
      </c>
      <c r="G92" s="22">
        <v>0.36089204637723798</v>
      </c>
      <c r="H92" s="18">
        <v>1</v>
      </c>
      <c r="I92" s="18">
        <f t="shared" si="5"/>
        <v>0</v>
      </c>
      <c r="J92" s="50">
        <v>44006</v>
      </c>
      <c r="K92" s="36">
        <v>2020</v>
      </c>
      <c r="L92" s="32">
        <f t="shared" si="3"/>
        <v>44012</v>
      </c>
      <c r="M92" s="40">
        <v>0</v>
      </c>
      <c r="N92" s="33">
        <v>48</v>
      </c>
      <c r="O92" s="34">
        <f>AVERAGEIF(L3:L1205,"&lt;2020/6/24",N3:N1205)</f>
        <v>111.78990081154193</v>
      </c>
      <c r="P92" s="38">
        <v>2</v>
      </c>
      <c r="Q92" s="38">
        <f>AVERAGEIF(L3:L1205,"&lt;2020/6/24",P3:P1205)</f>
        <v>0.42560865644724977</v>
      </c>
      <c r="R92" s="38">
        <v>1</v>
      </c>
      <c r="S92" s="38">
        <f>AVERAGEIF(L3:L1205,"&lt;2020/6/24",R3:R1205)</f>
        <v>1.2191163210099187</v>
      </c>
      <c r="T92" s="38">
        <v>6</v>
      </c>
      <c r="U92" s="38">
        <f>AVERAGEIF(L3:L1205,"&lt;2020/6/24",T3:T1205)</f>
        <v>6.9756537421100093</v>
      </c>
      <c r="V92" s="24">
        <v>1113</v>
      </c>
      <c r="W92" s="47" t="s">
        <v>4563</v>
      </c>
    </row>
    <row r="93" spans="1:23">
      <c r="A93" s="23">
        <v>2</v>
      </c>
      <c r="B93" s="23">
        <v>16</v>
      </c>
      <c r="C93" s="18">
        <v>4</v>
      </c>
      <c r="D93" s="18">
        <v>6</v>
      </c>
      <c r="E93" s="20">
        <v>155</v>
      </c>
      <c r="F93" s="21">
        <f t="shared" si="4"/>
        <v>110.03147482014388</v>
      </c>
      <c r="G93" s="22">
        <v>0.412508275309519</v>
      </c>
      <c r="H93" s="18">
        <v>0</v>
      </c>
      <c r="I93" s="18">
        <f t="shared" si="5"/>
        <v>1</v>
      </c>
      <c r="J93" s="41">
        <v>44005</v>
      </c>
      <c r="K93" s="36">
        <v>2020</v>
      </c>
      <c r="L93" s="32">
        <f t="shared" si="3"/>
        <v>44043</v>
      </c>
      <c r="M93" s="40">
        <v>0</v>
      </c>
      <c r="N93" s="33">
        <v>28</v>
      </c>
      <c r="O93" s="34">
        <f>AVERAGEIF(L3:L1205,"&lt;2020/6/23",N3:N1205)</f>
        <v>111.81859205776173</v>
      </c>
      <c r="P93" s="38">
        <v>2</v>
      </c>
      <c r="Q93" s="38">
        <f>AVERAGEIF(L3:L1205,"&lt;2020/6/23",P3:P1205)</f>
        <v>0.4259927797833935</v>
      </c>
      <c r="R93" s="38">
        <v>2</v>
      </c>
      <c r="S93" s="38">
        <f>AVERAGEIF(L3:L1205,"&lt;2020/6/23",R3:R1205)</f>
        <v>1.2193140794223827</v>
      </c>
      <c r="T93" s="38">
        <v>38</v>
      </c>
      <c r="U93" s="38">
        <f>AVERAGEIF(L3:L1205,"&lt;2020/6/23",T3:T1205)</f>
        <v>6.9792418772563174</v>
      </c>
      <c r="V93" s="24">
        <v>1112</v>
      </c>
      <c r="W93" s="47" t="s">
        <v>4688</v>
      </c>
    </row>
    <row r="94" spans="1:23">
      <c r="A94" s="23">
        <v>4</v>
      </c>
      <c r="B94" s="23">
        <v>33</v>
      </c>
      <c r="C94" s="18">
        <v>4</v>
      </c>
      <c r="D94" s="18">
        <v>6</v>
      </c>
      <c r="E94" s="20">
        <v>17</v>
      </c>
      <c r="F94" s="21">
        <f t="shared" si="4"/>
        <v>110.11521152115212</v>
      </c>
      <c r="G94" s="22">
        <v>0.64500592652882704</v>
      </c>
      <c r="H94" s="18">
        <v>0</v>
      </c>
      <c r="I94" s="18">
        <f t="shared" si="5"/>
        <v>1</v>
      </c>
      <c r="J94" s="45">
        <v>44002</v>
      </c>
      <c r="K94" s="36">
        <v>2020</v>
      </c>
      <c r="L94" s="32">
        <f t="shared" si="3"/>
        <v>44005</v>
      </c>
      <c r="M94" s="51">
        <v>1</v>
      </c>
      <c r="N94" s="33">
        <v>80</v>
      </c>
      <c r="O94" s="34">
        <f>AVERAGEIF(L3:L1205,"&lt;2020/6/20",N3:N1205)</f>
        <v>111.81859205776173</v>
      </c>
      <c r="P94" s="38">
        <v>0</v>
      </c>
      <c r="Q94" s="38">
        <f>AVERAGEIF(L3:L1205,"&lt;2020/6/20",P3:P1205)</f>
        <v>0.4259927797833935</v>
      </c>
      <c r="R94" s="38">
        <v>1</v>
      </c>
      <c r="S94" s="38">
        <f>AVERAGEIF(L3:L1205,"&lt;2020/6/20",R3:R1205)</f>
        <v>1.2193140794223827</v>
      </c>
      <c r="T94" s="38">
        <v>3</v>
      </c>
      <c r="U94" s="38">
        <f>AVERAGEIF(L3:L1205,"&lt;2020/6/20",T3:T1205)</f>
        <v>6.9792418772563174</v>
      </c>
      <c r="V94" s="24">
        <v>1111</v>
      </c>
      <c r="W94" s="47" t="s">
        <v>4529</v>
      </c>
    </row>
    <row r="95" spans="1:23">
      <c r="A95" s="23">
        <v>4</v>
      </c>
      <c r="B95" s="23">
        <v>36</v>
      </c>
      <c r="C95" s="18">
        <v>1</v>
      </c>
      <c r="D95" s="18">
        <v>4</v>
      </c>
      <c r="E95" s="20">
        <v>35</v>
      </c>
      <c r="F95" s="21">
        <f t="shared" si="4"/>
        <v>110.18288288288288</v>
      </c>
      <c r="G95" s="22">
        <v>0.41958034761472301</v>
      </c>
      <c r="H95" s="18">
        <v>1</v>
      </c>
      <c r="I95" s="18">
        <f t="shared" si="5"/>
        <v>0</v>
      </c>
      <c r="J95" s="45">
        <v>44002</v>
      </c>
      <c r="K95" s="36">
        <v>2020</v>
      </c>
      <c r="L95" s="32">
        <f t="shared" si="3"/>
        <v>44010</v>
      </c>
      <c r="M95" s="42">
        <v>0</v>
      </c>
      <c r="N95" s="33">
        <v>85</v>
      </c>
      <c r="O95" s="34">
        <f>AVERAGEIF(L3:L1205,"&lt;2020/6/20",N3:N1205)</f>
        <v>111.81859205776173</v>
      </c>
      <c r="P95" s="38">
        <v>0</v>
      </c>
      <c r="Q95" s="38">
        <f>AVERAGEIF(L3:L1205,"&lt;2020/6/20",P3:P1205)</f>
        <v>0.4259927797833935</v>
      </c>
      <c r="R95" s="38">
        <v>1</v>
      </c>
      <c r="S95" s="38">
        <f>AVERAGEIF(L3:L1205,"&lt;2020/6/20",R3:R1205)</f>
        <v>1.2193140794223827</v>
      </c>
      <c r="T95" s="38">
        <v>8</v>
      </c>
      <c r="U95" s="38">
        <f>AVERAGEIF(L3:L1205,"&lt;2020/6/20",T3:T1205)</f>
        <v>6.9792418772563174</v>
      </c>
      <c r="V95" s="24">
        <v>1110</v>
      </c>
      <c r="W95" s="47" t="s">
        <v>4690</v>
      </c>
    </row>
    <row r="96" spans="1:23">
      <c r="A96" s="23">
        <v>2</v>
      </c>
      <c r="B96" s="23">
        <v>6</v>
      </c>
      <c r="C96" s="18">
        <v>4</v>
      </c>
      <c r="D96" s="18">
        <v>6</v>
      </c>
      <c r="E96" s="20">
        <v>34</v>
      </c>
      <c r="F96" s="21">
        <f t="shared" si="4"/>
        <v>110.25157799819657</v>
      </c>
      <c r="G96" s="22">
        <v>0.62091040334248504</v>
      </c>
      <c r="H96" s="18">
        <v>0</v>
      </c>
      <c r="I96" s="18">
        <f t="shared" si="5"/>
        <v>1</v>
      </c>
      <c r="J96" s="41">
        <v>44001</v>
      </c>
      <c r="K96" s="36">
        <v>2020</v>
      </c>
      <c r="L96" s="32">
        <f t="shared" si="3"/>
        <v>44017</v>
      </c>
      <c r="M96" s="40">
        <v>1</v>
      </c>
      <c r="N96" s="33">
        <v>126</v>
      </c>
      <c r="O96" s="34">
        <f>AVERAGEIF(L3:L1205,"&lt;2020/6/19",N3:N1205)</f>
        <v>111.81859205776173</v>
      </c>
      <c r="P96" s="38">
        <v>0</v>
      </c>
      <c r="Q96" s="38">
        <f>AVERAGEIF(L3:L1205,"&lt;2020/6/19",P3:P1205)</f>
        <v>0.4259927797833935</v>
      </c>
      <c r="R96" s="38">
        <v>1</v>
      </c>
      <c r="S96" s="38">
        <f>AVERAGEIF(L3:L1205,"&lt;2020/6/19",R3:R1205)</f>
        <v>1.2193140794223827</v>
      </c>
      <c r="T96" s="38">
        <v>16</v>
      </c>
      <c r="U96" s="38">
        <f>AVERAGEIF(L3:L1205,"&lt;2020/6/19",T3:T1205)</f>
        <v>6.9792418772563174</v>
      </c>
      <c r="V96" s="24">
        <v>1109</v>
      </c>
      <c r="W96" s="47" t="s">
        <v>4618</v>
      </c>
    </row>
    <row r="97" spans="1:23">
      <c r="A97" s="23">
        <v>2</v>
      </c>
      <c r="B97" s="23">
        <v>4</v>
      </c>
      <c r="C97" s="18">
        <v>4</v>
      </c>
      <c r="D97" s="18">
        <v>2</v>
      </c>
      <c r="E97" s="20">
        <v>24</v>
      </c>
      <c r="F97" s="21">
        <f t="shared" si="4"/>
        <v>110.32942238267148</v>
      </c>
      <c r="G97" s="22">
        <v>0.665188634062988</v>
      </c>
      <c r="H97" s="18">
        <v>1</v>
      </c>
      <c r="I97" s="18">
        <f t="shared" si="5"/>
        <v>0</v>
      </c>
      <c r="J97" s="41">
        <v>43999</v>
      </c>
      <c r="K97" s="36">
        <v>2020</v>
      </c>
      <c r="L97" s="32">
        <f t="shared" si="3"/>
        <v>44000</v>
      </c>
      <c r="M97" s="37">
        <v>1</v>
      </c>
      <c r="N97" s="33">
        <v>93</v>
      </c>
      <c r="O97" s="34">
        <f>AVERAGEIF(L3:L1205,"&lt;2020/6/17",N3:N1205)</f>
        <v>111.95285584768813</v>
      </c>
      <c r="P97" s="38">
        <v>0</v>
      </c>
      <c r="Q97" s="38">
        <f>AVERAGEIF(L3:L1205,"&lt;2020/6/17",P3:P1205)</f>
        <v>0.42792384406165007</v>
      </c>
      <c r="R97" s="38">
        <v>1</v>
      </c>
      <c r="S97" s="38">
        <f>AVERAGEIF(L3:L1205,"&lt;2020/6/17",R3:R1205)</f>
        <v>1.2203082502266547</v>
      </c>
      <c r="T97" s="38">
        <v>1</v>
      </c>
      <c r="U97" s="38">
        <f>AVERAGEIF(L3:L1205,"&lt;2020/6/17",T3:T1205)</f>
        <v>7.0027198549410699</v>
      </c>
      <c r="V97" s="24">
        <v>1108</v>
      </c>
      <c r="W97" s="47" t="s">
        <v>4529</v>
      </c>
    </row>
    <row r="98" spans="1:23">
      <c r="A98" s="23">
        <v>2</v>
      </c>
      <c r="B98" s="23">
        <v>6</v>
      </c>
      <c r="C98" s="18">
        <v>5</v>
      </c>
      <c r="D98" s="18">
        <v>4</v>
      </c>
      <c r="E98" s="20">
        <v>24</v>
      </c>
      <c r="F98" s="21">
        <f t="shared" si="4"/>
        <v>110.4074074074074</v>
      </c>
      <c r="G98" s="22">
        <v>0.87499987493278897</v>
      </c>
      <c r="H98" s="18">
        <v>1</v>
      </c>
      <c r="I98" s="18">
        <f t="shared" si="5"/>
        <v>0</v>
      </c>
      <c r="J98" s="41">
        <v>43998</v>
      </c>
      <c r="K98" s="36">
        <v>2020</v>
      </c>
      <c r="L98" s="32">
        <f t="shared" si="3"/>
        <v>43999</v>
      </c>
      <c r="M98" s="37">
        <v>0</v>
      </c>
      <c r="N98" s="33">
        <v>93</v>
      </c>
      <c r="O98" s="34">
        <f>AVERAGEIF(L3:L1205,"&lt;2020/6/16",N3:N1205)</f>
        <v>111.89727272727272</v>
      </c>
      <c r="P98" s="38">
        <v>0</v>
      </c>
      <c r="Q98" s="38">
        <f>AVERAGEIF(L3:L1205,"&lt;2020/6/16",P3:P1205)</f>
        <v>0.42909090909090908</v>
      </c>
      <c r="R98" s="38">
        <v>1</v>
      </c>
      <c r="S98" s="38">
        <f>AVERAGEIF(L3:L1205,"&lt;2020/6/16",R3:R1205)</f>
        <v>1.2209090909090909</v>
      </c>
      <c r="T98" s="38">
        <v>1</v>
      </c>
      <c r="U98" s="38">
        <f>AVERAGEIF(L3:L1205,"&lt;2020/6/16",T3:T1205)</f>
        <v>7.0172727272727276</v>
      </c>
      <c r="V98" s="24">
        <v>1107</v>
      </c>
      <c r="W98" s="47" t="s">
        <v>4563</v>
      </c>
    </row>
    <row r="99" spans="1:23">
      <c r="A99" s="23">
        <v>2</v>
      </c>
      <c r="B99" s="23">
        <v>7</v>
      </c>
      <c r="C99" s="18">
        <v>4</v>
      </c>
      <c r="D99" s="18">
        <v>2</v>
      </c>
      <c r="E99" s="20">
        <v>67</v>
      </c>
      <c r="F99" s="21">
        <f t="shared" si="4"/>
        <v>110.44665461121157</v>
      </c>
      <c r="G99" s="22">
        <v>0.41168742729468</v>
      </c>
      <c r="H99" s="18">
        <v>1</v>
      </c>
      <c r="I99" s="18">
        <f t="shared" si="5"/>
        <v>0</v>
      </c>
      <c r="J99" s="35">
        <v>43998</v>
      </c>
      <c r="K99" s="36">
        <v>2020</v>
      </c>
      <c r="L99" s="32">
        <f t="shared" si="3"/>
        <v>44013</v>
      </c>
      <c r="M99" s="40">
        <v>1</v>
      </c>
      <c r="N99" s="33">
        <v>182</v>
      </c>
      <c r="O99" s="34">
        <f>AVERAGEIF(L3:L1205,"&lt;2020/6/16",N3:N1205)</f>
        <v>111.89727272727272</v>
      </c>
      <c r="P99" s="38">
        <v>0</v>
      </c>
      <c r="Q99" s="38">
        <f>AVERAGEIF(L3:L1205,"&lt;2020/6/16",P3:P1205)</f>
        <v>0.42909090909090908</v>
      </c>
      <c r="R99" s="38">
        <v>2</v>
      </c>
      <c r="S99" s="38">
        <f>AVERAGEIF(L3:L1205,"&lt;2020/6/16",R3:R1205)</f>
        <v>1.2209090909090909</v>
      </c>
      <c r="T99" s="38">
        <v>15</v>
      </c>
      <c r="U99" s="38">
        <f>AVERAGEIF(L3:L1205,"&lt;2020/6/16",T3:T1205)</f>
        <v>7.0172727272727276</v>
      </c>
      <c r="V99" s="24">
        <v>1106</v>
      </c>
      <c r="W99" s="47" t="s">
        <v>4618</v>
      </c>
    </row>
    <row r="100" spans="1:23">
      <c r="A100" s="23">
        <v>2</v>
      </c>
      <c r="B100" s="23">
        <v>7</v>
      </c>
      <c r="C100" s="18">
        <v>4</v>
      </c>
      <c r="D100" s="18">
        <v>2</v>
      </c>
      <c r="E100" s="20">
        <v>28</v>
      </c>
      <c r="F100" s="21">
        <f t="shared" si="4"/>
        <v>110.52126696832579</v>
      </c>
      <c r="G100" s="22">
        <v>0.37529219452414903</v>
      </c>
      <c r="H100" s="18">
        <v>1</v>
      </c>
      <c r="I100" s="18">
        <f t="shared" si="5"/>
        <v>0</v>
      </c>
      <c r="J100" s="41">
        <v>43998</v>
      </c>
      <c r="K100" s="36">
        <v>2020</v>
      </c>
      <c r="L100" s="32">
        <f t="shared" si="3"/>
        <v>43999</v>
      </c>
      <c r="M100" s="37">
        <v>1</v>
      </c>
      <c r="N100" s="33">
        <v>110</v>
      </c>
      <c r="O100" s="34">
        <f>AVERAGEIF(L3:L1205,"&lt;2020/6/16",N3:N1205)</f>
        <v>111.89727272727272</v>
      </c>
      <c r="P100" s="38">
        <v>0</v>
      </c>
      <c r="Q100" s="38">
        <f>AVERAGEIF(L3:L1205,"&lt;2020/6/16",P3:P1205)</f>
        <v>0.42909090909090908</v>
      </c>
      <c r="R100" s="38">
        <v>1</v>
      </c>
      <c r="S100" s="38">
        <f>AVERAGEIF(L3:L1205,"&lt;2020/6/16",R3:R1205)</f>
        <v>1.2209090909090909</v>
      </c>
      <c r="T100" s="38">
        <v>1</v>
      </c>
      <c r="U100" s="38">
        <f>AVERAGEIF(L3:L1205,"&lt;2020/6/16",T3:T1205)</f>
        <v>7.0172727272727276</v>
      </c>
      <c r="V100" s="24">
        <v>1105</v>
      </c>
      <c r="W100" s="47" t="s">
        <v>4529</v>
      </c>
    </row>
    <row r="101" spans="1:23">
      <c r="A101" s="23">
        <v>2</v>
      </c>
      <c r="B101" s="23">
        <v>6</v>
      </c>
      <c r="C101" s="18">
        <v>4</v>
      </c>
      <c r="D101" s="18">
        <v>4</v>
      </c>
      <c r="E101" s="20">
        <v>123</v>
      </c>
      <c r="F101" s="21">
        <f t="shared" si="4"/>
        <v>110.50996376811594</v>
      </c>
      <c r="G101" s="22">
        <v>0.34234453535552101</v>
      </c>
      <c r="H101" s="18">
        <v>1</v>
      </c>
      <c r="I101" s="18">
        <f t="shared" si="5"/>
        <v>0</v>
      </c>
      <c r="J101" s="41">
        <v>43997</v>
      </c>
      <c r="K101" s="36">
        <v>2020</v>
      </c>
      <c r="L101" s="32">
        <f t="shared" si="3"/>
        <v>43998</v>
      </c>
      <c r="M101" s="40">
        <v>0</v>
      </c>
      <c r="N101" s="33">
        <v>172</v>
      </c>
      <c r="O101" s="34">
        <f>AVERAGEIF(L3:L1205,"&lt;2020/6/15",N3:N1205)</f>
        <v>111.89535941765241</v>
      </c>
      <c r="P101" s="40">
        <v>0</v>
      </c>
      <c r="Q101" s="40">
        <f>AVERAGEIF(L3:L1205,"&lt;2020/6/15",P3:P1205)</f>
        <v>0.42948134667879889</v>
      </c>
      <c r="R101" s="40">
        <v>1</v>
      </c>
      <c r="S101" s="40">
        <f>AVERAGEIF(L3:L1205,"&lt;2020/6/15",R3:R1205)</f>
        <v>1.2211101000909919</v>
      </c>
      <c r="T101" s="40">
        <v>1</v>
      </c>
      <c r="U101" s="40">
        <f>AVERAGEIF(L3:L1205,"&lt;2020/6/15",T3:T1205)</f>
        <v>7.0200181983621475</v>
      </c>
      <c r="V101" s="24">
        <v>1104</v>
      </c>
      <c r="W101" s="47" t="s">
        <v>4550</v>
      </c>
    </row>
    <row r="102" spans="1:23">
      <c r="A102" s="23">
        <v>2</v>
      </c>
      <c r="B102" s="23">
        <v>11</v>
      </c>
      <c r="C102" s="18">
        <v>4</v>
      </c>
      <c r="D102" s="18">
        <v>2</v>
      </c>
      <c r="E102" s="20">
        <v>26</v>
      </c>
      <c r="F102" s="21">
        <f t="shared" si="4"/>
        <v>110.58658204895738</v>
      </c>
      <c r="G102" s="22">
        <v>0.341729425515444</v>
      </c>
      <c r="H102" s="18">
        <v>1</v>
      </c>
      <c r="I102" s="18">
        <f t="shared" si="5"/>
        <v>0</v>
      </c>
      <c r="J102" s="41">
        <v>43997</v>
      </c>
      <c r="K102" s="36">
        <v>2020</v>
      </c>
      <c r="L102" s="32">
        <f t="shared" si="3"/>
        <v>44000</v>
      </c>
      <c r="M102" s="40">
        <v>0</v>
      </c>
      <c r="N102" s="33">
        <v>84</v>
      </c>
      <c r="O102" s="34">
        <f>AVERAGEIF(L3:L1205,"&lt;2020/6/15",N3:N1205)</f>
        <v>111.89535941765241</v>
      </c>
      <c r="P102" s="40">
        <v>0</v>
      </c>
      <c r="Q102" s="40">
        <f>AVERAGEIF(L3:L1205,"&lt;2020/6/15",P3:P1205)</f>
        <v>0.42948134667879889</v>
      </c>
      <c r="R102" s="40">
        <v>1</v>
      </c>
      <c r="S102" s="40">
        <f>AVERAGEIF(L3:L1205,"&lt;2020/6/15",R3:R1205)</f>
        <v>1.2211101000909919</v>
      </c>
      <c r="T102" s="40">
        <v>3</v>
      </c>
      <c r="U102" s="40">
        <f>AVERAGEIF(L3:L1205,"&lt;2020/6/15",T3:T1205)</f>
        <v>7.0200181983621475</v>
      </c>
      <c r="V102" s="24">
        <v>1103</v>
      </c>
      <c r="W102" s="47" t="s">
        <v>4529</v>
      </c>
    </row>
    <row r="103" spans="1:23">
      <c r="A103" s="23">
        <v>2</v>
      </c>
      <c r="B103" s="23">
        <v>15</v>
      </c>
      <c r="C103" s="18">
        <v>4</v>
      </c>
      <c r="D103" s="18">
        <v>4</v>
      </c>
      <c r="E103" s="20">
        <v>183</v>
      </c>
      <c r="F103" s="21">
        <f t="shared" si="4"/>
        <v>110.52087114337569</v>
      </c>
      <c r="G103" s="22">
        <v>0.37514968906031898</v>
      </c>
      <c r="H103" s="18">
        <v>1</v>
      </c>
      <c r="I103" s="18">
        <f t="shared" si="5"/>
        <v>0</v>
      </c>
      <c r="J103" s="41">
        <v>43997</v>
      </c>
      <c r="K103" s="36">
        <v>2020</v>
      </c>
      <c r="L103" s="32">
        <f t="shared" si="3"/>
        <v>44000</v>
      </c>
      <c r="M103" s="40">
        <v>0</v>
      </c>
      <c r="N103" s="33">
        <v>31</v>
      </c>
      <c r="O103" s="34">
        <f>AVERAGEIF(L3:L1205,"&lt;2020/6/15",N3:N1205)</f>
        <v>111.89535941765241</v>
      </c>
      <c r="P103" s="38">
        <v>0</v>
      </c>
      <c r="Q103" s="38">
        <f>AVERAGEIF(L3:L1205,"&lt;2020/6/15",P3:P1205)</f>
        <v>0.42948134667879889</v>
      </c>
      <c r="R103" s="38">
        <v>1</v>
      </c>
      <c r="S103" s="38">
        <f>AVERAGEIF(L3:L1205,"&lt;2020/6/15",R3:R1205)</f>
        <v>1.2211101000909919</v>
      </c>
      <c r="T103" s="38">
        <v>3</v>
      </c>
      <c r="U103" s="38">
        <f>AVERAGEIF(L3:L1205,"&lt;2020/6/15",T3:T1205)</f>
        <v>7.0200181983621475</v>
      </c>
      <c r="V103" s="24">
        <v>1102</v>
      </c>
      <c r="W103" s="47" t="e">
        <v>#N/A</v>
      </c>
    </row>
    <row r="104" spans="1:23">
      <c r="A104" s="23">
        <v>4</v>
      </c>
      <c r="B104" s="23">
        <v>28</v>
      </c>
      <c r="C104" s="18">
        <v>4</v>
      </c>
      <c r="D104" s="18">
        <v>6</v>
      </c>
      <c r="E104" s="20">
        <v>107</v>
      </c>
      <c r="F104" s="21">
        <f t="shared" si="4"/>
        <v>110.52406902815622</v>
      </c>
      <c r="G104" s="22">
        <v>0.38205616292827799</v>
      </c>
      <c r="H104" s="18">
        <v>1</v>
      </c>
      <c r="I104" s="18">
        <f t="shared" si="5"/>
        <v>0</v>
      </c>
      <c r="J104" s="35">
        <v>43997</v>
      </c>
      <c r="K104" s="36">
        <v>2020</v>
      </c>
      <c r="L104" s="32">
        <f t="shared" si="3"/>
        <v>43998</v>
      </c>
      <c r="M104" s="20">
        <v>0</v>
      </c>
      <c r="N104" s="33">
        <v>63</v>
      </c>
      <c r="O104" s="34">
        <f>AVERAGEIF(L3:L1205,"&lt;2020/6/15",N3:N1205)</f>
        <v>111.89535941765241</v>
      </c>
      <c r="P104" s="24">
        <v>0</v>
      </c>
      <c r="Q104" s="24">
        <f>AVERAGEIF(L3:L1205,"&lt;2020/6/15",P3:P1205)</f>
        <v>0.42948134667879889</v>
      </c>
      <c r="R104" s="24">
        <v>1</v>
      </c>
      <c r="S104" s="24">
        <f>AVERAGEIF(L3:L1205,"&lt;2020/6/15",R3:R1205)</f>
        <v>1.2211101000909919</v>
      </c>
      <c r="T104" s="24">
        <v>1</v>
      </c>
      <c r="U104" s="24">
        <f>AVERAGEIF(L3:L1205,"&lt;2020/6/15",T3:T1205)</f>
        <v>7.0200181983621475</v>
      </c>
      <c r="V104" s="24">
        <v>1101</v>
      </c>
      <c r="W104" s="47" t="s">
        <v>4626</v>
      </c>
    </row>
    <row r="105" spans="1:23">
      <c r="A105" s="23">
        <v>2</v>
      </c>
      <c r="B105" s="23">
        <v>6</v>
      </c>
      <c r="C105" s="18">
        <v>4</v>
      </c>
      <c r="D105" s="18">
        <v>1</v>
      </c>
      <c r="E105" s="20">
        <v>119</v>
      </c>
      <c r="F105" s="21">
        <f t="shared" si="4"/>
        <v>110.51636363636364</v>
      </c>
      <c r="G105" s="22">
        <v>0.41261855899755001</v>
      </c>
      <c r="H105" s="18">
        <v>0</v>
      </c>
      <c r="I105" s="18">
        <f t="shared" si="5"/>
        <v>1</v>
      </c>
      <c r="J105" s="52">
        <v>43995</v>
      </c>
      <c r="K105" s="36">
        <v>2020</v>
      </c>
      <c r="L105" s="32">
        <f t="shared" si="3"/>
        <v>43998</v>
      </c>
      <c r="M105" s="40">
        <v>0</v>
      </c>
      <c r="N105" s="33">
        <v>162</v>
      </c>
      <c r="O105" s="34">
        <f>AVERAGEIF(L3:L1205,"&lt;2020/6/13",N3:N1205)</f>
        <v>111.89535941765241</v>
      </c>
      <c r="P105" s="38">
        <v>0</v>
      </c>
      <c r="Q105" s="38">
        <f>AVERAGEIF(L3:L1205,"&lt;2020/6/13",P3:P1205)</f>
        <v>0.42948134667879889</v>
      </c>
      <c r="R105" s="38">
        <v>1</v>
      </c>
      <c r="S105" s="38">
        <f>AVERAGEIF(L3:L1205,"&lt;2020/6/13",R3:R1205)</f>
        <v>1.2211101000909919</v>
      </c>
      <c r="T105" s="38">
        <v>3</v>
      </c>
      <c r="U105" s="38">
        <f>AVERAGEIF(L3:L1205,"&lt;2020/6/13",T3:T1205)</f>
        <v>7.0200181983621475</v>
      </c>
      <c r="V105" s="24">
        <v>1100</v>
      </c>
      <c r="W105" s="47" t="s">
        <v>4529</v>
      </c>
    </row>
    <row r="106" spans="1:23">
      <c r="A106" s="23">
        <v>2</v>
      </c>
      <c r="B106" s="23">
        <v>9</v>
      </c>
      <c r="C106" s="18">
        <v>4</v>
      </c>
      <c r="D106" s="18">
        <v>2</v>
      </c>
      <c r="E106" s="20">
        <v>53</v>
      </c>
      <c r="F106" s="21">
        <f t="shared" si="4"/>
        <v>110.56869881710647</v>
      </c>
      <c r="G106" s="22">
        <v>0.58123139784647904</v>
      </c>
      <c r="H106" s="18">
        <v>1</v>
      </c>
      <c r="I106" s="18">
        <f t="shared" si="5"/>
        <v>0</v>
      </c>
      <c r="J106" s="52">
        <v>43993</v>
      </c>
      <c r="K106" s="36">
        <v>2020</v>
      </c>
      <c r="L106" s="32">
        <f t="shared" si="3"/>
        <v>43997</v>
      </c>
      <c r="M106" s="40">
        <v>1</v>
      </c>
      <c r="N106" s="33">
        <v>114</v>
      </c>
      <c r="O106" s="34">
        <f>AVERAGEIF(L3:L1205,"&lt;2020/6/11",N3:N1205)</f>
        <v>111.90619307832422</v>
      </c>
      <c r="P106" s="38">
        <v>0</v>
      </c>
      <c r="Q106" s="38">
        <f>AVERAGEIF(L3:L1205,"&lt;2020/6/11",P3:P1205)</f>
        <v>0.42987249544626593</v>
      </c>
      <c r="R106" s="38">
        <v>1</v>
      </c>
      <c r="S106" s="38">
        <f>AVERAGEIF(L3:L1205,"&lt;2020/6/11",R3:R1205)</f>
        <v>1.221311475409836</v>
      </c>
      <c r="T106" s="38">
        <v>4</v>
      </c>
      <c r="U106" s="38">
        <f>AVERAGEIF(L3:L1205,"&lt;2020/6/11",T3:T1205)</f>
        <v>7.0255009107468123</v>
      </c>
      <c r="V106" s="24">
        <v>1099</v>
      </c>
      <c r="W106" s="47" t="s">
        <v>4529</v>
      </c>
    </row>
    <row r="107" spans="1:23">
      <c r="A107" s="23">
        <v>2</v>
      </c>
      <c r="B107" s="23">
        <v>9</v>
      </c>
      <c r="C107" s="18">
        <v>4</v>
      </c>
      <c r="D107" s="18">
        <v>6</v>
      </c>
      <c r="E107" s="20">
        <v>57</v>
      </c>
      <c r="F107" s="21">
        <f t="shared" si="4"/>
        <v>110.61748633879782</v>
      </c>
      <c r="G107" s="22">
        <v>0.93077949209905297</v>
      </c>
      <c r="H107" s="18">
        <v>1</v>
      </c>
      <c r="I107" s="18">
        <f t="shared" si="5"/>
        <v>0</v>
      </c>
      <c r="J107" s="41">
        <v>43992</v>
      </c>
      <c r="K107" s="36">
        <v>2020</v>
      </c>
      <c r="L107" s="32">
        <f t="shared" si="3"/>
        <v>43993</v>
      </c>
      <c r="M107" s="24">
        <v>0</v>
      </c>
      <c r="N107" s="33">
        <v>100</v>
      </c>
      <c r="O107" s="34">
        <f>AVERAGEIF(L3:L1205,"&lt;2020/6/10",N3:N1205)</f>
        <v>111.86964448495898</v>
      </c>
      <c r="P107" s="40">
        <v>0</v>
      </c>
      <c r="Q107" s="40">
        <f>AVERAGEIF(L3:L1205,"&lt;2020/6/10",P3:P1205)</f>
        <v>0.43026435733819507</v>
      </c>
      <c r="R107" s="40">
        <v>1</v>
      </c>
      <c r="S107" s="40">
        <f>AVERAGEIF(L3:L1205,"&lt;2020/6/10",R3:R1205)</f>
        <v>1.2215132178669097</v>
      </c>
      <c r="T107" s="40">
        <v>1</v>
      </c>
      <c r="U107" s="40">
        <f>AVERAGEIF(L3:L1205,"&lt;2020/6/10",T3:T1205)</f>
        <v>7.0291704649042845</v>
      </c>
      <c r="V107" s="24">
        <v>1098</v>
      </c>
      <c r="W107" s="47" t="s">
        <v>4563</v>
      </c>
    </row>
    <row r="108" spans="1:23">
      <c r="A108" s="23">
        <v>2</v>
      </c>
      <c r="B108" s="23">
        <v>6</v>
      </c>
      <c r="C108" s="18">
        <v>4</v>
      </c>
      <c r="D108" s="18">
        <v>2</v>
      </c>
      <c r="E108" s="20">
        <v>69</v>
      </c>
      <c r="F108" s="21">
        <f t="shared" si="4"/>
        <v>110.65542388331814</v>
      </c>
      <c r="G108" s="22">
        <v>0.66607258987842899</v>
      </c>
      <c r="H108" s="18">
        <v>1</v>
      </c>
      <c r="I108" s="18">
        <f t="shared" si="5"/>
        <v>0</v>
      </c>
      <c r="J108" s="41">
        <v>43989</v>
      </c>
      <c r="K108" s="36">
        <v>2020</v>
      </c>
      <c r="L108" s="32">
        <f t="shared" si="3"/>
        <v>43992</v>
      </c>
      <c r="M108" s="40">
        <v>0</v>
      </c>
      <c r="N108" s="33">
        <v>152</v>
      </c>
      <c r="O108" s="34">
        <f>AVERAGEIF(L3:L1205,"&lt;2020/6/7",N3:N1205)</f>
        <v>111.83302919708029</v>
      </c>
      <c r="P108" s="38">
        <v>0</v>
      </c>
      <c r="Q108" s="38">
        <f>AVERAGEIF(L3:L1205,"&lt;2020/6/7",P3:P1205)</f>
        <v>0.43065693430656932</v>
      </c>
      <c r="R108" s="38">
        <v>1</v>
      </c>
      <c r="S108" s="38">
        <f>AVERAGEIF(L3:L1205,"&lt;2020/6/7",R3:R1205)</f>
        <v>1.2217153284671534</v>
      </c>
      <c r="T108" s="38">
        <v>3</v>
      </c>
      <c r="U108" s="38">
        <f>AVERAGEIF(L3:L1205,"&lt;2020/6/7",T3:T1205)</f>
        <v>7.0255474452554747</v>
      </c>
      <c r="V108" s="24">
        <v>1097</v>
      </c>
      <c r="W108" s="47" t="s">
        <v>4618</v>
      </c>
    </row>
    <row r="109" spans="1:23">
      <c r="A109" s="23">
        <v>2</v>
      </c>
      <c r="B109" s="23">
        <v>6</v>
      </c>
      <c r="C109" s="18">
        <v>4</v>
      </c>
      <c r="D109" s="18">
        <v>6</v>
      </c>
      <c r="E109" s="20">
        <v>577</v>
      </c>
      <c r="F109" s="21">
        <f t="shared" si="4"/>
        <v>110.22992700729927</v>
      </c>
      <c r="G109" s="22">
        <v>0.13143521273049399</v>
      </c>
      <c r="H109" s="18">
        <v>1</v>
      </c>
      <c r="I109" s="18">
        <f t="shared" si="5"/>
        <v>0</v>
      </c>
      <c r="J109" s="41">
        <v>43984</v>
      </c>
      <c r="K109" s="36">
        <v>2020</v>
      </c>
      <c r="L109" s="32">
        <f t="shared" si="3"/>
        <v>43985</v>
      </c>
      <c r="M109" s="24">
        <v>1</v>
      </c>
      <c r="N109" s="33">
        <v>249</v>
      </c>
      <c r="O109" s="34">
        <f>AVERAGEIF(L3:L1205,"&lt;2020/6/2",N3:N1205)</f>
        <v>111.7408424908425</v>
      </c>
      <c r="P109" s="38">
        <v>0</v>
      </c>
      <c r="Q109" s="38">
        <f>AVERAGEIF(L3:L1205,"&lt;2020/6/2",P3:P1205)</f>
        <v>0.43223443223443225</v>
      </c>
      <c r="R109" s="38">
        <v>1</v>
      </c>
      <c r="S109" s="38">
        <f>AVERAGEIF(L3:L1205,"&lt;2020/6/2",R3:R1205)</f>
        <v>1.2225274725274726</v>
      </c>
      <c r="T109" s="38">
        <v>1</v>
      </c>
      <c r="U109" s="38">
        <f>AVERAGEIF(L3:L1205,"&lt;2020/6/2",T3:T1205)</f>
        <v>7.042124542124542</v>
      </c>
      <c r="V109" s="24">
        <v>1096</v>
      </c>
      <c r="W109" s="47" t="s">
        <v>4558</v>
      </c>
    </row>
    <row r="110" spans="1:23">
      <c r="A110" s="23">
        <v>2</v>
      </c>
      <c r="B110" s="23">
        <v>6</v>
      </c>
      <c r="C110" s="18">
        <v>4</v>
      </c>
      <c r="D110" s="18">
        <v>4</v>
      </c>
      <c r="E110" s="20">
        <v>103</v>
      </c>
      <c r="F110" s="21">
        <f t="shared" si="4"/>
        <v>110.23652968036529</v>
      </c>
      <c r="G110" s="22">
        <v>0.53998927332890101</v>
      </c>
      <c r="H110" s="18">
        <v>1</v>
      </c>
      <c r="I110" s="18">
        <f t="shared" si="5"/>
        <v>0</v>
      </c>
      <c r="J110" s="41">
        <v>43983</v>
      </c>
      <c r="K110" s="36">
        <v>2020</v>
      </c>
      <c r="L110" s="32">
        <f t="shared" si="3"/>
        <v>43986</v>
      </c>
      <c r="M110" s="40">
        <v>0</v>
      </c>
      <c r="N110" s="33">
        <v>128</v>
      </c>
      <c r="O110" s="34">
        <f>AVERAGEIF(L3:L1205,"&lt;2020/6/1",N3:N1205)</f>
        <v>111.78053259871442</v>
      </c>
      <c r="P110" s="38">
        <v>0</v>
      </c>
      <c r="Q110" s="38">
        <f>AVERAGEIF(L3:L1205,"&lt;2020/6/1",P3:P1205)</f>
        <v>0.43250688705234158</v>
      </c>
      <c r="R110" s="38">
        <v>1</v>
      </c>
      <c r="S110" s="38">
        <f>AVERAGEIF(L3:L1205,"&lt;2020/6/1",R3:R1205)</f>
        <v>1.2231404958677685</v>
      </c>
      <c r="T110" s="38">
        <v>3</v>
      </c>
      <c r="U110" s="38">
        <f>AVERAGEIF(L3:L1205,"&lt;2020/6/1",T3:T1205)</f>
        <v>7.033976124885216</v>
      </c>
      <c r="V110" s="24">
        <v>1095</v>
      </c>
      <c r="W110" s="47" t="s">
        <v>4550</v>
      </c>
    </row>
    <row r="111" spans="1:23">
      <c r="A111" s="23">
        <v>2</v>
      </c>
      <c r="B111" s="23">
        <v>6</v>
      </c>
      <c r="C111" s="18">
        <v>4</v>
      </c>
      <c r="D111" s="18">
        <v>4</v>
      </c>
      <c r="E111" s="20">
        <v>65</v>
      </c>
      <c r="F111" s="21">
        <f t="shared" si="4"/>
        <v>110.27787934186472</v>
      </c>
      <c r="G111" s="22">
        <v>0.85193273137875702</v>
      </c>
      <c r="H111" s="18">
        <v>1</v>
      </c>
      <c r="I111" s="18">
        <f t="shared" si="5"/>
        <v>0</v>
      </c>
      <c r="J111" s="41">
        <v>43981</v>
      </c>
      <c r="K111" s="36">
        <v>2020</v>
      </c>
      <c r="L111" s="32">
        <f t="shared" si="3"/>
        <v>43984</v>
      </c>
      <c r="M111" s="40">
        <v>0</v>
      </c>
      <c r="N111" s="33">
        <v>84</v>
      </c>
      <c r="O111" s="34">
        <f>AVERAGEIF(L3:L1205,"&lt;2020/5/30",N3:N1205)</f>
        <v>111.78053259871442</v>
      </c>
      <c r="P111" s="38">
        <v>0</v>
      </c>
      <c r="Q111" s="38">
        <f>AVERAGEIF(L3:L1205,"&lt;2020/5/30",P3:P1205)</f>
        <v>0.43250688705234158</v>
      </c>
      <c r="R111" s="38">
        <v>1</v>
      </c>
      <c r="S111" s="38">
        <f>AVERAGEIF(L3:L1205,"&lt;2020/5/30",R3:R1205)</f>
        <v>1.2231404958677685</v>
      </c>
      <c r="T111" s="38">
        <v>3</v>
      </c>
      <c r="U111" s="38">
        <f>AVERAGEIF(L3:L1205,"&lt;2020/5/30",T3:T1205)</f>
        <v>7.033976124885216</v>
      </c>
      <c r="V111" s="24">
        <v>1094</v>
      </c>
      <c r="W111" s="47" t="s">
        <v>4558</v>
      </c>
    </row>
    <row r="112" spans="1:23">
      <c r="A112" s="23">
        <v>2</v>
      </c>
      <c r="B112" s="23">
        <v>6</v>
      </c>
      <c r="C112" s="18">
        <v>4</v>
      </c>
      <c r="D112" s="18">
        <v>2</v>
      </c>
      <c r="E112" s="20">
        <v>11</v>
      </c>
      <c r="F112" s="21">
        <f t="shared" si="4"/>
        <v>110.36870997255261</v>
      </c>
      <c r="G112" s="22">
        <v>0.39938249359995698</v>
      </c>
      <c r="H112" s="18">
        <v>1</v>
      </c>
      <c r="I112" s="18">
        <f t="shared" si="5"/>
        <v>0</v>
      </c>
      <c r="J112" s="41">
        <v>43981</v>
      </c>
      <c r="K112" s="36">
        <v>2020</v>
      </c>
      <c r="L112" s="32">
        <f t="shared" si="3"/>
        <v>43984</v>
      </c>
      <c r="M112" s="37">
        <v>1</v>
      </c>
      <c r="N112" s="33">
        <v>87</v>
      </c>
      <c r="O112" s="34">
        <f>AVERAGEIF(L3:L1205,"&lt;2020/5/30",N3:N1205)</f>
        <v>111.78053259871442</v>
      </c>
      <c r="P112" s="38">
        <v>0</v>
      </c>
      <c r="Q112" s="38">
        <f>AVERAGEIF(L3:L1205,"&lt;2020/5/30",P3:P1205)</f>
        <v>0.43250688705234158</v>
      </c>
      <c r="R112" s="38">
        <v>1</v>
      </c>
      <c r="S112" s="38">
        <f>AVERAGEIF(L3:L1205,"&lt;2020/5/30",R3:R1205)</f>
        <v>1.2231404958677685</v>
      </c>
      <c r="T112" s="38">
        <v>3</v>
      </c>
      <c r="U112" s="38">
        <f>AVERAGEIF(L3:L1205,"&lt;2020/5/30",T3:T1205)</f>
        <v>7.033976124885216</v>
      </c>
      <c r="V112" s="24">
        <v>1093</v>
      </c>
      <c r="W112" s="47" t="s">
        <v>4550</v>
      </c>
    </row>
    <row r="113" spans="1:23">
      <c r="A113" s="23">
        <v>4</v>
      </c>
      <c r="B113" s="23">
        <v>30</v>
      </c>
      <c r="C113" s="18">
        <v>4</v>
      </c>
      <c r="D113" s="18">
        <v>4</v>
      </c>
      <c r="E113" s="20">
        <v>29</v>
      </c>
      <c r="F113" s="21">
        <f t="shared" si="4"/>
        <v>110.44322344322345</v>
      </c>
      <c r="G113" s="22">
        <v>0.41278424395282298</v>
      </c>
      <c r="H113" s="18">
        <v>1</v>
      </c>
      <c r="I113" s="18">
        <f t="shared" si="5"/>
        <v>0</v>
      </c>
      <c r="J113" s="45">
        <v>43980</v>
      </c>
      <c r="K113" s="36">
        <v>2020</v>
      </c>
      <c r="L113" s="32">
        <f t="shared" si="3"/>
        <v>43983</v>
      </c>
      <c r="M113" s="42">
        <v>0</v>
      </c>
      <c r="N113" s="33">
        <v>108</v>
      </c>
      <c r="O113" s="34">
        <f>AVERAGEIF(L3:L1205,"&lt;2020/5/29",N3:N1205)</f>
        <v>111.78053259871442</v>
      </c>
      <c r="P113" s="38">
        <v>0</v>
      </c>
      <c r="Q113" s="38">
        <f>AVERAGEIF(L3:L1205,"&lt;2020/5/29",P3:P1205)</f>
        <v>0.43250688705234158</v>
      </c>
      <c r="R113" s="38">
        <v>1</v>
      </c>
      <c r="S113" s="38">
        <f>AVERAGEIF(L3:L1205,"&lt;2020/5/29",R3:R1205)</f>
        <v>1.2231404958677685</v>
      </c>
      <c r="T113" s="38">
        <v>3</v>
      </c>
      <c r="U113" s="38">
        <f>AVERAGEIF(L3:L1205,"&lt;2020/5/29",T3:T1205)</f>
        <v>7.033976124885216</v>
      </c>
      <c r="V113" s="24">
        <v>1092</v>
      </c>
      <c r="W113" s="47" t="s">
        <v>4550</v>
      </c>
    </row>
    <row r="114" spans="1:23">
      <c r="A114" s="23">
        <v>2</v>
      </c>
      <c r="B114" s="23">
        <v>17</v>
      </c>
      <c r="C114" s="18">
        <v>4</v>
      </c>
      <c r="D114" s="18">
        <v>6</v>
      </c>
      <c r="E114" s="20">
        <v>86</v>
      </c>
      <c r="F114" s="21">
        <f t="shared" si="4"/>
        <v>110.46562786434464</v>
      </c>
      <c r="G114" s="22">
        <v>0.39753001521312697</v>
      </c>
      <c r="H114" s="18">
        <v>0</v>
      </c>
      <c r="I114" s="18">
        <f t="shared" si="5"/>
        <v>1</v>
      </c>
      <c r="J114" s="41">
        <v>43979</v>
      </c>
      <c r="K114" s="36">
        <v>2020</v>
      </c>
      <c r="L114" s="32">
        <f t="shared" si="3"/>
        <v>43990</v>
      </c>
      <c r="M114" s="40">
        <v>1</v>
      </c>
      <c r="N114" s="33">
        <v>152</v>
      </c>
      <c r="O114" s="34">
        <f>AVERAGEIF(L3:L1205,"&lt;2020/5/28",N3:N1205)</f>
        <v>111.85110294117646</v>
      </c>
      <c r="P114" s="40">
        <v>0</v>
      </c>
      <c r="Q114" s="40">
        <f>AVERAGEIF(L3:L1205,"&lt;2020/5/28",P3:P1205)</f>
        <v>0.4329044117647059</v>
      </c>
      <c r="R114" s="40">
        <v>1</v>
      </c>
      <c r="S114" s="40">
        <f>AVERAGEIF(L3:L1205,"&lt;2020/5/28",R3:R1205)</f>
        <v>1.2233455882352942</v>
      </c>
      <c r="T114" s="40">
        <v>11</v>
      </c>
      <c r="U114" s="40">
        <f>AVERAGEIF(L3:L1205,"&lt;2020/5/28",T3:T1205)</f>
        <v>7.038602941176471</v>
      </c>
      <c r="V114" s="24">
        <v>1091</v>
      </c>
      <c r="W114" s="47" t="s">
        <v>4618</v>
      </c>
    </row>
    <row r="115" spans="1:23">
      <c r="A115" s="23">
        <v>4</v>
      </c>
      <c r="B115" s="23">
        <v>28</v>
      </c>
      <c r="C115" s="18">
        <v>4</v>
      </c>
      <c r="D115" s="18">
        <v>6</v>
      </c>
      <c r="E115" s="20">
        <v>213</v>
      </c>
      <c r="F115" s="21">
        <f t="shared" si="4"/>
        <v>110.37155963302752</v>
      </c>
      <c r="G115" s="22">
        <v>0.30991889279600898</v>
      </c>
      <c r="H115" s="18">
        <v>1</v>
      </c>
      <c r="I115" s="18">
        <f t="shared" si="5"/>
        <v>0</v>
      </c>
      <c r="J115" s="35">
        <v>43977</v>
      </c>
      <c r="K115" s="36">
        <v>2020</v>
      </c>
      <c r="L115" s="32">
        <f t="shared" si="3"/>
        <v>43979</v>
      </c>
      <c r="M115" s="20">
        <v>0</v>
      </c>
      <c r="N115" s="33">
        <v>35</v>
      </c>
      <c r="O115" s="34">
        <f>AVERAGEIF(L3:L1205,"&lt;2020/5/26",N3:N1205)</f>
        <v>111.86016559337627</v>
      </c>
      <c r="P115" s="24">
        <v>0</v>
      </c>
      <c r="Q115" s="24">
        <f>AVERAGEIF(L3:L1205,"&lt;2020/5/26",P3:P1205)</f>
        <v>0.43330266789328425</v>
      </c>
      <c r="R115" s="24">
        <v>1</v>
      </c>
      <c r="S115" s="24">
        <f>AVERAGEIF(L3:L1205,"&lt;2020/5/26",R3:R1205)</f>
        <v>1.2235510579576816</v>
      </c>
      <c r="T115" s="24">
        <v>2</v>
      </c>
      <c r="U115" s="24">
        <f>AVERAGEIF(L3:L1205,"&lt;2020/5/26",T3:T1205)</f>
        <v>7.0404783808647657</v>
      </c>
      <c r="V115" s="24">
        <v>1090</v>
      </c>
      <c r="W115" s="47" t="s">
        <v>4716</v>
      </c>
    </row>
    <row r="116" spans="1:23">
      <c r="A116" s="23">
        <v>2</v>
      </c>
      <c r="B116" s="23">
        <v>4</v>
      </c>
      <c r="C116" s="18">
        <v>4</v>
      </c>
      <c r="D116" s="18">
        <v>4</v>
      </c>
      <c r="E116" s="20">
        <v>34</v>
      </c>
      <c r="F116" s="21">
        <f t="shared" si="4"/>
        <v>110.4416896235078</v>
      </c>
      <c r="G116" s="22">
        <v>0.41999967085102802</v>
      </c>
      <c r="H116" s="18">
        <v>0</v>
      </c>
      <c r="I116" s="18">
        <f t="shared" si="5"/>
        <v>1</v>
      </c>
      <c r="J116" s="41">
        <v>43972</v>
      </c>
      <c r="K116" s="36">
        <v>2020</v>
      </c>
      <c r="L116" s="32">
        <f t="shared" si="3"/>
        <v>43977</v>
      </c>
      <c r="M116" s="40">
        <v>1</v>
      </c>
      <c r="N116" s="33">
        <v>102</v>
      </c>
      <c r="O116" s="34">
        <f>AVERAGEIF(L3:L1205,"&lt;2020/5/21",N3:N1205)</f>
        <v>111.87741935483871</v>
      </c>
      <c r="P116" s="38">
        <v>0</v>
      </c>
      <c r="Q116" s="38">
        <f>AVERAGEIF(L3:L1205,"&lt;2020/5/21",P3:P1205)</f>
        <v>0.43317972350230416</v>
      </c>
      <c r="R116" s="38">
        <v>1</v>
      </c>
      <c r="S116" s="38">
        <f>AVERAGEIF(L3:L1205,"&lt;2020/5/21",R3:R1205)</f>
        <v>1.2230414746543778</v>
      </c>
      <c r="T116" s="38">
        <v>5</v>
      </c>
      <c r="U116" s="38">
        <f>AVERAGEIF(L3:L1205,"&lt;2020/5/21",T3:T1205)</f>
        <v>7.0184331797235027</v>
      </c>
      <c r="V116" s="24">
        <v>1089</v>
      </c>
      <c r="W116" s="47" t="s">
        <v>4523</v>
      </c>
    </row>
    <row r="117" spans="1:23">
      <c r="A117" s="23">
        <v>2</v>
      </c>
      <c r="B117" s="23">
        <v>7</v>
      </c>
      <c r="C117" s="18">
        <v>4</v>
      </c>
      <c r="D117" s="18">
        <v>6</v>
      </c>
      <c r="E117" s="20">
        <v>65</v>
      </c>
      <c r="F117" s="21">
        <f t="shared" si="4"/>
        <v>110.48345588235294</v>
      </c>
      <c r="G117" s="22">
        <v>0.341158467306233</v>
      </c>
      <c r="H117" s="18">
        <v>1</v>
      </c>
      <c r="I117" s="18">
        <f t="shared" si="5"/>
        <v>0</v>
      </c>
      <c r="J117" s="41">
        <v>43972</v>
      </c>
      <c r="K117" s="36">
        <v>2020</v>
      </c>
      <c r="L117" s="32">
        <f t="shared" si="3"/>
        <v>43976</v>
      </c>
      <c r="M117" s="40">
        <v>0</v>
      </c>
      <c r="N117" s="33">
        <v>70</v>
      </c>
      <c r="O117" s="34">
        <f>AVERAGEIF(L3:L1205,"&lt;2020/5/21",N3:N1205)</f>
        <v>111.87741935483871</v>
      </c>
      <c r="P117" s="40">
        <v>0</v>
      </c>
      <c r="Q117" s="40">
        <f>AVERAGEIF(L3:L1205,"&lt;2020/5/21",P3:P1205)</f>
        <v>0.43317972350230416</v>
      </c>
      <c r="R117" s="40">
        <v>1</v>
      </c>
      <c r="S117" s="40">
        <f>AVERAGEIF(L3:L1205,"&lt;2020/5/21",R3:R1205)</f>
        <v>1.2230414746543778</v>
      </c>
      <c r="T117" s="40">
        <v>4</v>
      </c>
      <c r="U117" s="40">
        <f>AVERAGEIF(L3:L1205,"&lt;2020/5/21",T3:T1205)</f>
        <v>7.0184331797235027</v>
      </c>
      <c r="V117" s="24">
        <v>1088</v>
      </c>
      <c r="W117" s="47" t="s">
        <v>4563</v>
      </c>
    </row>
    <row r="118" spans="1:23">
      <c r="A118" s="23">
        <v>4</v>
      </c>
      <c r="B118" s="23">
        <v>30</v>
      </c>
      <c r="C118" s="18">
        <v>4</v>
      </c>
      <c r="D118" s="18">
        <v>2</v>
      </c>
      <c r="E118" s="20">
        <v>62</v>
      </c>
      <c r="F118" s="21">
        <f t="shared" si="4"/>
        <v>110.5280588776449</v>
      </c>
      <c r="G118" s="22">
        <v>0.402466288326077</v>
      </c>
      <c r="H118" s="18">
        <v>1</v>
      </c>
      <c r="I118" s="18">
        <f t="shared" si="5"/>
        <v>0</v>
      </c>
      <c r="J118" s="45">
        <v>43971</v>
      </c>
      <c r="K118" s="36">
        <v>2020</v>
      </c>
      <c r="L118" s="32">
        <f t="shared" si="3"/>
        <v>43983</v>
      </c>
      <c r="M118" s="42">
        <v>1</v>
      </c>
      <c r="N118" s="33">
        <v>99</v>
      </c>
      <c r="O118" s="34">
        <f>AVERAGEIF(L3:L1205,"&lt;2020/5/20",N3:N1205)</f>
        <v>111.87741935483871</v>
      </c>
      <c r="P118" s="38">
        <v>0</v>
      </c>
      <c r="Q118" s="38">
        <f>AVERAGEIF(L3:L1205,"&lt;2020/5/20",P3:P1205)</f>
        <v>0.43317972350230416</v>
      </c>
      <c r="R118" s="38">
        <v>1</v>
      </c>
      <c r="S118" s="38">
        <f>AVERAGEIF(L3:L1205,"&lt;2020/5/20",R3:R1205)</f>
        <v>1.2230414746543778</v>
      </c>
      <c r="T118" s="38">
        <v>12</v>
      </c>
      <c r="U118" s="38">
        <f>AVERAGEIF(L3:L1205,"&lt;2020/5/20",T3:T1205)</f>
        <v>7.0184331797235027</v>
      </c>
      <c r="V118" s="24">
        <v>1087</v>
      </c>
      <c r="W118" s="47" t="s">
        <v>4529</v>
      </c>
    </row>
    <row r="119" spans="1:23">
      <c r="A119" s="23">
        <v>2</v>
      </c>
      <c r="B119" s="23">
        <v>7</v>
      </c>
      <c r="C119" s="18">
        <v>5</v>
      </c>
      <c r="D119" s="18">
        <v>6</v>
      </c>
      <c r="E119" s="20">
        <v>80</v>
      </c>
      <c r="F119" s="21">
        <f t="shared" si="4"/>
        <v>110.55616942909761</v>
      </c>
      <c r="G119" s="22">
        <v>0.83529412880075704</v>
      </c>
      <c r="H119" s="18">
        <v>1</v>
      </c>
      <c r="I119" s="18">
        <f t="shared" si="5"/>
        <v>0</v>
      </c>
      <c r="J119" s="41">
        <v>43969</v>
      </c>
      <c r="K119" s="36">
        <v>2020</v>
      </c>
      <c r="L119" s="32">
        <f t="shared" si="3"/>
        <v>43970</v>
      </c>
      <c r="M119" s="40">
        <v>1</v>
      </c>
      <c r="N119" s="33">
        <v>65</v>
      </c>
      <c r="O119" s="34">
        <f>AVERAGEIF(L3:L1205,"&lt;2020/5/18",N3:N1205)</f>
        <v>111.85582255083179</v>
      </c>
      <c r="P119" s="38">
        <v>0</v>
      </c>
      <c r="Q119" s="38">
        <f>AVERAGEIF(L3:L1205,"&lt;2020/5/18",P3:P1205)</f>
        <v>0.43438077634011091</v>
      </c>
      <c r="R119" s="38">
        <v>1</v>
      </c>
      <c r="S119" s="38">
        <f>AVERAGEIF(L3:L1205,"&lt;2020/5/18",R3:R1205)</f>
        <v>1.2236598890942698</v>
      </c>
      <c r="T119" s="38">
        <v>1</v>
      </c>
      <c r="U119" s="38">
        <f>AVERAGEIF(L3:L1205,"&lt;2020/5/18",T3:T1205)</f>
        <v>7.0314232902033273</v>
      </c>
      <c r="V119" s="24">
        <v>1086</v>
      </c>
      <c r="W119" s="47" t="s">
        <v>4626</v>
      </c>
    </row>
    <row r="120" spans="1:23">
      <c r="A120" s="23">
        <v>2</v>
      </c>
      <c r="B120" s="23">
        <v>8</v>
      </c>
      <c r="C120" s="18">
        <v>4</v>
      </c>
      <c r="D120" s="18">
        <v>6</v>
      </c>
      <c r="E120" s="20">
        <v>446</v>
      </c>
      <c r="F120" s="21">
        <f t="shared" si="4"/>
        <v>110.24700460829493</v>
      </c>
      <c r="G120" s="22">
        <v>0.73274771955618101</v>
      </c>
      <c r="H120" s="18">
        <v>1</v>
      </c>
      <c r="I120" s="18">
        <f t="shared" si="5"/>
        <v>0</v>
      </c>
      <c r="J120" s="41">
        <v>43968</v>
      </c>
      <c r="K120" s="36">
        <v>2020</v>
      </c>
      <c r="L120" s="32">
        <f t="shared" si="3"/>
        <v>43970</v>
      </c>
      <c r="M120" s="40">
        <v>1</v>
      </c>
      <c r="N120" s="33">
        <v>239</v>
      </c>
      <c r="O120" s="34">
        <f>AVERAGEIF(L3:L1205,"&lt;2020/5/17",N3:N1205)</f>
        <v>111.85582255083179</v>
      </c>
      <c r="P120" s="38">
        <v>0</v>
      </c>
      <c r="Q120" s="38">
        <f>AVERAGEIF(L3:L1205,"&lt;2020/5/17",P3:P1205)</f>
        <v>0.43438077634011091</v>
      </c>
      <c r="R120" s="38">
        <v>1</v>
      </c>
      <c r="S120" s="38">
        <f>AVERAGEIF(L3:L1205,"&lt;2020/5/17",R3:R1205)</f>
        <v>1.2236598890942698</v>
      </c>
      <c r="T120" s="38">
        <v>2</v>
      </c>
      <c r="U120" s="38">
        <f>AVERAGEIF(L3:L1205,"&lt;2020/5/17",T3:T1205)</f>
        <v>7.0314232902033273</v>
      </c>
      <c r="V120" s="24">
        <v>1085</v>
      </c>
      <c r="W120" s="47" t="s">
        <v>4650</v>
      </c>
    </row>
    <row r="121" spans="1:23">
      <c r="A121" s="23">
        <v>2</v>
      </c>
      <c r="B121" s="23">
        <v>12</v>
      </c>
      <c r="C121" s="18">
        <v>4</v>
      </c>
      <c r="D121" s="18">
        <v>6</v>
      </c>
      <c r="E121" s="20">
        <v>28</v>
      </c>
      <c r="F121" s="21">
        <f t="shared" si="4"/>
        <v>110.32287822878229</v>
      </c>
      <c r="G121" s="22">
        <v>0.790002491155541</v>
      </c>
      <c r="H121" s="18">
        <v>0</v>
      </c>
      <c r="I121" s="18">
        <f t="shared" si="5"/>
        <v>1</v>
      </c>
      <c r="J121" s="41">
        <v>43968</v>
      </c>
      <c r="K121" s="36">
        <v>2020</v>
      </c>
      <c r="L121" s="32">
        <f t="shared" si="3"/>
        <v>43983</v>
      </c>
      <c r="M121" s="37">
        <v>1</v>
      </c>
      <c r="N121" s="33">
        <v>85</v>
      </c>
      <c r="O121" s="34">
        <f>AVERAGEIF(L3:L1205,"&lt;2020/5/17",N3:N1205)</f>
        <v>111.85582255083179</v>
      </c>
      <c r="P121" s="40">
        <v>1</v>
      </c>
      <c r="Q121" s="40">
        <f>AVERAGEIF(L3:L1205,"&lt;2020/5/17",P3:P1205)</f>
        <v>0.43438077634011091</v>
      </c>
      <c r="R121" s="40">
        <v>1</v>
      </c>
      <c r="S121" s="40">
        <f>AVERAGEIF(L3:L1205,"&lt;2020/5/17",R3:R1205)</f>
        <v>1.2236598890942698</v>
      </c>
      <c r="T121" s="40">
        <v>15</v>
      </c>
      <c r="U121" s="40">
        <f>AVERAGEIF(L3:L1205,"&lt;2020/5/17",T3:T1205)</f>
        <v>7.0314232902033273</v>
      </c>
      <c r="V121" s="24">
        <v>1084</v>
      </c>
      <c r="W121" s="47" t="s">
        <v>4529</v>
      </c>
    </row>
    <row r="122" spans="1:23">
      <c r="A122" s="23">
        <v>4</v>
      </c>
      <c r="B122" s="23">
        <v>28</v>
      </c>
      <c r="C122" s="18">
        <v>4</v>
      </c>
      <c r="D122" s="18">
        <v>4</v>
      </c>
      <c r="E122" s="20">
        <v>94</v>
      </c>
      <c r="F122" s="21">
        <f t="shared" si="4"/>
        <v>110.33795013850416</v>
      </c>
      <c r="G122" s="22">
        <v>0.36670540201380702</v>
      </c>
      <c r="H122" s="18">
        <v>1</v>
      </c>
      <c r="I122" s="18">
        <f t="shared" si="5"/>
        <v>0</v>
      </c>
      <c r="J122" s="35">
        <v>43965</v>
      </c>
      <c r="K122" s="36">
        <v>2020</v>
      </c>
      <c r="L122" s="32">
        <f t="shared" si="3"/>
        <v>43969</v>
      </c>
      <c r="M122" s="20">
        <v>0</v>
      </c>
      <c r="N122" s="33">
        <v>55</v>
      </c>
      <c r="O122" s="34">
        <f>AVERAGEIF(L3:L1205,"&lt;2020/5/14",N3:N1205)</f>
        <v>111.85582255083179</v>
      </c>
      <c r="P122" s="24">
        <v>0</v>
      </c>
      <c r="Q122" s="24">
        <f>AVERAGEIF(L3:L1205,"&lt;2020/5/14",P3:P1205)</f>
        <v>0.43438077634011091</v>
      </c>
      <c r="R122" s="24">
        <v>1</v>
      </c>
      <c r="S122" s="24">
        <f>AVERAGEIF(L3:L1205,"&lt;2020/5/14",R3:R1205)</f>
        <v>1.2236598890942698</v>
      </c>
      <c r="T122" s="24">
        <v>4</v>
      </c>
      <c r="U122" s="24">
        <f>AVERAGEIF(L3:L1205,"&lt;2020/5/14",T3:T1205)</f>
        <v>7.0314232902033273</v>
      </c>
      <c r="V122" s="24">
        <v>1083</v>
      </c>
      <c r="W122" s="47" t="s">
        <v>4722</v>
      </c>
    </row>
    <row r="123" spans="1:23">
      <c r="A123" s="23">
        <v>2</v>
      </c>
      <c r="B123" s="23">
        <v>6</v>
      </c>
      <c r="C123" s="18">
        <v>5</v>
      </c>
      <c r="D123" s="18">
        <v>6</v>
      </c>
      <c r="E123" s="20">
        <v>232</v>
      </c>
      <c r="F123" s="21">
        <f t="shared" si="4"/>
        <v>110.22550831792977</v>
      </c>
      <c r="G123" s="22">
        <v>0.62080153468898203</v>
      </c>
      <c r="H123" s="18">
        <v>0</v>
      </c>
      <c r="I123" s="18">
        <f t="shared" si="5"/>
        <v>1</v>
      </c>
      <c r="J123" s="41">
        <v>43957</v>
      </c>
      <c r="K123" s="36">
        <v>2020</v>
      </c>
      <c r="L123" s="32">
        <f t="shared" si="3"/>
        <v>43958</v>
      </c>
      <c r="M123" s="40">
        <v>1</v>
      </c>
      <c r="N123" s="33">
        <v>176</v>
      </c>
      <c r="O123" s="34">
        <f>AVERAGEIF(L3:L1205,"&lt;2020/5/6",N3:N1205)</f>
        <v>111.88300835654596</v>
      </c>
      <c r="P123" s="38">
        <v>0</v>
      </c>
      <c r="Q123" s="38">
        <f>AVERAGEIF(L3:L1205,"&lt;2020/5/6",P3:P1205)</f>
        <v>0.436397400185701</v>
      </c>
      <c r="R123" s="38">
        <v>1</v>
      </c>
      <c r="S123" s="38">
        <f>AVERAGEIF(L3:L1205,"&lt;2020/5/6",R3:R1205)</f>
        <v>1.2246982358402971</v>
      </c>
      <c r="T123" s="38">
        <v>1</v>
      </c>
      <c r="U123" s="38">
        <f>AVERAGEIF(L3:L1205,"&lt;2020/5/6",T3:T1205)</f>
        <v>7.0482822655524604</v>
      </c>
      <c r="V123" s="24">
        <v>1082</v>
      </c>
      <c r="W123" s="47" t="s">
        <v>4722</v>
      </c>
    </row>
    <row r="124" spans="1:23">
      <c r="A124" s="23">
        <v>2</v>
      </c>
      <c r="B124" s="23">
        <v>18</v>
      </c>
      <c r="C124" s="18">
        <v>4</v>
      </c>
      <c r="D124" s="18">
        <v>2</v>
      </c>
      <c r="E124" s="20">
        <v>48</v>
      </c>
      <c r="F124" s="21">
        <f t="shared" si="4"/>
        <v>110.28307123034227</v>
      </c>
      <c r="G124" s="22">
        <v>0.34090965352451302</v>
      </c>
      <c r="H124" s="18">
        <v>1</v>
      </c>
      <c r="I124" s="18">
        <f t="shared" si="5"/>
        <v>0</v>
      </c>
      <c r="J124" s="41">
        <v>43957</v>
      </c>
      <c r="K124" s="36">
        <v>2020</v>
      </c>
      <c r="L124" s="32">
        <f t="shared" si="3"/>
        <v>43959</v>
      </c>
      <c r="M124" s="40">
        <v>0</v>
      </c>
      <c r="N124" s="33">
        <v>60</v>
      </c>
      <c r="O124" s="34">
        <f>AVERAGEIF(L3:L1205,"&lt;2020/5/6",N3:N1205)</f>
        <v>111.88300835654596</v>
      </c>
      <c r="P124" s="37">
        <v>0</v>
      </c>
      <c r="Q124" s="37">
        <f>AVERAGEIF(L3:L1205,"&lt;2020/5/6",P3:P1205)</f>
        <v>0.436397400185701</v>
      </c>
      <c r="R124" s="37">
        <v>1</v>
      </c>
      <c r="S124" s="37">
        <f>AVERAGEIF(L3:L1205,"&lt;2020/5/6",R3:R1205)</f>
        <v>1.2246982358402971</v>
      </c>
      <c r="T124" s="37">
        <v>2</v>
      </c>
      <c r="U124" s="37">
        <f>AVERAGEIF(L3:L1205,"&lt;2020/5/6",T3:T1205)</f>
        <v>7.0482822655524604</v>
      </c>
      <c r="V124" s="24">
        <v>1081</v>
      </c>
      <c r="W124" s="47" t="s">
        <v>4521</v>
      </c>
    </row>
    <row r="125" spans="1:23">
      <c r="A125" s="23">
        <v>2</v>
      </c>
      <c r="B125" s="23">
        <v>13</v>
      </c>
      <c r="C125" s="18">
        <v>4</v>
      </c>
      <c r="D125" s="18">
        <v>2</v>
      </c>
      <c r="E125" s="20">
        <v>99</v>
      </c>
      <c r="F125" s="21">
        <f t="shared" si="4"/>
        <v>110.29351851851852</v>
      </c>
      <c r="G125" s="22">
        <v>0.25623487458112998</v>
      </c>
      <c r="H125" s="18">
        <v>1</v>
      </c>
      <c r="I125" s="18">
        <f t="shared" si="5"/>
        <v>0</v>
      </c>
      <c r="J125" s="41">
        <v>43956</v>
      </c>
      <c r="K125" s="36">
        <v>2020</v>
      </c>
      <c r="L125" s="32">
        <f t="shared" si="3"/>
        <v>43958</v>
      </c>
      <c r="M125" s="40">
        <v>0</v>
      </c>
      <c r="N125" s="33">
        <v>76</v>
      </c>
      <c r="O125" s="34">
        <f>AVERAGEIF(L3:L1205,"&lt;2020/5/5",N3:N1205)</f>
        <v>111.88300835654596</v>
      </c>
      <c r="P125" s="40">
        <v>0</v>
      </c>
      <c r="Q125" s="40">
        <f>AVERAGEIF(L3:L1205,"&lt;2020/5/5",P3:P1205)</f>
        <v>0.436397400185701</v>
      </c>
      <c r="R125" s="40">
        <v>1</v>
      </c>
      <c r="S125" s="40">
        <f>AVERAGEIF(L3:L1205,"&lt;2020/5/5",R3:R1205)</f>
        <v>1.2246982358402971</v>
      </c>
      <c r="T125" s="40">
        <v>2</v>
      </c>
      <c r="U125" s="40">
        <f>AVERAGEIF(L3:L1205,"&lt;2020/5/5",T3:T1205)</f>
        <v>7.0482822655524604</v>
      </c>
      <c r="V125" s="24">
        <v>1080</v>
      </c>
      <c r="W125" s="47" t="s">
        <v>4563</v>
      </c>
    </row>
    <row r="126" spans="1:23">
      <c r="A126" s="23">
        <v>2</v>
      </c>
      <c r="B126" s="23">
        <v>18</v>
      </c>
      <c r="C126" s="18">
        <v>4</v>
      </c>
      <c r="D126" s="18">
        <v>2</v>
      </c>
      <c r="E126" s="20">
        <v>48</v>
      </c>
      <c r="F126" s="21">
        <f t="shared" si="4"/>
        <v>110.35125115848007</v>
      </c>
      <c r="G126" s="22">
        <v>0.76151401724045598</v>
      </c>
      <c r="H126" s="18">
        <v>1</v>
      </c>
      <c r="I126" s="18">
        <f t="shared" si="5"/>
        <v>0</v>
      </c>
      <c r="J126" s="41">
        <v>43953</v>
      </c>
      <c r="K126" s="36">
        <v>2020</v>
      </c>
      <c r="L126" s="32">
        <f t="shared" si="3"/>
        <v>43959</v>
      </c>
      <c r="M126" s="40">
        <v>0</v>
      </c>
      <c r="N126" s="33">
        <v>60</v>
      </c>
      <c r="O126" s="34">
        <f>AVERAGEIF(L3:L1205,"&lt;2020/5/2",N3:N1205)</f>
        <v>111.88300835654596</v>
      </c>
      <c r="P126" s="40">
        <v>0</v>
      </c>
      <c r="Q126" s="40">
        <f>AVERAGEIF(L3:L1205,"&lt;2020/5/2",P3:P1205)</f>
        <v>0.436397400185701</v>
      </c>
      <c r="R126" s="40">
        <v>1</v>
      </c>
      <c r="S126" s="40">
        <f>AVERAGEIF(L3:L1205,"&lt;2020/5/2",R3:R1205)</f>
        <v>1.2246982358402971</v>
      </c>
      <c r="T126" s="40">
        <v>6</v>
      </c>
      <c r="U126" s="40">
        <f>AVERAGEIF(L3:L1205,"&lt;2020/5/2",T3:T1205)</f>
        <v>7.0482822655524604</v>
      </c>
      <c r="V126" s="24">
        <v>1079</v>
      </c>
      <c r="W126" s="47" t="s">
        <v>4553</v>
      </c>
    </row>
    <row r="127" spans="1:23">
      <c r="A127" s="23">
        <v>2</v>
      </c>
      <c r="B127" s="23">
        <v>17</v>
      </c>
      <c r="C127" s="18">
        <v>4</v>
      </c>
      <c r="D127" s="18">
        <v>8</v>
      </c>
      <c r="E127" s="20">
        <v>193</v>
      </c>
      <c r="F127" s="21">
        <f t="shared" si="4"/>
        <v>110.27458256029685</v>
      </c>
      <c r="G127" s="22">
        <v>0.75281436708874105</v>
      </c>
      <c r="H127" s="18">
        <v>1</v>
      </c>
      <c r="I127" s="18">
        <f t="shared" si="5"/>
        <v>0</v>
      </c>
      <c r="J127" s="41">
        <v>43952</v>
      </c>
      <c r="K127" s="36">
        <v>2020</v>
      </c>
      <c r="L127" s="32">
        <f t="shared" si="3"/>
        <v>43958</v>
      </c>
      <c r="M127" s="40">
        <v>0</v>
      </c>
      <c r="N127" s="33">
        <v>158</v>
      </c>
      <c r="O127" s="34">
        <f>AVERAGEIF(L3:L1205,"&lt;2020/5/1",N3:N1205)</f>
        <v>111.88300835654596</v>
      </c>
      <c r="P127" s="38">
        <v>0</v>
      </c>
      <c r="Q127" s="38">
        <f>AVERAGEIF(L3:L1205,"&lt;2020/5/1",P3:P1205)</f>
        <v>0.436397400185701</v>
      </c>
      <c r="R127" s="38">
        <v>1</v>
      </c>
      <c r="S127" s="38">
        <f>AVERAGEIF(L3:L1205,"&lt;2020/5/1",R3:R1205)</f>
        <v>1.2246982358402971</v>
      </c>
      <c r="T127" s="38">
        <v>6</v>
      </c>
      <c r="U127" s="38">
        <f>AVERAGEIF(L3:L1205,"&lt;2020/5/1",T3:T1205)</f>
        <v>7.0482822655524604</v>
      </c>
      <c r="V127" s="24">
        <v>1078</v>
      </c>
      <c r="W127" s="47" t="s">
        <v>4529</v>
      </c>
    </row>
    <row r="128" spans="1:23">
      <c r="A128" s="23">
        <v>4</v>
      </c>
      <c r="B128" s="23">
        <v>28</v>
      </c>
      <c r="C128" s="18">
        <v>4</v>
      </c>
      <c r="D128" s="18">
        <v>4</v>
      </c>
      <c r="E128" s="20">
        <v>109</v>
      </c>
      <c r="F128" s="21">
        <f t="shared" si="4"/>
        <v>110.27576601671309</v>
      </c>
      <c r="G128" s="22">
        <v>0.42190807178156298</v>
      </c>
      <c r="H128" s="18">
        <v>1</v>
      </c>
      <c r="I128" s="18">
        <f t="shared" si="5"/>
        <v>0</v>
      </c>
      <c r="J128" s="35">
        <v>43949</v>
      </c>
      <c r="K128" s="36">
        <v>2020</v>
      </c>
      <c r="L128" s="32">
        <f t="shared" si="3"/>
        <v>43950</v>
      </c>
      <c r="M128" s="20">
        <v>0</v>
      </c>
      <c r="N128" s="33">
        <v>78</v>
      </c>
      <c r="O128" s="34">
        <f>AVERAGEIF(L3:L1205,"&lt;2020/4/28",N3:N1205)</f>
        <v>111.91985088536812</v>
      </c>
      <c r="P128" s="24">
        <v>0</v>
      </c>
      <c r="Q128" s="24">
        <f>AVERAGEIF(L3:L1205,"&lt;2020/4/28",P3:P1205)</f>
        <v>0.43802423112767941</v>
      </c>
      <c r="R128" s="24">
        <v>1</v>
      </c>
      <c r="S128" s="24">
        <f>AVERAGEIF(L3:L1205,"&lt;2020/4/28",R3:R1205)</f>
        <v>1.2255358807082946</v>
      </c>
      <c r="T128" s="24">
        <v>1</v>
      </c>
      <c r="U128" s="24">
        <f>AVERAGEIF(L3:L1205,"&lt;2020/4/28",T3:T1205)</f>
        <v>7.0698974836905872</v>
      </c>
      <c r="V128" s="24">
        <v>1077</v>
      </c>
      <c r="W128" s="47" t="s">
        <v>4716</v>
      </c>
    </row>
    <row r="129" spans="1:23">
      <c r="A129" s="23">
        <v>4</v>
      </c>
      <c r="B129" s="23">
        <v>31</v>
      </c>
      <c r="C129" s="18">
        <v>4</v>
      </c>
      <c r="D129" s="18">
        <v>1</v>
      </c>
      <c r="E129" s="20">
        <v>65</v>
      </c>
      <c r="F129" s="21">
        <f t="shared" si="4"/>
        <v>110.317843866171</v>
      </c>
      <c r="G129" s="22">
        <v>0.41250072472535798</v>
      </c>
      <c r="H129" s="18">
        <v>1</v>
      </c>
      <c r="I129" s="18">
        <f t="shared" si="5"/>
        <v>0</v>
      </c>
      <c r="J129" s="45">
        <v>43949</v>
      </c>
      <c r="K129" s="36">
        <v>2020</v>
      </c>
      <c r="L129" s="32">
        <f t="shared" si="3"/>
        <v>43949</v>
      </c>
      <c r="M129" s="42">
        <v>0</v>
      </c>
      <c r="N129" s="33">
        <v>125</v>
      </c>
      <c r="O129" s="34">
        <f>AVERAGEIF(L3:L1205,"&lt;2020/4/28",N3:N1205)</f>
        <v>111.91985088536812</v>
      </c>
      <c r="P129" s="38">
        <v>0</v>
      </c>
      <c r="Q129" s="38">
        <f>AVERAGEIF(L3:L1205,"&lt;2020/4/28",P3:P1205)</f>
        <v>0.43802423112767941</v>
      </c>
      <c r="R129" s="38">
        <v>1</v>
      </c>
      <c r="S129" s="38">
        <f>AVERAGEIF(L3:L1205,"&lt;2020/4/28",R3:R1205)</f>
        <v>1.2255358807082946</v>
      </c>
      <c r="T129" s="38">
        <v>0</v>
      </c>
      <c r="U129" s="38">
        <f>AVERAGEIF(L3:L1205,"&lt;2020/4/28",T3:T1205)</f>
        <v>7.0698974836905872</v>
      </c>
      <c r="V129" s="24">
        <v>1076</v>
      </c>
      <c r="W129" s="47" t="s">
        <v>4529</v>
      </c>
    </row>
    <row r="130" spans="1:23">
      <c r="A130" s="23">
        <v>2</v>
      </c>
      <c r="B130" s="23">
        <v>6</v>
      </c>
      <c r="C130" s="18">
        <v>4</v>
      </c>
      <c r="D130" s="18">
        <v>6</v>
      </c>
      <c r="E130" s="20">
        <v>55</v>
      </c>
      <c r="F130" s="21">
        <f t="shared" si="4"/>
        <v>110.3693023255814</v>
      </c>
      <c r="G130" s="22">
        <v>0.47587337026677201</v>
      </c>
      <c r="H130" s="18">
        <v>0</v>
      </c>
      <c r="I130" s="18">
        <f t="shared" si="5"/>
        <v>1</v>
      </c>
      <c r="J130" s="41">
        <v>43947</v>
      </c>
      <c r="K130" s="36">
        <v>2020</v>
      </c>
      <c r="L130" s="32">
        <f t="shared" si="3"/>
        <v>43949</v>
      </c>
      <c r="M130" s="40">
        <v>0</v>
      </c>
      <c r="N130" s="33">
        <v>46</v>
      </c>
      <c r="O130" s="34">
        <f>AVERAGEIF(L3:L1205,"&lt;2020/4/26",N3:N1205)</f>
        <v>111.98041044776119</v>
      </c>
      <c r="P130" s="38">
        <v>0</v>
      </c>
      <c r="Q130" s="38">
        <f>AVERAGEIF(L3:L1205,"&lt;2020/4/26",P3:P1205)</f>
        <v>0.43656716417910446</v>
      </c>
      <c r="R130" s="38">
        <v>1</v>
      </c>
      <c r="S130" s="38">
        <f>AVERAGEIF(L3:L1205,"&lt;2020/4/26",R3:R1205)</f>
        <v>1.2257462686567164</v>
      </c>
      <c r="T130" s="38">
        <v>2</v>
      </c>
      <c r="U130" s="38">
        <f>AVERAGEIF(L3:L1205,"&lt;2020/4/26",T3:T1205)</f>
        <v>7.0634328358208958</v>
      </c>
      <c r="V130" s="24">
        <v>1075</v>
      </c>
      <c r="W130" s="47" t="s">
        <v>4523</v>
      </c>
    </row>
    <row r="131" spans="1:23">
      <c r="A131" s="23">
        <v>3</v>
      </c>
      <c r="B131" s="23">
        <v>25</v>
      </c>
      <c r="C131" s="18">
        <v>4</v>
      </c>
      <c r="D131" s="18">
        <v>6</v>
      </c>
      <c r="E131" s="20">
        <v>103</v>
      </c>
      <c r="F131" s="21">
        <f t="shared" si="4"/>
        <v>110.37616387337057</v>
      </c>
      <c r="G131" s="22">
        <v>0.23284554194951099</v>
      </c>
      <c r="H131" s="3">
        <v>1</v>
      </c>
      <c r="I131" s="18">
        <f t="shared" si="5"/>
        <v>0</v>
      </c>
      <c r="J131" s="41">
        <v>43947</v>
      </c>
      <c r="K131" s="36">
        <v>2020</v>
      </c>
      <c r="L131" s="32">
        <f t="shared" ref="L131:L194" si="6">J131+T131</f>
        <v>43949</v>
      </c>
      <c r="M131" s="40">
        <v>0</v>
      </c>
      <c r="N131" s="33">
        <v>159</v>
      </c>
      <c r="O131" s="34">
        <f>AVERAGEIF(L3:L1205,"&lt;2020/4/26",N3:N1205)</f>
        <v>111.98041044776119</v>
      </c>
      <c r="P131" s="38">
        <v>0</v>
      </c>
      <c r="Q131" s="38">
        <f>AVERAGEIF(L3:L1205,"&lt;2020/4/26",P3:P1205)</f>
        <v>0.43656716417910446</v>
      </c>
      <c r="R131" s="38">
        <v>1</v>
      </c>
      <c r="S131" s="38">
        <f>AVERAGEIF(L3:L1205,"&lt;2020/4/26",R3:R1205)</f>
        <v>1.2257462686567164</v>
      </c>
      <c r="T131" s="38">
        <v>2</v>
      </c>
      <c r="U131" s="38">
        <f>AVERAGEIF(L3:L1205,"&lt;2020/4/26",T3:T1205)</f>
        <v>7.0634328358208958</v>
      </c>
      <c r="V131" s="24">
        <v>1074</v>
      </c>
      <c r="W131" s="47" t="s">
        <v>4529</v>
      </c>
    </row>
    <row r="132" spans="1:23">
      <c r="A132" s="23">
        <v>2</v>
      </c>
      <c r="B132" s="23">
        <v>6</v>
      </c>
      <c r="C132" s="18">
        <v>4</v>
      </c>
      <c r="D132" s="18">
        <v>6</v>
      </c>
      <c r="E132" s="20">
        <v>68</v>
      </c>
      <c r="F132" s="21">
        <f t="shared" ref="F132:F195" si="7">AVERAGE(E133:E1334)</f>
        <v>110.41565703634669</v>
      </c>
      <c r="G132" s="22">
        <v>0.39683799266117797</v>
      </c>
      <c r="H132" s="18">
        <v>1</v>
      </c>
      <c r="I132" s="18">
        <f t="shared" ref="I132:I195" si="8">IF(H132=1,0,1)</f>
        <v>0</v>
      </c>
      <c r="J132" s="41">
        <v>43938</v>
      </c>
      <c r="K132" s="36">
        <v>2020</v>
      </c>
      <c r="L132" s="32">
        <f t="shared" si="6"/>
        <v>43972</v>
      </c>
      <c r="M132" s="40">
        <v>1</v>
      </c>
      <c r="N132" s="33">
        <v>135</v>
      </c>
      <c r="O132" s="34">
        <f>AVERAGEIF(L3:L1205,"&lt;2020/4/17",N3:N1205)</f>
        <v>111.98041044776119</v>
      </c>
      <c r="P132" s="40">
        <v>1</v>
      </c>
      <c r="Q132" s="40">
        <f>AVERAGEIF(L3:L1205,"&lt;2020/4/17",P3:P1205)</f>
        <v>0.43656716417910446</v>
      </c>
      <c r="R132" s="40">
        <v>2</v>
      </c>
      <c r="S132" s="40">
        <f>AVERAGEIF(L3:L1205,"&lt;2020/4/17",R3:R1205)</f>
        <v>1.2257462686567164</v>
      </c>
      <c r="T132" s="40">
        <v>34</v>
      </c>
      <c r="U132" s="40">
        <f>AVERAGEIF(L3:L1205,"&lt;2020/4/17",T3:T1205)</f>
        <v>7.0634328358208958</v>
      </c>
      <c r="V132" s="24">
        <v>1073</v>
      </c>
      <c r="W132" s="47" t="s">
        <v>4529</v>
      </c>
    </row>
    <row r="133" spans="1:23">
      <c r="A133" s="23">
        <v>2</v>
      </c>
      <c r="B133" s="23">
        <v>6</v>
      </c>
      <c r="C133" s="18">
        <v>4</v>
      </c>
      <c r="D133" s="18">
        <v>4</v>
      </c>
      <c r="E133" s="20">
        <v>57</v>
      </c>
      <c r="F133" s="21">
        <f t="shared" si="7"/>
        <v>110.46548507462687</v>
      </c>
      <c r="G133" s="22">
        <v>0.45910440889603699</v>
      </c>
      <c r="H133" s="18">
        <v>1</v>
      </c>
      <c r="I133" s="18">
        <f t="shared" si="8"/>
        <v>0</v>
      </c>
      <c r="J133" s="41">
        <v>43933</v>
      </c>
      <c r="K133" s="36">
        <v>2020</v>
      </c>
      <c r="L133" s="32">
        <f t="shared" si="6"/>
        <v>43947</v>
      </c>
      <c r="M133" s="40">
        <v>0</v>
      </c>
      <c r="N133" s="33">
        <v>47</v>
      </c>
      <c r="O133" s="34">
        <f>AVERAGEIF(L3:L1205,"&lt;2020/4/12",N3:N1205)</f>
        <v>112.00561797752809</v>
      </c>
      <c r="P133" s="40">
        <v>2</v>
      </c>
      <c r="Q133" s="40">
        <f>AVERAGEIF(L3:L1205,"&lt;2020/4/12",P3:P1205)</f>
        <v>0.4353932584269663</v>
      </c>
      <c r="R133" s="40">
        <v>1</v>
      </c>
      <c r="S133" s="40">
        <f>AVERAGEIF(L3:L1205,"&lt;2020/4/12",R3:R1205)</f>
        <v>1.2247191011235956</v>
      </c>
      <c r="T133" s="40">
        <v>14</v>
      </c>
      <c r="U133" s="40">
        <f>AVERAGEIF(L3:L1205,"&lt;2020/4/12",T3:T1205)</f>
        <v>7.0646067415730336</v>
      </c>
      <c r="V133" s="24">
        <v>1072</v>
      </c>
      <c r="W133" s="47" t="s">
        <v>4521</v>
      </c>
    </row>
    <row r="134" spans="1:23">
      <c r="A134" s="23">
        <v>3</v>
      </c>
      <c r="B134" s="23">
        <v>25</v>
      </c>
      <c r="C134" s="18">
        <v>5</v>
      </c>
      <c r="D134" s="18">
        <v>6</v>
      </c>
      <c r="E134" s="20">
        <v>52</v>
      </c>
      <c r="F134" s="21">
        <f t="shared" si="7"/>
        <v>110.52007469654528</v>
      </c>
      <c r="G134" s="22">
        <v>0.256443339777711</v>
      </c>
      <c r="H134" s="3">
        <v>1</v>
      </c>
      <c r="I134" s="18">
        <f t="shared" si="8"/>
        <v>0</v>
      </c>
      <c r="J134" s="41">
        <v>43933</v>
      </c>
      <c r="K134" s="36">
        <v>2020</v>
      </c>
      <c r="L134" s="32">
        <f t="shared" si="6"/>
        <v>43936</v>
      </c>
      <c r="M134" s="40">
        <v>1</v>
      </c>
      <c r="N134" s="33">
        <v>96</v>
      </c>
      <c r="O134" s="34">
        <f>AVERAGEIF(L3:L1205,"&lt;2020/4/12",N3:N1205)</f>
        <v>112.00561797752809</v>
      </c>
      <c r="P134" s="38">
        <v>0</v>
      </c>
      <c r="Q134" s="38">
        <f>AVERAGEIF(L3:L1205,"&lt;2020/4/12",P3:P1205)</f>
        <v>0.4353932584269663</v>
      </c>
      <c r="R134" s="38">
        <v>2</v>
      </c>
      <c r="S134" s="38">
        <f>AVERAGEIF(L3:L1205,"&lt;2020/4/12",R3:R1205)</f>
        <v>1.2247191011235956</v>
      </c>
      <c r="T134" s="38">
        <v>3</v>
      </c>
      <c r="U134" s="38">
        <f>AVERAGEIF(L3:L1205,"&lt;2020/4/12",T3:T1205)</f>
        <v>7.0646067415730336</v>
      </c>
      <c r="V134" s="24">
        <v>1071</v>
      </c>
      <c r="W134" s="47" t="s">
        <v>4529</v>
      </c>
    </row>
    <row r="135" spans="1:23">
      <c r="A135" s="23">
        <v>2</v>
      </c>
      <c r="B135" s="23">
        <v>11</v>
      </c>
      <c r="C135" s="18">
        <v>4</v>
      </c>
      <c r="D135" s="18">
        <v>2</v>
      </c>
      <c r="E135" s="20">
        <v>56</v>
      </c>
      <c r="F135" s="21">
        <f t="shared" si="7"/>
        <v>110.57102803738317</v>
      </c>
      <c r="G135" s="22">
        <v>0.36718635941970901</v>
      </c>
      <c r="H135" s="18">
        <v>1</v>
      </c>
      <c r="I135" s="18">
        <f t="shared" si="8"/>
        <v>0</v>
      </c>
      <c r="J135" s="41">
        <v>43932</v>
      </c>
      <c r="K135" s="36">
        <v>2020</v>
      </c>
      <c r="L135" s="32">
        <f t="shared" si="6"/>
        <v>43937</v>
      </c>
      <c r="M135" s="40">
        <v>0</v>
      </c>
      <c r="N135" s="33">
        <v>150</v>
      </c>
      <c r="O135" s="34">
        <f>AVERAGEIF(L3:L1205,"&lt;2020/4/11",N3:N1205)</f>
        <v>112.00561797752809</v>
      </c>
      <c r="P135" s="38">
        <v>1</v>
      </c>
      <c r="Q135" s="38">
        <f>AVERAGEIF(L3:L1205,"&lt;2020/4/11",P3:P1205)</f>
        <v>0.4353932584269663</v>
      </c>
      <c r="R135" s="38">
        <v>1</v>
      </c>
      <c r="S135" s="38">
        <f>AVERAGEIF(L3:L1205,"&lt;2020/4/11",R3:R1205)</f>
        <v>1.2247191011235956</v>
      </c>
      <c r="T135" s="38">
        <v>5</v>
      </c>
      <c r="U135" s="38">
        <f>AVERAGEIF(L3:L1205,"&lt;2020/4/11",T3:T1205)</f>
        <v>7.0646067415730336</v>
      </c>
      <c r="V135" s="24">
        <v>1070</v>
      </c>
      <c r="W135" s="47" t="s">
        <v>4634</v>
      </c>
    </row>
    <row r="136" spans="1:23">
      <c r="A136" s="23">
        <v>2</v>
      </c>
      <c r="B136" s="23">
        <v>16</v>
      </c>
      <c r="C136" s="18">
        <v>5</v>
      </c>
      <c r="D136" s="18">
        <v>2</v>
      </c>
      <c r="E136" s="20">
        <v>49</v>
      </c>
      <c r="F136" s="21">
        <f t="shared" si="7"/>
        <v>110.62862488306828</v>
      </c>
      <c r="G136" s="22">
        <v>0.41250113812897399</v>
      </c>
      <c r="H136" s="18">
        <v>1</v>
      </c>
      <c r="I136" s="18">
        <f t="shared" si="8"/>
        <v>0</v>
      </c>
      <c r="J136" s="41">
        <v>43932</v>
      </c>
      <c r="K136" s="36">
        <v>2020</v>
      </c>
      <c r="L136" s="32">
        <f t="shared" si="6"/>
        <v>43935</v>
      </c>
      <c r="M136" s="40">
        <v>0</v>
      </c>
      <c r="N136" s="33">
        <v>153</v>
      </c>
      <c r="O136" s="34">
        <f>AVERAGEIF(L3:L1205,"&lt;2020/4/11",N3:N1205)</f>
        <v>112.00561797752809</v>
      </c>
      <c r="P136" s="38">
        <v>1</v>
      </c>
      <c r="Q136" s="38">
        <f>AVERAGEIF(L3:L1205,"&lt;2020/4/11",P3:P1205)</f>
        <v>0.4353932584269663</v>
      </c>
      <c r="R136" s="38">
        <v>1</v>
      </c>
      <c r="S136" s="38">
        <f>AVERAGEIF(L3:L1205,"&lt;2020/4/11",R3:R1205)</f>
        <v>1.2247191011235956</v>
      </c>
      <c r="T136" s="38">
        <v>3</v>
      </c>
      <c r="U136" s="38">
        <f>AVERAGEIF(L3:L1205,"&lt;2020/4/11",T3:T1205)</f>
        <v>7.0646067415730336</v>
      </c>
      <c r="V136" s="24">
        <v>1069</v>
      </c>
      <c r="W136" s="47" t="s">
        <v>4563</v>
      </c>
    </row>
    <row r="137" spans="1:23">
      <c r="A137" s="23">
        <v>2</v>
      </c>
      <c r="B137" s="23">
        <v>7</v>
      </c>
      <c r="C137" s="18">
        <v>4</v>
      </c>
      <c r="D137" s="18">
        <v>6</v>
      </c>
      <c r="E137" s="20">
        <v>97</v>
      </c>
      <c r="F137" s="21">
        <f t="shared" si="7"/>
        <v>110.64138576779027</v>
      </c>
      <c r="G137" s="22">
        <v>0.41291666438352098</v>
      </c>
      <c r="H137" s="18">
        <v>1</v>
      </c>
      <c r="I137" s="18">
        <f t="shared" si="8"/>
        <v>0</v>
      </c>
      <c r="J137" s="41">
        <v>43921</v>
      </c>
      <c r="K137" s="36">
        <v>2020</v>
      </c>
      <c r="L137" s="32">
        <f t="shared" si="6"/>
        <v>43937</v>
      </c>
      <c r="M137" s="40">
        <v>0</v>
      </c>
      <c r="N137" s="33">
        <v>22</v>
      </c>
      <c r="O137" s="34">
        <f>AVERAGEIF(L3:L1205,"&lt;2020/3/31",N3:N1205)</f>
        <v>112.14446529080675</v>
      </c>
      <c r="P137" s="40">
        <v>1</v>
      </c>
      <c r="Q137" s="40">
        <f>AVERAGEIF(L3:L1205,"&lt;2020/3/31",P3:P1205)</f>
        <v>0.43621013133208253</v>
      </c>
      <c r="R137" s="40">
        <v>2</v>
      </c>
      <c r="S137" s="40">
        <f>AVERAGEIF(L3:L1205,"&lt;2020/3/31",R3:R1205)</f>
        <v>1.2251407129455909</v>
      </c>
      <c r="T137" s="40">
        <v>16</v>
      </c>
      <c r="U137" s="40">
        <f>AVERAGEIF(L3:L1205,"&lt;2020/3/31",T3:T1205)</f>
        <v>7.0731707317073171</v>
      </c>
      <c r="V137" s="24">
        <v>1068</v>
      </c>
      <c r="W137" s="47" t="s">
        <v>4529</v>
      </c>
    </row>
    <row r="138" spans="1:23">
      <c r="A138" s="23">
        <v>2</v>
      </c>
      <c r="B138" s="23">
        <v>15</v>
      </c>
      <c r="C138" s="18">
        <v>4</v>
      </c>
      <c r="D138" s="18">
        <v>4</v>
      </c>
      <c r="E138" s="20">
        <v>58</v>
      </c>
      <c r="F138" s="21">
        <f t="shared" si="7"/>
        <v>110.69072164948453</v>
      </c>
      <c r="G138" s="22">
        <v>0.41261855899755001</v>
      </c>
      <c r="H138" s="18">
        <v>1</v>
      </c>
      <c r="I138" s="18">
        <f t="shared" si="8"/>
        <v>0</v>
      </c>
      <c r="J138" s="41">
        <v>43921</v>
      </c>
      <c r="K138" s="36">
        <v>2020</v>
      </c>
      <c r="L138" s="32">
        <f t="shared" si="6"/>
        <v>43924</v>
      </c>
      <c r="M138" s="40">
        <v>0</v>
      </c>
      <c r="N138" s="33">
        <v>38</v>
      </c>
      <c r="O138" s="34">
        <f>AVERAGEIF(L3:L1205,"&lt;2020/3/31",N3:N1205)</f>
        <v>112.14446529080675</v>
      </c>
      <c r="P138" s="38">
        <v>0</v>
      </c>
      <c r="Q138" s="38">
        <f>AVERAGEIF(L3:L1205,"&lt;2020/3/31",P3:P1205)</f>
        <v>0.43621013133208253</v>
      </c>
      <c r="R138" s="38">
        <v>1</v>
      </c>
      <c r="S138" s="38">
        <f>AVERAGEIF(L3:L1205,"&lt;2020/3/31",R3:R1205)</f>
        <v>1.2251407129455909</v>
      </c>
      <c r="T138" s="38">
        <v>3</v>
      </c>
      <c r="U138" s="38">
        <f>AVERAGEIF(L3:L1205,"&lt;2020/3/31",T3:T1205)</f>
        <v>7.0731707317073171</v>
      </c>
      <c r="V138" s="24">
        <v>1067</v>
      </c>
      <c r="W138" s="47" t="e">
        <v>#N/A</v>
      </c>
    </row>
    <row r="139" spans="1:23">
      <c r="A139" s="23">
        <v>2</v>
      </c>
      <c r="B139" s="23">
        <v>15</v>
      </c>
      <c r="C139" s="18">
        <v>4</v>
      </c>
      <c r="D139" s="18">
        <v>4</v>
      </c>
      <c r="E139" s="20">
        <v>153</v>
      </c>
      <c r="F139" s="21">
        <f t="shared" si="7"/>
        <v>110.65103189493433</v>
      </c>
      <c r="G139" s="22">
        <v>0.41261855899755001</v>
      </c>
      <c r="H139" s="18">
        <v>1</v>
      </c>
      <c r="I139" s="18">
        <f t="shared" si="8"/>
        <v>0</v>
      </c>
      <c r="J139" s="41">
        <v>43921</v>
      </c>
      <c r="K139" s="36">
        <v>2020</v>
      </c>
      <c r="L139" s="32">
        <f t="shared" si="6"/>
        <v>43923</v>
      </c>
      <c r="M139" s="40">
        <v>0</v>
      </c>
      <c r="N139" s="33">
        <v>38</v>
      </c>
      <c r="O139" s="34">
        <f>AVERAGEIF(L3:L1205,"&lt;2020/3/31",N3:N1205)</f>
        <v>112.14446529080675</v>
      </c>
      <c r="P139" s="38">
        <v>0</v>
      </c>
      <c r="Q139" s="38">
        <f>AVERAGEIF(L3:L1205,"&lt;2020/3/31",P3:P1205)</f>
        <v>0.43621013133208253</v>
      </c>
      <c r="R139" s="38">
        <v>1</v>
      </c>
      <c r="S139" s="38">
        <f>AVERAGEIF(L3:L1205,"&lt;2020/3/31",R3:R1205)</f>
        <v>1.2251407129455909</v>
      </c>
      <c r="T139" s="38">
        <v>2</v>
      </c>
      <c r="U139" s="38">
        <f>AVERAGEIF(L3:L1205,"&lt;2020/3/31",T3:T1205)</f>
        <v>7.0731707317073171</v>
      </c>
      <c r="V139" s="24">
        <v>1066</v>
      </c>
      <c r="W139" s="47" t="s">
        <v>4652</v>
      </c>
    </row>
    <row r="140" spans="1:23">
      <c r="A140" s="23">
        <v>2</v>
      </c>
      <c r="B140" s="23">
        <v>8</v>
      </c>
      <c r="C140" s="18">
        <v>4</v>
      </c>
      <c r="D140" s="18">
        <v>4</v>
      </c>
      <c r="E140" s="20">
        <v>50</v>
      </c>
      <c r="F140" s="21">
        <f t="shared" si="7"/>
        <v>110.70798122065727</v>
      </c>
      <c r="G140" s="22">
        <v>0.68612040684477904</v>
      </c>
      <c r="H140" s="18">
        <v>1</v>
      </c>
      <c r="I140" s="18">
        <f t="shared" si="8"/>
        <v>0</v>
      </c>
      <c r="J140" s="41">
        <v>43913</v>
      </c>
      <c r="K140" s="36">
        <v>2020</v>
      </c>
      <c r="L140" s="32">
        <f t="shared" si="6"/>
        <v>43914</v>
      </c>
      <c r="M140" s="40">
        <v>0</v>
      </c>
      <c r="N140" s="33">
        <v>77</v>
      </c>
      <c r="O140" s="34">
        <f>AVERAGEIF(L3:L1205,"&lt;2020/3/23",N3:N1205)</f>
        <v>112.24248120300751</v>
      </c>
      <c r="P140" s="38">
        <v>1</v>
      </c>
      <c r="Q140" s="38">
        <f>AVERAGEIF(L3:L1205,"&lt;2020/3/23",P3:P1205)</f>
        <v>0.43609022556390975</v>
      </c>
      <c r="R140" s="40">
        <v>1</v>
      </c>
      <c r="S140" s="40">
        <f>AVERAGEIF(L3:L1205,"&lt;2020/3/23",R3:R1205)</f>
        <v>1.2255639097744362</v>
      </c>
      <c r="T140" s="40">
        <v>1</v>
      </c>
      <c r="U140" s="40">
        <f>AVERAGEIF(L3:L1205,"&lt;2020/3/23",T3:T1205)</f>
        <v>7.0827067669172932</v>
      </c>
      <c r="V140" s="24">
        <v>1065</v>
      </c>
      <c r="W140" s="47" t="s">
        <v>4521</v>
      </c>
    </row>
    <row r="141" spans="1:23">
      <c r="A141" s="23">
        <v>4</v>
      </c>
      <c r="B141" s="23">
        <v>30</v>
      </c>
      <c r="C141" s="18">
        <v>4</v>
      </c>
      <c r="D141" s="18">
        <v>4</v>
      </c>
      <c r="E141" s="20">
        <v>68</v>
      </c>
      <c r="F141" s="21">
        <f t="shared" si="7"/>
        <v>110.74812030075188</v>
      </c>
      <c r="G141" s="22">
        <v>0.41265180486174402</v>
      </c>
      <c r="H141" s="18">
        <v>1</v>
      </c>
      <c r="I141" s="18">
        <f t="shared" si="8"/>
        <v>0</v>
      </c>
      <c r="J141" s="45">
        <v>43910</v>
      </c>
      <c r="K141" s="36">
        <v>2020</v>
      </c>
      <c r="L141" s="32">
        <f t="shared" si="6"/>
        <v>43913</v>
      </c>
      <c r="M141" s="42">
        <v>0</v>
      </c>
      <c r="N141" s="33">
        <v>43</v>
      </c>
      <c r="O141" s="34">
        <f>AVERAGEIF(L3:L1205,"&lt;2020/3/20",N3:N1205)</f>
        <v>112.2483537158984</v>
      </c>
      <c r="P141" s="38">
        <v>0</v>
      </c>
      <c r="Q141" s="38">
        <f>AVERAGEIF(L3:L1205,"&lt;2020/3/20",P3:P1205)</f>
        <v>0.43650047036688616</v>
      </c>
      <c r="R141" s="38">
        <v>1</v>
      </c>
      <c r="S141" s="38">
        <f>AVERAGEIF(L3:L1205,"&lt;2020/3/20",R3:R1205)</f>
        <v>1.2257761053621825</v>
      </c>
      <c r="T141" s="38">
        <v>3</v>
      </c>
      <c r="U141" s="38">
        <f>AVERAGEIF(L3:L1205,"&lt;2020/3/20",T3:T1205)</f>
        <v>7.0865475070555037</v>
      </c>
      <c r="V141" s="24">
        <v>1064</v>
      </c>
      <c r="W141" s="47" t="s">
        <v>4558</v>
      </c>
    </row>
    <row r="142" spans="1:23">
      <c r="A142" s="23">
        <v>2</v>
      </c>
      <c r="B142" s="23">
        <v>11</v>
      </c>
      <c r="C142" s="18">
        <v>4</v>
      </c>
      <c r="D142" s="18">
        <v>4</v>
      </c>
      <c r="E142" s="20">
        <v>48</v>
      </c>
      <c r="F142" s="21">
        <f t="shared" si="7"/>
        <v>110.8071495766698</v>
      </c>
      <c r="G142" s="22">
        <v>0.41525966749051602</v>
      </c>
      <c r="H142" s="18">
        <v>1</v>
      </c>
      <c r="I142" s="18">
        <f t="shared" si="8"/>
        <v>0</v>
      </c>
      <c r="J142" s="41">
        <v>43907</v>
      </c>
      <c r="K142" s="36">
        <v>2020</v>
      </c>
      <c r="L142" s="32">
        <f t="shared" si="6"/>
        <v>43910</v>
      </c>
      <c r="M142" s="40">
        <v>0</v>
      </c>
      <c r="N142" s="33">
        <v>106</v>
      </c>
      <c r="O142" s="34">
        <f>AVERAGEIF(L3:L1205,"&lt;2020/3/17",N3:N1205)</f>
        <v>112.17419962335217</v>
      </c>
      <c r="P142" s="38">
        <v>0</v>
      </c>
      <c r="Q142" s="38">
        <f>AVERAGEIF(L3:L1205,"&lt;2020/3/17",P3:P1205)</f>
        <v>0.435969868173258</v>
      </c>
      <c r="R142" s="38">
        <v>1</v>
      </c>
      <c r="S142" s="38">
        <f>AVERAGEIF(L3:L1205,"&lt;2020/3/17",R3:R1205)</f>
        <v>1.2259887005649717</v>
      </c>
      <c r="T142" s="38">
        <v>3</v>
      </c>
      <c r="U142" s="38">
        <f>AVERAGEIF(L3:L1205,"&lt;2020/3/17",T3:T1205)</f>
        <v>7.0903954802259888</v>
      </c>
      <c r="V142" s="24">
        <v>1063</v>
      </c>
      <c r="W142" s="47" t="s">
        <v>4521</v>
      </c>
    </row>
    <row r="143" spans="1:23">
      <c r="A143" s="23">
        <v>2</v>
      </c>
      <c r="B143" s="23">
        <v>6</v>
      </c>
      <c r="C143" s="18">
        <v>4</v>
      </c>
      <c r="D143" s="18">
        <v>2</v>
      </c>
      <c r="E143" s="20">
        <v>164</v>
      </c>
      <c r="F143" s="21">
        <f t="shared" si="7"/>
        <v>110.75706214689265</v>
      </c>
      <c r="G143" s="22">
        <v>0.41363213826934297</v>
      </c>
      <c r="H143" s="18">
        <v>1</v>
      </c>
      <c r="I143" s="18">
        <f t="shared" si="8"/>
        <v>0</v>
      </c>
      <c r="J143" s="41">
        <v>43904</v>
      </c>
      <c r="K143" s="36">
        <v>2020</v>
      </c>
      <c r="L143" s="32">
        <f t="shared" si="6"/>
        <v>43907</v>
      </c>
      <c r="M143" s="24">
        <v>1</v>
      </c>
      <c r="N143" s="33">
        <v>191</v>
      </c>
      <c r="O143" s="34">
        <f>AVERAGEIF(L3:L1205,"&lt;2020/3/14",N3:N1205)</f>
        <v>112.17419962335217</v>
      </c>
      <c r="P143" s="40">
        <v>1</v>
      </c>
      <c r="Q143" s="40">
        <f>AVERAGEIF(L3:L1205,"&lt;2020/3/14",P3:P1205)</f>
        <v>0.435969868173258</v>
      </c>
      <c r="R143" s="40">
        <v>1</v>
      </c>
      <c r="S143" s="40">
        <f>AVERAGEIF(L3:L1205,"&lt;2020/3/14",R3:R1205)</f>
        <v>1.2259887005649717</v>
      </c>
      <c r="T143" s="40">
        <v>3</v>
      </c>
      <c r="U143" s="40">
        <f>AVERAGEIF(L3:L1205,"&lt;2020/3/14",T3:T1205)</f>
        <v>7.0903954802259888</v>
      </c>
      <c r="V143" s="24">
        <v>1062</v>
      </c>
      <c r="W143" s="47" t="s">
        <v>4553</v>
      </c>
    </row>
    <row r="144" spans="1:23">
      <c r="A144" s="23">
        <v>4</v>
      </c>
      <c r="B144" s="23">
        <v>36</v>
      </c>
      <c r="C144" s="18">
        <v>4</v>
      </c>
      <c r="D144" s="18">
        <v>2</v>
      </c>
      <c r="E144" s="20">
        <v>55</v>
      </c>
      <c r="F144" s="21">
        <f t="shared" si="7"/>
        <v>110.8096135721018</v>
      </c>
      <c r="G144" s="22">
        <v>0.38149021758929602</v>
      </c>
      <c r="H144" s="18">
        <v>1</v>
      </c>
      <c r="I144" s="18">
        <f t="shared" si="8"/>
        <v>0</v>
      </c>
      <c r="J144" s="45">
        <v>43900</v>
      </c>
      <c r="K144" s="36">
        <v>2020</v>
      </c>
      <c r="L144" s="32">
        <f t="shared" si="6"/>
        <v>43902</v>
      </c>
      <c r="M144" s="42">
        <v>0</v>
      </c>
      <c r="N144" s="33">
        <v>69</v>
      </c>
      <c r="O144" s="34">
        <f>AVERAGEIF(L3:L1205,"&lt;2020/3/10",N3:N1205)</f>
        <v>112.21489161168709</v>
      </c>
      <c r="P144" s="38">
        <v>0</v>
      </c>
      <c r="Q144" s="38">
        <f>AVERAGEIF(L3:L1205,"&lt;2020/3/10",P3:P1205)</f>
        <v>0.43638077285579641</v>
      </c>
      <c r="R144" s="38">
        <v>1</v>
      </c>
      <c r="S144" s="38">
        <f>AVERAGEIF(L3:L1205,"&lt;2020/3/10",R3:R1205)</f>
        <v>1.2262016965127238</v>
      </c>
      <c r="T144" s="38">
        <v>2</v>
      </c>
      <c r="U144" s="38">
        <f>AVERAGEIF(L3:L1205,"&lt;2020/3/10",T3:T1205)</f>
        <v>7.0951932139491047</v>
      </c>
      <c r="V144" s="24">
        <v>1061</v>
      </c>
      <c r="W144" s="47" t="s">
        <v>4741</v>
      </c>
    </row>
    <row r="145" spans="1:23">
      <c r="A145" s="23">
        <v>3</v>
      </c>
      <c r="B145" s="23">
        <v>25</v>
      </c>
      <c r="C145" s="18">
        <v>1</v>
      </c>
      <c r="D145" s="18">
        <v>6</v>
      </c>
      <c r="E145" s="20">
        <v>209</v>
      </c>
      <c r="F145" s="21">
        <f t="shared" si="7"/>
        <v>110.71698113207547</v>
      </c>
      <c r="G145" s="22">
        <v>0.41262087750016602</v>
      </c>
      <c r="H145" s="3">
        <v>1</v>
      </c>
      <c r="I145" s="18">
        <f t="shared" si="8"/>
        <v>0</v>
      </c>
      <c r="J145" s="41">
        <v>43883</v>
      </c>
      <c r="K145" s="36">
        <v>2020</v>
      </c>
      <c r="L145" s="32">
        <f t="shared" si="6"/>
        <v>43890</v>
      </c>
      <c r="M145" s="40">
        <v>1</v>
      </c>
      <c r="N145" s="33">
        <v>90</v>
      </c>
      <c r="O145" s="34">
        <f>AVERAGEIF(L3:L1205,"&lt;2020/2/22",N3:N1205)</f>
        <v>112.15580736543909</v>
      </c>
      <c r="P145" s="38">
        <v>1</v>
      </c>
      <c r="Q145" s="38">
        <f>AVERAGEIF(L3:L1205,"&lt;2020/2/22",P3:P1205)</f>
        <v>0.43626062322946174</v>
      </c>
      <c r="R145" s="38">
        <v>1</v>
      </c>
      <c r="S145" s="38">
        <f>AVERAGEIF(L3:L1205,"&lt;2020/2/22",R3:R1205)</f>
        <v>1.2247403210576016</v>
      </c>
      <c r="T145" s="38">
        <v>7</v>
      </c>
      <c r="U145" s="38">
        <f>AVERAGEIF(L3:L1205,"&lt;2020/2/22",T3:T1205)</f>
        <v>7.0613786591123704</v>
      </c>
      <c r="V145" s="24">
        <v>1060</v>
      </c>
      <c r="W145" s="47" t="s">
        <v>4742</v>
      </c>
    </row>
    <row r="146" spans="1:23">
      <c r="A146" s="23">
        <v>4</v>
      </c>
      <c r="B146" s="23">
        <v>34</v>
      </c>
      <c r="C146" s="18">
        <v>4</v>
      </c>
      <c r="D146" s="18">
        <v>6</v>
      </c>
      <c r="E146" s="20">
        <v>48</v>
      </c>
      <c r="F146" s="21">
        <f t="shared" si="7"/>
        <v>110.77620396600567</v>
      </c>
      <c r="G146" s="22">
        <v>0.37555818217964898</v>
      </c>
      <c r="H146" s="18">
        <v>1</v>
      </c>
      <c r="I146" s="18">
        <f t="shared" si="8"/>
        <v>0</v>
      </c>
      <c r="J146" s="45">
        <v>43852</v>
      </c>
      <c r="K146" s="36">
        <v>2020</v>
      </c>
      <c r="L146" s="32">
        <f t="shared" si="6"/>
        <v>43864</v>
      </c>
      <c r="M146" s="42">
        <v>0</v>
      </c>
      <c r="N146" s="33">
        <v>205</v>
      </c>
      <c r="O146" s="34">
        <f>AVERAGEIF(L3:L1205,"&lt;2020/1/22",N3:N1205)</f>
        <v>112.06805293005671</v>
      </c>
      <c r="P146" s="38">
        <v>0</v>
      </c>
      <c r="Q146" s="38">
        <f>AVERAGEIF(L3:L1205,"&lt;2020/1/22",P3:P1205)</f>
        <v>0.43667296786389415</v>
      </c>
      <c r="R146" s="38">
        <v>1</v>
      </c>
      <c r="S146" s="38">
        <f>AVERAGEIF(L3:L1205,"&lt;2020/1/22",R3:R1205)</f>
        <v>1.2249527410207939</v>
      </c>
      <c r="T146" s="38">
        <v>12</v>
      </c>
      <c r="U146" s="38">
        <f>AVERAGEIF(L3:L1205,"&lt;2020/1/22",T3:T1205)</f>
        <v>7.0567107750472591</v>
      </c>
      <c r="V146" s="24">
        <v>1059</v>
      </c>
      <c r="W146" s="47" t="s">
        <v>4558</v>
      </c>
    </row>
    <row r="147" spans="1:23">
      <c r="A147" s="23">
        <v>2</v>
      </c>
      <c r="B147" s="23">
        <v>13</v>
      </c>
      <c r="C147" s="18">
        <v>4</v>
      </c>
      <c r="D147" s="18">
        <v>2</v>
      </c>
      <c r="E147" s="20">
        <v>140</v>
      </c>
      <c r="F147" s="21">
        <f t="shared" si="7"/>
        <v>110.74858223062382</v>
      </c>
      <c r="G147" s="22">
        <v>0.34090909422131399</v>
      </c>
      <c r="H147" s="18">
        <v>1</v>
      </c>
      <c r="I147" s="18">
        <f t="shared" si="8"/>
        <v>0</v>
      </c>
      <c r="J147" s="41">
        <v>43849</v>
      </c>
      <c r="K147" s="36">
        <v>2020</v>
      </c>
      <c r="L147" s="32">
        <f t="shared" si="6"/>
        <v>43892</v>
      </c>
      <c r="M147" s="40">
        <v>0</v>
      </c>
      <c r="N147" s="33">
        <v>197</v>
      </c>
      <c r="O147" s="34">
        <f>AVERAGEIF(L3:L1205,"&lt;2020/1/19",N3:N1205)</f>
        <v>112.10217596972564</v>
      </c>
      <c r="P147" s="38">
        <v>0</v>
      </c>
      <c r="Q147" s="38">
        <f>AVERAGEIF(L3:L1205,"&lt;2020/1/19",P3:P1205)</f>
        <v>0.43519394512771997</v>
      </c>
      <c r="R147" s="38">
        <v>3</v>
      </c>
      <c r="S147" s="38">
        <f>AVERAGEIF(L3:L1205,"&lt;2020/1/19",R3:R1205)</f>
        <v>1.2242194891201514</v>
      </c>
      <c r="T147" s="38">
        <v>43</v>
      </c>
      <c r="U147" s="38">
        <f>AVERAGEIF(L3:L1205,"&lt;2020/1/19",T3:T1205)</f>
        <v>7.0529801324503314</v>
      </c>
      <c r="V147" s="24">
        <v>1058</v>
      </c>
      <c r="W147" s="47" t="s">
        <v>4624</v>
      </c>
    </row>
    <row r="148" spans="1:23">
      <c r="A148" s="23">
        <v>2</v>
      </c>
      <c r="B148" s="23">
        <v>11</v>
      </c>
      <c r="C148" s="18">
        <v>4</v>
      </c>
      <c r="D148" s="18">
        <v>6</v>
      </c>
      <c r="E148" s="20">
        <v>31</v>
      </c>
      <c r="F148" s="21">
        <f t="shared" si="7"/>
        <v>110.82403027436141</v>
      </c>
      <c r="G148" s="22">
        <v>0.34443348198826401</v>
      </c>
      <c r="H148" s="18">
        <v>1</v>
      </c>
      <c r="I148" s="18">
        <f t="shared" si="8"/>
        <v>0</v>
      </c>
      <c r="J148" s="41">
        <v>43842</v>
      </c>
      <c r="K148" s="36">
        <v>2020</v>
      </c>
      <c r="L148" s="32">
        <f t="shared" si="6"/>
        <v>43845</v>
      </c>
      <c r="M148" s="37">
        <v>1</v>
      </c>
      <c r="N148" s="33">
        <v>92</v>
      </c>
      <c r="O148" s="34">
        <f>AVERAGEIF(L3:L1205,"&lt;2020/1/12",N3:N1205)</f>
        <v>112.30161750713606</v>
      </c>
      <c r="P148" s="38">
        <v>0</v>
      </c>
      <c r="Q148" s="38">
        <f>AVERAGEIF(L3:L1205,"&lt;2020/1/12",P3:P1205)</f>
        <v>0.43577545195052331</v>
      </c>
      <c r="R148" s="38">
        <v>1</v>
      </c>
      <c r="S148" s="38">
        <f>AVERAGEIF(L3:L1205,"&lt;2020/1/12",R3:R1205)</f>
        <v>1.225499524262607</v>
      </c>
      <c r="T148" s="38">
        <v>3</v>
      </c>
      <c r="U148" s="38">
        <f>AVERAGEIF(L3:L1205,"&lt;2020/1/12",T3:T1205)</f>
        <v>7.0647002854424361</v>
      </c>
      <c r="V148" s="24">
        <v>1057</v>
      </c>
      <c r="W148" s="47" t="s">
        <v>4550</v>
      </c>
    </row>
    <row r="149" spans="1:23">
      <c r="A149" s="23">
        <v>2</v>
      </c>
      <c r="B149" s="23">
        <v>14</v>
      </c>
      <c r="C149" s="18">
        <v>4</v>
      </c>
      <c r="D149" s="18">
        <v>2</v>
      </c>
      <c r="E149" s="20">
        <v>76</v>
      </c>
      <c r="F149" s="21">
        <f t="shared" si="7"/>
        <v>110.85700757575758</v>
      </c>
      <c r="G149" s="22">
        <v>0.37664987374640502</v>
      </c>
      <c r="H149" s="18">
        <v>1</v>
      </c>
      <c r="I149" s="18">
        <f t="shared" si="8"/>
        <v>0</v>
      </c>
      <c r="J149" s="41">
        <v>43842</v>
      </c>
      <c r="K149" s="36">
        <v>2020</v>
      </c>
      <c r="L149" s="32">
        <f t="shared" si="6"/>
        <v>43845</v>
      </c>
      <c r="M149" s="40">
        <v>0</v>
      </c>
      <c r="N149" s="33">
        <v>98</v>
      </c>
      <c r="O149" s="34">
        <f>AVERAGEIF(L3:L1205,"&lt;2020/1/12",N3:N1205)</f>
        <v>112.30161750713606</v>
      </c>
      <c r="P149" s="38">
        <v>1</v>
      </c>
      <c r="Q149" s="38">
        <f>AVERAGEIF(L3:L1205,"&lt;2020/1/12",P3:P1205)</f>
        <v>0.43577545195052331</v>
      </c>
      <c r="R149" s="38">
        <v>1</v>
      </c>
      <c r="S149" s="38">
        <f>AVERAGEIF(L3:L1205,"&lt;2020/1/12",R3:R1205)</f>
        <v>1.225499524262607</v>
      </c>
      <c r="T149" s="38">
        <v>3</v>
      </c>
      <c r="U149" s="38">
        <f>AVERAGEIF(L3:L1205,"&lt;2020/1/12",T3:T1205)</f>
        <v>7.0647002854424361</v>
      </c>
      <c r="V149" s="24">
        <v>1056</v>
      </c>
      <c r="W149" s="47" t="s">
        <v>4558</v>
      </c>
    </row>
    <row r="150" spans="1:23">
      <c r="A150" s="23">
        <v>2</v>
      </c>
      <c r="B150" s="23">
        <v>7</v>
      </c>
      <c r="C150" s="18">
        <v>4</v>
      </c>
      <c r="D150" s="18">
        <v>6</v>
      </c>
      <c r="E150" s="20">
        <v>170</v>
      </c>
      <c r="F150" s="21">
        <f t="shared" si="7"/>
        <v>110.80094786729858</v>
      </c>
      <c r="G150" s="22">
        <v>0.37500018741957702</v>
      </c>
      <c r="H150" s="18">
        <v>0</v>
      </c>
      <c r="I150" s="18">
        <f t="shared" si="8"/>
        <v>1</v>
      </c>
      <c r="J150" s="41">
        <v>43840</v>
      </c>
      <c r="K150" s="36">
        <v>2020</v>
      </c>
      <c r="L150" s="32">
        <f t="shared" si="6"/>
        <v>43845</v>
      </c>
      <c r="M150" s="40">
        <v>0</v>
      </c>
      <c r="N150" s="33">
        <v>33</v>
      </c>
      <c r="O150" s="34">
        <f>AVERAGEIF(L3:L1205,"&lt;2020/1/10",N3:N1205)</f>
        <v>112.28190476190476</v>
      </c>
      <c r="P150" s="38">
        <v>0</v>
      </c>
      <c r="Q150" s="38">
        <f>AVERAGEIF(L3:L1205,"&lt;2020/1/10",P3:P1205)</f>
        <v>0.43523809523809526</v>
      </c>
      <c r="R150" s="38">
        <v>1</v>
      </c>
      <c r="S150" s="38">
        <f>AVERAGEIF(L3:L1205,"&lt;2020/1/10",R3:R1205)</f>
        <v>1.2257142857142858</v>
      </c>
      <c r="T150" s="38">
        <v>5</v>
      </c>
      <c r="U150" s="38">
        <f>AVERAGEIF(L3:L1205,"&lt;2020/1/10",T3:T1205)</f>
        <v>7.0666666666666664</v>
      </c>
      <c r="V150" s="24">
        <v>1055</v>
      </c>
      <c r="W150" s="47" t="s">
        <v>4624</v>
      </c>
    </row>
    <row r="151" spans="1:23">
      <c r="A151" s="23">
        <v>2</v>
      </c>
      <c r="B151" s="23">
        <v>18</v>
      </c>
      <c r="C151" s="18">
        <v>4</v>
      </c>
      <c r="D151" s="18">
        <v>4</v>
      </c>
      <c r="E151" s="20">
        <v>38</v>
      </c>
      <c r="F151" s="21">
        <f t="shared" si="7"/>
        <v>110.87001897533207</v>
      </c>
      <c r="G151" s="22">
        <v>0.422586683768511</v>
      </c>
      <c r="H151" s="18">
        <v>1</v>
      </c>
      <c r="I151" s="18">
        <f t="shared" si="8"/>
        <v>0</v>
      </c>
      <c r="J151" s="41">
        <v>43839</v>
      </c>
      <c r="K151" s="36">
        <v>2020</v>
      </c>
      <c r="L151" s="32">
        <f t="shared" si="6"/>
        <v>43843</v>
      </c>
      <c r="M151" s="40">
        <v>0</v>
      </c>
      <c r="N151" s="33">
        <v>57</v>
      </c>
      <c r="O151" s="34">
        <f>AVERAGEIF(L3:L1205,"&lt;2020/1/9",N3:N1205)</f>
        <v>112.32030505243088</v>
      </c>
      <c r="P151" s="38">
        <v>0</v>
      </c>
      <c r="Q151" s="38">
        <f>AVERAGEIF(L3:L1205,"&lt;2020/1/9",P3:P1205)</f>
        <v>0.43469971401334606</v>
      </c>
      <c r="R151" s="38">
        <v>1</v>
      </c>
      <c r="S151" s="38">
        <f>AVERAGEIF(L3:L1205,"&lt;2020/1/9",R3:R1205)</f>
        <v>1.2259294566253576</v>
      </c>
      <c r="T151" s="38">
        <v>4</v>
      </c>
      <c r="U151" s="38">
        <f>AVERAGEIF(L3:L1205,"&lt;2020/1/9",T3:T1205)</f>
        <v>7.067683508102955</v>
      </c>
      <c r="V151" s="24">
        <v>1054</v>
      </c>
      <c r="W151" s="47" t="s">
        <v>4553</v>
      </c>
    </row>
    <row r="152" spans="1:23">
      <c r="A152" s="23">
        <v>3</v>
      </c>
      <c r="B152" s="23">
        <v>21</v>
      </c>
      <c r="C152" s="18">
        <v>4</v>
      </c>
      <c r="D152" s="18">
        <v>2</v>
      </c>
      <c r="E152" s="20">
        <v>173</v>
      </c>
      <c r="F152" s="21">
        <f t="shared" si="7"/>
        <v>110.81101614434948</v>
      </c>
      <c r="G152" s="22">
        <v>0.37500000033467101</v>
      </c>
      <c r="H152" s="3">
        <v>1</v>
      </c>
      <c r="I152" s="18">
        <f t="shared" si="8"/>
        <v>0</v>
      </c>
      <c r="J152" s="41">
        <v>43839</v>
      </c>
      <c r="K152" s="36">
        <v>2020</v>
      </c>
      <c r="L152" s="32">
        <f t="shared" si="6"/>
        <v>43850</v>
      </c>
      <c r="M152" s="40">
        <v>0</v>
      </c>
      <c r="N152" s="33">
        <v>76</v>
      </c>
      <c r="O152" s="34">
        <f>AVERAGEIF(L3:L1205,"&lt;2020/1/9",N3:N1205)</f>
        <v>112.32030505243088</v>
      </c>
      <c r="P152" s="38">
        <v>2</v>
      </c>
      <c r="Q152" s="38">
        <f>AVERAGEIF(L3:L1205,"&lt;2020/1/9",P3:P1205)</f>
        <v>0.43469971401334606</v>
      </c>
      <c r="R152" s="38">
        <v>2</v>
      </c>
      <c r="S152" s="38">
        <f>AVERAGEIF(L3:L1205,"&lt;2020/1/9",R3:R1205)</f>
        <v>1.2259294566253576</v>
      </c>
      <c r="T152" s="38">
        <v>11</v>
      </c>
      <c r="U152" s="38">
        <f>AVERAGEIF(L3:L1205,"&lt;2020/1/9",T3:T1205)</f>
        <v>7.067683508102955</v>
      </c>
      <c r="V152" s="24">
        <v>1053</v>
      </c>
      <c r="W152" s="47" t="s">
        <v>4572</v>
      </c>
    </row>
    <row r="153" spans="1:23">
      <c r="A153" s="23">
        <v>2</v>
      </c>
      <c r="B153" s="23">
        <v>6</v>
      </c>
      <c r="C153" s="18">
        <v>4</v>
      </c>
      <c r="D153" s="18">
        <v>6</v>
      </c>
      <c r="E153" s="20">
        <v>280</v>
      </c>
      <c r="F153" s="21">
        <f t="shared" si="7"/>
        <v>110.65019011406844</v>
      </c>
      <c r="G153" s="22">
        <v>0.41250022426692301</v>
      </c>
      <c r="H153" s="18">
        <v>0</v>
      </c>
      <c r="I153" s="18">
        <f t="shared" si="8"/>
        <v>1</v>
      </c>
      <c r="J153" s="41">
        <v>43836</v>
      </c>
      <c r="K153" s="36">
        <v>2020</v>
      </c>
      <c r="L153" s="32">
        <f t="shared" si="6"/>
        <v>43843</v>
      </c>
      <c r="M153" s="24">
        <v>1</v>
      </c>
      <c r="N153" s="33">
        <v>120</v>
      </c>
      <c r="O153" s="34">
        <f>AVERAGEIF(L3:L1205,"&lt;2020/1/6",N3:N1205)</f>
        <v>112.41929321872016</v>
      </c>
      <c r="P153" s="38">
        <v>0</v>
      </c>
      <c r="Q153" s="38">
        <f>AVERAGEIF(L3:L1205,"&lt;2020/1/6",P3:P1205)</f>
        <v>0.43457497612225404</v>
      </c>
      <c r="R153" s="38">
        <v>1</v>
      </c>
      <c r="S153" s="38">
        <f>AVERAGEIF(L3:L1205,"&lt;2020/1/6",R3:R1205)</f>
        <v>1.2263610315186246</v>
      </c>
      <c r="T153" s="38">
        <v>7</v>
      </c>
      <c r="U153" s="38">
        <f>AVERAGEIF(L3:L1205,"&lt;2020/1/6",T3:T1205)</f>
        <v>7.0697230181470871</v>
      </c>
      <c r="V153" s="24">
        <v>1052</v>
      </c>
      <c r="W153" s="47" t="s">
        <v>4661</v>
      </c>
    </row>
    <row r="154" spans="1:23">
      <c r="A154" s="23">
        <v>2</v>
      </c>
      <c r="B154" s="23">
        <v>11</v>
      </c>
      <c r="C154" s="18">
        <v>4</v>
      </c>
      <c r="D154" s="18">
        <v>6</v>
      </c>
      <c r="E154" s="20">
        <v>50</v>
      </c>
      <c r="F154" s="21">
        <f t="shared" si="7"/>
        <v>110.70789724072313</v>
      </c>
      <c r="G154" s="22">
        <v>0.41395662721968801</v>
      </c>
      <c r="H154" s="18">
        <v>1</v>
      </c>
      <c r="I154" s="18">
        <f t="shared" si="8"/>
        <v>0</v>
      </c>
      <c r="J154" s="41">
        <v>43835</v>
      </c>
      <c r="K154" s="36">
        <v>2020</v>
      </c>
      <c r="L154" s="32">
        <f t="shared" si="6"/>
        <v>43840</v>
      </c>
      <c r="M154" s="40">
        <v>1</v>
      </c>
      <c r="N154" s="33">
        <v>133</v>
      </c>
      <c r="O154" s="34">
        <f>AVERAGEIF(L3:L1205,"&lt;2020/1/5",N3:N1205)</f>
        <v>112.41929321872016</v>
      </c>
      <c r="P154" s="38">
        <v>1</v>
      </c>
      <c r="Q154" s="38">
        <f>AVERAGEIF(L3:L1205,"&lt;2020/1/5",P3:P1205)</f>
        <v>0.43457497612225404</v>
      </c>
      <c r="R154" s="38">
        <v>1</v>
      </c>
      <c r="S154" s="38">
        <f>AVERAGEIF(L3:L1205,"&lt;2020/1/5",R3:R1205)</f>
        <v>1.2263610315186246</v>
      </c>
      <c r="T154" s="38">
        <v>5</v>
      </c>
      <c r="U154" s="38">
        <f>AVERAGEIF(L3:L1205,"&lt;2020/1/5",T3:T1205)</f>
        <v>7.0697230181470871</v>
      </c>
      <c r="V154" s="24">
        <v>1051</v>
      </c>
      <c r="W154" s="47" t="s">
        <v>4558</v>
      </c>
    </row>
    <row r="155" spans="1:23">
      <c r="A155" s="23">
        <v>2</v>
      </c>
      <c r="B155" s="23">
        <v>17</v>
      </c>
      <c r="C155" s="18">
        <v>4</v>
      </c>
      <c r="D155" s="18">
        <v>8</v>
      </c>
      <c r="E155" s="20">
        <v>136</v>
      </c>
      <c r="F155" s="21">
        <f t="shared" si="7"/>
        <v>110.68380952380953</v>
      </c>
      <c r="G155" s="22">
        <v>0.28175876398808197</v>
      </c>
      <c r="H155" s="18">
        <v>1</v>
      </c>
      <c r="I155" s="18">
        <f t="shared" si="8"/>
        <v>0</v>
      </c>
      <c r="J155" s="41">
        <v>43835</v>
      </c>
      <c r="K155" s="36">
        <v>2020</v>
      </c>
      <c r="L155" s="32">
        <f t="shared" si="6"/>
        <v>43837</v>
      </c>
      <c r="M155" s="40">
        <v>1</v>
      </c>
      <c r="N155" s="33">
        <v>87</v>
      </c>
      <c r="O155" s="34">
        <f>AVERAGEIF(L3:L1205,"&lt;2020/1/5",N3:N1205)</f>
        <v>112.41929321872016</v>
      </c>
      <c r="P155" s="40">
        <v>0</v>
      </c>
      <c r="Q155" s="40">
        <f>AVERAGEIF(L3:L1205,"&lt;2020/1/5",P3:P1205)</f>
        <v>0.43457497612225404</v>
      </c>
      <c r="R155" s="40">
        <v>1</v>
      </c>
      <c r="S155" s="40">
        <f>AVERAGEIF(L3:L1205,"&lt;2020/1/5",R3:R1205)</f>
        <v>1.2263610315186246</v>
      </c>
      <c r="T155" s="40">
        <v>2</v>
      </c>
      <c r="U155" s="40">
        <f>AVERAGEIF(L3:L1205,"&lt;2020/1/5",T3:T1205)</f>
        <v>7.0697230181470871</v>
      </c>
      <c r="V155" s="24">
        <v>1050</v>
      </c>
      <c r="W155" s="47" t="s">
        <v>4558</v>
      </c>
    </row>
    <row r="156" spans="1:23">
      <c r="A156" s="23">
        <v>3</v>
      </c>
      <c r="B156" s="23">
        <v>21</v>
      </c>
      <c r="C156" s="18">
        <v>4</v>
      </c>
      <c r="D156" s="18">
        <v>2</v>
      </c>
      <c r="E156" s="20">
        <v>81</v>
      </c>
      <c r="F156" s="21">
        <f t="shared" si="7"/>
        <v>110.71210676835081</v>
      </c>
      <c r="G156" s="22">
        <v>0.25613030996790798</v>
      </c>
      <c r="H156" s="3">
        <v>1</v>
      </c>
      <c r="I156" s="18">
        <f t="shared" si="8"/>
        <v>0</v>
      </c>
      <c r="J156" s="41">
        <v>43835</v>
      </c>
      <c r="K156" s="36">
        <v>2020</v>
      </c>
      <c r="L156" s="32">
        <f t="shared" si="6"/>
        <v>43843</v>
      </c>
      <c r="M156" s="40">
        <v>0</v>
      </c>
      <c r="N156" s="33">
        <v>63</v>
      </c>
      <c r="O156" s="34">
        <f>AVERAGEIF(L3:L1205,"&lt;2020/1/5",N3:N1205)</f>
        <v>112.41929321872016</v>
      </c>
      <c r="P156" s="38">
        <v>1</v>
      </c>
      <c r="Q156" s="38">
        <f>AVERAGEIF(L3:L1205,"&lt;2020/1/5",P3:P1205)</f>
        <v>0.43457497612225404</v>
      </c>
      <c r="R156" s="38">
        <v>1</v>
      </c>
      <c r="S156" s="38">
        <f>AVERAGEIF(L3:L1205,"&lt;2020/1/5",R3:R1205)</f>
        <v>1.2263610315186246</v>
      </c>
      <c r="T156" s="38">
        <v>8</v>
      </c>
      <c r="U156" s="38">
        <f>AVERAGEIF(L3:L1205,"&lt;2020/1/5",T3:T1205)</f>
        <v>7.0697230181470871</v>
      </c>
      <c r="V156" s="24">
        <v>1049</v>
      </c>
      <c r="W156" s="47" t="s">
        <v>4529</v>
      </c>
    </row>
    <row r="157" spans="1:23">
      <c r="A157" s="23">
        <v>2</v>
      </c>
      <c r="B157" s="23">
        <v>6</v>
      </c>
      <c r="C157" s="18">
        <v>4</v>
      </c>
      <c r="D157" s="18">
        <v>4</v>
      </c>
      <c r="E157" s="20">
        <v>75</v>
      </c>
      <c r="F157" s="21">
        <f t="shared" si="7"/>
        <v>110.74618320610686</v>
      </c>
      <c r="G157" s="22">
        <v>0.41250502891038299</v>
      </c>
      <c r="H157" s="18">
        <v>1</v>
      </c>
      <c r="I157" s="18">
        <f t="shared" si="8"/>
        <v>0</v>
      </c>
      <c r="J157" s="41">
        <v>43833</v>
      </c>
      <c r="K157" s="36">
        <v>2020</v>
      </c>
      <c r="L157" s="32">
        <f t="shared" si="6"/>
        <v>43839</v>
      </c>
      <c r="M157" s="40">
        <v>0</v>
      </c>
      <c r="N157" s="33">
        <v>72</v>
      </c>
      <c r="O157" s="34">
        <f>AVERAGEIF(L3:L1205,"&lt;2020/1/3",N3:N1205)</f>
        <v>112.41929321872016</v>
      </c>
      <c r="P157" s="40">
        <v>1</v>
      </c>
      <c r="Q157" s="40">
        <f>AVERAGEIF(L3:L1205,"&lt;2020/1/3",P3:P1205)</f>
        <v>0.43457497612225404</v>
      </c>
      <c r="R157" s="40">
        <v>1</v>
      </c>
      <c r="S157" s="40">
        <f>AVERAGEIF(L3:L1205,"&lt;2020/1/3",R3:R1205)</f>
        <v>1.2263610315186246</v>
      </c>
      <c r="T157" s="40">
        <v>6</v>
      </c>
      <c r="U157" s="40">
        <f>AVERAGEIF(L3:L1205,"&lt;2020/1/3",T3:T1205)</f>
        <v>7.0697230181470871</v>
      </c>
      <c r="V157" s="24">
        <v>1048</v>
      </c>
      <c r="W157" s="47" t="s">
        <v>4634</v>
      </c>
    </row>
    <row r="158" spans="1:23">
      <c r="A158" s="23">
        <v>2</v>
      </c>
      <c r="B158" s="23">
        <v>11</v>
      </c>
      <c r="C158" s="18">
        <v>4</v>
      </c>
      <c r="D158" s="18">
        <v>6</v>
      </c>
      <c r="E158" s="20">
        <v>74</v>
      </c>
      <c r="F158" s="21">
        <f t="shared" si="7"/>
        <v>110.78127984718243</v>
      </c>
      <c r="G158" s="22">
        <v>0.87459094202990495</v>
      </c>
      <c r="H158" s="18">
        <v>1</v>
      </c>
      <c r="I158" s="18">
        <f t="shared" si="8"/>
        <v>0</v>
      </c>
      <c r="J158" s="41">
        <v>43828</v>
      </c>
      <c r="K158" s="36">
        <v>2019</v>
      </c>
      <c r="L158" s="32">
        <f t="shared" si="6"/>
        <v>43830</v>
      </c>
      <c r="M158" s="40">
        <v>1</v>
      </c>
      <c r="N158" s="33">
        <v>122</v>
      </c>
      <c r="O158" s="34">
        <f>AVERAGEIF(L3:L1205,"&lt;2019/12/29",N3:N1205)</f>
        <v>112.40613026819923</v>
      </c>
      <c r="P158" s="49">
        <v>1</v>
      </c>
      <c r="Q158" s="38">
        <f>AVERAGEIF(L3:L1205,"&lt;2019/12/29",P3:P1205)</f>
        <v>0.43486590038314177</v>
      </c>
      <c r="R158" s="38">
        <v>1</v>
      </c>
      <c r="S158" s="38">
        <f>AVERAGEIF(L3:L1205,"&lt;2019/12/29",R3:R1205)</f>
        <v>1.2270114942528736</v>
      </c>
      <c r="T158" s="49">
        <v>2</v>
      </c>
      <c r="U158" s="38">
        <f>AVERAGEIF(L3:L1205,"&lt;2019/12/29",T3:T1205)</f>
        <v>7.083333333333333</v>
      </c>
      <c r="V158" s="24">
        <v>1047</v>
      </c>
      <c r="W158" s="47" t="s">
        <v>4529</v>
      </c>
    </row>
    <row r="159" spans="1:23">
      <c r="A159" s="23">
        <v>2</v>
      </c>
      <c r="B159" s="23">
        <v>11</v>
      </c>
      <c r="C159" s="18">
        <v>4</v>
      </c>
      <c r="D159" s="18">
        <v>6</v>
      </c>
      <c r="E159" s="20">
        <v>82</v>
      </c>
      <c r="F159" s="21">
        <f t="shared" si="7"/>
        <v>110.80879541108986</v>
      </c>
      <c r="G159" s="22">
        <v>0.37763612820918702</v>
      </c>
      <c r="H159" s="18">
        <v>1</v>
      </c>
      <c r="I159" s="18">
        <f t="shared" si="8"/>
        <v>0</v>
      </c>
      <c r="J159" s="41">
        <v>43828</v>
      </c>
      <c r="K159" s="36">
        <v>2019</v>
      </c>
      <c r="L159" s="32">
        <f t="shared" si="6"/>
        <v>43830</v>
      </c>
      <c r="M159" s="40">
        <v>1</v>
      </c>
      <c r="N159" s="33">
        <v>130</v>
      </c>
      <c r="O159" s="34">
        <f>AVERAGEIF(L3:L1205,"&lt;2019/12/29",N3:N1205)</f>
        <v>112.40613026819923</v>
      </c>
      <c r="P159" s="38">
        <v>0</v>
      </c>
      <c r="Q159" s="38">
        <f>AVERAGEIF(L3:L1205,"&lt;2019/12/29",P3:P1205)</f>
        <v>0.43486590038314177</v>
      </c>
      <c r="R159" s="38">
        <v>1</v>
      </c>
      <c r="S159" s="38">
        <f>AVERAGEIF(L3:L1205,"&lt;2019/12/29",R3:R1205)</f>
        <v>1.2270114942528736</v>
      </c>
      <c r="T159" s="38">
        <v>2</v>
      </c>
      <c r="U159" s="38">
        <f>AVERAGEIF(L3:L1205,"&lt;2019/12/29",T3:T1205)</f>
        <v>7.083333333333333</v>
      </c>
      <c r="V159" s="24">
        <v>1046</v>
      </c>
      <c r="W159" s="47" t="s">
        <v>4550</v>
      </c>
    </row>
    <row r="160" spans="1:23">
      <c r="A160" s="23">
        <v>2</v>
      </c>
      <c r="B160" s="23">
        <v>6</v>
      </c>
      <c r="C160" s="18">
        <v>4</v>
      </c>
      <c r="D160" s="18">
        <v>2</v>
      </c>
      <c r="E160" s="20">
        <v>99</v>
      </c>
      <c r="F160" s="21">
        <f t="shared" si="7"/>
        <v>110.8200956937799</v>
      </c>
      <c r="G160" s="22">
        <v>0.37552889268629502</v>
      </c>
      <c r="H160" s="18">
        <v>1</v>
      </c>
      <c r="I160" s="18">
        <f t="shared" si="8"/>
        <v>0</v>
      </c>
      <c r="J160" s="41">
        <v>43827</v>
      </c>
      <c r="K160" s="36">
        <v>2019</v>
      </c>
      <c r="L160" s="32">
        <f t="shared" si="6"/>
        <v>43830</v>
      </c>
      <c r="M160" s="40">
        <v>1</v>
      </c>
      <c r="N160" s="33">
        <v>99</v>
      </c>
      <c r="O160" s="34">
        <f>AVERAGEIF(L3:L1205,"&lt;2019/12/28",N3:N1205)</f>
        <v>112.40613026819923</v>
      </c>
      <c r="P160" s="38">
        <v>0</v>
      </c>
      <c r="Q160" s="38">
        <f>AVERAGEIF(L3:L1205,"&lt;2019/12/28",P3:P1205)</f>
        <v>0.43486590038314177</v>
      </c>
      <c r="R160" s="38">
        <v>1</v>
      </c>
      <c r="S160" s="38">
        <f>AVERAGEIF(L3:L1205,"&lt;2019/12/28",R3:R1205)</f>
        <v>1.2270114942528736</v>
      </c>
      <c r="T160" s="38">
        <v>3</v>
      </c>
      <c r="U160" s="38">
        <f>AVERAGEIF(L3:L1205,"&lt;2019/12/28",T3:T1205)</f>
        <v>7.083333333333333</v>
      </c>
      <c r="V160" s="24">
        <v>1045</v>
      </c>
      <c r="W160" s="47" t="s">
        <v>4618</v>
      </c>
    </row>
    <row r="161" spans="1:23">
      <c r="A161" s="23">
        <v>2</v>
      </c>
      <c r="B161" s="23">
        <v>7</v>
      </c>
      <c r="C161" s="18">
        <v>4</v>
      </c>
      <c r="D161" s="18">
        <v>6</v>
      </c>
      <c r="E161" s="20">
        <v>159</v>
      </c>
      <c r="F161" s="21">
        <f t="shared" si="7"/>
        <v>110.77394636015326</v>
      </c>
      <c r="G161" s="22">
        <v>0.28231267401726701</v>
      </c>
      <c r="H161" s="18">
        <v>1</v>
      </c>
      <c r="I161" s="18">
        <f t="shared" si="8"/>
        <v>0</v>
      </c>
      <c r="J161" s="41">
        <v>43826</v>
      </c>
      <c r="K161" s="36">
        <v>2019</v>
      </c>
      <c r="L161" s="32">
        <f t="shared" si="6"/>
        <v>43836</v>
      </c>
      <c r="M161" s="40">
        <v>0</v>
      </c>
      <c r="N161" s="33">
        <v>34</v>
      </c>
      <c r="O161" s="34">
        <f>AVERAGEIF(L3:L1205,"&lt;2019/12/27",N3:N1205)</f>
        <v>112.40613026819923</v>
      </c>
      <c r="P161" s="38">
        <v>1</v>
      </c>
      <c r="Q161" s="38">
        <f>AVERAGEIF(L3:L1205,"&lt;2019/12/27",P3:P1205)</f>
        <v>0.43486590038314177</v>
      </c>
      <c r="R161" s="38">
        <v>1</v>
      </c>
      <c r="S161" s="38">
        <f>AVERAGEIF(L3:L1205,"&lt;2019/12/27",R3:R1205)</f>
        <v>1.2270114942528736</v>
      </c>
      <c r="T161" s="38">
        <v>10</v>
      </c>
      <c r="U161" s="38">
        <f>AVERAGEIF(L3:L1205,"&lt;2019/12/27",T3:T1205)</f>
        <v>7.083333333333333</v>
      </c>
      <c r="V161" s="24">
        <v>1044</v>
      </c>
      <c r="W161" s="47" t="s">
        <v>4550</v>
      </c>
    </row>
    <row r="162" spans="1:23">
      <c r="A162" s="23">
        <v>3</v>
      </c>
      <c r="B162" s="23">
        <v>25</v>
      </c>
      <c r="C162" s="18">
        <v>4</v>
      </c>
      <c r="D162" s="18">
        <v>2</v>
      </c>
      <c r="E162" s="20">
        <v>72</v>
      </c>
      <c r="F162" s="21">
        <f t="shared" si="7"/>
        <v>110.8111217641419</v>
      </c>
      <c r="G162" s="22">
        <v>0.37550681382715501</v>
      </c>
      <c r="H162" s="3">
        <v>0</v>
      </c>
      <c r="I162" s="18">
        <f t="shared" si="8"/>
        <v>1</v>
      </c>
      <c r="J162" s="41">
        <v>43810</v>
      </c>
      <c r="K162" s="36">
        <v>2019</v>
      </c>
      <c r="L162" s="32">
        <f t="shared" si="6"/>
        <v>43812</v>
      </c>
      <c r="M162" s="40">
        <v>0</v>
      </c>
      <c r="N162" s="33">
        <v>64</v>
      </c>
      <c r="O162" s="34">
        <f>AVERAGEIF(L3:L1205,"&lt;2019/12/11",N3:N1205)</f>
        <v>112.44817658349328</v>
      </c>
      <c r="P162" s="38">
        <v>0</v>
      </c>
      <c r="Q162" s="38">
        <f>AVERAGEIF(L3:L1205,"&lt;2019/12/11",P3:P1205)</f>
        <v>0.43570057581573896</v>
      </c>
      <c r="R162" s="38">
        <v>1</v>
      </c>
      <c r="S162" s="38">
        <f>AVERAGEIF(L3:L1205,"&lt;2019/12/11",R3:R1205)</f>
        <v>1.227447216890595</v>
      </c>
      <c r="T162" s="38">
        <v>2</v>
      </c>
      <c r="U162" s="38">
        <f>AVERAGEIF(L3:L1205,"&lt;2019/12/11",T3:T1205)</f>
        <v>7.09021113243762</v>
      </c>
      <c r="V162" s="24">
        <v>1043</v>
      </c>
      <c r="W162" s="47" t="s">
        <v>4521</v>
      </c>
    </row>
    <row r="163" spans="1:23">
      <c r="A163" s="23">
        <v>2</v>
      </c>
      <c r="B163" s="23">
        <v>9</v>
      </c>
      <c r="C163" s="18">
        <v>4</v>
      </c>
      <c r="D163" s="18">
        <v>4</v>
      </c>
      <c r="E163" s="20">
        <v>43</v>
      </c>
      <c r="F163" s="21">
        <f t="shared" si="7"/>
        <v>110.87619961612285</v>
      </c>
      <c r="G163" s="22">
        <v>0.37718388028496602</v>
      </c>
      <c r="H163" s="18">
        <v>1</v>
      </c>
      <c r="I163" s="18">
        <f t="shared" si="8"/>
        <v>0</v>
      </c>
      <c r="J163" s="41">
        <v>43805</v>
      </c>
      <c r="K163" s="36">
        <v>2019</v>
      </c>
      <c r="L163" s="32">
        <f t="shared" si="6"/>
        <v>43810</v>
      </c>
      <c r="M163" s="40">
        <v>1</v>
      </c>
      <c r="N163" s="33">
        <v>117</v>
      </c>
      <c r="O163" s="34">
        <f>AVERAGEIF(L3:L1205,"&lt;2019/12/6",N3:N1205)</f>
        <v>112.44817658349328</v>
      </c>
      <c r="P163" s="40">
        <v>0</v>
      </c>
      <c r="Q163" s="40">
        <f>AVERAGEIF(L3:L1205,"&lt;2019/12/6",P3:P1205)</f>
        <v>0.43570057581573896</v>
      </c>
      <c r="R163" s="40">
        <v>1</v>
      </c>
      <c r="S163" s="40">
        <f>AVERAGEIF(L3:L1205,"&lt;2019/12/6",R3:R1205)</f>
        <v>1.227447216890595</v>
      </c>
      <c r="T163" s="40">
        <v>5</v>
      </c>
      <c r="U163" s="40">
        <f>AVERAGEIF(L3:L1205,"&lt;2019/12/6",T3:T1205)</f>
        <v>7.09021113243762</v>
      </c>
      <c r="V163" s="24">
        <v>1042</v>
      </c>
      <c r="W163" s="47" t="s">
        <v>4618</v>
      </c>
    </row>
    <row r="164" spans="1:23">
      <c r="A164" s="23">
        <v>2</v>
      </c>
      <c r="B164" s="23">
        <v>6</v>
      </c>
      <c r="C164" s="18">
        <v>5</v>
      </c>
      <c r="D164" s="18">
        <v>2</v>
      </c>
      <c r="E164" s="20">
        <v>40</v>
      </c>
      <c r="F164" s="21">
        <f t="shared" si="7"/>
        <v>110.94428434197887</v>
      </c>
      <c r="G164" s="22">
        <v>0.30667606620823701</v>
      </c>
      <c r="H164" s="18">
        <v>1</v>
      </c>
      <c r="I164" s="18">
        <f t="shared" si="8"/>
        <v>0</v>
      </c>
      <c r="J164" s="41">
        <v>43802</v>
      </c>
      <c r="K164" s="36">
        <v>2019</v>
      </c>
      <c r="L164" s="32">
        <f t="shared" si="6"/>
        <v>43804</v>
      </c>
      <c r="M164" s="40">
        <v>0</v>
      </c>
      <c r="N164" s="33">
        <v>51</v>
      </c>
      <c r="O164" s="34">
        <f>AVERAGEIF(L3:L1205,"&lt;2019/12/3",N3:N1205)</f>
        <v>112.5606936416185</v>
      </c>
      <c r="P164" s="38">
        <v>0</v>
      </c>
      <c r="Q164" s="38">
        <f>AVERAGEIF(L3:L1205,"&lt;2019/12/3",P3:P1205)</f>
        <v>0.43352601156069365</v>
      </c>
      <c r="R164" s="38">
        <v>1</v>
      </c>
      <c r="S164" s="38">
        <f>AVERAGEIF(L3:L1205,"&lt;2019/12/3",R3:R1205)</f>
        <v>1.2283236994219653</v>
      </c>
      <c r="T164" s="38">
        <v>2</v>
      </c>
      <c r="U164" s="38">
        <f>AVERAGEIF(L3:L1205,"&lt;2019/12/3",T3:T1205)</f>
        <v>7.1001926782273603</v>
      </c>
      <c r="V164" s="24">
        <v>1041</v>
      </c>
      <c r="W164" s="47" t="s">
        <v>4529</v>
      </c>
    </row>
    <row r="165" spans="1:23">
      <c r="A165" s="23">
        <v>2</v>
      </c>
      <c r="B165" s="23">
        <v>6</v>
      </c>
      <c r="C165" s="18">
        <v>4</v>
      </c>
      <c r="D165" s="18">
        <v>6</v>
      </c>
      <c r="E165" s="20">
        <v>103</v>
      </c>
      <c r="F165" s="21">
        <f t="shared" si="7"/>
        <v>110.95192307692308</v>
      </c>
      <c r="G165" s="22">
        <v>0.56621903653578398</v>
      </c>
      <c r="H165" s="18">
        <v>1</v>
      </c>
      <c r="I165" s="18">
        <f t="shared" si="8"/>
        <v>0</v>
      </c>
      <c r="J165" s="41">
        <v>43799</v>
      </c>
      <c r="K165" s="36">
        <v>2019</v>
      </c>
      <c r="L165" s="32">
        <f t="shared" si="6"/>
        <v>43802</v>
      </c>
      <c r="M165" s="40">
        <v>1</v>
      </c>
      <c r="N165" s="33">
        <v>138</v>
      </c>
      <c r="O165" s="34">
        <f>AVERAGEIF(L3:L1205,"&lt;2019/11/30",N3:N1205)</f>
        <v>112.5606936416185</v>
      </c>
      <c r="P165" s="38">
        <v>3</v>
      </c>
      <c r="Q165" s="38">
        <f>AVERAGEIF(L3:L1205,"&lt;2019/11/30",P3:P1205)</f>
        <v>0.43352601156069365</v>
      </c>
      <c r="R165" s="38">
        <v>1</v>
      </c>
      <c r="S165" s="38">
        <f>AVERAGEIF(L3:L1205,"&lt;2019/11/30",R3:R1205)</f>
        <v>1.2283236994219653</v>
      </c>
      <c r="T165" s="38">
        <v>3</v>
      </c>
      <c r="U165" s="38">
        <f>AVERAGEIF(L3:L1205,"&lt;2019/11/30",T3:T1205)</f>
        <v>7.1001926782273603</v>
      </c>
      <c r="V165" s="24">
        <v>1040</v>
      </c>
      <c r="W165" s="47" t="s">
        <v>4529</v>
      </c>
    </row>
    <row r="166" spans="1:23">
      <c r="A166" s="23">
        <v>4</v>
      </c>
      <c r="B166" s="23">
        <v>33</v>
      </c>
      <c r="C166" s="18">
        <v>4</v>
      </c>
      <c r="D166" s="18">
        <v>4</v>
      </c>
      <c r="E166" s="20">
        <v>48</v>
      </c>
      <c r="F166" s="21">
        <f t="shared" si="7"/>
        <v>111.01251203079885</v>
      </c>
      <c r="G166" s="22">
        <v>0.81406584824328698</v>
      </c>
      <c r="H166" s="18">
        <v>1</v>
      </c>
      <c r="I166" s="18">
        <f t="shared" si="8"/>
        <v>0</v>
      </c>
      <c r="J166" s="45">
        <v>43798</v>
      </c>
      <c r="K166" s="36">
        <v>2019</v>
      </c>
      <c r="L166" s="32">
        <f t="shared" si="6"/>
        <v>43802</v>
      </c>
      <c r="M166" s="42">
        <v>1</v>
      </c>
      <c r="N166" s="33">
        <v>58</v>
      </c>
      <c r="O166" s="34">
        <f>AVERAGEIF(L3:L1205,"&lt;2019/11/29",N3:N1205)</f>
        <v>112.61583011583012</v>
      </c>
      <c r="P166" s="38">
        <v>0</v>
      </c>
      <c r="Q166" s="38">
        <f>AVERAGEIF(L3:L1205,"&lt;2019/11/29",P3:P1205)</f>
        <v>0.43339768339768342</v>
      </c>
      <c r="R166" s="38">
        <v>1</v>
      </c>
      <c r="S166" s="38">
        <f>AVERAGEIF(L3:L1205,"&lt;2019/11/29",R3:R1205)</f>
        <v>1.2277992277992278</v>
      </c>
      <c r="T166" s="38">
        <v>4</v>
      </c>
      <c r="U166" s="38">
        <f>AVERAGEIF(L3:L1205,"&lt;2019/11/29",T3:T1205)</f>
        <v>7.1081081081081079</v>
      </c>
      <c r="V166" s="24">
        <v>1039</v>
      </c>
      <c r="W166" s="47" t="s">
        <v>4550</v>
      </c>
    </row>
    <row r="167" spans="1:23">
      <c r="A167" s="23">
        <v>2</v>
      </c>
      <c r="B167" s="23">
        <v>4</v>
      </c>
      <c r="C167" s="18">
        <v>1</v>
      </c>
      <c r="D167" s="18">
        <v>2</v>
      </c>
      <c r="E167" s="20">
        <v>71</v>
      </c>
      <c r="F167" s="21">
        <f t="shared" si="7"/>
        <v>111.05105973025049</v>
      </c>
      <c r="G167" s="22">
        <v>0.87499461961548097</v>
      </c>
      <c r="H167" s="18">
        <v>0</v>
      </c>
      <c r="I167" s="18">
        <f t="shared" si="8"/>
        <v>1</v>
      </c>
      <c r="J167" s="53">
        <v>43796</v>
      </c>
      <c r="K167" s="36">
        <v>2019</v>
      </c>
      <c r="L167" s="32">
        <f t="shared" si="6"/>
        <v>43797</v>
      </c>
      <c r="M167" s="40">
        <v>1</v>
      </c>
      <c r="N167" s="33">
        <v>90</v>
      </c>
      <c r="O167" s="34">
        <f>AVERAGEIF(L3:L1205,"&lt;2019/11/27",N3:N1205)</f>
        <v>112.70474346563408</v>
      </c>
      <c r="P167" s="38">
        <v>0</v>
      </c>
      <c r="Q167" s="38">
        <f>AVERAGEIF(L3:L1205,"&lt;2019/11/27",P3:P1205)</f>
        <v>0.43368828654404645</v>
      </c>
      <c r="R167" s="38">
        <v>1</v>
      </c>
      <c r="S167" s="38">
        <f>AVERAGEIF(L3:L1205,"&lt;2019/11/27",R3:R1205)</f>
        <v>1.2284607938044529</v>
      </c>
      <c r="T167" s="38">
        <v>1</v>
      </c>
      <c r="U167" s="38">
        <f>AVERAGEIF(L3:L1205,"&lt;2019/11/27",T3:T1205)</f>
        <v>7.1064859632139399</v>
      </c>
      <c r="V167" s="24">
        <v>1038</v>
      </c>
      <c r="W167" s="47" t="s">
        <v>4742</v>
      </c>
    </row>
    <row r="168" spans="1:23">
      <c r="A168" s="23">
        <v>3</v>
      </c>
      <c r="B168" s="23">
        <v>21</v>
      </c>
      <c r="C168" s="18">
        <v>5</v>
      </c>
      <c r="D168" s="18">
        <v>1</v>
      </c>
      <c r="E168" s="20">
        <v>26</v>
      </c>
      <c r="F168" s="21">
        <f t="shared" si="7"/>
        <v>111.13307618129218</v>
      </c>
      <c r="G168" s="22">
        <v>0.36283268465883001</v>
      </c>
      <c r="H168" s="3">
        <v>1</v>
      </c>
      <c r="I168" s="18">
        <f t="shared" si="8"/>
        <v>0</v>
      </c>
      <c r="J168" s="41">
        <v>43796</v>
      </c>
      <c r="K168" s="36">
        <v>2019</v>
      </c>
      <c r="L168" s="32">
        <f t="shared" si="6"/>
        <v>43798</v>
      </c>
      <c r="M168" s="37">
        <v>1</v>
      </c>
      <c r="N168" s="33">
        <v>57</v>
      </c>
      <c r="O168" s="34">
        <f>AVERAGEIF(L3:L1205,"&lt;2019/11/27",N3:N1205)</f>
        <v>112.70474346563408</v>
      </c>
      <c r="P168" s="54">
        <v>0</v>
      </c>
      <c r="Q168" s="38">
        <f>AVERAGEIF(L3:L1205,"&lt;2019/11/26",P3:P1205)</f>
        <v>0.43495145631067961</v>
      </c>
      <c r="R168" s="38">
        <v>2</v>
      </c>
      <c r="S168" s="38">
        <f>AVERAGEIF(L3:L1205,"&lt;2019/11/27",R3:R1205)</f>
        <v>1.2284607938044529</v>
      </c>
      <c r="T168" s="54">
        <v>2</v>
      </c>
      <c r="U168" s="38">
        <f>AVERAGEIF(L3:L1205,"&lt;2019/11/27",T3:T1205)</f>
        <v>7.1064859632139399</v>
      </c>
      <c r="V168" s="24">
        <v>1037</v>
      </c>
      <c r="W168" s="47" t="s">
        <v>4529</v>
      </c>
    </row>
    <row r="169" spans="1:23">
      <c r="A169" s="23">
        <v>3</v>
      </c>
      <c r="B169" s="23">
        <v>21</v>
      </c>
      <c r="C169" s="18">
        <v>5</v>
      </c>
      <c r="D169" s="18">
        <v>2</v>
      </c>
      <c r="E169" s="20">
        <v>37</v>
      </c>
      <c r="F169" s="21">
        <f t="shared" si="7"/>
        <v>111.20463320463321</v>
      </c>
      <c r="G169" s="22">
        <v>0.91249999500313805</v>
      </c>
      <c r="H169" s="3">
        <v>1</v>
      </c>
      <c r="I169" s="18">
        <f t="shared" si="8"/>
        <v>0</v>
      </c>
      <c r="J169" s="41">
        <v>43795</v>
      </c>
      <c r="K169" s="36">
        <v>2019</v>
      </c>
      <c r="L169" s="32">
        <f t="shared" si="6"/>
        <v>43795</v>
      </c>
      <c r="M169" s="40">
        <v>1</v>
      </c>
      <c r="N169" s="33">
        <v>79</v>
      </c>
      <c r="O169" s="34">
        <f>AVERAGEIF(L3:L1205,"&lt;2019/11/26",N3:N1205)</f>
        <v>112.6747572815534</v>
      </c>
      <c r="P169" s="38">
        <v>0</v>
      </c>
      <c r="Q169" s="38">
        <f>AVERAGEIF(L3:L1205,"&lt;2019/11/26",P3:P1205)</f>
        <v>0.43495145631067961</v>
      </c>
      <c r="R169" s="38">
        <v>1</v>
      </c>
      <c r="S169" s="38">
        <f>AVERAGEIF(L3:L1205,"&lt;2019/11/26",R3:R1205)</f>
        <v>1.229126213592233</v>
      </c>
      <c r="T169" s="38">
        <v>0</v>
      </c>
      <c r="U169" s="38">
        <f>AVERAGEIF(L3:L1205,"&lt;2019/11/26",T3:T1205)</f>
        <v>7.1213592233009706</v>
      </c>
      <c r="V169" s="24">
        <v>1036</v>
      </c>
      <c r="W169" s="47" t="s">
        <v>4563</v>
      </c>
    </row>
    <row r="170" spans="1:23">
      <c r="A170" s="23">
        <v>4</v>
      </c>
      <c r="B170" s="23">
        <v>28</v>
      </c>
      <c r="C170" s="18">
        <v>1</v>
      </c>
      <c r="D170" s="18">
        <v>6</v>
      </c>
      <c r="E170" s="20">
        <v>148</v>
      </c>
      <c r="F170" s="21">
        <f t="shared" si="7"/>
        <v>111.16908212560386</v>
      </c>
      <c r="G170" s="22">
        <v>0.85039879552692599</v>
      </c>
      <c r="H170" s="18">
        <v>1</v>
      </c>
      <c r="I170" s="18">
        <f t="shared" si="8"/>
        <v>0</v>
      </c>
      <c r="J170" s="45">
        <v>43795</v>
      </c>
      <c r="K170" s="36">
        <v>2019</v>
      </c>
      <c r="L170" s="32">
        <f t="shared" si="6"/>
        <v>43804</v>
      </c>
      <c r="M170" s="44">
        <v>0</v>
      </c>
      <c r="N170" s="33">
        <v>86</v>
      </c>
      <c r="O170" s="34">
        <f>AVERAGEIF(L3:L1205,"&lt;2019/11/26",N3:N1205)</f>
        <v>112.6747572815534</v>
      </c>
      <c r="P170" s="38">
        <v>1</v>
      </c>
      <c r="Q170" s="38">
        <f>AVERAGEIF(L3:L1205,"&lt;2019/11/26",P3:P1205)</f>
        <v>0.43495145631067961</v>
      </c>
      <c r="R170" s="38">
        <v>1</v>
      </c>
      <c r="S170" s="38">
        <f>AVERAGEIF(L3:L1205,"&lt;2019/11/26",R3:R1205)</f>
        <v>1.229126213592233</v>
      </c>
      <c r="T170" s="38">
        <v>9</v>
      </c>
      <c r="U170" s="38">
        <f>AVERAGEIF(L3:L1205,"&lt;2019/11/26",T3:T1205)</f>
        <v>7.1213592233009706</v>
      </c>
      <c r="V170" s="24">
        <v>1035</v>
      </c>
      <c r="W170" s="47" t="s">
        <v>4767</v>
      </c>
    </row>
    <row r="171" spans="1:23">
      <c r="A171" s="23">
        <v>2</v>
      </c>
      <c r="B171" s="23">
        <v>11</v>
      </c>
      <c r="C171" s="18">
        <v>4</v>
      </c>
      <c r="D171" s="18">
        <v>4</v>
      </c>
      <c r="E171" s="20">
        <v>79</v>
      </c>
      <c r="F171" s="21">
        <f t="shared" si="7"/>
        <v>111.20019342359768</v>
      </c>
      <c r="G171" s="22">
        <v>0.486548429652854</v>
      </c>
      <c r="H171" s="18">
        <v>1</v>
      </c>
      <c r="I171" s="18">
        <f t="shared" si="8"/>
        <v>0</v>
      </c>
      <c r="J171" s="41">
        <v>43794</v>
      </c>
      <c r="K171" s="36">
        <v>2019</v>
      </c>
      <c r="L171" s="32">
        <f t="shared" si="6"/>
        <v>43798</v>
      </c>
      <c r="M171" s="40">
        <v>0</v>
      </c>
      <c r="N171" s="33">
        <v>111</v>
      </c>
      <c r="O171" s="34">
        <f>AVERAGEIF(L3:L1205,"&lt;2019/11/23",N3:N1205)</f>
        <v>112.66180758017492</v>
      </c>
      <c r="P171" s="38">
        <v>1</v>
      </c>
      <c r="Q171" s="38">
        <f>AVERAGEIF(L3:L1205,"&lt;2019/11/25",P3:P1205)</f>
        <v>0.43537414965986393</v>
      </c>
      <c r="R171" s="38">
        <v>1</v>
      </c>
      <c r="S171" s="38">
        <f>AVERAGEIF(L3:L1205,"&lt;2019/11/25",R3:R1205)</f>
        <v>1.2293488824101069</v>
      </c>
      <c r="T171" s="38">
        <v>4</v>
      </c>
      <c r="U171" s="38">
        <f>AVERAGEIF(L3:L1205,"&lt;2019/11/25",T3:T1205)</f>
        <v>7.1263362487852282</v>
      </c>
      <c r="V171" s="24">
        <v>1034</v>
      </c>
      <c r="W171" s="47" t="s">
        <v>4634</v>
      </c>
    </row>
    <row r="172" spans="1:23">
      <c r="A172" s="23">
        <v>2</v>
      </c>
      <c r="B172" s="23">
        <v>7</v>
      </c>
      <c r="C172" s="18">
        <v>4</v>
      </c>
      <c r="D172" s="18">
        <v>6</v>
      </c>
      <c r="E172" s="20">
        <v>171</v>
      </c>
      <c r="F172" s="21">
        <f t="shared" si="7"/>
        <v>111.14230396902227</v>
      </c>
      <c r="G172" s="22">
        <v>0.61672661640059001</v>
      </c>
      <c r="H172" s="18">
        <v>1</v>
      </c>
      <c r="I172" s="18">
        <f t="shared" si="8"/>
        <v>0</v>
      </c>
      <c r="J172" s="41">
        <v>43792</v>
      </c>
      <c r="K172" s="36">
        <v>2019</v>
      </c>
      <c r="L172" s="32">
        <f t="shared" si="6"/>
        <v>43795</v>
      </c>
      <c r="M172" s="40">
        <v>0</v>
      </c>
      <c r="N172" s="33">
        <v>213</v>
      </c>
      <c r="O172" s="34">
        <f>AVERAGEIF(L3:L1205,"&lt;2019/11/23",N3:N1205)</f>
        <v>112.66180758017492</v>
      </c>
      <c r="P172" s="38">
        <v>0</v>
      </c>
      <c r="Q172" s="38">
        <f>AVERAGEIF(L3:L1205,"&lt;2019/11/23",P3:P1205)</f>
        <v>0.43537414965986393</v>
      </c>
      <c r="R172" s="38">
        <v>1</v>
      </c>
      <c r="S172" s="38">
        <f>AVERAGEIF(L3:L1205,"&lt;2019/11/23",R3:R1205)</f>
        <v>1.2293488824101069</v>
      </c>
      <c r="T172" s="38">
        <v>3</v>
      </c>
      <c r="U172" s="38">
        <f>AVERAGEIF(L3:L1205,"&lt;2019/11/23",T3:T1205)</f>
        <v>7.1263362487852282</v>
      </c>
      <c r="V172" s="24">
        <v>1033</v>
      </c>
      <c r="W172" s="47" t="e">
        <v>#N/A</v>
      </c>
    </row>
    <row r="173" spans="1:23">
      <c r="A173" s="23">
        <v>3</v>
      </c>
      <c r="B173" s="23">
        <v>21</v>
      </c>
      <c r="C173" s="18">
        <v>5</v>
      </c>
      <c r="D173" s="18">
        <v>2</v>
      </c>
      <c r="E173" s="20">
        <v>49</v>
      </c>
      <c r="F173" s="21">
        <f t="shared" si="7"/>
        <v>111.20251937984496</v>
      </c>
      <c r="G173" s="22">
        <v>0.61672661640059001</v>
      </c>
      <c r="H173" s="3">
        <v>1</v>
      </c>
      <c r="I173" s="18">
        <f t="shared" si="8"/>
        <v>0</v>
      </c>
      <c r="J173" s="41">
        <v>43792</v>
      </c>
      <c r="K173" s="36">
        <v>2019</v>
      </c>
      <c r="L173" s="32">
        <f t="shared" si="6"/>
        <v>43795</v>
      </c>
      <c r="M173" s="40">
        <v>1</v>
      </c>
      <c r="N173" s="33">
        <v>77</v>
      </c>
      <c r="O173" s="34">
        <f>AVERAGEIF(L3:L1205,"&lt;2019/11/23",N3:N1205)</f>
        <v>112.66180758017492</v>
      </c>
      <c r="P173" s="54">
        <v>0</v>
      </c>
      <c r="Q173" s="38">
        <f>AVERAGEIF(L3:L1205,"&lt;2019/11/23",P3:P1205)</f>
        <v>0.43537414965986393</v>
      </c>
      <c r="R173" s="38">
        <v>1</v>
      </c>
      <c r="S173" s="38">
        <f>AVERAGEIF(L3:L1205,"&lt;2019/11/23",R3:R1205)</f>
        <v>1.2293488824101069</v>
      </c>
      <c r="T173" s="54">
        <v>3</v>
      </c>
      <c r="U173" s="38">
        <f>AVERAGEIF(L3:L1205,"&lt;2019/11/23",T3:T1205)</f>
        <v>7.1263362487852282</v>
      </c>
      <c r="V173" s="24">
        <v>1032</v>
      </c>
      <c r="W173" s="47" t="s">
        <v>4563</v>
      </c>
    </row>
    <row r="174" spans="1:23">
      <c r="A174" s="23">
        <v>3</v>
      </c>
      <c r="B174" s="23">
        <v>21</v>
      </c>
      <c r="C174" s="18">
        <v>5</v>
      </c>
      <c r="D174" s="18">
        <v>2</v>
      </c>
      <c r="E174" s="20">
        <v>49</v>
      </c>
      <c r="F174" s="21">
        <f t="shared" si="7"/>
        <v>111.26285160038798</v>
      </c>
      <c r="G174" s="22">
        <v>0.45375142068064001</v>
      </c>
      <c r="H174" s="3">
        <v>1</v>
      </c>
      <c r="I174" s="18">
        <f t="shared" si="8"/>
        <v>0</v>
      </c>
      <c r="J174" s="41">
        <v>43792</v>
      </c>
      <c r="K174" s="36">
        <v>2019</v>
      </c>
      <c r="L174" s="32">
        <f t="shared" si="6"/>
        <v>43794</v>
      </c>
      <c r="M174" s="40">
        <v>1</v>
      </c>
      <c r="N174" s="33">
        <v>126</v>
      </c>
      <c r="O174" s="34">
        <f>AVERAGEIF(L3:L1205,"&lt;2019/11/23",N3:N1205)</f>
        <v>112.66180758017492</v>
      </c>
      <c r="P174" s="54">
        <v>0</v>
      </c>
      <c r="Q174" s="38">
        <f>AVERAGEIF(L3:L1205,"&lt;2019/11/23",P3:P1205)</f>
        <v>0.43537414965986393</v>
      </c>
      <c r="R174" s="38">
        <v>1</v>
      </c>
      <c r="S174" s="38">
        <f>AVERAGEIF(L3:L1205,"&lt;2019/11/23",R3:R1205)</f>
        <v>1.2293488824101069</v>
      </c>
      <c r="T174" s="54">
        <v>2</v>
      </c>
      <c r="U174" s="38">
        <f>AVERAGEIF(L3:L1205,"&lt;2019/11/23",T3:T1205)</f>
        <v>7.1263362487852282</v>
      </c>
      <c r="V174" s="24">
        <v>1031</v>
      </c>
      <c r="W174" s="47" t="s">
        <v>4563</v>
      </c>
    </row>
    <row r="175" spans="1:23">
      <c r="A175" s="23">
        <v>3</v>
      </c>
      <c r="B175" s="23">
        <v>25</v>
      </c>
      <c r="C175" s="18">
        <v>5</v>
      </c>
      <c r="D175" s="18">
        <v>6</v>
      </c>
      <c r="E175" s="20">
        <v>34</v>
      </c>
      <c r="F175" s="21">
        <f t="shared" si="7"/>
        <v>111.33786407766991</v>
      </c>
      <c r="G175" s="22">
        <v>0.43632794047526702</v>
      </c>
      <c r="H175" s="3">
        <v>1</v>
      </c>
      <c r="I175" s="18">
        <f t="shared" si="8"/>
        <v>0</v>
      </c>
      <c r="J175" s="41">
        <v>43788</v>
      </c>
      <c r="K175" s="36">
        <v>2019</v>
      </c>
      <c r="L175" s="32">
        <f t="shared" si="6"/>
        <v>43788</v>
      </c>
      <c r="M175" s="24">
        <v>0</v>
      </c>
      <c r="N175" s="33">
        <v>81</v>
      </c>
      <c r="O175" s="34">
        <f>AVERAGEIF(L3:L1205,"&lt;2019/11/19",N3:N1205)</f>
        <v>112.51609756097561</v>
      </c>
      <c r="P175" s="54">
        <v>0</v>
      </c>
      <c r="Q175" s="38">
        <f>AVERAGEIF(L3:L1205,"&lt;2019/11/19",P3:P1205)</f>
        <v>0.43121951219512195</v>
      </c>
      <c r="R175" s="38">
        <v>1</v>
      </c>
      <c r="S175" s="38">
        <f>AVERAGEIF(L3:L1205,"&lt;2019/11/19",R3:R1205)</f>
        <v>1.2292682926829268</v>
      </c>
      <c r="T175" s="54">
        <v>0</v>
      </c>
      <c r="U175" s="38">
        <f>AVERAGEIF(L3:L1205,"&lt;2019/11/19",T3:T1205)</f>
        <v>7.12</v>
      </c>
      <c r="V175" s="24">
        <v>1030</v>
      </c>
      <c r="W175" s="47" t="s">
        <v>4529</v>
      </c>
    </row>
    <row r="176" spans="1:23">
      <c r="A176" s="23">
        <v>4</v>
      </c>
      <c r="B176" s="23">
        <v>34</v>
      </c>
      <c r="C176" s="18">
        <v>4</v>
      </c>
      <c r="D176" s="18">
        <v>6</v>
      </c>
      <c r="E176" s="20">
        <v>19</v>
      </c>
      <c r="F176" s="21">
        <f t="shared" si="7"/>
        <v>111.42759961127308</v>
      </c>
      <c r="G176" s="22">
        <v>0.493610238819639</v>
      </c>
      <c r="H176" s="18">
        <v>1</v>
      </c>
      <c r="I176" s="18">
        <f t="shared" si="8"/>
        <v>0</v>
      </c>
      <c r="J176" s="45">
        <v>43787</v>
      </c>
      <c r="K176" s="36">
        <v>2019</v>
      </c>
      <c r="L176" s="32">
        <f t="shared" si="6"/>
        <v>43791</v>
      </c>
      <c r="M176" s="51">
        <v>0</v>
      </c>
      <c r="N176" s="33">
        <v>287</v>
      </c>
      <c r="O176" s="34">
        <f>AVERAGEIF(L3:L1205,"&lt;2019/11/18",N3:N1205)</f>
        <v>112.484375</v>
      </c>
      <c r="P176" s="38">
        <v>1</v>
      </c>
      <c r="Q176" s="38">
        <f>AVERAGEIF(L3:L1205,"&lt;2019/11/18",P3:P1205)</f>
        <v>0.4306640625</v>
      </c>
      <c r="R176" s="38">
        <v>2</v>
      </c>
      <c r="S176" s="38">
        <f>AVERAGEIF(L3:L1205,"&lt;2019/11/18",R3:R1205)</f>
        <v>1.2294921875</v>
      </c>
      <c r="T176" s="38">
        <v>4</v>
      </c>
      <c r="U176" s="38">
        <f>AVERAGEIF(L3:L1205,"&lt;2019/11/18",T3:T1205)</f>
        <v>7.123046875</v>
      </c>
      <c r="V176" s="24">
        <v>1029</v>
      </c>
      <c r="W176" s="47" t="s">
        <v>4550</v>
      </c>
    </row>
    <row r="177" spans="1:23">
      <c r="A177" s="23">
        <v>4</v>
      </c>
      <c r="B177" s="23">
        <v>29</v>
      </c>
      <c r="C177" s="18">
        <v>4</v>
      </c>
      <c r="D177" s="18">
        <v>2</v>
      </c>
      <c r="E177" s="20">
        <v>21</v>
      </c>
      <c r="F177" s="21">
        <f t="shared" si="7"/>
        <v>111.51556420233463</v>
      </c>
      <c r="G177" s="22">
        <v>0.40473181728595597</v>
      </c>
      <c r="H177" s="18">
        <v>1</v>
      </c>
      <c r="I177" s="18">
        <f t="shared" si="8"/>
        <v>0</v>
      </c>
      <c r="J177" s="45">
        <v>43786</v>
      </c>
      <c r="K177" s="36">
        <v>2019</v>
      </c>
      <c r="L177" s="32">
        <f t="shared" si="6"/>
        <v>43797</v>
      </c>
      <c r="M177" s="51">
        <v>0</v>
      </c>
      <c r="N177" s="33">
        <v>78</v>
      </c>
      <c r="O177" s="34">
        <f>AVERAGEIF(L3:L1205,"&lt;2019/11/17",N3:N1205)</f>
        <v>112.484375</v>
      </c>
      <c r="P177" s="54">
        <v>0</v>
      </c>
      <c r="Q177" s="38">
        <f>AVERAGEIF(L3:L1205,"&lt;2019/11/17",P3:P1205)</f>
        <v>0.4306640625</v>
      </c>
      <c r="R177" s="38">
        <v>1</v>
      </c>
      <c r="S177" s="38">
        <f>AVERAGEIF(L3:L1205,"&lt;2019/11/17",R3:R1205)</f>
        <v>1.2294921875</v>
      </c>
      <c r="T177" s="54">
        <v>11</v>
      </c>
      <c r="U177" s="38">
        <f>AVERAGEIF(L3:L1205,"&lt;2019/11/17",T3:T1205)</f>
        <v>7.123046875</v>
      </c>
      <c r="V177" s="24">
        <v>1028</v>
      </c>
      <c r="W177" s="47" t="s">
        <v>4550</v>
      </c>
    </row>
    <row r="178" spans="1:23">
      <c r="A178" s="23">
        <v>4</v>
      </c>
      <c r="B178" s="23">
        <v>31</v>
      </c>
      <c r="C178" s="18">
        <v>4</v>
      </c>
      <c r="D178" s="18">
        <v>2</v>
      </c>
      <c r="E178" s="20">
        <v>21</v>
      </c>
      <c r="F178" s="21">
        <f t="shared" si="7"/>
        <v>111.60370009737099</v>
      </c>
      <c r="G178" s="22">
        <v>0.40473181728595597</v>
      </c>
      <c r="H178" s="18">
        <v>1</v>
      </c>
      <c r="I178" s="18">
        <f t="shared" si="8"/>
        <v>0</v>
      </c>
      <c r="J178" s="45">
        <v>43786</v>
      </c>
      <c r="K178" s="36">
        <v>2019</v>
      </c>
      <c r="L178" s="32">
        <f t="shared" si="6"/>
        <v>43797</v>
      </c>
      <c r="M178" s="51">
        <v>0</v>
      </c>
      <c r="N178" s="33">
        <v>78</v>
      </c>
      <c r="O178" s="34">
        <f>AVERAGEIF(L3:L1205,"&lt;2019/11/17",N3:N1205)</f>
        <v>112.484375</v>
      </c>
      <c r="P178" s="54">
        <v>1</v>
      </c>
      <c r="Q178" s="38">
        <f>AVERAGEIF(L3:L1205,"&lt;2019/11/17",P3:P1205)</f>
        <v>0.4306640625</v>
      </c>
      <c r="R178" s="38">
        <v>1</v>
      </c>
      <c r="S178" s="38">
        <f>AVERAGEIF(L3:L1205,"&lt;2019/11/17",R3:R1205)</f>
        <v>1.2294921875</v>
      </c>
      <c r="T178" s="54">
        <v>11</v>
      </c>
      <c r="U178" s="38">
        <f>AVERAGEIF(L3:L1205,"&lt;2019/11/17",T3:T1205)</f>
        <v>7.123046875</v>
      </c>
      <c r="V178" s="24">
        <v>1027</v>
      </c>
      <c r="W178" s="47" t="s">
        <v>4550</v>
      </c>
    </row>
    <row r="179" spans="1:23">
      <c r="A179" s="23">
        <v>2</v>
      </c>
      <c r="B179" s="23">
        <v>11</v>
      </c>
      <c r="C179" s="18">
        <v>4</v>
      </c>
      <c r="D179" s="18">
        <v>6</v>
      </c>
      <c r="E179" s="20">
        <v>146</v>
      </c>
      <c r="F179" s="21">
        <f t="shared" si="7"/>
        <v>111.57017543859649</v>
      </c>
      <c r="G179" s="22">
        <v>0.35151142079048803</v>
      </c>
      <c r="H179" s="18">
        <v>0</v>
      </c>
      <c r="I179" s="18">
        <f t="shared" si="8"/>
        <v>1</v>
      </c>
      <c r="J179" s="41">
        <v>43784</v>
      </c>
      <c r="K179" s="36">
        <v>2019</v>
      </c>
      <c r="L179" s="32">
        <f t="shared" si="6"/>
        <v>43788</v>
      </c>
      <c r="M179" s="40">
        <v>0</v>
      </c>
      <c r="N179" s="33">
        <v>114</v>
      </c>
      <c r="O179" s="34">
        <f>AVERAGEIF(L3:L1205,"&lt;2019/11/15",N3:N1205)</f>
        <v>112.46920821114369</v>
      </c>
      <c r="P179" s="38">
        <v>0</v>
      </c>
      <c r="Q179" s="38">
        <f>AVERAGEIF(L3:L1205,"&lt;2019/11/15",P3:P1205)</f>
        <v>0.4310850439882698</v>
      </c>
      <c r="R179" s="38">
        <v>1</v>
      </c>
      <c r="S179" s="38">
        <f>AVERAGEIF(L3:L1205,"&lt;2019/11/15",R3:R1205)</f>
        <v>1.2297165200391007</v>
      </c>
      <c r="T179" s="38">
        <v>4</v>
      </c>
      <c r="U179" s="38">
        <f>AVERAGEIF(L3:L1205,"&lt;2019/11/15",T3:T1205)</f>
        <v>7.1270772238514173</v>
      </c>
      <c r="V179" s="24">
        <v>1026</v>
      </c>
      <c r="W179" s="47" t="s">
        <v>4550</v>
      </c>
    </row>
    <row r="180" spans="1:23">
      <c r="A180" s="23">
        <v>2</v>
      </c>
      <c r="B180" s="23">
        <v>6</v>
      </c>
      <c r="C180" s="18">
        <v>4</v>
      </c>
      <c r="D180" s="18">
        <v>2</v>
      </c>
      <c r="E180" s="20">
        <v>29</v>
      </c>
      <c r="F180" s="21">
        <f t="shared" si="7"/>
        <v>111.65073170731708</v>
      </c>
      <c r="G180" s="22">
        <v>0.39743859391176101</v>
      </c>
      <c r="H180" s="18">
        <v>0</v>
      </c>
      <c r="I180" s="18">
        <f t="shared" si="8"/>
        <v>1</v>
      </c>
      <c r="J180" s="53">
        <v>43783</v>
      </c>
      <c r="K180" s="36">
        <v>2019</v>
      </c>
      <c r="L180" s="32">
        <f t="shared" si="6"/>
        <v>43787</v>
      </c>
      <c r="M180" s="37">
        <v>0</v>
      </c>
      <c r="N180" s="33">
        <v>145</v>
      </c>
      <c r="O180" s="34">
        <f>AVERAGEIF(L3:L1205,"&lt;2019/11/14",N3:N1205)</f>
        <v>112.46920821114369</v>
      </c>
      <c r="P180" s="40">
        <v>1</v>
      </c>
      <c r="Q180" s="40">
        <f>AVERAGEIF(L3:L1205,"&lt;2019/11/14",P3:P1205)</f>
        <v>0.4310850439882698</v>
      </c>
      <c r="R180" s="40">
        <v>1</v>
      </c>
      <c r="S180" s="40">
        <f>AVERAGEIF(L3:L1205,"&lt;2019/11/14",R3:R1205)</f>
        <v>1.2297165200391007</v>
      </c>
      <c r="T180" s="40">
        <v>4</v>
      </c>
      <c r="U180" s="40">
        <f>AVERAGEIF(L3:L1205,"&lt;2019/11/14",T3:T1205)</f>
        <v>7.1270772238514173</v>
      </c>
      <c r="V180" s="24">
        <v>1025</v>
      </c>
      <c r="W180" s="47" t="s">
        <v>4550</v>
      </c>
    </row>
    <row r="181" spans="1:23">
      <c r="A181" s="23">
        <v>2</v>
      </c>
      <c r="B181" s="23">
        <v>6</v>
      </c>
      <c r="C181" s="18">
        <v>4</v>
      </c>
      <c r="D181" s="18">
        <v>6</v>
      </c>
      <c r="E181" s="20">
        <v>46</v>
      </c>
      <c r="F181" s="21">
        <f t="shared" si="7"/>
        <v>111.71484375</v>
      </c>
      <c r="G181" s="22">
        <v>0.826287428861879</v>
      </c>
      <c r="H181" s="18">
        <v>0</v>
      </c>
      <c r="I181" s="18">
        <f t="shared" si="8"/>
        <v>1</v>
      </c>
      <c r="J181" s="41">
        <v>43781</v>
      </c>
      <c r="K181" s="36">
        <v>2019</v>
      </c>
      <c r="L181" s="32">
        <f t="shared" si="6"/>
        <v>43784</v>
      </c>
      <c r="M181" s="40">
        <v>1</v>
      </c>
      <c r="N181" s="33">
        <v>128</v>
      </c>
      <c r="O181" s="34">
        <f>AVERAGEIF(L3:L1205,"&lt;2019/11/12",N3:N1205)</f>
        <v>112.53033268101761</v>
      </c>
      <c r="P181" s="38">
        <v>0</v>
      </c>
      <c r="Q181" s="38">
        <f>AVERAGEIF(L3:L1205,"&lt;2019/11/12",P3:P1205)</f>
        <v>0.4315068493150685</v>
      </c>
      <c r="R181" s="38">
        <v>1</v>
      </c>
      <c r="S181" s="38">
        <f>AVERAGEIF(L3:L1205,"&lt;2019/11/12",R3:R1205)</f>
        <v>1.2299412915851271</v>
      </c>
      <c r="T181" s="38">
        <v>3</v>
      </c>
      <c r="U181" s="38">
        <f>AVERAGEIF(L3:L1205,"&lt;2019/11/12",T3:T1205)</f>
        <v>7.1330724070450096</v>
      </c>
      <c r="V181" s="24">
        <v>1024</v>
      </c>
      <c r="W181" s="47" t="s">
        <v>4742</v>
      </c>
    </row>
    <row r="182" spans="1:23">
      <c r="A182" s="17">
        <v>1</v>
      </c>
      <c r="B182" s="17">
        <v>2</v>
      </c>
      <c r="C182" s="18">
        <v>4</v>
      </c>
      <c r="D182" s="18">
        <v>4</v>
      </c>
      <c r="E182" s="20">
        <v>64</v>
      </c>
      <c r="F182" s="21">
        <f t="shared" si="7"/>
        <v>111.76148582600196</v>
      </c>
      <c r="G182" s="22">
        <v>0.41267193185892098</v>
      </c>
      <c r="H182" s="18">
        <v>1</v>
      </c>
      <c r="I182" s="18">
        <f t="shared" si="8"/>
        <v>0</v>
      </c>
      <c r="J182" s="41">
        <v>43780</v>
      </c>
      <c r="K182" s="36">
        <v>2019</v>
      </c>
      <c r="L182" s="32">
        <f t="shared" si="6"/>
        <v>43781</v>
      </c>
      <c r="M182" s="24">
        <v>0</v>
      </c>
      <c r="N182" s="33">
        <v>50</v>
      </c>
      <c r="O182" s="34">
        <f>AVERAGEIF(L3:L1205,"&lt;2019/11/11",N3:N1205)</f>
        <v>112.53033268101761</v>
      </c>
      <c r="P182" s="55">
        <v>0</v>
      </c>
      <c r="Q182" s="24">
        <f>AVERAGEIF(L3:L1205,"&lt;2019/11/11",P3:P1205)</f>
        <v>0.4315068493150685</v>
      </c>
      <c r="R182" s="24">
        <v>1</v>
      </c>
      <c r="S182" s="24">
        <f>AVERAGEIF(L3:L1205,"&lt;2019/11/11",R3:R1205)</f>
        <v>1.2299412915851271</v>
      </c>
      <c r="T182" s="55">
        <v>1</v>
      </c>
      <c r="U182" s="24">
        <f>AVERAGEIF(L3:L1205,"&lt;2019/11/11",T3:T1205)</f>
        <v>7.1330724070450096</v>
      </c>
      <c r="V182" s="24">
        <v>1023</v>
      </c>
      <c r="W182" s="47" t="s">
        <v>4521</v>
      </c>
    </row>
    <row r="183" spans="1:23">
      <c r="A183" s="23">
        <v>4</v>
      </c>
      <c r="B183" s="23">
        <v>28</v>
      </c>
      <c r="C183" s="18">
        <v>4</v>
      </c>
      <c r="D183" s="18">
        <v>4</v>
      </c>
      <c r="E183" s="20">
        <v>65</v>
      </c>
      <c r="F183" s="21">
        <f t="shared" si="7"/>
        <v>111.80724070450098</v>
      </c>
      <c r="G183" s="22">
        <v>0.41278394635951199</v>
      </c>
      <c r="H183" s="18">
        <v>1</v>
      </c>
      <c r="I183" s="18">
        <f t="shared" si="8"/>
        <v>0</v>
      </c>
      <c r="J183" s="45">
        <v>43773</v>
      </c>
      <c r="K183" s="36">
        <v>2019</v>
      </c>
      <c r="L183" s="32">
        <f t="shared" si="6"/>
        <v>43775</v>
      </c>
      <c r="M183" s="44">
        <v>0</v>
      </c>
      <c r="N183" s="33">
        <v>136</v>
      </c>
      <c r="O183" s="34">
        <f>AVERAGEIF(L3:L1205,"&lt;2019/11/4",N3:N1205)</f>
        <v>112.50734573947111</v>
      </c>
      <c r="P183" s="38">
        <v>0</v>
      </c>
      <c r="Q183" s="38">
        <f>AVERAGEIF(L3:L1205,"&lt;2019/11/4",P3:P1205)</f>
        <v>0.43192948090107736</v>
      </c>
      <c r="R183" s="38">
        <v>1</v>
      </c>
      <c r="S183" s="38">
        <f>AVERAGEIF(L3:L1205,"&lt;2019/11/4",R3:R1205)</f>
        <v>1.2301665034280118</v>
      </c>
      <c r="T183" s="38">
        <v>2</v>
      </c>
      <c r="U183" s="38">
        <f>AVERAGEIF(L3:L1205,"&lt;2019/11/4",T3:T1205)</f>
        <v>7.1380999020568074</v>
      </c>
      <c r="V183" s="24">
        <v>1022</v>
      </c>
      <c r="W183" s="47" t="s">
        <v>4523</v>
      </c>
    </row>
    <row r="184" spans="1:23">
      <c r="A184" s="23">
        <v>4</v>
      </c>
      <c r="B184" s="23">
        <v>30</v>
      </c>
      <c r="C184" s="18">
        <v>4</v>
      </c>
      <c r="D184" s="18">
        <v>1</v>
      </c>
      <c r="E184" s="20">
        <v>92</v>
      </c>
      <c r="F184" s="21">
        <f t="shared" si="7"/>
        <v>111.82664054848188</v>
      </c>
      <c r="G184" s="22">
        <v>0.50925232673483101</v>
      </c>
      <c r="H184" s="18">
        <v>1</v>
      </c>
      <c r="I184" s="18">
        <f t="shared" si="8"/>
        <v>0</v>
      </c>
      <c r="J184" s="45">
        <v>43763</v>
      </c>
      <c r="K184" s="36">
        <v>2019</v>
      </c>
      <c r="L184" s="32">
        <f t="shared" si="6"/>
        <v>43767</v>
      </c>
      <c r="M184" s="42">
        <v>1</v>
      </c>
      <c r="N184" s="33">
        <v>66</v>
      </c>
      <c r="O184" s="34">
        <f>AVERAGEIF(L3:L1205,"&lt;2019/10/25",N3:N1205)</f>
        <v>112.6243854473943</v>
      </c>
      <c r="P184" s="54">
        <v>3</v>
      </c>
      <c r="Q184" s="38">
        <f>AVERAGEIF(L3:L1205,"&lt;2019/10/25",P3:P1205)</f>
        <v>0.43067846607669619</v>
      </c>
      <c r="R184" s="38">
        <v>1</v>
      </c>
      <c r="S184" s="38">
        <f>AVERAGEIF(L3:L1205,"&lt;2019/10/25",R3:R1205)</f>
        <v>1.2300884955752212</v>
      </c>
      <c r="T184" s="54">
        <v>4</v>
      </c>
      <c r="U184" s="38">
        <f>AVERAGEIF(L3:L1205,"&lt;2019/10/25",T3:T1205)</f>
        <v>7.1543756145526061</v>
      </c>
      <c r="V184" s="24">
        <v>1021</v>
      </c>
      <c r="W184" s="47" t="s">
        <v>4638</v>
      </c>
    </row>
    <row r="185" spans="1:23">
      <c r="A185" s="23">
        <v>4</v>
      </c>
      <c r="B185" s="23">
        <v>28</v>
      </c>
      <c r="C185" s="18">
        <v>4</v>
      </c>
      <c r="D185" s="18">
        <v>6</v>
      </c>
      <c r="E185" s="20">
        <v>218</v>
      </c>
      <c r="F185" s="21">
        <f t="shared" si="7"/>
        <v>111.72254901960784</v>
      </c>
      <c r="G185" s="22">
        <v>0.41441810094764198</v>
      </c>
      <c r="H185" s="18">
        <v>1</v>
      </c>
      <c r="I185" s="18">
        <f t="shared" si="8"/>
        <v>0</v>
      </c>
      <c r="J185" s="45">
        <v>43762</v>
      </c>
      <c r="K185" s="36">
        <v>2019</v>
      </c>
      <c r="L185" s="32">
        <f t="shared" si="6"/>
        <v>43766</v>
      </c>
      <c r="M185" s="44">
        <v>1</v>
      </c>
      <c r="N185" s="33">
        <v>77</v>
      </c>
      <c r="O185" s="34">
        <f>AVERAGEIF(L3:L1205,"&lt;2019/10/24",N3:N1205)</f>
        <v>112.68996062992126</v>
      </c>
      <c r="P185" s="38">
        <v>0</v>
      </c>
      <c r="Q185" s="38">
        <f>AVERAGEIF(L3:L1205,"&lt;2019/10/24",P3:P1205)</f>
        <v>0.43110236220472442</v>
      </c>
      <c r="R185" s="38">
        <v>2</v>
      </c>
      <c r="S185" s="38">
        <f>AVERAGEIF(L3:L1205,"&lt;2019/10/24",R3:R1205)</f>
        <v>1.2303149606299213</v>
      </c>
      <c r="T185" s="38">
        <v>4</v>
      </c>
      <c r="U185" s="38">
        <f>AVERAGEIF(L3:L1205,"&lt;2019/10/24",T3:T1205)</f>
        <v>7.159448818897638</v>
      </c>
      <c r="V185" s="24">
        <v>1020</v>
      </c>
      <c r="W185" s="47" t="s">
        <v>4634</v>
      </c>
    </row>
    <row r="186" spans="1:23">
      <c r="A186" s="23">
        <v>4</v>
      </c>
      <c r="B186" s="23">
        <v>30</v>
      </c>
      <c r="C186" s="18">
        <v>4</v>
      </c>
      <c r="D186" s="18">
        <v>1</v>
      </c>
      <c r="E186" s="20">
        <v>119</v>
      </c>
      <c r="F186" s="21">
        <f t="shared" si="7"/>
        <v>111.71540726202159</v>
      </c>
      <c r="G186" s="22">
        <v>0.30991735623081601</v>
      </c>
      <c r="H186" s="18">
        <v>1</v>
      </c>
      <c r="I186" s="18">
        <f t="shared" si="8"/>
        <v>0</v>
      </c>
      <c r="J186" s="45">
        <v>43762</v>
      </c>
      <c r="K186" s="36">
        <v>2019</v>
      </c>
      <c r="L186" s="32">
        <f t="shared" si="6"/>
        <v>43789</v>
      </c>
      <c r="M186" s="42">
        <v>1</v>
      </c>
      <c r="N186" s="33">
        <v>118</v>
      </c>
      <c r="O186" s="34">
        <f>AVERAGEIF(L3:L1205,"&lt;2019/10/24",N3:N1205)</f>
        <v>112.68996062992126</v>
      </c>
      <c r="P186" s="38">
        <v>5</v>
      </c>
      <c r="Q186" s="38">
        <f>AVERAGEIF(L3:L1205,"&lt;2019/10/24",P3:P1205)</f>
        <v>0.43110236220472442</v>
      </c>
      <c r="R186" s="38">
        <v>1</v>
      </c>
      <c r="S186" s="38">
        <f>AVERAGEIF(L3:L1205,"&lt;2019/10/24",R3:R1205)</f>
        <v>1.2303149606299213</v>
      </c>
      <c r="T186" s="38">
        <v>27</v>
      </c>
      <c r="U186" s="38">
        <f>AVERAGEIF(L3:L1205,"&lt;2019/10/24",T3:T1205)</f>
        <v>7.159448818897638</v>
      </c>
      <c r="V186" s="24">
        <v>1019</v>
      </c>
      <c r="W186" s="47" t="s">
        <v>4563</v>
      </c>
    </row>
    <row r="187" spans="1:23">
      <c r="A187" s="23">
        <v>2</v>
      </c>
      <c r="B187" s="23">
        <v>7</v>
      </c>
      <c r="C187" s="18">
        <v>4</v>
      </c>
      <c r="D187" s="18">
        <v>8</v>
      </c>
      <c r="E187" s="20">
        <v>307</v>
      </c>
      <c r="F187" s="21">
        <f t="shared" si="7"/>
        <v>111.52357563850687</v>
      </c>
      <c r="G187" s="22">
        <v>0.28212418011652501</v>
      </c>
      <c r="H187" s="18">
        <v>1</v>
      </c>
      <c r="I187" s="18">
        <f t="shared" si="8"/>
        <v>0</v>
      </c>
      <c r="J187" s="41">
        <v>43761</v>
      </c>
      <c r="K187" s="36">
        <v>2019</v>
      </c>
      <c r="L187" s="32">
        <f t="shared" si="6"/>
        <v>43763</v>
      </c>
      <c r="M187" s="40">
        <v>0</v>
      </c>
      <c r="N187" s="33">
        <v>88</v>
      </c>
      <c r="O187" s="34">
        <f>AVERAGEIF(L3:L1205,"&lt;2019/10/23",N3:N1205)</f>
        <v>112.68996062992126</v>
      </c>
      <c r="P187" s="38">
        <v>0</v>
      </c>
      <c r="Q187" s="38">
        <f>AVERAGEIF(L3:L1205,"&lt;2019/10/23",P3:P1205)</f>
        <v>0.43110236220472442</v>
      </c>
      <c r="R187" s="38">
        <v>1</v>
      </c>
      <c r="S187" s="38">
        <f>AVERAGEIF(L3:L1205,"&lt;2019/10/23",R3:R1205)</f>
        <v>1.2303149606299213</v>
      </c>
      <c r="T187" s="38">
        <v>2</v>
      </c>
      <c r="U187" s="38">
        <f>AVERAGEIF(L3:L1205,"&lt;2019/10/23",T3:T1205)</f>
        <v>7.159448818897638</v>
      </c>
      <c r="V187" s="24">
        <v>1018</v>
      </c>
      <c r="W187" s="47" t="s">
        <v>4521</v>
      </c>
    </row>
    <row r="188" spans="1:23">
      <c r="A188" s="23">
        <v>2</v>
      </c>
      <c r="B188" s="23">
        <v>11</v>
      </c>
      <c r="C188" s="18">
        <v>4</v>
      </c>
      <c r="D188" s="18">
        <v>6</v>
      </c>
      <c r="E188" s="20">
        <v>74</v>
      </c>
      <c r="F188" s="21">
        <f t="shared" si="7"/>
        <v>111.56047197640117</v>
      </c>
      <c r="G188" s="22">
        <v>0.37535558128947699</v>
      </c>
      <c r="H188" s="18">
        <v>0</v>
      </c>
      <c r="I188" s="18">
        <f t="shared" si="8"/>
        <v>1</v>
      </c>
      <c r="J188" s="41">
        <v>43761</v>
      </c>
      <c r="K188" s="36">
        <v>2019</v>
      </c>
      <c r="L188" s="32">
        <f t="shared" si="6"/>
        <v>43763</v>
      </c>
      <c r="M188" s="40">
        <v>1</v>
      </c>
      <c r="N188" s="33">
        <v>100</v>
      </c>
      <c r="O188" s="34">
        <f>AVERAGEIF(L3:L1205,"&lt;2019/10/23",N3:N1205)</f>
        <v>112.68996062992126</v>
      </c>
      <c r="P188" s="56">
        <v>0</v>
      </c>
      <c r="Q188" s="40">
        <f>AVERAGEIF(L3:L1205,"&lt;2019/10/23",P3:P1205)</f>
        <v>0.43110236220472442</v>
      </c>
      <c r="R188" s="40">
        <v>1</v>
      </c>
      <c r="S188" s="40">
        <f>AVERAGEIF(L3:L1205,"&lt;2019/10/23",R3:R1205)</f>
        <v>1.2303149606299213</v>
      </c>
      <c r="T188" s="56">
        <v>2</v>
      </c>
      <c r="U188" s="40">
        <f>AVERAGEIF(L3:L1205,"&lt;2019/10/23",T3:T1205)</f>
        <v>7.159448818897638</v>
      </c>
      <c r="V188" s="24">
        <v>1017</v>
      </c>
      <c r="W188" s="47" t="s">
        <v>4550</v>
      </c>
    </row>
    <row r="189" spans="1:23">
      <c r="A189" s="23">
        <v>3</v>
      </c>
      <c r="B189" s="23">
        <v>25</v>
      </c>
      <c r="C189" s="18">
        <v>4</v>
      </c>
      <c r="D189" s="18">
        <v>4</v>
      </c>
      <c r="E189" s="20">
        <v>32</v>
      </c>
      <c r="F189" s="21">
        <f t="shared" si="7"/>
        <v>111.63877952755905</v>
      </c>
      <c r="G189" s="22">
        <v>0.42284894995379002</v>
      </c>
      <c r="H189" s="3">
        <v>0</v>
      </c>
      <c r="I189" s="18">
        <f t="shared" si="8"/>
        <v>1</v>
      </c>
      <c r="J189" s="41">
        <v>43760</v>
      </c>
      <c r="K189" s="36">
        <v>2019</v>
      </c>
      <c r="L189" s="32">
        <f t="shared" si="6"/>
        <v>43762</v>
      </c>
      <c r="M189" s="37">
        <v>0</v>
      </c>
      <c r="N189" s="33">
        <v>46</v>
      </c>
      <c r="O189" s="34">
        <f>AVERAGEIF(L3:L1205,"&lt;2019/10/22",N3:N1205)</f>
        <v>112.68996062992126</v>
      </c>
      <c r="P189" s="38">
        <v>0</v>
      </c>
      <c r="Q189" s="38">
        <f>AVERAGEIF(L3:L1205,"&lt;2019/10/22",P3:P1205)</f>
        <v>0.43110236220472442</v>
      </c>
      <c r="R189" s="38">
        <v>1</v>
      </c>
      <c r="S189" s="38">
        <f>AVERAGEIF(L3:L1205,"&lt;2019/10/22",R3:R1205)</f>
        <v>1.2303149606299213</v>
      </c>
      <c r="T189" s="38">
        <v>2</v>
      </c>
      <c r="U189" s="38">
        <f>AVERAGEIF(L3:L1205,"&lt;2019/10/22",T3:T1205)</f>
        <v>7.159448818897638</v>
      </c>
      <c r="V189" s="24">
        <v>1016</v>
      </c>
      <c r="W189" s="47" t="s">
        <v>4550</v>
      </c>
    </row>
    <row r="190" spans="1:23">
      <c r="A190" s="23">
        <v>2</v>
      </c>
      <c r="B190" s="23">
        <v>15</v>
      </c>
      <c r="C190" s="18">
        <v>3</v>
      </c>
      <c r="D190" s="18">
        <v>6</v>
      </c>
      <c r="E190" s="20">
        <v>66</v>
      </c>
      <c r="F190" s="21">
        <f t="shared" si="7"/>
        <v>111.68374384236454</v>
      </c>
      <c r="G190" s="22">
        <v>0.41688435856184097</v>
      </c>
      <c r="H190" s="18">
        <v>0</v>
      </c>
      <c r="I190" s="18">
        <f t="shared" si="8"/>
        <v>1</v>
      </c>
      <c r="J190" s="41">
        <v>43751</v>
      </c>
      <c r="K190" s="36">
        <v>2019</v>
      </c>
      <c r="L190" s="32">
        <f t="shared" si="6"/>
        <v>43754</v>
      </c>
      <c r="M190" s="40">
        <v>0</v>
      </c>
      <c r="N190" s="33">
        <v>49</v>
      </c>
      <c r="O190" s="34">
        <f>AVERAGEIF(L3:L1205,"&lt;2019/10/13",N3:N1205)</f>
        <v>112.87154150197628</v>
      </c>
      <c r="P190" s="56">
        <v>0</v>
      </c>
      <c r="Q190" s="40">
        <f>AVERAGEIF(L3:L1205,"&lt;2019/10/13",P3:P1205)</f>
        <v>0.4298418972332016</v>
      </c>
      <c r="R190" s="40">
        <v>1</v>
      </c>
      <c r="S190" s="40">
        <f>AVERAGEIF(L3:L1205,"&lt;2019/10/13",R3:R1205)</f>
        <v>1.2312252964426877</v>
      </c>
      <c r="T190" s="56">
        <v>3</v>
      </c>
      <c r="U190" s="40">
        <f>AVERAGEIF(L3:L1205,"&lt;2019/10/13",T3:T1205)</f>
        <v>7.1679841897233203</v>
      </c>
      <c r="V190" s="24">
        <v>1015</v>
      </c>
      <c r="W190" s="47" t="s">
        <v>4529</v>
      </c>
    </row>
    <row r="191" spans="1:23">
      <c r="A191" s="23">
        <v>3</v>
      </c>
      <c r="B191" s="23">
        <v>25</v>
      </c>
      <c r="C191" s="18">
        <v>5</v>
      </c>
      <c r="D191" s="18">
        <v>6</v>
      </c>
      <c r="E191" s="20">
        <v>28</v>
      </c>
      <c r="F191" s="21">
        <f t="shared" si="7"/>
        <v>111.76627218934911</v>
      </c>
      <c r="G191" s="22">
        <v>0.37569696886572801</v>
      </c>
      <c r="H191" s="3">
        <v>1</v>
      </c>
      <c r="I191" s="18">
        <f t="shared" si="8"/>
        <v>0</v>
      </c>
      <c r="J191" s="41">
        <v>43751</v>
      </c>
      <c r="K191" s="36">
        <v>2019</v>
      </c>
      <c r="L191" s="32">
        <f t="shared" si="6"/>
        <v>43754</v>
      </c>
      <c r="M191" s="37">
        <v>0</v>
      </c>
      <c r="N191" s="33">
        <v>66</v>
      </c>
      <c r="O191" s="34">
        <f>AVERAGEIF(L3:L1205,"&lt;2019/10/13",N3:N1205)</f>
        <v>112.87154150197628</v>
      </c>
      <c r="P191" s="38">
        <v>3</v>
      </c>
      <c r="Q191" s="38">
        <f>AVERAGEIF(L3:L1205,"&lt;2019/10/13",P3:P1205)</f>
        <v>0.4298418972332016</v>
      </c>
      <c r="R191" s="38">
        <v>1</v>
      </c>
      <c r="S191" s="38">
        <f>AVERAGEIF(L3:L1205,"&lt;2019/10/13",R3:R1205)</f>
        <v>1.2312252964426877</v>
      </c>
      <c r="T191" s="38">
        <v>3</v>
      </c>
      <c r="U191" s="38">
        <f>AVERAGEIF(L3:L1205,"&lt;2019/10/13",T3:T1205)</f>
        <v>7.1679841897233203</v>
      </c>
      <c r="V191" s="24">
        <v>1014</v>
      </c>
      <c r="W191" s="47" t="s">
        <v>4563</v>
      </c>
    </row>
    <row r="192" spans="1:23">
      <c r="A192" s="23">
        <v>4</v>
      </c>
      <c r="B192" s="23">
        <v>32</v>
      </c>
      <c r="C192" s="18">
        <v>4</v>
      </c>
      <c r="D192" s="18">
        <v>6</v>
      </c>
      <c r="E192" s="20">
        <v>147</v>
      </c>
      <c r="F192" s="21">
        <f t="shared" si="7"/>
        <v>111.7314906219151</v>
      </c>
      <c r="G192" s="22">
        <v>0.34090909092571903</v>
      </c>
      <c r="H192" s="18">
        <v>1</v>
      </c>
      <c r="I192" s="18">
        <f t="shared" si="8"/>
        <v>0</v>
      </c>
      <c r="J192" s="45">
        <v>43751</v>
      </c>
      <c r="K192" s="36">
        <v>2019</v>
      </c>
      <c r="L192" s="32">
        <f t="shared" si="6"/>
        <v>43753</v>
      </c>
      <c r="M192" s="42">
        <v>0</v>
      </c>
      <c r="N192" s="33">
        <v>104</v>
      </c>
      <c r="O192" s="34">
        <f>AVERAGEIF(L3:L1205,"&lt;2019/10/13",N3:N1205)</f>
        <v>112.87154150197628</v>
      </c>
      <c r="P192" s="38">
        <v>0</v>
      </c>
      <c r="Q192" s="38">
        <f>AVERAGEIF(L3:L1205,"&lt;2019/10/13",P3:P1205)</f>
        <v>0.4298418972332016</v>
      </c>
      <c r="R192" s="38">
        <v>1</v>
      </c>
      <c r="S192" s="38">
        <f>AVERAGEIF(L3:L1205,"&lt;2019/10/13",R3:R1205)</f>
        <v>1.2312252964426877</v>
      </c>
      <c r="T192" s="38">
        <v>2</v>
      </c>
      <c r="U192" s="38">
        <f>AVERAGEIF(L3:L1205,"&lt;2019/10/13",T3:T1205)</f>
        <v>7.1679841897233203</v>
      </c>
      <c r="V192" s="24">
        <v>1013</v>
      </c>
      <c r="W192" s="47" t="s">
        <v>4550</v>
      </c>
    </row>
    <row r="193" spans="1:23">
      <c r="A193" s="23">
        <v>2</v>
      </c>
      <c r="B193" s="23">
        <v>7</v>
      </c>
      <c r="C193" s="18">
        <v>4</v>
      </c>
      <c r="D193" s="18">
        <v>4</v>
      </c>
      <c r="E193" s="20">
        <v>74</v>
      </c>
      <c r="F193" s="21">
        <f t="shared" si="7"/>
        <v>111.76877470355731</v>
      </c>
      <c r="G193" s="22">
        <v>0.387299003690044</v>
      </c>
      <c r="H193" s="18">
        <v>1</v>
      </c>
      <c r="I193" s="18">
        <f t="shared" si="8"/>
        <v>0</v>
      </c>
      <c r="J193" s="41">
        <v>43747</v>
      </c>
      <c r="K193" s="36">
        <v>2019</v>
      </c>
      <c r="L193" s="32">
        <f t="shared" si="6"/>
        <v>43750</v>
      </c>
      <c r="M193" s="40">
        <v>1</v>
      </c>
      <c r="N193" s="33">
        <v>99</v>
      </c>
      <c r="O193" s="34">
        <f>AVERAGEIF(L3:L1205,"&lt;2019/10/9",N3:N1205)</f>
        <v>112.85119047619048</v>
      </c>
      <c r="P193" s="38">
        <v>0</v>
      </c>
      <c r="Q193" s="38">
        <f>AVERAGEIF(L3:L1205,"&lt;2019/10/9",P3:P1205)</f>
        <v>0.42956349206349204</v>
      </c>
      <c r="R193" s="38">
        <v>2</v>
      </c>
      <c r="S193" s="38">
        <f>AVERAGEIF(L3:L1205,"&lt;2019/10/9",R3:R1205)</f>
        <v>1.2311507936507937</v>
      </c>
      <c r="T193" s="38">
        <v>3</v>
      </c>
      <c r="U193" s="38">
        <f>AVERAGEIF(L3:L1205,"&lt;2019/10/9",T3:T1205)</f>
        <v>7.1845238095238093</v>
      </c>
      <c r="V193" s="24">
        <v>1012</v>
      </c>
      <c r="W193" s="47" t="s">
        <v>4550</v>
      </c>
    </row>
    <row r="194" spans="1:23">
      <c r="A194" s="23">
        <v>2</v>
      </c>
      <c r="B194" s="23">
        <v>13</v>
      </c>
      <c r="C194" s="18">
        <v>4</v>
      </c>
      <c r="D194" s="18">
        <v>6</v>
      </c>
      <c r="E194" s="20">
        <v>58</v>
      </c>
      <c r="F194" s="21">
        <f t="shared" si="7"/>
        <v>111.82195845697329</v>
      </c>
      <c r="G194" s="22">
        <v>0.31528252257109401</v>
      </c>
      <c r="H194" s="18">
        <v>1</v>
      </c>
      <c r="I194" s="18">
        <f t="shared" si="8"/>
        <v>0</v>
      </c>
      <c r="J194" s="41">
        <v>43747</v>
      </c>
      <c r="K194" s="36">
        <v>2019</v>
      </c>
      <c r="L194" s="32">
        <f t="shared" si="6"/>
        <v>43759</v>
      </c>
      <c r="M194" s="40">
        <v>1</v>
      </c>
      <c r="N194" s="33">
        <v>48</v>
      </c>
      <c r="O194" s="34">
        <f>AVERAGEIF(L3:L1205,"&lt;2019/10/9",N3:N1205)</f>
        <v>112.85119047619048</v>
      </c>
      <c r="P194" s="38">
        <v>0</v>
      </c>
      <c r="Q194" s="38">
        <f>AVERAGEIF(L3:L1205,"&lt;2019/10/9",P3:P1205)</f>
        <v>0.42956349206349204</v>
      </c>
      <c r="R194" s="38">
        <v>1</v>
      </c>
      <c r="S194" s="38">
        <f>AVERAGEIF(L3:L1205,"&lt;2019/10/9",R3:R1205)</f>
        <v>1.2311507936507937</v>
      </c>
      <c r="T194" s="38">
        <v>12</v>
      </c>
      <c r="U194" s="38">
        <f>AVERAGEIF(L3:L1205,"&lt;2019/10/9",T3:T1205)</f>
        <v>7.1845238095238093</v>
      </c>
      <c r="V194" s="24">
        <v>1011</v>
      </c>
      <c r="W194" s="47" t="s">
        <v>4618</v>
      </c>
    </row>
    <row r="195" spans="1:23">
      <c r="A195" s="23">
        <v>3</v>
      </c>
      <c r="B195" s="23">
        <v>21</v>
      </c>
      <c r="C195" s="18">
        <v>5</v>
      </c>
      <c r="D195" s="18">
        <v>4</v>
      </c>
      <c r="E195" s="20">
        <v>24</v>
      </c>
      <c r="F195" s="21">
        <f t="shared" si="7"/>
        <v>111.90891089108911</v>
      </c>
      <c r="G195" s="22">
        <v>0.31047025415127399</v>
      </c>
      <c r="H195" s="3">
        <v>1</v>
      </c>
      <c r="I195" s="18">
        <f t="shared" si="8"/>
        <v>0</v>
      </c>
      <c r="J195" s="41">
        <v>43747</v>
      </c>
      <c r="K195" s="36">
        <v>2019</v>
      </c>
      <c r="L195" s="32">
        <f t="shared" ref="L195:L258" si="9">J195+T195</f>
        <v>43748</v>
      </c>
      <c r="M195" s="37">
        <v>1</v>
      </c>
      <c r="N195" s="33">
        <v>58</v>
      </c>
      <c r="O195" s="34">
        <f>AVERAGEIF(L3:L1205,"&lt;2019/10/9",N3:N1205)</f>
        <v>112.85119047619048</v>
      </c>
      <c r="P195" s="38">
        <v>0</v>
      </c>
      <c r="Q195" s="38">
        <f>AVERAGEIF(L3:L1205,"&lt;2019/10/9",P3:P1205)</f>
        <v>0.42956349206349204</v>
      </c>
      <c r="R195" s="38">
        <v>1</v>
      </c>
      <c r="S195" s="38">
        <f>AVERAGEIF(L3:L1205,"&lt;2019/10/9",R3:R1205)</f>
        <v>1.2311507936507937</v>
      </c>
      <c r="T195" s="38">
        <v>1</v>
      </c>
      <c r="U195" s="38">
        <f>AVERAGEIF(L3:L1205,"&lt;2019/10/9",T3:T1205)</f>
        <v>7.1845238095238093</v>
      </c>
      <c r="V195" s="24">
        <v>1010</v>
      </c>
      <c r="W195" s="47" t="s">
        <v>4564</v>
      </c>
    </row>
    <row r="196" spans="1:23">
      <c r="A196" s="23">
        <v>4</v>
      </c>
      <c r="B196" s="23">
        <v>34</v>
      </c>
      <c r="C196" s="18">
        <v>4</v>
      </c>
      <c r="D196" s="18">
        <v>6</v>
      </c>
      <c r="E196" s="20">
        <v>37</v>
      </c>
      <c r="F196" s="21">
        <f t="shared" ref="F196:F259" si="10">AVERAGE(E197:E1398)</f>
        <v>111.98315163528245</v>
      </c>
      <c r="G196" s="22">
        <v>0.37576731939430202</v>
      </c>
      <c r="H196" s="18">
        <v>1</v>
      </c>
      <c r="I196" s="18">
        <f t="shared" ref="I196:I259" si="11">IF(H196=1,0,1)</f>
        <v>0</v>
      </c>
      <c r="J196" s="45">
        <v>43746</v>
      </c>
      <c r="K196" s="36">
        <v>2019</v>
      </c>
      <c r="L196" s="32">
        <f t="shared" si="9"/>
        <v>43750</v>
      </c>
      <c r="M196" s="42">
        <v>0</v>
      </c>
      <c r="N196" s="33">
        <v>262</v>
      </c>
      <c r="O196" s="34">
        <f>AVERAGEIF(L3:L1205,"&lt;2019/10/8",N3:N1205)</f>
        <v>112.85119047619048</v>
      </c>
      <c r="P196" s="38">
        <v>2</v>
      </c>
      <c r="Q196" s="38">
        <f>AVERAGEIF(L3:L1205,"&lt;2019/10/8",P3:P1205)</f>
        <v>0.42956349206349204</v>
      </c>
      <c r="R196" s="38">
        <v>1</v>
      </c>
      <c r="S196" s="38">
        <f>AVERAGEIF(L3:L1205,"&lt;2019/10/8",R3:R1205)</f>
        <v>1.2311507936507937</v>
      </c>
      <c r="T196" s="38">
        <v>4</v>
      </c>
      <c r="U196" s="38">
        <f>AVERAGEIF(L3:L1205,"&lt;2019/10/8",T3:T1205)</f>
        <v>7.1845238095238093</v>
      </c>
      <c r="V196" s="24">
        <v>1009</v>
      </c>
      <c r="W196" s="47" t="s">
        <v>4558</v>
      </c>
    </row>
    <row r="197" spans="1:23">
      <c r="A197" s="23">
        <v>3</v>
      </c>
      <c r="B197" s="23">
        <v>25</v>
      </c>
      <c r="C197" s="18">
        <v>4</v>
      </c>
      <c r="D197" s="18">
        <v>4</v>
      </c>
      <c r="E197" s="20">
        <v>76</v>
      </c>
      <c r="F197" s="21">
        <f t="shared" si="10"/>
        <v>112.0188492063492</v>
      </c>
      <c r="G197" s="22">
        <v>0.41528696115235902</v>
      </c>
      <c r="H197" s="3">
        <v>1</v>
      </c>
      <c r="I197" s="18">
        <f t="shared" si="11"/>
        <v>0</v>
      </c>
      <c r="J197" s="41">
        <v>43744</v>
      </c>
      <c r="K197" s="36">
        <v>2019</v>
      </c>
      <c r="L197" s="32">
        <f t="shared" si="9"/>
        <v>43748</v>
      </c>
      <c r="M197" s="40">
        <v>0</v>
      </c>
      <c r="N197" s="33">
        <v>53</v>
      </c>
      <c r="O197" s="34">
        <f>AVERAGEIF(L3:L1205,"&lt;2019/10/6",N3:N1205)</f>
        <v>112.85119047619048</v>
      </c>
      <c r="P197" s="38">
        <v>0</v>
      </c>
      <c r="Q197" s="38">
        <f>AVERAGEIF(L3:L1205,"&lt;2019/10/6",P3:P1205)</f>
        <v>0.42956349206349204</v>
      </c>
      <c r="R197" s="38">
        <v>1</v>
      </c>
      <c r="S197" s="38">
        <f>AVERAGEIF(L3:L1205,"&lt;2019/10/6",R3:R1205)</f>
        <v>1.2311507936507937</v>
      </c>
      <c r="T197" s="38">
        <v>4</v>
      </c>
      <c r="U197" s="38">
        <f>AVERAGEIF(L3:L1205,"&lt;2019/10/6",T3:T1205)</f>
        <v>7.1845238095238093</v>
      </c>
      <c r="V197" s="24">
        <v>1008</v>
      </c>
      <c r="W197" s="47" t="s">
        <v>4558</v>
      </c>
    </row>
    <row r="198" spans="1:23">
      <c r="A198" s="23">
        <v>3</v>
      </c>
      <c r="B198" s="23">
        <v>26</v>
      </c>
      <c r="C198" s="18">
        <v>4</v>
      </c>
      <c r="D198" s="18">
        <v>4</v>
      </c>
      <c r="E198" s="20">
        <v>52</v>
      </c>
      <c r="F198" s="21">
        <f t="shared" si="10"/>
        <v>112.07845084409136</v>
      </c>
      <c r="G198" s="22">
        <v>0.71810669372722202</v>
      </c>
      <c r="H198" s="3">
        <v>1</v>
      </c>
      <c r="I198" s="18">
        <f t="shared" si="11"/>
        <v>0</v>
      </c>
      <c r="J198" s="41">
        <v>43735</v>
      </c>
      <c r="K198" s="36">
        <v>2019</v>
      </c>
      <c r="L198" s="32">
        <f t="shared" si="9"/>
        <v>43737</v>
      </c>
      <c r="M198" s="40">
        <v>0</v>
      </c>
      <c r="N198" s="33">
        <v>130</v>
      </c>
      <c r="O198" s="34">
        <f>AVERAGEIF(L3:L1205,"&lt;2019/9/27",N3:N1205)</f>
        <v>112.87761194029851</v>
      </c>
      <c r="P198" s="38">
        <v>0</v>
      </c>
      <c r="Q198" s="38">
        <f>AVERAGEIF(L3:L1205,"&lt;2019/9/27",P3:P1205)</f>
        <v>0.42885572139303485</v>
      </c>
      <c r="R198" s="38">
        <v>1</v>
      </c>
      <c r="S198" s="38">
        <f>AVERAGEIF(L3:L1205,"&lt;2019/9/27",R3:R1205)</f>
        <v>1.2318407960199005</v>
      </c>
      <c r="T198" s="38">
        <v>2</v>
      </c>
      <c r="U198" s="38">
        <f>AVERAGEIF(L3:L1205,"&lt;2019/9/27",T3:T1205)</f>
        <v>7.1950248756218906</v>
      </c>
      <c r="V198" s="24">
        <v>1007</v>
      </c>
      <c r="W198" s="47" t="s">
        <v>4521</v>
      </c>
    </row>
    <row r="199" spans="1:23">
      <c r="A199" s="23">
        <v>3</v>
      </c>
      <c r="B199" s="23">
        <v>26</v>
      </c>
      <c r="C199" s="18">
        <v>4</v>
      </c>
      <c r="D199" s="18">
        <v>4</v>
      </c>
      <c r="E199" s="20">
        <v>50</v>
      </c>
      <c r="F199" s="21">
        <f t="shared" si="10"/>
        <v>112.14015904572565</v>
      </c>
      <c r="G199" s="22">
        <v>0.44592950395056502</v>
      </c>
      <c r="H199" s="3">
        <v>1</v>
      </c>
      <c r="I199" s="18">
        <f t="shared" si="11"/>
        <v>0</v>
      </c>
      <c r="J199" s="41">
        <v>43733</v>
      </c>
      <c r="K199" s="36">
        <v>2019</v>
      </c>
      <c r="L199" s="32">
        <f t="shared" si="9"/>
        <v>43735</v>
      </c>
      <c r="M199" s="40">
        <v>0</v>
      </c>
      <c r="N199" s="33">
        <v>98</v>
      </c>
      <c r="O199" s="34">
        <f>AVERAGEIF(L3:L1205,"&lt;2019/9/25",N3:N1205)</f>
        <v>112.95812562313061</v>
      </c>
      <c r="P199" s="38">
        <v>0</v>
      </c>
      <c r="Q199" s="38">
        <f>AVERAGEIF(L3:L1205,"&lt;2019/9/25",P3:P1205)</f>
        <v>0.42971086739780656</v>
      </c>
      <c r="R199" s="38">
        <v>1</v>
      </c>
      <c r="S199" s="38">
        <f>AVERAGEIF(L3:L1205,"&lt;2019/9/25",R3:R1205)</f>
        <v>1.2323030907278165</v>
      </c>
      <c r="T199" s="38">
        <v>2</v>
      </c>
      <c r="U199" s="38">
        <f>AVERAGEIF(L3:L1205,"&lt;2019/9/25",T3:T1205)</f>
        <v>7.2033898305084749</v>
      </c>
      <c r="V199" s="24">
        <v>1006</v>
      </c>
      <c r="W199" s="47" t="s">
        <v>4621</v>
      </c>
    </row>
    <row r="200" spans="1:23">
      <c r="A200" s="23">
        <v>2</v>
      </c>
      <c r="B200" s="23">
        <v>18</v>
      </c>
      <c r="C200" s="18">
        <v>4</v>
      </c>
      <c r="D200" s="18">
        <v>4</v>
      </c>
      <c r="E200" s="20">
        <v>49</v>
      </c>
      <c r="F200" s="21">
        <f t="shared" si="10"/>
        <v>112.20298507462687</v>
      </c>
      <c r="G200" s="22">
        <v>0.41314967183491103</v>
      </c>
      <c r="H200" s="18">
        <v>1</v>
      </c>
      <c r="I200" s="18">
        <f t="shared" si="11"/>
        <v>0</v>
      </c>
      <c r="J200" s="41">
        <v>43732</v>
      </c>
      <c r="K200" s="36">
        <v>2019</v>
      </c>
      <c r="L200" s="32">
        <f t="shared" si="9"/>
        <v>43734</v>
      </c>
      <c r="M200" s="40">
        <v>0</v>
      </c>
      <c r="N200" s="33">
        <v>25</v>
      </c>
      <c r="O200" s="34">
        <f>AVERAGEIF(L3:L1205,"&lt;2019/9/24",N3:N1205)</f>
        <v>113.089</v>
      </c>
      <c r="P200" s="38">
        <v>0</v>
      </c>
      <c r="Q200" s="38">
        <f>AVERAGEIF(L3:L1205,"&lt;2019/9/24",P3:P1205)</f>
        <v>0.42599999999999999</v>
      </c>
      <c r="R200" s="38">
        <v>1</v>
      </c>
      <c r="S200" s="38">
        <f>AVERAGEIF(L3:L1205,"&lt;2019/9/24",R3:R1205)</f>
        <v>1.2330000000000001</v>
      </c>
      <c r="T200" s="38">
        <v>2</v>
      </c>
      <c r="U200" s="38">
        <f>AVERAGEIF(L3:L1205,"&lt;2019/9/24",T3:T1205)</f>
        <v>7.1950000000000003</v>
      </c>
      <c r="V200" s="24">
        <v>1005</v>
      </c>
      <c r="W200" s="47" t="s">
        <v>4521</v>
      </c>
    </row>
    <row r="201" spans="1:23">
      <c r="A201" s="23">
        <v>4</v>
      </c>
      <c r="B201" s="23">
        <v>30</v>
      </c>
      <c r="C201" s="18">
        <v>4</v>
      </c>
      <c r="D201" s="18">
        <v>4</v>
      </c>
      <c r="E201" s="20">
        <v>30</v>
      </c>
      <c r="F201" s="21">
        <f t="shared" si="10"/>
        <v>112.28486055776892</v>
      </c>
      <c r="G201" s="22">
        <v>0.41289320557933701</v>
      </c>
      <c r="H201" s="18">
        <v>1</v>
      </c>
      <c r="I201" s="18">
        <f t="shared" si="11"/>
        <v>0</v>
      </c>
      <c r="J201" s="45">
        <v>43731</v>
      </c>
      <c r="K201" s="36">
        <v>2019</v>
      </c>
      <c r="L201" s="32">
        <f t="shared" si="9"/>
        <v>43738</v>
      </c>
      <c r="M201" s="42">
        <v>0</v>
      </c>
      <c r="N201" s="33">
        <v>84</v>
      </c>
      <c r="O201" s="34">
        <f>AVERAGEIF(L3:L1205,"&lt;2019/9/23",N3:N1205)</f>
        <v>113.14214214214215</v>
      </c>
      <c r="P201" s="38">
        <v>2</v>
      </c>
      <c r="Q201" s="38">
        <f>AVERAGEIF(L3:L1205,"&lt;2019/9/23",P3:P1205)</f>
        <v>0.42442442442442441</v>
      </c>
      <c r="R201" s="38">
        <v>1</v>
      </c>
      <c r="S201" s="38">
        <f>AVERAGEIF(L3:L1205,"&lt;2019/9/23",R3:R1205)</f>
        <v>1.2322322322322323</v>
      </c>
      <c r="T201" s="38">
        <v>7</v>
      </c>
      <c r="U201" s="38">
        <f>AVERAGEIF(L3:L1205,"&lt;2019/9/23",T3:T1205)</f>
        <v>7.1951951951951951</v>
      </c>
      <c r="V201" s="24">
        <v>1004</v>
      </c>
      <c r="W201" s="47" t="s">
        <v>4550</v>
      </c>
    </row>
    <row r="202" spans="1:23">
      <c r="A202" s="23">
        <v>2</v>
      </c>
      <c r="B202" s="23">
        <v>6</v>
      </c>
      <c r="C202" s="18">
        <v>4</v>
      </c>
      <c r="D202" s="18">
        <v>4</v>
      </c>
      <c r="E202" s="20">
        <v>51</v>
      </c>
      <c r="F202" s="21">
        <f t="shared" si="10"/>
        <v>112.34596211365903</v>
      </c>
      <c r="G202" s="22">
        <v>0.44640572489229302</v>
      </c>
      <c r="H202" s="18">
        <v>1</v>
      </c>
      <c r="I202" s="18">
        <f t="shared" si="11"/>
        <v>0</v>
      </c>
      <c r="J202" s="41">
        <v>43729</v>
      </c>
      <c r="K202" s="36">
        <v>2019</v>
      </c>
      <c r="L202" s="32">
        <f t="shared" si="9"/>
        <v>43733</v>
      </c>
      <c r="M202" s="40">
        <v>0</v>
      </c>
      <c r="N202" s="33">
        <v>120</v>
      </c>
      <c r="O202" s="34">
        <f>AVERAGEIF(L3:L1205,"&lt;2019/9/21",N3:N1205)</f>
        <v>113.14214214214215</v>
      </c>
      <c r="P202" s="40">
        <v>0</v>
      </c>
      <c r="Q202" s="40">
        <f>AVERAGEIF(L3:L1205,"&lt;2019/9/21",P3:P1205)</f>
        <v>0.42442442442442441</v>
      </c>
      <c r="R202" s="40">
        <v>1</v>
      </c>
      <c r="S202" s="40">
        <f>AVERAGEIF(L3:L1205,"&lt;2019/9/21",R3:R1205)</f>
        <v>1.2322322322322323</v>
      </c>
      <c r="T202" s="40">
        <v>4</v>
      </c>
      <c r="U202" s="40">
        <f>AVERAGEIF(L3:L1205,"&lt;2019/9/21",T3:T1205)</f>
        <v>7.1951951951951951</v>
      </c>
      <c r="V202" s="24">
        <v>1003</v>
      </c>
      <c r="W202" s="47" t="s">
        <v>4618</v>
      </c>
    </row>
    <row r="203" spans="1:23">
      <c r="A203" s="23">
        <v>3</v>
      </c>
      <c r="B203" s="23">
        <v>25</v>
      </c>
      <c r="C203" s="18">
        <v>5</v>
      </c>
      <c r="D203" s="18">
        <v>6</v>
      </c>
      <c r="E203" s="20">
        <v>57</v>
      </c>
      <c r="F203" s="21">
        <f t="shared" si="10"/>
        <v>112.40119760479043</v>
      </c>
      <c r="G203" s="22">
        <v>0.37403458747715801</v>
      </c>
      <c r="H203" s="3">
        <v>1</v>
      </c>
      <c r="I203" s="18">
        <f t="shared" si="11"/>
        <v>0</v>
      </c>
      <c r="J203" s="41">
        <v>43726</v>
      </c>
      <c r="K203" s="36">
        <v>2019</v>
      </c>
      <c r="L203" s="32">
        <f t="shared" si="9"/>
        <v>43732</v>
      </c>
      <c r="M203" s="40">
        <v>0</v>
      </c>
      <c r="N203" s="33">
        <v>37</v>
      </c>
      <c r="O203" s="34">
        <f>AVERAGEIF(L3:L1205,"&lt;2019/9/18",N3:N1205)</f>
        <v>113.15831663326654</v>
      </c>
      <c r="P203" s="38">
        <v>2</v>
      </c>
      <c r="Q203" s="38">
        <f>AVERAGEIF(L3:L1205,"&lt;2019/9/18",P3:P1205)</f>
        <v>0.42284569138276551</v>
      </c>
      <c r="R203" s="38">
        <v>1</v>
      </c>
      <c r="S203" s="38">
        <f>AVERAGEIF(L3:L1205,"&lt;2019/9/18",R3:R1205)</f>
        <v>1.2324649298597194</v>
      </c>
      <c r="T203" s="38">
        <v>6</v>
      </c>
      <c r="U203" s="38">
        <f>AVERAGEIF(L3:L1205,"&lt;2019/9/18",T3:T1205)</f>
        <v>7.1943887775551101</v>
      </c>
      <c r="V203" s="24">
        <v>1002</v>
      </c>
      <c r="W203" s="47" t="s">
        <v>4563</v>
      </c>
    </row>
    <row r="204" spans="1:23">
      <c r="A204" s="23">
        <v>2</v>
      </c>
      <c r="B204" s="23">
        <v>6</v>
      </c>
      <c r="C204" s="18">
        <v>4</v>
      </c>
      <c r="D204" s="18">
        <v>1</v>
      </c>
      <c r="E204" s="20">
        <v>173</v>
      </c>
      <c r="F204" s="21">
        <f t="shared" si="10"/>
        <v>112.34065934065934</v>
      </c>
      <c r="G204" s="22">
        <v>0.500585136752973</v>
      </c>
      <c r="H204" s="18">
        <v>0</v>
      </c>
      <c r="I204" s="18">
        <f t="shared" si="11"/>
        <v>1</v>
      </c>
      <c r="J204" s="41">
        <v>43724</v>
      </c>
      <c r="K204" s="36">
        <v>2019</v>
      </c>
      <c r="L204" s="32">
        <f t="shared" si="9"/>
        <v>43725</v>
      </c>
      <c r="M204" s="40">
        <v>1</v>
      </c>
      <c r="N204" s="33">
        <v>135</v>
      </c>
      <c r="O204" s="34">
        <f>AVERAGEIF(L3:L1205,"&lt;2019/9/16",N3:N1205)</f>
        <v>113.20221327967806</v>
      </c>
      <c r="P204" s="38">
        <v>0</v>
      </c>
      <c r="Q204" s="38">
        <f>AVERAGEIF(L3:L1205,"&lt;2019/9/16",P3:P1205)</f>
        <v>0.42354124748490946</v>
      </c>
      <c r="R204" s="38">
        <v>1</v>
      </c>
      <c r="S204" s="38">
        <f>AVERAGEIF(L3:L1205,"&lt;2019/9/16",R3:R1205)</f>
        <v>1.2334004024144869</v>
      </c>
      <c r="T204" s="38">
        <v>1</v>
      </c>
      <c r="U204" s="38">
        <f>AVERAGEIF(L3:L1205,"&lt;2019/9/16",T3:T1205)</f>
        <v>7.2012072434607646</v>
      </c>
      <c r="V204" s="24">
        <v>1001</v>
      </c>
      <c r="W204" s="47" t="s">
        <v>4610</v>
      </c>
    </row>
    <row r="205" spans="1:23">
      <c r="A205" s="23">
        <v>4</v>
      </c>
      <c r="B205" s="23">
        <v>35</v>
      </c>
      <c r="C205" s="18">
        <v>4</v>
      </c>
      <c r="D205" s="18">
        <v>4</v>
      </c>
      <c r="E205" s="20">
        <v>35</v>
      </c>
      <c r="F205" s="21">
        <f t="shared" si="10"/>
        <v>112.41800000000001</v>
      </c>
      <c r="G205" s="22">
        <v>0.428925821824447</v>
      </c>
      <c r="H205" s="18">
        <v>1</v>
      </c>
      <c r="I205" s="18">
        <f t="shared" si="11"/>
        <v>0</v>
      </c>
      <c r="J205" s="45">
        <v>43724</v>
      </c>
      <c r="K205" s="36">
        <v>2019</v>
      </c>
      <c r="L205" s="32">
        <f t="shared" si="9"/>
        <v>43731</v>
      </c>
      <c r="M205" s="42">
        <v>0</v>
      </c>
      <c r="N205" s="33">
        <v>60</v>
      </c>
      <c r="O205" s="34">
        <f>AVERAGEIF(L3:L1205,"&lt;2019/9/16",N3:N1205)</f>
        <v>113.20221327967806</v>
      </c>
      <c r="P205" s="38">
        <v>2</v>
      </c>
      <c r="Q205" s="38">
        <f>AVERAGEIF(L3:L1205,"&lt;2019/9/16",P3:P1205)</f>
        <v>0.42354124748490946</v>
      </c>
      <c r="R205" s="38">
        <v>2</v>
      </c>
      <c r="S205" s="38">
        <f>AVERAGEIF(L3:L1205,"&lt;2019/9/16",R3:R1205)</f>
        <v>1.2334004024144869</v>
      </c>
      <c r="T205" s="38">
        <v>7</v>
      </c>
      <c r="U205" s="38">
        <f>AVERAGEIF(L3:L1205,"&lt;2019/9/16",T3:T1205)</f>
        <v>7.2012072434607646</v>
      </c>
      <c r="V205" s="24">
        <v>1000</v>
      </c>
      <c r="W205" s="47" t="s">
        <v>4550</v>
      </c>
    </row>
    <row r="206" spans="1:23">
      <c r="A206" s="23">
        <v>2</v>
      </c>
      <c r="B206" s="23">
        <v>6</v>
      </c>
      <c r="C206" s="18">
        <v>4</v>
      </c>
      <c r="D206" s="18">
        <v>4</v>
      </c>
      <c r="E206" s="20">
        <v>42</v>
      </c>
      <c r="F206" s="21">
        <f t="shared" si="10"/>
        <v>112.48848848848849</v>
      </c>
      <c r="G206" s="22">
        <v>0.49948700629161602</v>
      </c>
      <c r="H206" s="18">
        <v>1</v>
      </c>
      <c r="I206" s="18">
        <f t="shared" si="11"/>
        <v>0</v>
      </c>
      <c r="J206" s="41">
        <v>43720</v>
      </c>
      <c r="K206" s="36">
        <v>2019</v>
      </c>
      <c r="L206" s="32">
        <f t="shared" si="9"/>
        <v>43724</v>
      </c>
      <c r="M206" s="40">
        <v>0</v>
      </c>
      <c r="N206" s="33">
        <v>68</v>
      </c>
      <c r="O206" s="34">
        <f>AVERAGEIF(L3:L1205,"&lt;2019/9/12",N3:N1205)</f>
        <v>113.14833501513623</v>
      </c>
      <c r="P206" s="40">
        <v>0</v>
      </c>
      <c r="Q206" s="40">
        <f>AVERAGEIF(L3:L1205,"&lt;2019/9/12",P3:P1205)</f>
        <v>0.42482341069626639</v>
      </c>
      <c r="R206" s="40">
        <v>1</v>
      </c>
      <c r="S206" s="40">
        <f>AVERAGEIF(L3:L1205,"&lt;2019/9/12",R3:R1205)</f>
        <v>1.2341069626639758</v>
      </c>
      <c r="T206" s="40">
        <v>4</v>
      </c>
      <c r="U206" s="40">
        <f>AVERAGEIF(L3:L1205,"&lt;2019/9/12",T3:T1205)</f>
        <v>7.2169525731584256</v>
      </c>
      <c r="V206" s="24">
        <v>999</v>
      </c>
      <c r="W206" s="47" t="s">
        <v>4785</v>
      </c>
    </row>
    <row r="207" spans="1:23">
      <c r="A207" s="23">
        <v>2</v>
      </c>
      <c r="B207" s="23">
        <v>6</v>
      </c>
      <c r="C207" s="18">
        <v>4</v>
      </c>
      <c r="D207" s="18">
        <v>4</v>
      </c>
      <c r="E207" s="20">
        <v>68</v>
      </c>
      <c r="F207" s="21">
        <f t="shared" si="10"/>
        <v>112.53306613226452</v>
      </c>
      <c r="G207" s="22">
        <v>0.53615913936488502</v>
      </c>
      <c r="H207" s="18">
        <v>1</v>
      </c>
      <c r="I207" s="18">
        <f t="shared" si="11"/>
        <v>0</v>
      </c>
      <c r="J207" s="41">
        <v>43720</v>
      </c>
      <c r="K207" s="36">
        <v>2019</v>
      </c>
      <c r="L207" s="32">
        <f t="shared" si="9"/>
        <v>43732</v>
      </c>
      <c r="M207" s="40">
        <v>0</v>
      </c>
      <c r="N207" s="33">
        <v>46</v>
      </c>
      <c r="O207" s="34">
        <f>AVERAGEIF(L3:L1205,"&lt;2019/9/12",N3:N1205)</f>
        <v>113.14833501513623</v>
      </c>
      <c r="P207" s="38">
        <v>1</v>
      </c>
      <c r="Q207" s="38">
        <f>AVERAGEIF(L3:L1205,"&lt;2019/9/12",P3:P1205)</f>
        <v>0.42482341069626639</v>
      </c>
      <c r="R207" s="38">
        <v>1</v>
      </c>
      <c r="S207" s="38">
        <f>AVERAGEIF(L3:L1205,"&lt;2019/9/12",R3:R1205)</f>
        <v>1.2341069626639758</v>
      </c>
      <c r="T207" s="38">
        <v>12</v>
      </c>
      <c r="U207" s="38">
        <f>AVERAGEIF(L3:L1205,"&lt;2019/9/12",T3:T1205)</f>
        <v>7.2169525731584256</v>
      </c>
      <c r="V207" s="24">
        <v>998</v>
      </c>
      <c r="W207" s="47" t="s">
        <v>4550</v>
      </c>
    </row>
    <row r="208" spans="1:23">
      <c r="A208" s="23">
        <v>3</v>
      </c>
      <c r="B208" s="23">
        <v>25</v>
      </c>
      <c r="C208" s="18">
        <v>5</v>
      </c>
      <c r="D208" s="18">
        <v>6</v>
      </c>
      <c r="E208" s="20">
        <v>50</v>
      </c>
      <c r="F208" s="21">
        <f t="shared" si="10"/>
        <v>112.59578736208626</v>
      </c>
      <c r="G208" s="22">
        <v>0.38863464831960898</v>
      </c>
      <c r="H208" s="3">
        <v>1</v>
      </c>
      <c r="I208" s="18">
        <f t="shared" si="11"/>
        <v>0</v>
      </c>
      <c r="J208" s="41">
        <v>43720</v>
      </c>
      <c r="K208" s="36">
        <v>2019</v>
      </c>
      <c r="L208" s="32">
        <f t="shared" si="9"/>
        <v>43732</v>
      </c>
      <c r="M208" s="40">
        <v>0</v>
      </c>
      <c r="N208" s="33">
        <v>125</v>
      </c>
      <c r="O208" s="34">
        <f>AVERAGEIF(L3:L1205,"&lt;2019/9/12",N3:N1205)</f>
        <v>113.14833501513623</v>
      </c>
      <c r="P208" s="38">
        <v>2</v>
      </c>
      <c r="Q208" s="38">
        <f>AVERAGEIF(L3:L1205,"&lt;2019/9/12",P3:P1205)</f>
        <v>0.42482341069626639</v>
      </c>
      <c r="R208" s="38">
        <v>1</v>
      </c>
      <c r="S208" s="38">
        <f>AVERAGEIF(L3:L1205,"&lt;2019/9/12",R3:R1205)</f>
        <v>1.2341069626639758</v>
      </c>
      <c r="T208" s="38">
        <v>12</v>
      </c>
      <c r="U208" s="38">
        <f>AVERAGEIF(L3:L1205,"&lt;2019/9/12",T3:T1205)</f>
        <v>7.2169525731584256</v>
      </c>
      <c r="V208" s="24">
        <v>997</v>
      </c>
      <c r="W208" s="47" t="s">
        <v>4563</v>
      </c>
    </row>
    <row r="209" spans="1:23">
      <c r="A209" s="23">
        <v>2</v>
      </c>
      <c r="B209" s="23">
        <v>5</v>
      </c>
      <c r="C209" s="18">
        <v>4</v>
      </c>
      <c r="D209" s="18">
        <v>2</v>
      </c>
      <c r="E209" s="20">
        <v>9</v>
      </c>
      <c r="F209" s="21">
        <f t="shared" si="10"/>
        <v>112.69979919678715</v>
      </c>
      <c r="G209" s="22">
        <v>0.84078461241997104</v>
      </c>
      <c r="H209" s="18">
        <v>0</v>
      </c>
      <c r="I209" s="18">
        <f t="shared" si="11"/>
        <v>1</v>
      </c>
      <c r="J209" s="41">
        <v>43718</v>
      </c>
      <c r="K209" s="36">
        <v>2019</v>
      </c>
      <c r="L209" s="32">
        <f t="shared" si="9"/>
        <v>43726</v>
      </c>
      <c r="M209" s="37">
        <v>1</v>
      </c>
      <c r="N209" s="33">
        <v>97</v>
      </c>
      <c r="O209" s="34">
        <f>AVERAGEIF(L3:L1205,"&lt;2019/9/10",N3:N1205)</f>
        <v>113.16463414634147</v>
      </c>
      <c r="P209" s="38">
        <v>2</v>
      </c>
      <c r="Q209" s="38">
        <f>AVERAGEIF(L3:L1205,"&lt;2019/9/10",P3:P1205)</f>
        <v>0.4217479674796748</v>
      </c>
      <c r="R209" s="38">
        <v>1</v>
      </c>
      <c r="S209" s="38">
        <f>AVERAGEIF(L3:L1205,"&lt;2019/9/10",R3:R1205)</f>
        <v>1.2357723577235773</v>
      </c>
      <c r="T209" s="38">
        <v>8</v>
      </c>
      <c r="U209" s="38">
        <f>AVERAGEIF(L3:L1205,"&lt;2019/9/10",T3:T1205)</f>
        <v>7.2296747967479673</v>
      </c>
      <c r="V209" s="24">
        <v>996</v>
      </c>
      <c r="W209" s="47" t="s">
        <v>4529</v>
      </c>
    </row>
    <row r="210" spans="1:23">
      <c r="A210" s="23">
        <v>2</v>
      </c>
      <c r="B210" s="23">
        <v>6</v>
      </c>
      <c r="C210" s="18">
        <v>4</v>
      </c>
      <c r="D210" s="18">
        <v>4</v>
      </c>
      <c r="E210" s="20">
        <v>66</v>
      </c>
      <c r="F210" s="21">
        <f t="shared" si="10"/>
        <v>112.7467336683417</v>
      </c>
      <c r="G210" s="22">
        <v>0.70953690069205</v>
      </c>
      <c r="H210" s="18">
        <v>1</v>
      </c>
      <c r="I210" s="18">
        <f t="shared" si="11"/>
        <v>0</v>
      </c>
      <c r="J210" s="41">
        <v>43718</v>
      </c>
      <c r="K210" s="36">
        <v>2019</v>
      </c>
      <c r="L210" s="32">
        <f t="shared" si="9"/>
        <v>43720</v>
      </c>
      <c r="M210" s="40">
        <v>0</v>
      </c>
      <c r="N210" s="33">
        <v>189</v>
      </c>
      <c r="O210" s="34">
        <f>AVERAGEIF(L3:L1205,"&lt;2019/9/10",N3:N1205)</f>
        <v>113.16463414634147</v>
      </c>
      <c r="P210" s="40">
        <v>0</v>
      </c>
      <c r="Q210" s="40">
        <f>AVERAGEIF(L3:L1205,"&lt;2019/9/10",P3:P1205)</f>
        <v>0.4217479674796748</v>
      </c>
      <c r="R210" s="40">
        <v>1</v>
      </c>
      <c r="S210" s="40">
        <f>AVERAGEIF(L3:L1205,"&lt;2019/9/10",R3:R1205)</f>
        <v>1.2357723577235773</v>
      </c>
      <c r="T210" s="40">
        <v>2</v>
      </c>
      <c r="U210" s="40">
        <f>AVERAGEIF(L3:L1205,"&lt;2019/9/10",T3:T1205)</f>
        <v>7.2296747967479673</v>
      </c>
      <c r="V210" s="24">
        <v>995</v>
      </c>
      <c r="W210" s="47" t="s">
        <v>4553</v>
      </c>
    </row>
    <row r="211" spans="1:23">
      <c r="A211" s="23">
        <v>2</v>
      </c>
      <c r="B211" s="23">
        <v>6</v>
      </c>
      <c r="C211" s="18">
        <v>4</v>
      </c>
      <c r="D211" s="18">
        <v>1</v>
      </c>
      <c r="E211" s="20">
        <v>61</v>
      </c>
      <c r="F211" s="21">
        <f t="shared" si="10"/>
        <v>112.79879275653923</v>
      </c>
      <c r="G211" s="22">
        <v>0.64748117654100801</v>
      </c>
      <c r="H211" s="18">
        <v>1</v>
      </c>
      <c r="I211" s="18">
        <f t="shared" si="11"/>
        <v>0</v>
      </c>
      <c r="J211" s="41">
        <v>43718</v>
      </c>
      <c r="K211" s="36">
        <v>2019</v>
      </c>
      <c r="L211" s="32">
        <f t="shared" si="9"/>
        <v>43720</v>
      </c>
      <c r="M211" s="40">
        <v>0</v>
      </c>
      <c r="N211" s="33">
        <v>189</v>
      </c>
      <c r="O211" s="34">
        <f>AVERAGEIF(L3:L1205,"&lt;2019/9/10",N3:N1205)</f>
        <v>113.16463414634147</v>
      </c>
      <c r="P211" s="38">
        <v>0</v>
      </c>
      <c r="Q211" s="38">
        <f>AVERAGEIF(L3:L1205,"&lt;2019/9/10",P3:P1205)</f>
        <v>0.4217479674796748</v>
      </c>
      <c r="R211" s="38">
        <v>1</v>
      </c>
      <c r="S211" s="38">
        <f>AVERAGEIF(L3:L1205,"&lt;2019/9/10",R3:R1205)</f>
        <v>1.2357723577235773</v>
      </c>
      <c r="T211" s="38">
        <v>2</v>
      </c>
      <c r="U211" s="38">
        <f>AVERAGEIF(L3:L1205,"&lt;2019/9/10",T3:T1205)</f>
        <v>7.2296747967479673</v>
      </c>
      <c r="V211" s="24">
        <v>994</v>
      </c>
      <c r="W211" s="47" t="s">
        <v>4550</v>
      </c>
    </row>
    <row r="212" spans="1:23">
      <c r="A212" s="23">
        <v>4</v>
      </c>
      <c r="B212" s="23">
        <v>30</v>
      </c>
      <c r="C212" s="18">
        <v>5</v>
      </c>
      <c r="D212" s="18">
        <v>1</v>
      </c>
      <c r="E212" s="20">
        <v>48</v>
      </c>
      <c r="F212" s="21">
        <f t="shared" si="10"/>
        <v>112.86404833836858</v>
      </c>
      <c r="G212" s="22">
        <v>0.41262875487676398</v>
      </c>
      <c r="H212" s="18">
        <v>1</v>
      </c>
      <c r="I212" s="18">
        <f t="shared" si="11"/>
        <v>0</v>
      </c>
      <c r="J212" s="45">
        <v>43718</v>
      </c>
      <c r="K212" s="36">
        <v>2019</v>
      </c>
      <c r="L212" s="32">
        <f t="shared" si="9"/>
        <v>43720</v>
      </c>
      <c r="M212" s="42">
        <v>0</v>
      </c>
      <c r="N212" s="33">
        <v>15</v>
      </c>
      <c r="O212" s="34">
        <f>AVERAGEIF(L3:L1205,"&lt;2019/9/10",N3:N1205)</f>
        <v>113.16463414634147</v>
      </c>
      <c r="P212" s="38">
        <v>0</v>
      </c>
      <c r="Q212" s="38">
        <f>AVERAGEIF(L3:L1205,"&lt;2019/9/10",P3:P1205)</f>
        <v>0.4217479674796748</v>
      </c>
      <c r="R212" s="38">
        <v>1</v>
      </c>
      <c r="S212" s="38">
        <f>AVERAGEIF(L3:L1205,"&lt;2019/9/10",R3:R1205)</f>
        <v>1.2357723577235773</v>
      </c>
      <c r="T212" s="38">
        <v>2</v>
      </c>
      <c r="U212" s="38">
        <f>AVERAGEIF(L3:L1205,"&lt;2019/9/10",T3:T1205)</f>
        <v>7.2296747967479673</v>
      </c>
      <c r="V212" s="24">
        <v>993</v>
      </c>
      <c r="W212" s="47" t="s">
        <v>4529</v>
      </c>
    </row>
    <row r="213" spans="1:23">
      <c r="A213" s="23">
        <v>3</v>
      </c>
      <c r="B213" s="23">
        <v>21</v>
      </c>
      <c r="C213" s="18">
        <v>5</v>
      </c>
      <c r="D213" s="18">
        <v>4</v>
      </c>
      <c r="E213" s="20">
        <v>20</v>
      </c>
      <c r="F213" s="21">
        <f t="shared" si="10"/>
        <v>112.95766129032258</v>
      </c>
      <c r="G213" s="22">
        <v>0.70174318844725803</v>
      </c>
      <c r="H213" s="3">
        <v>1</v>
      </c>
      <c r="I213" s="18">
        <f t="shared" si="11"/>
        <v>0</v>
      </c>
      <c r="J213" s="41">
        <v>43717</v>
      </c>
      <c r="K213" s="36">
        <v>2019</v>
      </c>
      <c r="L213" s="32">
        <f t="shared" si="9"/>
        <v>43718</v>
      </c>
      <c r="M213" s="38">
        <v>1</v>
      </c>
      <c r="N213" s="33">
        <v>97</v>
      </c>
      <c r="O213" s="34">
        <f>AVERAGEIF(L3:L1205,"&lt;2019/9/9",N3:N1205)</f>
        <v>113.1617497456765</v>
      </c>
      <c r="P213" s="38">
        <v>0</v>
      </c>
      <c r="Q213" s="38">
        <f>AVERAGEIF(L3:L1205,"&lt;2019/9/9",P3:P1205)</f>
        <v>0.42014242115971517</v>
      </c>
      <c r="R213" s="38">
        <v>1</v>
      </c>
      <c r="S213" s="38">
        <f>AVERAGEIF(L3:L1205,"&lt;2019/9/9",R3:R1205)</f>
        <v>1.2360122075279756</v>
      </c>
      <c r="T213" s="38">
        <v>1</v>
      </c>
      <c r="U213" s="38">
        <f>AVERAGEIF(L3:L1205,"&lt;2019/9/9",T3:T1205)</f>
        <v>7.220752797558494</v>
      </c>
      <c r="V213" s="24">
        <v>992</v>
      </c>
      <c r="W213" s="47" t="s">
        <v>4564</v>
      </c>
    </row>
    <row r="214" spans="1:23">
      <c r="A214" s="23">
        <v>4</v>
      </c>
      <c r="B214" s="23">
        <v>30</v>
      </c>
      <c r="C214" s="18">
        <v>4</v>
      </c>
      <c r="D214" s="18">
        <v>1</v>
      </c>
      <c r="E214" s="20">
        <v>67</v>
      </c>
      <c r="F214" s="21">
        <f t="shared" si="10"/>
        <v>113.00403632694248</v>
      </c>
      <c r="G214" s="22">
        <v>0.31103621582025898</v>
      </c>
      <c r="H214" s="18">
        <v>1</v>
      </c>
      <c r="I214" s="18">
        <f t="shared" si="11"/>
        <v>0</v>
      </c>
      <c r="J214" s="45">
        <v>43717</v>
      </c>
      <c r="K214" s="36">
        <v>2019</v>
      </c>
      <c r="L214" s="32">
        <f t="shared" si="9"/>
        <v>43725</v>
      </c>
      <c r="M214" s="42">
        <v>1</v>
      </c>
      <c r="N214" s="33">
        <v>140</v>
      </c>
      <c r="O214" s="34">
        <f>AVERAGEIF(L3:L1205,"&lt;2019/9/9",N3:N1205)</f>
        <v>113.1617497456765</v>
      </c>
      <c r="P214" s="38">
        <v>1</v>
      </c>
      <c r="Q214" s="38">
        <f>AVERAGEIF(L3:L1205,"&lt;2019/9/9",P3:P1205)</f>
        <v>0.42014242115971517</v>
      </c>
      <c r="R214" s="38">
        <v>1</v>
      </c>
      <c r="S214" s="38">
        <f>AVERAGEIF(L3:L1205,"&lt;2019/9/9",R3:R1205)</f>
        <v>1.2360122075279756</v>
      </c>
      <c r="T214" s="38">
        <v>8</v>
      </c>
      <c r="U214" s="38">
        <f>AVERAGEIF(L3:L1205,"&lt;2019/9/9",T3:T1205)</f>
        <v>7.220752797558494</v>
      </c>
      <c r="V214" s="24">
        <v>991</v>
      </c>
      <c r="W214" s="47" t="s">
        <v>4563</v>
      </c>
    </row>
    <row r="215" spans="1:23">
      <c r="A215" s="23">
        <v>2</v>
      </c>
      <c r="B215" s="23">
        <v>6</v>
      </c>
      <c r="C215" s="18">
        <v>4</v>
      </c>
      <c r="D215" s="18">
        <v>4</v>
      </c>
      <c r="E215" s="20">
        <v>42</v>
      </c>
      <c r="F215" s="21">
        <f t="shared" si="10"/>
        <v>113.07575757575758</v>
      </c>
      <c r="G215" s="22">
        <v>0.37834414289488699</v>
      </c>
      <c r="H215" s="18">
        <v>1</v>
      </c>
      <c r="I215" s="18">
        <f t="shared" si="11"/>
        <v>0</v>
      </c>
      <c r="J215" s="41">
        <v>43715</v>
      </c>
      <c r="K215" s="36">
        <v>2019</v>
      </c>
      <c r="L215" s="32">
        <f t="shared" si="9"/>
        <v>43719</v>
      </c>
      <c r="M215" s="40">
        <v>0</v>
      </c>
      <c r="N215" s="33">
        <v>194</v>
      </c>
      <c r="O215" s="34">
        <f>AVERAGEIF(L3:L1205,"&lt;2019/9/7",N3:N1205)</f>
        <v>113.1617497456765</v>
      </c>
      <c r="P215" s="38">
        <v>0</v>
      </c>
      <c r="Q215" s="38">
        <f>AVERAGEIF(L3:L1205,"&lt;2019/9/7",P3:P1205)</f>
        <v>0.42014242115971517</v>
      </c>
      <c r="R215" s="38">
        <v>1</v>
      </c>
      <c r="S215" s="38">
        <f>AVERAGEIF(L3:L1205,"&lt;2019/9/7",R3:R1205)</f>
        <v>1.2360122075279756</v>
      </c>
      <c r="T215" s="38">
        <v>4</v>
      </c>
      <c r="U215" s="38">
        <f>AVERAGEIF(L3:L1205,"&lt;2019/9/7",T3:T1205)</f>
        <v>7.220752797558494</v>
      </c>
      <c r="V215" s="24">
        <v>990</v>
      </c>
      <c r="W215" s="47" t="s">
        <v>4550</v>
      </c>
    </row>
    <row r="216" spans="1:23">
      <c r="A216" s="23">
        <v>2</v>
      </c>
      <c r="B216" s="23">
        <v>7</v>
      </c>
      <c r="C216" s="18">
        <v>4</v>
      </c>
      <c r="D216" s="18">
        <v>6</v>
      </c>
      <c r="E216" s="20">
        <v>97</v>
      </c>
      <c r="F216" s="21">
        <f t="shared" si="10"/>
        <v>113.09201213346815</v>
      </c>
      <c r="G216" s="22">
        <v>0.44569775803220801</v>
      </c>
      <c r="H216" s="18">
        <v>0</v>
      </c>
      <c r="I216" s="18">
        <f t="shared" si="11"/>
        <v>1</v>
      </c>
      <c r="J216" s="41">
        <v>43715</v>
      </c>
      <c r="K216" s="36">
        <v>2019</v>
      </c>
      <c r="L216" s="32">
        <f t="shared" si="9"/>
        <v>43724</v>
      </c>
      <c r="M216" s="40">
        <v>0</v>
      </c>
      <c r="N216" s="33">
        <v>66</v>
      </c>
      <c r="O216" s="34">
        <f>AVERAGEIF(L3:L1205,"&lt;2019/9/7",N3:N1205)</f>
        <v>113.1617497456765</v>
      </c>
      <c r="P216" s="40">
        <v>0</v>
      </c>
      <c r="Q216" s="40">
        <f>AVERAGEIF(L3:L1205,"&lt;2019/9/7",P3:P1205)</f>
        <v>0.42014242115971517</v>
      </c>
      <c r="R216" s="40">
        <v>1</v>
      </c>
      <c r="S216" s="40">
        <f>AVERAGEIF(L3:L1205,"&lt;2019/9/7",R3:R1205)</f>
        <v>1.2360122075279756</v>
      </c>
      <c r="T216" s="40">
        <v>9</v>
      </c>
      <c r="U216" s="40">
        <f>AVERAGEIF(L3:L1205,"&lt;2019/9/7",T3:T1205)</f>
        <v>7.220752797558494</v>
      </c>
      <c r="V216" s="24">
        <v>989</v>
      </c>
      <c r="W216" s="47" t="s">
        <v>4652</v>
      </c>
    </row>
    <row r="217" spans="1:23">
      <c r="A217" s="23">
        <v>4</v>
      </c>
      <c r="B217" s="23">
        <v>28</v>
      </c>
      <c r="C217" s="18">
        <v>4</v>
      </c>
      <c r="D217" s="18">
        <v>2</v>
      </c>
      <c r="E217" s="20">
        <v>50</v>
      </c>
      <c r="F217" s="21">
        <f t="shared" si="10"/>
        <v>113.15587044534414</v>
      </c>
      <c r="G217" s="22">
        <v>0.37584158204621598</v>
      </c>
      <c r="H217" s="18">
        <v>1</v>
      </c>
      <c r="I217" s="18">
        <f t="shared" si="11"/>
        <v>0</v>
      </c>
      <c r="J217" s="45">
        <v>43715</v>
      </c>
      <c r="K217" s="36">
        <v>2019</v>
      </c>
      <c r="L217" s="32">
        <f t="shared" si="9"/>
        <v>43718</v>
      </c>
      <c r="M217" s="44">
        <v>1</v>
      </c>
      <c r="N217" s="33">
        <v>117</v>
      </c>
      <c r="O217" s="34">
        <f>AVERAGEIF(L3:L1205,"&lt;2019/9/7",N3:N1205)</f>
        <v>113.1617497456765</v>
      </c>
      <c r="P217" s="38">
        <v>0</v>
      </c>
      <c r="Q217" s="38">
        <f>AVERAGEIF(L3:L1205,"&lt;2019/9/7",P3:P1205)</f>
        <v>0.42014242115971517</v>
      </c>
      <c r="R217" s="38">
        <v>1</v>
      </c>
      <c r="S217" s="38">
        <f>AVERAGEIF(L3:L1205,"&lt;2019/9/7",R3:R1205)</f>
        <v>1.2360122075279756</v>
      </c>
      <c r="T217" s="38">
        <v>3</v>
      </c>
      <c r="U217" s="38">
        <f>AVERAGEIF(L3:L1205,"&lt;2019/9/7",T3:T1205)</f>
        <v>7.220752797558494</v>
      </c>
      <c r="V217" s="24">
        <v>988</v>
      </c>
      <c r="W217" s="47" t="s">
        <v>4742</v>
      </c>
    </row>
    <row r="218" spans="1:23">
      <c r="A218" s="23">
        <v>2</v>
      </c>
      <c r="B218" s="23">
        <v>6</v>
      </c>
      <c r="C218" s="18">
        <v>4</v>
      </c>
      <c r="D218" s="18">
        <v>2</v>
      </c>
      <c r="E218" s="20">
        <v>56</v>
      </c>
      <c r="F218" s="21">
        <f t="shared" si="10"/>
        <v>113.21377912867274</v>
      </c>
      <c r="G218" s="22">
        <v>0.80658911341920203</v>
      </c>
      <c r="H218" s="18">
        <v>1</v>
      </c>
      <c r="I218" s="18">
        <f t="shared" si="11"/>
        <v>0</v>
      </c>
      <c r="J218" s="41">
        <v>43712</v>
      </c>
      <c r="K218" s="36">
        <v>2019</v>
      </c>
      <c r="L218" s="32">
        <f t="shared" si="9"/>
        <v>43718</v>
      </c>
      <c r="M218" s="24">
        <v>1</v>
      </c>
      <c r="N218" s="33">
        <v>157</v>
      </c>
      <c r="O218" s="34">
        <f>AVERAGEIF(L3:L1205,"&lt;2019/9/4",N3:N1205)</f>
        <v>113.0439672801636</v>
      </c>
      <c r="P218" s="38">
        <v>1</v>
      </c>
      <c r="Q218" s="38">
        <f>AVERAGEIF(L3:L1205,"&lt;2019/9/4",P3:P1205)</f>
        <v>0.41922290388548056</v>
      </c>
      <c r="R218" s="38">
        <v>1</v>
      </c>
      <c r="S218" s="38">
        <f>AVERAGEIF(L3:L1205,"&lt;2019/9/4",R3:R1205)</f>
        <v>1.2372188139059306</v>
      </c>
      <c r="T218" s="38">
        <v>6</v>
      </c>
      <c r="U218" s="38">
        <f>AVERAGEIF(L3:L1205,"&lt;2019/9/4",T3:T1205)</f>
        <v>7.2321063394683023</v>
      </c>
      <c r="V218" s="24">
        <v>987</v>
      </c>
      <c r="W218" s="47" t="s">
        <v>4529</v>
      </c>
    </row>
    <row r="219" spans="1:23">
      <c r="A219" s="23">
        <v>3</v>
      </c>
      <c r="B219" s="23">
        <v>20</v>
      </c>
      <c r="C219" s="18">
        <v>4</v>
      </c>
      <c r="D219" s="18">
        <v>6</v>
      </c>
      <c r="E219" s="20">
        <v>34</v>
      </c>
      <c r="F219" s="21">
        <f t="shared" si="10"/>
        <v>113.29411764705883</v>
      </c>
      <c r="G219" s="22">
        <v>0.39426850417357301</v>
      </c>
      <c r="H219" s="3">
        <v>1</v>
      </c>
      <c r="I219" s="18">
        <f t="shared" si="11"/>
        <v>0</v>
      </c>
      <c r="J219" s="57">
        <v>43712</v>
      </c>
      <c r="K219" s="36">
        <v>2019</v>
      </c>
      <c r="L219" s="32">
        <f t="shared" si="9"/>
        <v>43713</v>
      </c>
      <c r="M219" s="38">
        <v>0</v>
      </c>
      <c r="N219" s="33">
        <v>105</v>
      </c>
      <c r="O219" s="34">
        <f>AVERAGEIF(L3:L1205,"&lt;2019/9/4",N3:N1205)</f>
        <v>113.0439672801636</v>
      </c>
      <c r="P219" s="54">
        <v>0</v>
      </c>
      <c r="Q219" s="38">
        <f>AVERAGEIF(L3:L1205,"&lt;2019/9/4",P3:P1205)</f>
        <v>0.41922290388548056</v>
      </c>
      <c r="R219" s="38">
        <v>1</v>
      </c>
      <c r="S219" s="38">
        <f>AVERAGEIF(L3:L1205,"&lt;2019/9/4",R3:R1205)</f>
        <v>1.2372188139059306</v>
      </c>
      <c r="T219" s="54">
        <v>1</v>
      </c>
      <c r="U219" s="38">
        <f>AVERAGEIF(L3:L1205,"&lt;2019/9/4",T3:T1205)</f>
        <v>7.2321063394683023</v>
      </c>
      <c r="V219" s="24">
        <v>986</v>
      </c>
      <c r="W219" s="47" t="s">
        <v>4634</v>
      </c>
    </row>
    <row r="220" spans="1:23">
      <c r="A220" s="23">
        <v>2</v>
      </c>
      <c r="B220" s="23">
        <v>6</v>
      </c>
      <c r="C220" s="18">
        <v>4</v>
      </c>
      <c r="D220" s="18">
        <v>4</v>
      </c>
      <c r="E220" s="20">
        <v>54</v>
      </c>
      <c r="F220" s="21">
        <f t="shared" si="10"/>
        <v>113.35431472081218</v>
      </c>
      <c r="G220" s="22">
        <v>0.74921940495373396</v>
      </c>
      <c r="H220" s="18">
        <v>1</v>
      </c>
      <c r="I220" s="18">
        <f t="shared" si="11"/>
        <v>0</v>
      </c>
      <c r="J220" s="53">
        <v>43711</v>
      </c>
      <c r="K220" s="36">
        <v>2019</v>
      </c>
      <c r="L220" s="32">
        <f t="shared" si="9"/>
        <v>43718</v>
      </c>
      <c r="M220" s="40">
        <v>0</v>
      </c>
      <c r="N220" s="33">
        <v>106</v>
      </c>
      <c r="O220" s="34">
        <f>AVERAGEIF(L3:L1205,"&lt;2019/9/3",N3:N1205)</f>
        <v>113.05629477993858</v>
      </c>
      <c r="P220" s="38">
        <v>1</v>
      </c>
      <c r="Q220" s="38">
        <f>AVERAGEIF(L3:L1205,"&lt;2019/9/3",P3:P1205)</f>
        <v>0.41965199590583419</v>
      </c>
      <c r="R220" s="38">
        <v>1</v>
      </c>
      <c r="S220" s="38">
        <f>AVERAGEIF(L3:L1205,"&lt;2019/9/3",R3:R1205)</f>
        <v>1.2374616171954964</v>
      </c>
      <c r="T220" s="38">
        <v>7</v>
      </c>
      <c r="U220" s="38">
        <f>AVERAGEIF(L3:L1205,"&lt;2019/9/3",T3:T1205)</f>
        <v>7.2354145342886387</v>
      </c>
      <c r="V220" s="24">
        <v>985</v>
      </c>
      <c r="W220" s="47" t="s">
        <v>4521</v>
      </c>
    </row>
    <row r="221" spans="1:23">
      <c r="A221" s="23">
        <v>3</v>
      </c>
      <c r="B221" s="23">
        <v>25</v>
      </c>
      <c r="C221" s="18">
        <v>4</v>
      </c>
      <c r="D221" s="18">
        <v>6</v>
      </c>
      <c r="E221" s="20">
        <v>20</v>
      </c>
      <c r="F221" s="21">
        <f t="shared" si="10"/>
        <v>113.44918699186992</v>
      </c>
      <c r="G221" s="22">
        <v>0.55293538345417903</v>
      </c>
      <c r="H221" s="3">
        <v>1</v>
      </c>
      <c r="I221" s="18">
        <f t="shared" si="11"/>
        <v>0</v>
      </c>
      <c r="J221" s="41">
        <v>43711</v>
      </c>
      <c r="K221" s="36">
        <v>2019</v>
      </c>
      <c r="L221" s="32">
        <f t="shared" si="9"/>
        <v>43719</v>
      </c>
      <c r="M221" s="24">
        <v>0</v>
      </c>
      <c r="N221" s="33">
        <v>61</v>
      </c>
      <c r="O221" s="34">
        <f>AVERAGEIF(L3:L1205,"&lt;2019/9/3",N3:N1205)</f>
        <v>113.05629477993858</v>
      </c>
      <c r="P221" s="38">
        <v>2</v>
      </c>
      <c r="Q221" s="38">
        <f>AVERAGEIF(L3:L1205,"&lt;2019/9/3",P3:P1205)</f>
        <v>0.41965199590583419</v>
      </c>
      <c r="R221" s="38">
        <v>1</v>
      </c>
      <c r="S221" s="38">
        <f>AVERAGEIF(L3:L1205,"&lt;2019/9/3",R3:R1205)</f>
        <v>1.2374616171954964</v>
      </c>
      <c r="T221" s="38">
        <v>8</v>
      </c>
      <c r="U221" s="38">
        <f>AVERAGEIF(L3:L1205,"&lt;2019/9/3",T3:T1205)</f>
        <v>7.2354145342886387</v>
      </c>
      <c r="V221" s="24">
        <v>984</v>
      </c>
      <c r="W221" s="47" t="s">
        <v>4529</v>
      </c>
    </row>
    <row r="222" spans="1:23">
      <c r="A222" s="23">
        <v>2</v>
      </c>
      <c r="B222" s="23">
        <v>6</v>
      </c>
      <c r="C222" s="18">
        <v>4</v>
      </c>
      <c r="D222" s="18">
        <v>4</v>
      </c>
      <c r="E222" s="20">
        <v>51</v>
      </c>
      <c r="F222" s="21">
        <f t="shared" si="10"/>
        <v>113.51271617497457</v>
      </c>
      <c r="G222" s="22">
        <v>0.44402518578122802</v>
      </c>
      <c r="H222" s="18">
        <v>1</v>
      </c>
      <c r="I222" s="18">
        <f t="shared" si="11"/>
        <v>0</v>
      </c>
      <c r="J222" s="41">
        <v>43710</v>
      </c>
      <c r="K222" s="36">
        <v>2019</v>
      </c>
      <c r="L222" s="32">
        <f t="shared" si="9"/>
        <v>43712</v>
      </c>
      <c r="M222" s="40">
        <v>0</v>
      </c>
      <c r="N222" s="33">
        <v>65</v>
      </c>
      <c r="O222" s="34">
        <f>AVERAGEIF(L3:L1205,"&lt;2019/9/2",N3:N1205)</f>
        <v>112.96311475409836</v>
      </c>
      <c r="P222" s="38">
        <v>0</v>
      </c>
      <c r="Q222" s="38">
        <f>AVERAGEIF(L3:L1205,"&lt;2019/9/2",P3:P1205)</f>
        <v>0.42008196721311475</v>
      </c>
      <c r="R222" s="38">
        <v>1</v>
      </c>
      <c r="S222" s="38">
        <f>AVERAGEIF(L3:L1205,"&lt;2019/9/2",R3:R1205)</f>
        <v>1.2366803278688525</v>
      </c>
      <c r="T222" s="38">
        <v>2</v>
      </c>
      <c r="U222" s="38">
        <f>AVERAGEIF(L3:L1205,"&lt;2019/9/2",T3:T1205)</f>
        <v>7.2387295081967213</v>
      </c>
      <c r="V222" s="24">
        <v>983</v>
      </c>
      <c r="W222" s="47" t="s">
        <v>4793</v>
      </c>
    </row>
    <row r="223" spans="1:23">
      <c r="A223" s="23">
        <v>4</v>
      </c>
      <c r="B223" s="23">
        <v>30</v>
      </c>
      <c r="C223" s="18">
        <v>4</v>
      </c>
      <c r="D223" s="18">
        <v>4</v>
      </c>
      <c r="E223" s="20">
        <v>35</v>
      </c>
      <c r="F223" s="21">
        <f t="shared" si="10"/>
        <v>113.59266802443992</v>
      </c>
      <c r="G223" s="22">
        <v>0.42068938629271202</v>
      </c>
      <c r="H223" s="18">
        <v>1</v>
      </c>
      <c r="I223" s="18">
        <f t="shared" si="11"/>
        <v>0</v>
      </c>
      <c r="J223" s="45">
        <v>43710</v>
      </c>
      <c r="K223" s="36">
        <v>2019</v>
      </c>
      <c r="L223" s="32">
        <f t="shared" si="9"/>
        <v>43719</v>
      </c>
      <c r="M223" s="42">
        <v>1</v>
      </c>
      <c r="N223" s="33">
        <v>44</v>
      </c>
      <c r="O223" s="34">
        <f>AVERAGEIF(L3:L1205,"&lt;2019/9/2",N3:N1205)</f>
        <v>112.96311475409836</v>
      </c>
      <c r="P223" s="38">
        <v>2</v>
      </c>
      <c r="Q223" s="38">
        <f>AVERAGEIF(L3:L1205,"&lt;2019/9/2",P3:P1205)</f>
        <v>0.42008196721311475</v>
      </c>
      <c r="R223" s="38">
        <v>1</v>
      </c>
      <c r="S223" s="38">
        <f>AVERAGEIF(L3:L1205,"&lt;2019/9/2",R3:R1205)</f>
        <v>1.2366803278688525</v>
      </c>
      <c r="T223" s="38">
        <v>9</v>
      </c>
      <c r="U223" s="38">
        <f>AVERAGEIF(L3:L1205,"&lt;2019/9/2",T3:T1205)</f>
        <v>7.2387295081967213</v>
      </c>
      <c r="V223" s="24">
        <v>982</v>
      </c>
      <c r="W223" s="47" t="s">
        <v>4550</v>
      </c>
    </row>
    <row r="224" spans="1:23">
      <c r="A224" s="23">
        <v>2</v>
      </c>
      <c r="B224" s="23">
        <v>6</v>
      </c>
      <c r="C224" s="18">
        <v>4</v>
      </c>
      <c r="D224" s="18">
        <v>4</v>
      </c>
      <c r="E224" s="20">
        <v>78</v>
      </c>
      <c r="F224" s="21">
        <f t="shared" si="10"/>
        <v>113.6289500509684</v>
      </c>
      <c r="G224" s="22">
        <v>0.37568788333214398</v>
      </c>
      <c r="H224" s="18">
        <v>1</v>
      </c>
      <c r="I224" s="18">
        <f t="shared" si="11"/>
        <v>0</v>
      </c>
      <c r="J224" s="41">
        <v>43709</v>
      </c>
      <c r="K224" s="36">
        <v>2019</v>
      </c>
      <c r="L224" s="32">
        <f t="shared" si="9"/>
        <v>43712</v>
      </c>
      <c r="M224" s="40">
        <v>0</v>
      </c>
      <c r="N224" s="33">
        <v>216</v>
      </c>
      <c r="O224" s="34">
        <f>AVERAGEIF(L3:L1205,"&lt;2019/9/1",N3:N1205)</f>
        <v>112.96311475409836</v>
      </c>
      <c r="P224" s="38">
        <v>0</v>
      </c>
      <c r="Q224" s="38">
        <f>AVERAGEIF(L3:L1205,"&lt;2019/9/1",P3:P1205)</f>
        <v>0.42008196721311475</v>
      </c>
      <c r="R224" s="38">
        <v>1</v>
      </c>
      <c r="S224" s="38">
        <f>AVERAGEIF(L3:L1205,"&lt;2019/9/1",R3:R1205)</f>
        <v>1.2366803278688525</v>
      </c>
      <c r="T224" s="38">
        <v>3</v>
      </c>
      <c r="U224" s="38">
        <f>AVERAGEIF(L3:L1205,"&lt;2019/9/1",T3:T1205)</f>
        <v>7.2387295081967213</v>
      </c>
      <c r="V224" s="24">
        <v>981</v>
      </c>
      <c r="W224" s="47" t="s">
        <v>4579</v>
      </c>
    </row>
    <row r="225" spans="1:23">
      <c r="A225" s="23">
        <v>2</v>
      </c>
      <c r="B225" s="23">
        <v>6</v>
      </c>
      <c r="C225" s="18">
        <v>4</v>
      </c>
      <c r="D225" s="18">
        <v>6</v>
      </c>
      <c r="E225" s="20">
        <v>81</v>
      </c>
      <c r="F225" s="21">
        <f t="shared" si="10"/>
        <v>113.66224489795918</v>
      </c>
      <c r="G225" s="22">
        <v>0.211677792143456</v>
      </c>
      <c r="H225" s="18">
        <v>1</v>
      </c>
      <c r="I225" s="18">
        <f t="shared" si="11"/>
        <v>0</v>
      </c>
      <c r="J225" s="41">
        <v>43707</v>
      </c>
      <c r="K225" s="36">
        <v>2019</v>
      </c>
      <c r="L225" s="32">
        <f t="shared" si="9"/>
        <v>43711</v>
      </c>
      <c r="M225" s="40">
        <v>0</v>
      </c>
      <c r="N225" s="33">
        <v>101</v>
      </c>
      <c r="O225" s="34">
        <f>AVERAGEIF(L3:L1205,"&lt;2019/8/30",N3:N1205)</f>
        <v>112.99794871794872</v>
      </c>
      <c r="P225" s="40">
        <v>0</v>
      </c>
      <c r="Q225" s="40">
        <f>AVERAGEIF(L3:L1205,"&lt;2019/8/30",P3:P1205)</f>
        <v>0.42051282051282052</v>
      </c>
      <c r="R225" s="40">
        <v>1</v>
      </c>
      <c r="S225" s="40">
        <f>AVERAGEIF(L3:L1205,"&lt;2019/8/30",R3:R1205)</f>
        <v>1.236923076923077</v>
      </c>
      <c r="T225" s="40">
        <v>4</v>
      </c>
      <c r="U225" s="40">
        <f>AVERAGEIF(L3:L1205,"&lt;2019/8/30",T3:T1205)</f>
        <v>7.2441025641025645</v>
      </c>
      <c r="V225" s="24">
        <v>980</v>
      </c>
      <c r="W225" s="47" t="s">
        <v>4550</v>
      </c>
    </row>
    <row r="226" spans="1:23">
      <c r="A226" s="23">
        <v>3</v>
      </c>
      <c r="B226" s="23">
        <v>25</v>
      </c>
      <c r="C226" s="18">
        <v>5</v>
      </c>
      <c r="D226" s="18">
        <v>4</v>
      </c>
      <c r="E226" s="20">
        <v>27</v>
      </c>
      <c r="F226" s="21">
        <f t="shared" si="10"/>
        <v>113.75076608784474</v>
      </c>
      <c r="G226" s="22">
        <v>0.34210310086233597</v>
      </c>
      <c r="H226" s="3">
        <v>1</v>
      </c>
      <c r="I226" s="18">
        <f t="shared" si="11"/>
        <v>0</v>
      </c>
      <c r="J226" s="41">
        <v>43706</v>
      </c>
      <c r="K226" s="36">
        <v>2019</v>
      </c>
      <c r="L226" s="32">
        <f t="shared" si="9"/>
        <v>43710</v>
      </c>
      <c r="M226" s="37">
        <v>0</v>
      </c>
      <c r="N226" s="33">
        <v>204</v>
      </c>
      <c r="O226" s="34">
        <f>AVERAGEIF(L3:L1205,"&lt;2019/8/29",N3:N1205)</f>
        <v>112.99794871794872</v>
      </c>
      <c r="P226" s="38">
        <v>0</v>
      </c>
      <c r="Q226" s="38">
        <f>AVERAGEIF(L3:L1205,"&lt;2019/8/29",P3:P1205)</f>
        <v>0.42051282051282052</v>
      </c>
      <c r="R226" s="38">
        <v>2</v>
      </c>
      <c r="S226" s="38">
        <f>AVERAGEIF(L3:L1205,"&lt;2019/8/29",R3:R1205)</f>
        <v>1.236923076923077</v>
      </c>
      <c r="T226" s="38">
        <v>4</v>
      </c>
      <c r="U226" s="38">
        <f>AVERAGEIF(L3:L1205,"&lt;2019/8/29",T3:T1205)</f>
        <v>7.2441025641025645</v>
      </c>
      <c r="V226" s="24">
        <v>979</v>
      </c>
      <c r="W226" s="47" t="s">
        <v>4529</v>
      </c>
    </row>
    <row r="227" spans="1:23">
      <c r="A227" s="23">
        <v>4</v>
      </c>
      <c r="B227" s="23">
        <v>32</v>
      </c>
      <c r="C227" s="18">
        <v>4</v>
      </c>
      <c r="D227" s="18">
        <v>6</v>
      </c>
      <c r="E227" s="20">
        <v>52</v>
      </c>
      <c r="F227" s="21">
        <f t="shared" si="10"/>
        <v>113.81390593047034</v>
      </c>
      <c r="G227" s="22">
        <v>0.34405510665176098</v>
      </c>
      <c r="H227" s="18">
        <v>0</v>
      </c>
      <c r="I227" s="18">
        <f t="shared" si="11"/>
        <v>1</v>
      </c>
      <c r="J227" s="45">
        <v>43705</v>
      </c>
      <c r="K227" s="36">
        <v>2019</v>
      </c>
      <c r="L227" s="32">
        <f t="shared" si="9"/>
        <v>43707</v>
      </c>
      <c r="M227" s="42">
        <v>0</v>
      </c>
      <c r="N227" s="33">
        <v>79</v>
      </c>
      <c r="O227" s="34">
        <f>AVERAGEIF(L3:L1205,"&lt;2019/8/28",N3:N1205)</f>
        <v>112.99794871794872</v>
      </c>
      <c r="P227" s="38">
        <v>0</v>
      </c>
      <c r="Q227" s="38">
        <f>AVERAGEIF(L3:L1205,"&lt;2019/8/28",P3:P1205)</f>
        <v>0.42051282051282052</v>
      </c>
      <c r="R227" s="38">
        <v>1</v>
      </c>
      <c r="S227" s="38">
        <f>AVERAGEIF(L3:L1205,"&lt;2019/8/28",R3:R1205)</f>
        <v>1.236923076923077</v>
      </c>
      <c r="T227" s="38">
        <v>2</v>
      </c>
      <c r="U227" s="38">
        <f>AVERAGEIF(L3:L1205,"&lt;2019/8/28",T3:T1205)</f>
        <v>7.2441025641025645</v>
      </c>
      <c r="V227" s="24">
        <v>978</v>
      </c>
      <c r="W227" s="47" t="s">
        <v>4529</v>
      </c>
    </row>
    <row r="228" spans="1:23">
      <c r="A228" s="23">
        <v>4</v>
      </c>
      <c r="B228" s="23">
        <v>30</v>
      </c>
      <c r="C228" s="18">
        <v>4</v>
      </c>
      <c r="D228" s="18">
        <v>1</v>
      </c>
      <c r="E228" s="20">
        <v>26</v>
      </c>
      <c r="F228" s="21">
        <f t="shared" si="10"/>
        <v>113.90378710337768</v>
      </c>
      <c r="G228" s="22">
        <v>0.38411449087559701</v>
      </c>
      <c r="H228" s="18">
        <v>1</v>
      </c>
      <c r="I228" s="18">
        <f t="shared" si="11"/>
        <v>0</v>
      </c>
      <c r="J228" s="45">
        <v>43704</v>
      </c>
      <c r="K228" s="36">
        <v>2019</v>
      </c>
      <c r="L228" s="32">
        <f t="shared" si="9"/>
        <v>43713</v>
      </c>
      <c r="M228" s="42">
        <v>1</v>
      </c>
      <c r="N228" s="33">
        <v>133</v>
      </c>
      <c r="O228" s="34">
        <f>AVERAGEIF(L3:L1205,"&lt;2019/8/27",N3:N1205)</f>
        <v>112.98971193415638</v>
      </c>
      <c r="P228" s="54">
        <v>1</v>
      </c>
      <c r="Q228" s="38">
        <f>AVERAGEIF(L3:L1205,"&lt;2019/8/27",P3:P1205)</f>
        <v>0.42181069958847739</v>
      </c>
      <c r="R228" s="38">
        <v>1</v>
      </c>
      <c r="S228" s="38">
        <f>AVERAGEIF(L3:L1205,"&lt;2019/8/27",R3:R1205)</f>
        <v>1.2376543209876543</v>
      </c>
      <c r="T228" s="54">
        <v>9</v>
      </c>
      <c r="U228" s="38">
        <f>AVERAGEIF(L3:L1205,"&lt;2019/8/27",T3:T1205)</f>
        <v>7.2582304526748969</v>
      </c>
      <c r="V228" s="24">
        <v>977</v>
      </c>
      <c r="W228" s="47" t="s">
        <v>4529</v>
      </c>
    </row>
    <row r="229" spans="1:23">
      <c r="A229" s="23">
        <v>2</v>
      </c>
      <c r="B229" s="23">
        <v>17</v>
      </c>
      <c r="C229" s="18">
        <v>4</v>
      </c>
      <c r="D229" s="18">
        <v>6</v>
      </c>
      <c r="E229" s="20">
        <v>76</v>
      </c>
      <c r="F229" s="21">
        <f t="shared" si="10"/>
        <v>113.94262295081967</v>
      </c>
      <c r="G229" s="22">
        <v>0.30991736386334001</v>
      </c>
      <c r="H229" s="18">
        <v>1</v>
      </c>
      <c r="I229" s="18">
        <f t="shared" si="11"/>
        <v>0</v>
      </c>
      <c r="J229" s="41">
        <v>43703</v>
      </c>
      <c r="K229" s="36">
        <v>2019</v>
      </c>
      <c r="L229" s="32">
        <f t="shared" si="9"/>
        <v>43704</v>
      </c>
      <c r="M229" s="40">
        <v>0</v>
      </c>
      <c r="N229" s="33">
        <v>116</v>
      </c>
      <c r="O229" s="34">
        <f>AVERAGEIF(L3:L1205,"&lt;2019/8/26",N3:N1205)</f>
        <v>113.03810504634397</v>
      </c>
      <c r="P229" s="54">
        <v>0</v>
      </c>
      <c r="Q229" s="38">
        <f>AVERAGEIF(L3:L1205,"&lt;2019/8/25",P3:P1205)</f>
        <v>0.42121524201853761</v>
      </c>
      <c r="R229" s="38">
        <v>1</v>
      </c>
      <c r="S229" s="38">
        <f>AVERAGEIF(L3:L1205,"&lt;2019/8/26",R3:R1205)</f>
        <v>1.2378990731204944</v>
      </c>
      <c r="T229" s="54">
        <v>1</v>
      </c>
      <c r="U229" s="38">
        <f>AVERAGEIF(L3:L1205,"&lt;2019/8/26",T3:T1205)</f>
        <v>7.2605561277033983</v>
      </c>
      <c r="V229" s="24">
        <v>976</v>
      </c>
      <c r="W229" s="47" t="s">
        <v>4529</v>
      </c>
    </row>
    <row r="230" spans="1:23">
      <c r="A230" s="23">
        <v>2</v>
      </c>
      <c r="B230" s="23">
        <v>4</v>
      </c>
      <c r="C230" s="18">
        <v>4</v>
      </c>
      <c r="D230" s="18">
        <v>6</v>
      </c>
      <c r="E230" s="20">
        <v>162</v>
      </c>
      <c r="F230" s="21">
        <f t="shared" si="10"/>
        <v>113.89333333333333</v>
      </c>
      <c r="G230" s="22">
        <v>0.34407159757529698</v>
      </c>
      <c r="H230" s="18">
        <v>1</v>
      </c>
      <c r="I230" s="18">
        <f t="shared" si="11"/>
        <v>0</v>
      </c>
      <c r="J230" s="41">
        <v>43702</v>
      </c>
      <c r="K230" s="36">
        <v>2019</v>
      </c>
      <c r="L230" s="32">
        <f t="shared" si="9"/>
        <v>43704</v>
      </c>
      <c r="M230" s="40">
        <v>1</v>
      </c>
      <c r="N230" s="33">
        <v>146</v>
      </c>
      <c r="O230" s="34">
        <f>AVERAGEIF(L3:L1205,"&lt;2019/8/25",N3:N1205)</f>
        <v>113.03810504634397</v>
      </c>
      <c r="P230" s="54">
        <v>0</v>
      </c>
      <c r="Q230" s="38">
        <f>AVERAGEIF(L3:L1205,"&lt;2019/8/25",P3:P1205)</f>
        <v>0.42121524201853761</v>
      </c>
      <c r="R230" s="38">
        <v>1</v>
      </c>
      <c r="S230" s="38">
        <f>AVERAGEIF(L3:L1205,"&lt;2019/8/25",R3:R1205)</f>
        <v>1.2378990731204944</v>
      </c>
      <c r="T230" s="54">
        <v>2</v>
      </c>
      <c r="U230" s="38">
        <f>AVERAGEIF(L3:L1205,"&lt;2019/8/25",T3:T1205)</f>
        <v>7.2605561277033983</v>
      </c>
      <c r="V230" s="24">
        <v>975</v>
      </c>
      <c r="W230" s="47" t="s">
        <v>4563</v>
      </c>
    </row>
    <row r="231" spans="1:23">
      <c r="A231" s="23">
        <v>4</v>
      </c>
      <c r="B231" s="23">
        <v>30</v>
      </c>
      <c r="C231" s="18">
        <v>4</v>
      </c>
      <c r="D231" s="18">
        <v>1</v>
      </c>
      <c r="E231" s="20">
        <v>49</v>
      </c>
      <c r="F231" s="21">
        <f t="shared" si="10"/>
        <v>113.95995893223819</v>
      </c>
      <c r="G231" s="22">
        <v>0.34175571899697099</v>
      </c>
      <c r="H231" s="18">
        <v>1</v>
      </c>
      <c r="I231" s="18">
        <f t="shared" si="11"/>
        <v>0</v>
      </c>
      <c r="J231" s="45">
        <v>43702</v>
      </c>
      <c r="K231" s="36">
        <v>2019</v>
      </c>
      <c r="L231" s="32">
        <f t="shared" si="9"/>
        <v>43712</v>
      </c>
      <c r="M231" s="42">
        <v>1</v>
      </c>
      <c r="N231" s="33">
        <v>162</v>
      </c>
      <c r="O231" s="34">
        <f>AVERAGEIF(L3:L1205,"&lt;2019/8/25",N3:N1205)</f>
        <v>113.03810504634397</v>
      </c>
      <c r="P231" s="38">
        <v>2</v>
      </c>
      <c r="Q231" s="38">
        <f>AVERAGEIF(L3:L1205,"&lt;2019/8/25",P3:P1205)</f>
        <v>0.42121524201853761</v>
      </c>
      <c r="R231" s="38">
        <v>1</v>
      </c>
      <c r="S231" s="38">
        <f>AVERAGEIF(L3:L1205,"&lt;2019/8/25",R3:R1205)</f>
        <v>1.2378990731204944</v>
      </c>
      <c r="T231" s="38">
        <v>10</v>
      </c>
      <c r="U231" s="38">
        <f>AVERAGEIF(L3:L1205,"&lt;2019/8/25",T3:T1205)</f>
        <v>7.2605561277033983</v>
      </c>
      <c r="V231" s="24">
        <v>974</v>
      </c>
      <c r="W231" s="47" t="s">
        <v>4529</v>
      </c>
    </row>
    <row r="232" spans="1:23">
      <c r="A232" s="23">
        <v>2</v>
      </c>
      <c r="B232" s="23">
        <v>9</v>
      </c>
      <c r="C232" s="18">
        <v>4</v>
      </c>
      <c r="D232" s="18">
        <v>6</v>
      </c>
      <c r="E232" s="20">
        <v>75</v>
      </c>
      <c r="F232" s="21">
        <f t="shared" si="10"/>
        <v>114</v>
      </c>
      <c r="G232" s="22">
        <v>0.38025624126088697</v>
      </c>
      <c r="H232" s="18">
        <v>0</v>
      </c>
      <c r="I232" s="18">
        <f t="shared" si="11"/>
        <v>1</v>
      </c>
      <c r="J232" s="41">
        <v>43701</v>
      </c>
      <c r="K232" s="36">
        <v>2019</v>
      </c>
      <c r="L232" s="32">
        <f t="shared" si="9"/>
        <v>43717</v>
      </c>
      <c r="M232" s="40">
        <v>0</v>
      </c>
      <c r="N232" s="33">
        <v>116</v>
      </c>
      <c r="O232" s="34">
        <f>AVERAGEIF(L3:L1205,"&lt;2019/8/24",N3:N1205)</f>
        <v>113.03810504634397</v>
      </c>
      <c r="P232" s="56">
        <v>2</v>
      </c>
      <c r="Q232" s="40">
        <f>AVERAGEIF(L3:L1205,"&lt;2019/8/24",P3:P1205)</f>
        <v>0.42121524201853761</v>
      </c>
      <c r="R232" s="40">
        <v>1</v>
      </c>
      <c r="S232" s="40">
        <f>AVERAGEIF(L3:L1205,"&lt;2019/8/24",R3:R1205)</f>
        <v>1.2378990731204944</v>
      </c>
      <c r="T232" s="56">
        <v>16</v>
      </c>
      <c r="U232" s="40">
        <f>AVERAGEIF(L3:L1205,"&lt;2019/8/24",T3:T1205)</f>
        <v>7.2605561277033983</v>
      </c>
      <c r="V232" s="24">
        <v>973</v>
      </c>
      <c r="W232" s="47" t="s">
        <v>4529</v>
      </c>
    </row>
    <row r="233" spans="1:23">
      <c r="A233" s="23">
        <v>4</v>
      </c>
      <c r="B233" s="23">
        <v>33</v>
      </c>
      <c r="C233" s="18">
        <v>4</v>
      </c>
      <c r="D233" s="18">
        <v>4</v>
      </c>
      <c r="E233" s="20">
        <v>74</v>
      </c>
      <c r="F233" s="21">
        <f t="shared" si="10"/>
        <v>114.04115226337449</v>
      </c>
      <c r="G233" s="22">
        <v>0.41250331969853499</v>
      </c>
      <c r="H233" s="18">
        <v>1</v>
      </c>
      <c r="I233" s="18">
        <f t="shared" si="11"/>
        <v>0</v>
      </c>
      <c r="J233" s="45">
        <v>43699</v>
      </c>
      <c r="K233" s="36">
        <v>2019</v>
      </c>
      <c r="L233" s="32">
        <f t="shared" si="9"/>
        <v>43704</v>
      </c>
      <c r="M233" s="42">
        <v>0</v>
      </c>
      <c r="N233" s="33">
        <v>85</v>
      </c>
      <c r="O233" s="34">
        <f>AVERAGEIF(L3:L1205,"&lt;2019/8/2",N3:N1205)</f>
        <v>113.05987394957984</v>
      </c>
      <c r="P233" s="38">
        <v>0</v>
      </c>
      <c r="Q233" s="38">
        <f>AVERAGEIF(L3:L1205,"&lt;2019/8/22",P3:P1205)</f>
        <v>0.41942148760330578</v>
      </c>
      <c r="R233" s="38">
        <v>1</v>
      </c>
      <c r="S233" s="38">
        <f>AVERAGEIF(L3:L1205,"&lt;2019/8/22",R3:R1205)</f>
        <v>1.2386363636363635</v>
      </c>
      <c r="T233" s="38">
        <v>5</v>
      </c>
      <c r="U233" s="38">
        <f>AVERAGEIF(L3:L1205,"&lt;2019/8/22",T3:T1205)</f>
        <v>7.2696280991735538</v>
      </c>
      <c r="V233" s="24">
        <v>972</v>
      </c>
      <c r="W233" s="47" t="s">
        <v>4550</v>
      </c>
    </row>
    <row r="234" spans="1:23">
      <c r="A234" s="23">
        <v>3</v>
      </c>
      <c r="B234" s="23">
        <v>24</v>
      </c>
      <c r="C234" s="18">
        <v>5</v>
      </c>
      <c r="D234" s="18">
        <v>6</v>
      </c>
      <c r="E234" s="20">
        <v>70</v>
      </c>
      <c r="F234" s="21">
        <f t="shared" si="10"/>
        <v>114.08650875386199</v>
      </c>
      <c r="G234" s="22">
        <v>0.72789947356704898</v>
      </c>
      <c r="H234" s="3">
        <v>0</v>
      </c>
      <c r="I234" s="18">
        <f t="shared" si="11"/>
        <v>1</v>
      </c>
      <c r="J234" s="41">
        <v>43698</v>
      </c>
      <c r="K234" s="36">
        <v>2019</v>
      </c>
      <c r="L234" s="32">
        <f t="shared" si="9"/>
        <v>43703</v>
      </c>
      <c r="M234" s="40">
        <v>1</v>
      </c>
      <c r="N234" s="33">
        <v>66</v>
      </c>
      <c r="O234" s="34">
        <f>AVERAGEIF(L3:L1205,"&lt;2019/8/21",N3:N1205)</f>
        <v>113.04446742502586</v>
      </c>
      <c r="P234" s="38">
        <v>1</v>
      </c>
      <c r="Q234" s="38">
        <f>AVERAGEIF(L3:L1205,"&lt;2019/8/21",P3:P1205)</f>
        <v>0.41985522233712513</v>
      </c>
      <c r="R234" s="38">
        <v>1</v>
      </c>
      <c r="S234" s="38">
        <f>AVERAGEIF(L3:L1205,"&lt;2019/8/21",R3:R1205)</f>
        <v>1.2388831437435368</v>
      </c>
      <c r="T234" s="38">
        <v>5</v>
      </c>
      <c r="U234" s="38">
        <f>AVERAGEIF(L3:L1205,"&lt;2019/8/21",T3:T1205)</f>
        <v>7.2730093071354709</v>
      </c>
      <c r="V234" s="24">
        <v>971</v>
      </c>
      <c r="W234" s="47" t="s">
        <v>4564</v>
      </c>
    </row>
    <row r="235" spans="1:23">
      <c r="A235" s="23">
        <v>2</v>
      </c>
      <c r="B235" s="23">
        <v>6</v>
      </c>
      <c r="C235" s="18">
        <v>4</v>
      </c>
      <c r="D235" s="18">
        <v>2</v>
      </c>
      <c r="E235" s="20">
        <v>138</v>
      </c>
      <c r="F235" s="21">
        <f t="shared" si="10"/>
        <v>114.0618556701031</v>
      </c>
      <c r="G235" s="22">
        <v>0.41479602424461398</v>
      </c>
      <c r="H235" s="18">
        <v>1</v>
      </c>
      <c r="I235" s="18">
        <f t="shared" si="11"/>
        <v>0</v>
      </c>
      <c r="J235" s="41">
        <v>43697</v>
      </c>
      <c r="K235" s="36">
        <v>2019</v>
      </c>
      <c r="L235" s="32">
        <f t="shared" si="9"/>
        <v>43700</v>
      </c>
      <c r="M235" s="40">
        <v>0</v>
      </c>
      <c r="N235" s="33">
        <v>116</v>
      </c>
      <c r="O235" s="34">
        <f>AVERAGEIF(L3:L1205,"&lt;2019/8/20",N3:N1205)</f>
        <v>113.08195020746888</v>
      </c>
      <c r="P235" s="40">
        <v>1</v>
      </c>
      <c r="Q235" s="40">
        <f>AVERAGEIF(L3:L1205,"&lt;2019/8/20",P3:P1205)</f>
        <v>0.42116182572614108</v>
      </c>
      <c r="R235" s="40">
        <v>1</v>
      </c>
      <c r="S235" s="40">
        <f>AVERAGEIF(L3:L1205,"&lt;2019/8/20",R3:R1205)</f>
        <v>1.2396265560165975</v>
      </c>
      <c r="T235" s="40">
        <v>3</v>
      </c>
      <c r="U235" s="40">
        <f>AVERAGEIF(L3:L1205,"&lt;2019/8/20",T3:T1205)</f>
        <v>7.2863070539419086</v>
      </c>
      <c r="V235" s="24">
        <v>970</v>
      </c>
      <c r="W235" s="47" t="s">
        <v>4550</v>
      </c>
    </row>
    <row r="236" spans="1:23">
      <c r="A236" s="23">
        <v>2</v>
      </c>
      <c r="B236" s="23">
        <v>7</v>
      </c>
      <c r="C236" s="18">
        <v>4</v>
      </c>
      <c r="D236" s="18">
        <v>6</v>
      </c>
      <c r="E236" s="20">
        <v>52</v>
      </c>
      <c r="F236" s="21">
        <f t="shared" si="10"/>
        <v>114.12590299277606</v>
      </c>
      <c r="G236" s="22">
        <v>0.80255279997454698</v>
      </c>
      <c r="H236" s="18">
        <v>1</v>
      </c>
      <c r="I236" s="18">
        <f t="shared" si="11"/>
        <v>0</v>
      </c>
      <c r="J236" s="41">
        <v>43695</v>
      </c>
      <c r="K236" s="36">
        <v>2019</v>
      </c>
      <c r="L236" s="32">
        <f t="shared" si="9"/>
        <v>43697</v>
      </c>
      <c r="M236" s="40">
        <v>0</v>
      </c>
      <c r="N236" s="33">
        <v>82</v>
      </c>
      <c r="O236" s="34">
        <f>AVERAGEIF(L3:L1205,"&lt;2019/8/18",N3:N1205)</f>
        <v>112.91692627206646</v>
      </c>
      <c r="P236" s="54">
        <v>0</v>
      </c>
      <c r="Q236" s="38">
        <f>AVERAGEIF(L3:L1205,"&lt;2019/8/18",P3:P1205)</f>
        <v>0.42159916926272067</v>
      </c>
      <c r="R236" s="38">
        <v>1</v>
      </c>
      <c r="S236" s="38">
        <f>AVERAGEIF(L3:L1205,"&lt;2019/8/18",R3:R1205)</f>
        <v>1.2388369678089304</v>
      </c>
      <c r="T236" s="54">
        <v>2</v>
      </c>
      <c r="U236" s="38">
        <f>AVERAGEIF(L3:L1205,"&lt;2019/8/18",T3:T1205)</f>
        <v>7.28141225337487</v>
      </c>
      <c r="V236" s="24">
        <v>969</v>
      </c>
      <c r="W236" s="47" t="s">
        <v>4529</v>
      </c>
    </row>
    <row r="237" spans="1:23">
      <c r="A237" s="23">
        <v>2</v>
      </c>
      <c r="B237" s="23">
        <v>13</v>
      </c>
      <c r="C237" s="18">
        <v>4</v>
      </c>
      <c r="D237" s="18">
        <v>6</v>
      </c>
      <c r="E237" s="20">
        <v>52</v>
      </c>
      <c r="F237" s="21">
        <f t="shared" si="10"/>
        <v>114.19008264462811</v>
      </c>
      <c r="G237" s="22">
        <v>0.34107655603974402</v>
      </c>
      <c r="H237" s="18">
        <v>1</v>
      </c>
      <c r="I237" s="18">
        <f t="shared" si="11"/>
        <v>0</v>
      </c>
      <c r="J237" s="41">
        <v>43695</v>
      </c>
      <c r="K237" s="36">
        <v>2019</v>
      </c>
      <c r="L237" s="32">
        <f t="shared" si="9"/>
        <v>43697</v>
      </c>
      <c r="M237" s="40">
        <v>0</v>
      </c>
      <c r="N237" s="33">
        <v>82</v>
      </c>
      <c r="O237" s="34">
        <f>AVERAGEIF(L3:L1205,"&lt;2019/8/18",N3:N1205)</f>
        <v>112.91692627206646</v>
      </c>
      <c r="P237" s="38">
        <v>0</v>
      </c>
      <c r="Q237" s="38">
        <f>AVERAGEIF(L3:L1205,"&lt;2019/8/18",P3:P1205)</f>
        <v>0.42159916926272067</v>
      </c>
      <c r="R237" s="38">
        <v>1</v>
      </c>
      <c r="S237" s="38">
        <f>AVERAGEIF(L3:L1205,"&lt;2019/8/18",R3:R1205)</f>
        <v>1.2388369678089304</v>
      </c>
      <c r="T237" s="38">
        <v>2</v>
      </c>
      <c r="U237" s="38">
        <f>AVERAGEIF(L3:L1205,"&lt;2019/8/18",T3:T1205)</f>
        <v>7.28141225337487</v>
      </c>
      <c r="V237" s="24">
        <v>968</v>
      </c>
      <c r="W237" s="47" t="s">
        <v>4529</v>
      </c>
    </row>
    <row r="238" spans="1:23">
      <c r="A238" s="23">
        <v>2</v>
      </c>
      <c r="B238" s="23">
        <v>6</v>
      </c>
      <c r="C238" s="18">
        <v>4</v>
      </c>
      <c r="D238" s="18">
        <v>2</v>
      </c>
      <c r="E238" s="20">
        <v>39</v>
      </c>
      <c r="F238" s="21">
        <f t="shared" si="10"/>
        <v>114.2678386763185</v>
      </c>
      <c r="G238" s="22">
        <v>0.81035114934784003</v>
      </c>
      <c r="H238" s="18">
        <v>1</v>
      </c>
      <c r="I238" s="18">
        <f t="shared" si="11"/>
        <v>0</v>
      </c>
      <c r="J238" s="41">
        <v>43694</v>
      </c>
      <c r="K238" s="36">
        <v>2019</v>
      </c>
      <c r="L238" s="32">
        <f t="shared" si="9"/>
        <v>43699</v>
      </c>
      <c r="M238" s="40">
        <v>1</v>
      </c>
      <c r="N238" s="33">
        <v>116</v>
      </c>
      <c r="O238" s="34">
        <f>AVERAGEIF(L3:L1205,"&lt;2019/8/17",N3:N1205)</f>
        <v>112.91692627206646</v>
      </c>
      <c r="P238" s="54">
        <v>1</v>
      </c>
      <c r="Q238" s="38">
        <f>AVERAGEIF(L3:L1205,"&lt;2019/8/17",P3:P1205)</f>
        <v>0.42159916926272067</v>
      </c>
      <c r="R238" s="38">
        <v>1</v>
      </c>
      <c r="S238" s="38">
        <f>AVERAGEIF(L3:L1205,"&lt;2019/8/17",R3:R1205)</f>
        <v>1.2388369678089304</v>
      </c>
      <c r="T238" s="54">
        <v>5</v>
      </c>
      <c r="U238" s="38">
        <f>AVERAGEIF(L3:L1205,"&lt;2019/8/17",T3:T1205)</f>
        <v>7.28141225337487</v>
      </c>
      <c r="V238" s="24">
        <v>967</v>
      </c>
      <c r="W238" s="47" t="s">
        <v>4529</v>
      </c>
    </row>
    <row r="239" spans="1:23">
      <c r="A239" s="23">
        <v>2</v>
      </c>
      <c r="B239" s="23">
        <v>6</v>
      </c>
      <c r="C239" s="18">
        <v>4</v>
      </c>
      <c r="D239" s="18">
        <v>2</v>
      </c>
      <c r="E239" s="20">
        <v>36</v>
      </c>
      <c r="F239" s="21">
        <f t="shared" si="10"/>
        <v>114.3488612836439</v>
      </c>
      <c r="G239" s="22">
        <v>0.38613807089549701</v>
      </c>
      <c r="H239" s="18">
        <v>0</v>
      </c>
      <c r="I239" s="18">
        <f t="shared" si="11"/>
        <v>1</v>
      </c>
      <c r="J239" s="41">
        <v>43694</v>
      </c>
      <c r="K239" s="36">
        <v>2019</v>
      </c>
      <c r="L239" s="32">
        <f t="shared" si="9"/>
        <v>43699</v>
      </c>
      <c r="M239" s="40">
        <v>0</v>
      </c>
      <c r="N239" s="33">
        <v>116</v>
      </c>
      <c r="O239" s="34">
        <f>AVERAGEIF(L3:L1205,"&lt;2019/8/17",N3:N1205)</f>
        <v>112.91692627206646</v>
      </c>
      <c r="P239" s="38">
        <v>1</v>
      </c>
      <c r="Q239" s="38">
        <f>AVERAGEIF(L3:L1205,"&lt;2019/8/17",P3:P1205)</f>
        <v>0.42159916926272067</v>
      </c>
      <c r="R239" s="38">
        <v>1</v>
      </c>
      <c r="S239" s="38">
        <f>AVERAGEIF(L3:L1205,"&lt;2019/8/17",R3:R1205)</f>
        <v>1.2388369678089304</v>
      </c>
      <c r="T239" s="38">
        <v>5</v>
      </c>
      <c r="U239" s="38">
        <f>AVERAGEIF(L3:L1205,"&lt;2019/8/17",T3:T1205)</f>
        <v>7.28141225337487</v>
      </c>
      <c r="V239" s="24">
        <v>966</v>
      </c>
      <c r="W239" s="47" t="s">
        <v>4550</v>
      </c>
    </row>
    <row r="240" spans="1:23">
      <c r="A240" s="23">
        <v>4</v>
      </c>
      <c r="B240" s="23">
        <v>30</v>
      </c>
      <c r="C240" s="18">
        <v>4</v>
      </c>
      <c r="D240" s="18">
        <v>2</v>
      </c>
      <c r="E240" s="20">
        <v>23</v>
      </c>
      <c r="F240" s="21">
        <f t="shared" si="10"/>
        <v>114.44352331606217</v>
      </c>
      <c r="G240" s="22">
        <v>0.34732987927234898</v>
      </c>
      <c r="H240" s="18">
        <v>1</v>
      </c>
      <c r="I240" s="18">
        <f t="shared" si="11"/>
        <v>0</v>
      </c>
      <c r="J240" s="45">
        <v>43694</v>
      </c>
      <c r="K240" s="36">
        <v>2019</v>
      </c>
      <c r="L240" s="32">
        <f t="shared" si="9"/>
        <v>43698</v>
      </c>
      <c r="M240" s="42">
        <v>1</v>
      </c>
      <c r="N240" s="33">
        <v>98</v>
      </c>
      <c r="O240" s="34">
        <f>AVERAGEIF(L3:L1205,"&lt;2019/8/17",N3:N1205)</f>
        <v>112.91692627206646</v>
      </c>
      <c r="P240" s="54">
        <v>0</v>
      </c>
      <c r="Q240" s="38">
        <f>AVERAGEIF(L3:L1205,"&lt;2019/8/17",P3:P1205)</f>
        <v>0.42159916926272067</v>
      </c>
      <c r="R240" s="38">
        <v>1</v>
      </c>
      <c r="S240" s="38">
        <f>AVERAGEIF(L3:L1205,"&lt;2019/8/17",R3:R1205)</f>
        <v>1.2388369678089304</v>
      </c>
      <c r="T240" s="54">
        <v>4</v>
      </c>
      <c r="U240" s="38">
        <f>AVERAGEIF(L3:L1205,"&lt;2019/8/17",T3:T1205)</f>
        <v>7.28141225337487</v>
      </c>
      <c r="V240" s="24">
        <v>965</v>
      </c>
      <c r="W240" s="47" t="s">
        <v>4529</v>
      </c>
    </row>
    <row r="241" spans="1:23">
      <c r="A241" s="23">
        <v>3</v>
      </c>
      <c r="B241" s="23">
        <v>24</v>
      </c>
      <c r="C241" s="18">
        <v>4</v>
      </c>
      <c r="D241" s="18">
        <v>6</v>
      </c>
      <c r="E241" s="20">
        <v>395</v>
      </c>
      <c r="F241" s="21">
        <f t="shared" si="10"/>
        <v>114.15248962655602</v>
      </c>
      <c r="G241" s="22">
        <v>0.232845496147183</v>
      </c>
      <c r="H241" s="3">
        <v>0</v>
      </c>
      <c r="I241" s="18">
        <f t="shared" si="11"/>
        <v>1</v>
      </c>
      <c r="J241" s="41">
        <v>43692</v>
      </c>
      <c r="K241" s="36">
        <v>2019</v>
      </c>
      <c r="L241" s="32">
        <f t="shared" si="9"/>
        <v>43697</v>
      </c>
      <c r="M241" s="40">
        <v>0</v>
      </c>
      <c r="N241" s="33">
        <v>139</v>
      </c>
      <c r="O241" s="34">
        <f>AVERAGEIF(L3:L1205,"&lt;2019/8/15",N3:N1205)</f>
        <v>112.91692627206646</v>
      </c>
      <c r="P241" s="38">
        <v>0</v>
      </c>
      <c r="Q241" s="38">
        <f>AVERAGEIF(L3:L1205,"&lt;2019/8/15",P3:P1205)</f>
        <v>0.42159916926272067</v>
      </c>
      <c r="R241" s="38">
        <v>1</v>
      </c>
      <c r="S241" s="38">
        <f>AVERAGEIF(L3:L1205,"&lt;2019/8/15",R3:R1205)</f>
        <v>1.2388369678089304</v>
      </c>
      <c r="T241" s="38">
        <v>5</v>
      </c>
      <c r="U241" s="38">
        <f>AVERAGEIF(L3:L1205,"&lt;2019/8/15",T3:T1205)</f>
        <v>7.28141225337487</v>
      </c>
      <c r="V241" s="24">
        <v>964</v>
      </c>
      <c r="W241" s="47" t="s">
        <v>4805</v>
      </c>
    </row>
    <row r="242" spans="1:23">
      <c r="A242" s="23">
        <v>4</v>
      </c>
      <c r="B242" s="23">
        <v>34</v>
      </c>
      <c r="C242" s="18">
        <v>4</v>
      </c>
      <c r="D242" s="18">
        <v>6</v>
      </c>
      <c r="E242" s="20">
        <v>71</v>
      </c>
      <c r="F242" s="21">
        <f t="shared" si="10"/>
        <v>114.19730010384215</v>
      </c>
      <c r="G242" s="22">
        <v>0.39738326680309899</v>
      </c>
      <c r="H242" s="18">
        <v>1</v>
      </c>
      <c r="I242" s="18">
        <f t="shared" si="11"/>
        <v>0</v>
      </c>
      <c r="J242" s="45">
        <v>43685</v>
      </c>
      <c r="K242" s="36">
        <v>2019</v>
      </c>
      <c r="L242" s="32">
        <f t="shared" si="9"/>
        <v>43690</v>
      </c>
      <c r="M242" s="42">
        <v>0</v>
      </c>
      <c r="N242" s="33">
        <v>251</v>
      </c>
      <c r="O242" s="34">
        <f>AVERAGEIF(L3:L1205,"&lt;2019/8/8",N3:N1205)</f>
        <v>112.75962539021852</v>
      </c>
      <c r="P242" s="54">
        <v>0</v>
      </c>
      <c r="Q242" s="38">
        <f>AVERAGEIF(L3:L1205,"&lt;2019/8/8",P3:P1205)</f>
        <v>0.41935483870967744</v>
      </c>
      <c r="R242" s="38">
        <v>1</v>
      </c>
      <c r="S242" s="38">
        <f>AVERAGEIF(L3:L1205,"&lt;2019/8/8",R3:R1205)</f>
        <v>1.2393340270551509</v>
      </c>
      <c r="T242" s="54">
        <v>5</v>
      </c>
      <c r="U242" s="38">
        <f>AVERAGEIF(L3:L1205,"&lt;2019/8/8",T3:T1205)</f>
        <v>7.2882414151925081</v>
      </c>
      <c r="V242" s="24">
        <v>963</v>
      </c>
      <c r="W242" s="47" t="s">
        <v>4550</v>
      </c>
    </row>
    <row r="243" spans="1:23">
      <c r="A243" s="23">
        <v>2</v>
      </c>
      <c r="B243" s="23">
        <v>9</v>
      </c>
      <c r="C243" s="18">
        <v>4</v>
      </c>
      <c r="D243" s="18">
        <v>6</v>
      </c>
      <c r="E243" s="20">
        <v>182</v>
      </c>
      <c r="F243" s="21">
        <f t="shared" si="10"/>
        <v>114.12681912681913</v>
      </c>
      <c r="G243" s="22">
        <v>0.34131538207346601</v>
      </c>
      <c r="H243" s="18">
        <v>1</v>
      </c>
      <c r="I243" s="18">
        <f t="shared" si="11"/>
        <v>0</v>
      </c>
      <c r="J243" s="41">
        <v>43684</v>
      </c>
      <c r="K243" s="36">
        <v>2019</v>
      </c>
      <c r="L243" s="32">
        <f t="shared" si="9"/>
        <v>43696</v>
      </c>
      <c r="M243" s="40">
        <v>0</v>
      </c>
      <c r="N243" s="33">
        <v>272</v>
      </c>
      <c r="O243" s="34">
        <f>AVERAGEIF(L3:L1205,"&lt;2019/8/7",N3:N1205)</f>
        <v>112.79666319082378</v>
      </c>
      <c r="P243" s="38">
        <v>0</v>
      </c>
      <c r="Q243" s="38">
        <f>AVERAGEIF(L3:L1205,"&lt;2019/8/7",P3:P1205)</f>
        <v>0.42022940563086547</v>
      </c>
      <c r="R243" s="38">
        <v>2</v>
      </c>
      <c r="S243" s="38">
        <f>AVERAGEIF(L3:L1205,"&lt;2019/8/7",R3:R1205)</f>
        <v>1.2387904066736184</v>
      </c>
      <c r="T243" s="38">
        <v>12</v>
      </c>
      <c r="U243" s="38">
        <f>AVERAGEIF(L3:L1205,"&lt;2019/8/7",T3:T1205)</f>
        <v>7.2950990615224196</v>
      </c>
      <c r="V243" s="24">
        <v>962</v>
      </c>
      <c r="W243" s="47" t="s">
        <v>4529</v>
      </c>
    </row>
    <row r="244" spans="1:23">
      <c r="A244" s="17">
        <v>1</v>
      </c>
      <c r="B244" s="17">
        <v>1</v>
      </c>
      <c r="C244" s="18">
        <v>3</v>
      </c>
      <c r="D244" s="18">
        <v>6</v>
      </c>
      <c r="E244" s="20">
        <v>208</v>
      </c>
      <c r="F244" s="21">
        <f t="shared" si="10"/>
        <v>114.02913631633714</v>
      </c>
      <c r="G244" s="22">
        <v>0.58130622319727998</v>
      </c>
      <c r="H244" s="18">
        <v>1</v>
      </c>
      <c r="I244" s="18">
        <f t="shared" si="11"/>
        <v>0</v>
      </c>
      <c r="J244" s="32">
        <v>43682</v>
      </c>
      <c r="K244" s="36">
        <v>2019</v>
      </c>
      <c r="L244" s="32">
        <f t="shared" si="9"/>
        <v>43684</v>
      </c>
      <c r="M244" s="40">
        <v>0</v>
      </c>
      <c r="N244" s="33">
        <v>174</v>
      </c>
      <c r="O244" s="34">
        <f>AVERAGEIF(L3:L1205,"&lt;2019/8/5",N3:N1205)</f>
        <v>113.05987394957984</v>
      </c>
      <c r="P244" s="24">
        <v>0</v>
      </c>
      <c r="Q244" s="24">
        <f>AVERAGEIF(L3:L1205,"&lt;2019/8/5",P3:P1205)</f>
        <v>0.41806722689075632</v>
      </c>
      <c r="R244" s="24">
        <v>2</v>
      </c>
      <c r="S244" s="24">
        <f>AVERAGEIF(L3:L1205,"&lt;2019/8/5",R3:R1205)</f>
        <v>1.2373949579831933</v>
      </c>
      <c r="T244" s="24">
        <v>2</v>
      </c>
      <c r="U244" s="24">
        <f>AVERAGEIF(L3:L1205,"&lt;2019/8/5",T3:T1205)</f>
        <v>7.28781512605042</v>
      </c>
      <c r="V244" s="24">
        <v>961</v>
      </c>
      <c r="W244" s="47" t="s">
        <v>4742</v>
      </c>
    </row>
    <row r="245" spans="1:23">
      <c r="A245" s="23">
        <v>2</v>
      </c>
      <c r="B245" s="23">
        <v>17</v>
      </c>
      <c r="C245" s="18">
        <v>4</v>
      </c>
      <c r="D245" s="18">
        <v>8</v>
      </c>
      <c r="E245" s="20">
        <v>89</v>
      </c>
      <c r="F245" s="21">
        <f t="shared" si="10"/>
        <v>114.05520833333334</v>
      </c>
      <c r="G245" s="22">
        <v>0.45407692128590799</v>
      </c>
      <c r="H245" s="18">
        <v>1</v>
      </c>
      <c r="I245" s="18">
        <f t="shared" si="11"/>
        <v>0</v>
      </c>
      <c r="J245" s="41">
        <v>43682</v>
      </c>
      <c r="K245" s="36">
        <v>2019</v>
      </c>
      <c r="L245" s="32">
        <f t="shared" si="9"/>
        <v>43685</v>
      </c>
      <c r="M245" s="40">
        <v>1</v>
      </c>
      <c r="N245" s="33">
        <v>126</v>
      </c>
      <c r="O245" s="34">
        <f>AVERAGEIF(L3:L1205,"&lt;2019/8/5",N3:N1205)</f>
        <v>113.05987394957984</v>
      </c>
      <c r="P245" s="38">
        <v>3</v>
      </c>
      <c r="Q245" s="38">
        <f>AVERAGEIF(L3:L1205,"&lt;2019/8/5",P3:P1205)</f>
        <v>0.41806722689075632</v>
      </c>
      <c r="R245" s="38">
        <v>1</v>
      </c>
      <c r="S245" s="38">
        <f>AVERAGEIF(L3:L1205,"&lt;2019/8/5",R3:R1205)</f>
        <v>1.2373949579831933</v>
      </c>
      <c r="T245" s="38">
        <v>3</v>
      </c>
      <c r="U245" s="38">
        <f>AVERAGEIF(L3:L1205,"&lt;2019/8/5",T3:T1205)</f>
        <v>7.28781512605042</v>
      </c>
      <c r="V245" s="24">
        <v>960</v>
      </c>
      <c r="W245" s="47" t="s">
        <v>4529</v>
      </c>
    </row>
    <row r="246" spans="1:23">
      <c r="A246" s="23">
        <v>2</v>
      </c>
      <c r="B246" s="23">
        <v>17</v>
      </c>
      <c r="C246" s="18">
        <v>4</v>
      </c>
      <c r="D246" s="18">
        <v>8</v>
      </c>
      <c r="E246" s="20">
        <v>78</v>
      </c>
      <c r="F246" s="21">
        <f t="shared" si="10"/>
        <v>114.09280500521376</v>
      </c>
      <c r="G246" s="22">
        <v>0.232928247841971</v>
      </c>
      <c r="H246" s="18">
        <v>1</v>
      </c>
      <c r="I246" s="18">
        <f t="shared" si="11"/>
        <v>0</v>
      </c>
      <c r="J246" s="41">
        <v>43682</v>
      </c>
      <c r="K246" s="36">
        <v>2019</v>
      </c>
      <c r="L246" s="32">
        <f t="shared" si="9"/>
        <v>43683</v>
      </c>
      <c r="M246" s="40">
        <v>1</v>
      </c>
      <c r="N246" s="33">
        <v>77</v>
      </c>
      <c r="O246" s="34">
        <f>AVERAGEIF(L3:L1205,"&lt;2019/8/5",N3:N1205)</f>
        <v>113.05987394957984</v>
      </c>
      <c r="P246" s="38">
        <v>0</v>
      </c>
      <c r="Q246" s="38">
        <f>AVERAGEIF(L3:L1205,"&lt;2019/8/5",P3:P1205)</f>
        <v>0.41806722689075632</v>
      </c>
      <c r="R246" s="38">
        <v>1</v>
      </c>
      <c r="S246" s="38">
        <f>AVERAGEIF(L3:L1205,"&lt;2019/8/5",R3:R1205)</f>
        <v>1.2373949579831933</v>
      </c>
      <c r="T246" s="38">
        <v>1</v>
      </c>
      <c r="U246" s="38">
        <f>AVERAGEIF(L3:L1205,"&lt;2019/8/5",T3:T1205)</f>
        <v>7.28781512605042</v>
      </c>
      <c r="V246" s="24">
        <v>959</v>
      </c>
      <c r="W246" s="47" t="s">
        <v>4529</v>
      </c>
    </row>
    <row r="247" spans="1:23">
      <c r="A247" s="23">
        <v>2</v>
      </c>
      <c r="B247" s="23">
        <v>6</v>
      </c>
      <c r="C247" s="18">
        <v>4</v>
      </c>
      <c r="D247" s="18">
        <v>4</v>
      </c>
      <c r="E247" s="20">
        <v>41</v>
      </c>
      <c r="F247" s="21">
        <f t="shared" si="10"/>
        <v>114.16910229645094</v>
      </c>
      <c r="G247" s="22">
        <v>0.46660225709137998</v>
      </c>
      <c r="H247" s="18">
        <v>1</v>
      </c>
      <c r="I247" s="18">
        <f t="shared" si="11"/>
        <v>0</v>
      </c>
      <c r="J247" s="41">
        <v>43679</v>
      </c>
      <c r="K247" s="36">
        <v>2019</v>
      </c>
      <c r="L247" s="32">
        <f t="shared" si="9"/>
        <v>43683</v>
      </c>
      <c r="M247" s="40">
        <v>0</v>
      </c>
      <c r="N247" s="33">
        <v>51</v>
      </c>
      <c r="O247" s="34">
        <f>AVERAGEIF(L3:L1205,"&lt;2019/8/2",N3:N1205)</f>
        <v>113.05987394957984</v>
      </c>
      <c r="P247" s="40">
        <v>0</v>
      </c>
      <c r="Q247" s="40">
        <f>AVERAGEIF(L3:L1205,"&lt;2019/8/2",P3:P1205)</f>
        <v>0.41806722689075632</v>
      </c>
      <c r="R247" s="40">
        <v>1</v>
      </c>
      <c r="S247" s="40">
        <f>AVERAGEIF(L3:L1205,"&lt;2019/8/2",R3:R1205)</f>
        <v>1.2373949579831933</v>
      </c>
      <c r="T247" s="40">
        <v>4</v>
      </c>
      <c r="U247" s="40">
        <f>AVERAGEIF(L3:L1205,"&lt;2019/8/2",T3:T1205)</f>
        <v>7.28781512605042</v>
      </c>
      <c r="V247" s="24">
        <v>958</v>
      </c>
      <c r="W247" s="47" t="s">
        <v>4523</v>
      </c>
    </row>
    <row r="248" spans="1:23">
      <c r="A248" s="23">
        <v>2</v>
      </c>
      <c r="B248" s="23">
        <v>7</v>
      </c>
      <c r="C248" s="18">
        <v>4</v>
      </c>
      <c r="D248" s="18">
        <v>4</v>
      </c>
      <c r="E248" s="20">
        <v>118</v>
      </c>
      <c r="F248" s="21">
        <f t="shared" si="10"/>
        <v>114.16509926854755</v>
      </c>
      <c r="G248" s="22">
        <v>0.43935831204867098</v>
      </c>
      <c r="H248" s="18">
        <v>1</v>
      </c>
      <c r="I248" s="18">
        <f t="shared" si="11"/>
        <v>0</v>
      </c>
      <c r="J248" s="41">
        <v>43679</v>
      </c>
      <c r="K248" s="36">
        <v>2019</v>
      </c>
      <c r="L248" s="32">
        <f t="shared" si="9"/>
        <v>43683</v>
      </c>
      <c r="M248" s="40">
        <v>0</v>
      </c>
      <c r="N248" s="33">
        <v>56</v>
      </c>
      <c r="O248" s="34">
        <f>AVERAGEIF(L3:L1205,"&lt;2019/8/2",N3:N1205)</f>
        <v>113.05987394957984</v>
      </c>
      <c r="P248" s="38">
        <v>1</v>
      </c>
      <c r="Q248" s="38">
        <f>AVERAGEIF(L3:L1205,"&lt;2019/8/2",P3:P1205)</f>
        <v>0.41806722689075632</v>
      </c>
      <c r="R248" s="38">
        <v>1</v>
      </c>
      <c r="S248" s="38">
        <f>AVERAGEIF(L3:L1205,"&lt;2019/8/2",R3:R1205)</f>
        <v>1.2373949579831933</v>
      </c>
      <c r="T248" s="38">
        <v>4</v>
      </c>
      <c r="U248" s="38">
        <f>AVERAGEIF(L3:L1205,"&lt;2019/8/2",T3:T1205)</f>
        <v>7.28781512605042</v>
      </c>
      <c r="V248" s="24">
        <v>957</v>
      </c>
      <c r="W248" s="47" t="s">
        <v>4550</v>
      </c>
    </row>
    <row r="249" spans="1:23">
      <c r="A249" s="23">
        <v>2</v>
      </c>
      <c r="B249" s="23">
        <v>9</v>
      </c>
      <c r="C249" s="18">
        <v>4</v>
      </c>
      <c r="D249" s="18">
        <v>4</v>
      </c>
      <c r="E249" s="20">
        <v>118</v>
      </c>
      <c r="F249" s="21">
        <f t="shared" si="10"/>
        <v>114.16108786610879</v>
      </c>
      <c r="G249" s="22">
        <v>0.34181349941695699</v>
      </c>
      <c r="H249" s="18">
        <v>1</v>
      </c>
      <c r="I249" s="18">
        <f t="shared" si="11"/>
        <v>0</v>
      </c>
      <c r="J249" s="41">
        <v>43679</v>
      </c>
      <c r="K249" s="36">
        <v>2019</v>
      </c>
      <c r="L249" s="32">
        <f t="shared" si="9"/>
        <v>43683</v>
      </c>
      <c r="M249" s="40">
        <v>0</v>
      </c>
      <c r="N249" s="33">
        <v>56</v>
      </c>
      <c r="O249" s="34">
        <f>AVERAGEIF(L3:L1205,"&lt;2019/8/2",N3:N1205)</f>
        <v>113.05987394957984</v>
      </c>
      <c r="P249" s="54">
        <v>1</v>
      </c>
      <c r="Q249" s="38">
        <f>AVERAGEIF(L3:L1205,"&lt;2019/8/2",P3:P1205)</f>
        <v>0.41806722689075632</v>
      </c>
      <c r="R249" s="38">
        <v>1</v>
      </c>
      <c r="S249" s="38">
        <f>AVERAGEIF(L3:L1205,"&lt;2019/8/2",R3:R1205)</f>
        <v>1.2373949579831933</v>
      </c>
      <c r="T249" s="54">
        <v>4</v>
      </c>
      <c r="U249" s="38">
        <f>AVERAGEIF(L3:L1205,"&lt;2019/8/2",T3:T1205)</f>
        <v>7.28781512605042</v>
      </c>
      <c r="V249" s="24">
        <v>956</v>
      </c>
      <c r="W249" s="47" t="s">
        <v>4550</v>
      </c>
    </row>
    <row r="250" spans="1:23">
      <c r="A250" s="23">
        <v>2</v>
      </c>
      <c r="B250" s="23">
        <v>6</v>
      </c>
      <c r="C250" s="18">
        <v>4</v>
      </c>
      <c r="D250" s="18">
        <v>6</v>
      </c>
      <c r="E250" s="20">
        <v>72</v>
      </c>
      <c r="F250" s="21">
        <f t="shared" si="10"/>
        <v>114.20523560209423</v>
      </c>
      <c r="G250" s="22">
        <v>0.87124753225518203</v>
      </c>
      <c r="H250" s="18">
        <v>0</v>
      </c>
      <c r="I250" s="18">
        <f t="shared" si="11"/>
        <v>1</v>
      </c>
      <c r="J250" s="41">
        <v>43678</v>
      </c>
      <c r="K250" s="36">
        <v>2019</v>
      </c>
      <c r="L250" s="32">
        <f t="shared" si="9"/>
        <v>43684</v>
      </c>
      <c r="M250" s="40">
        <v>1</v>
      </c>
      <c r="N250" s="33">
        <v>16</v>
      </c>
      <c r="O250" s="34">
        <f>AVERAGEIF(L3:L1205,"&lt;2019/8/1",N3:N1205)</f>
        <v>113.05987394957984</v>
      </c>
      <c r="P250" s="54">
        <v>0</v>
      </c>
      <c r="Q250" s="38">
        <f>AVERAGEIF(L3:L1205,"&lt;2019/8/1",P3:P1205)</f>
        <v>0.41806722689075632</v>
      </c>
      <c r="R250" s="38">
        <v>1</v>
      </c>
      <c r="S250" s="38">
        <f>AVERAGEIF(L3:L1205,"&lt;2019/8/1",R3:R1205)</f>
        <v>1.2373949579831933</v>
      </c>
      <c r="T250" s="54">
        <v>6</v>
      </c>
      <c r="U250" s="38">
        <f>AVERAGEIF(L3:L1205,"&lt;2019/8/1",T3:T1205)</f>
        <v>7.28781512605042</v>
      </c>
      <c r="V250" s="24">
        <v>955</v>
      </c>
      <c r="W250" s="47" t="s">
        <v>4523</v>
      </c>
    </row>
    <row r="251" spans="1:23">
      <c r="A251" s="23">
        <v>4</v>
      </c>
      <c r="B251" s="23">
        <v>37</v>
      </c>
      <c r="C251" s="18">
        <v>4</v>
      </c>
      <c r="D251" s="18">
        <v>6</v>
      </c>
      <c r="E251" s="20">
        <v>39</v>
      </c>
      <c r="F251" s="21">
        <f t="shared" si="10"/>
        <v>114.28406708595388</v>
      </c>
      <c r="G251" s="22">
        <v>0.81235329618765295</v>
      </c>
      <c r="H251" s="18">
        <v>0</v>
      </c>
      <c r="I251" s="18">
        <f t="shared" si="11"/>
        <v>1</v>
      </c>
      <c r="J251" s="45">
        <v>43678</v>
      </c>
      <c r="K251" s="36">
        <v>2019</v>
      </c>
      <c r="L251" s="32">
        <f t="shared" si="9"/>
        <v>43682</v>
      </c>
      <c r="M251" s="42">
        <v>1</v>
      </c>
      <c r="N251" s="33">
        <v>102</v>
      </c>
      <c r="O251" s="34">
        <f>AVERAGEIF(L3:L1205,"&lt;2019/8/1",N3:N1205)</f>
        <v>113.05987394957984</v>
      </c>
      <c r="P251" s="38">
        <v>0</v>
      </c>
      <c r="Q251" s="38">
        <f>AVERAGEIF(L3:L1205,"&lt;2019/8/1",P3:P1205)</f>
        <v>0.41806722689075632</v>
      </c>
      <c r="R251" s="38">
        <v>3</v>
      </c>
      <c r="S251" s="38">
        <f>AVERAGEIF(L3:L1205,"&lt;2019/8/1",R3:R1205)</f>
        <v>1.2373949579831933</v>
      </c>
      <c r="T251" s="38">
        <v>4</v>
      </c>
      <c r="U251" s="38">
        <f>AVERAGEIF(L3:L1205,"&lt;2019/8/1",T3:T1205)</f>
        <v>7.28781512605042</v>
      </c>
      <c r="V251" s="24">
        <v>954</v>
      </c>
      <c r="W251" s="47" t="s">
        <v>4550</v>
      </c>
    </row>
    <row r="252" spans="1:23">
      <c r="A252" s="23">
        <v>3</v>
      </c>
      <c r="B252" s="23">
        <v>24</v>
      </c>
      <c r="C252" s="18">
        <v>1</v>
      </c>
      <c r="D252" s="18">
        <v>6</v>
      </c>
      <c r="E252" s="20">
        <v>333</v>
      </c>
      <c r="F252" s="21">
        <f t="shared" si="10"/>
        <v>114.05456453305352</v>
      </c>
      <c r="G252" s="22">
        <v>0.87317888964524903</v>
      </c>
      <c r="H252" s="3">
        <v>0</v>
      </c>
      <c r="I252" s="18">
        <f t="shared" si="11"/>
        <v>1</v>
      </c>
      <c r="J252" s="41">
        <v>43669</v>
      </c>
      <c r="K252" s="36">
        <v>2019</v>
      </c>
      <c r="L252" s="32">
        <f t="shared" si="9"/>
        <v>43671</v>
      </c>
      <c r="M252" s="40">
        <v>0</v>
      </c>
      <c r="N252" s="33">
        <v>26</v>
      </c>
      <c r="O252" s="34">
        <f>AVERAGEIF(L3:L1205,"&lt;2019/7/23",N3:N1205)</f>
        <v>113.1421052631579</v>
      </c>
      <c r="P252" s="38">
        <v>0</v>
      </c>
      <c r="Q252" s="38">
        <f>AVERAGEIF(L3:L1205,"&lt;2019/7/23",P3:P1205)</f>
        <v>0.4168421052631579</v>
      </c>
      <c r="R252" s="38">
        <v>1</v>
      </c>
      <c r="S252" s="38">
        <f>AVERAGEIF(L3:L1205,"&lt;2019/7/23",R3:R1205)</f>
        <v>1.2378947368421052</v>
      </c>
      <c r="T252" s="38">
        <v>2</v>
      </c>
      <c r="U252" s="38">
        <f>AVERAGEIF(L3:L1205,"&lt;2019/7/23",T3:T1205)</f>
        <v>7.297894736842105</v>
      </c>
      <c r="V252" s="24">
        <v>953</v>
      </c>
      <c r="W252" s="47" t="s">
        <v>4563</v>
      </c>
    </row>
    <row r="253" spans="1:23">
      <c r="A253" s="23">
        <v>4</v>
      </c>
      <c r="B253" s="23">
        <v>28</v>
      </c>
      <c r="C253" s="18">
        <v>4</v>
      </c>
      <c r="D253" s="18">
        <v>6</v>
      </c>
      <c r="E253" s="20">
        <v>156</v>
      </c>
      <c r="F253" s="21">
        <f t="shared" si="10"/>
        <v>114.01050420168067</v>
      </c>
      <c r="G253" s="22">
        <v>0.41251729621729299</v>
      </c>
      <c r="H253" s="18">
        <v>1</v>
      </c>
      <c r="I253" s="18">
        <f t="shared" si="11"/>
        <v>0</v>
      </c>
      <c r="J253" s="45">
        <v>43669</v>
      </c>
      <c r="K253" s="36">
        <v>2019</v>
      </c>
      <c r="L253" s="32">
        <f t="shared" si="9"/>
        <v>43682</v>
      </c>
      <c r="M253" s="44">
        <v>0</v>
      </c>
      <c r="N253" s="33">
        <v>79</v>
      </c>
      <c r="O253" s="34">
        <f>AVERAGEIF(L3:L1205,"&lt;2019/7/23",N3:N1205)</f>
        <v>113.1421052631579</v>
      </c>
      <c r="P253" s="54">
        <v>0</v>
      </c>
      <c r="Q253" s="38">
        <f>AVERAGEIF(L3:L1205,"&lt;2019/7/23",P3:P1205)</f>
        <v>0.4168421052631579</v>
      </c>
      <c r="R253" s="38">
        <v>2</v>
      </c>
      <c r="S253" s="38">
        <f>AVERAGEIF(L3:L1205,"&lt;2019/7/23",R3:R1205)</f>
        <v>1.2378947368421052</v>
      </c>
      <c r="T253" s="54">
        <v>13</v>
      </c>
      <c r="U253" s="38">
        <f>AVERAGEIF(L3:L1205,"&lt;2019/7/23",T3:T1205)</f>
        <v>7.297894736842105</v>
      </c>
      <c r="V253" s="24">
        <v>952</v>
      </c>
      <c r="W253" s="47" t="s">
        <v>4529</v>
      </c>
    </row>
    <row r="254" spans="1:23">
      <c r="A254" s="23">
        <v>2</v>
      </c>
      <c r="B254" s="23">
        <v>6</v>
      </c>
      <c r="C254" s="18">
        <v>5</v>
      </c>
      <c r="D254" s="18">
        <v>1</v>
      </c>
      <c r="E254" s="20">
        <v>53</v>
      </c>
      <c r="F254" s="21">
        <f t="shared" si="10"/>
        <v>114.07465825446899</v>
      </c>
      <c r="G254" s="22">
        <v>0.40291723079095598</v>
      </c>
      <c r="H254" s="18">
        <v>0</v>
      </c>
      <c r="I254" s="18">
        <f t="shared" si="11"/>
        <v>1</v>
      </c>
      <c r="J254" s="41">
        <v>43667</v>
      </c>
      <c r="K254" s="36">
        <v>2019</v>
      </c>
      <c r="L254" s="32">
        <f t="shared" si="9"/>
        <v>43670</v>
      </c>
      <c r="M254" s="40">
        <v>0</v>
      </c>
      <c r="N254" s="33">
        <v>122</v>
      </c>
      <c r="O254" s="34">
        <f>AVERAGEIF(L3:L1205,"&lt;2019/7/21",N3:N1205)</f>
        <v>113.1421052631579</v>
      </c>
      <c r="P254" s="38">
        <v>2</v>
      </c>
      <c r="Q254" s="38">
        <f>AVERAGEIF(L3:L1205,"&lt;2019/7/21",P3:P1205)</f>
        <v>0.4168421052631579</v>
      </c>
      <c r="R254" s="38">
        <v>1</v>
      </c>
      <c r="S254" s="38">
        <f>AVERAGEIF(L3:L1205,"&lt;2019/7/21",R3:R1205)</f>
        <v>1.2378947368421052</v>
      </c>
      <c r="T254" s="38">
        <v>3</v>
      </c>
      <c r="U254" s="38">
        <f>AVERAGEIF(L3:L1205,"&lt;2019/7/21",T3:T1205)</f>
        <v>7.297894736842105</v>
      </c>
      <c r="V254" s="24">
        <v>951</v>
      </c>
      <c r="W254" s="47" t="s">
        <v>4529</v>
      </c>
    </row>
    <row r="255" spans="1:23">
      <c r="A255" s="23">
        <v>2</v>
      </c>
      <c r="B255" s="23">
        <v>6</v>
      </c>
      <c r="C255" s="18">
        <v>4</v>
      </c>
      <c r="D255" s="18">
        <v>4</v>
      </c>
      <c r="E255" s="20">
        <v>44</v>
      </c>
      <c r="F255" s="21">
        <f t="shared" si="10"/>
        <v>114.14842105263158</v>
      </c>
      <c r="G255" s="22">
        <v>0.39899199819995501</v>
      </c>
      <c r="H255" s="18">
        <v>1</v>
      </c>
      <c r="I255" s="18">
        <f t="shared" si="11"/>
        <v>0</v>
      </c>
      <c r="J255" s="41">
        <v>43663</v>
      </c>
      <c r="K255" s="36">
        <v>2019</v>
      </c>
      <c r="L255" s="32">
        <f t="shared" si="9"/>
        <v>43663</v>
      </c>
      <c r="M255" s="40">
        <v>0</v>
      </c>
      <c r="N255" s="33">
        <v>106</v>
      </c>
      <c r="O255" s="34">
        <f>AVERAGEIF(L3:L1205,"&lt;2019/7/17",N3:N1205)</f>
        <v>113.23523206751055</v>
      </c>
      <c r="P255" s="40">
        <v>0</v>
      </c>
      <c r="Q255" s="40">
        <f>AVERAGEIF(L3:L1205,"&lt;2019/7/17",P3:P1205)</f>
        <v>0.41772151898734178</v>
      </c>
      <c r="R255" s="40">
        <v>1</v>
      </c>
      <c r="S255" s="40">
        <f>AVERAGEIF(L3:L1205,"&lt;2019/7/17",R3:R1205)</f>
        <v>1.2383966244725739</v>
      </c>
      <c r="T255" s="40">
        <v>0</v>
      </c>
      <c r="U255" s="40">
        <f>AVERAGEIF(L3:L1205,"&lt;2019/7/17",T3:T1205)</f>
        <v>7.3101265822784809</v>
      </c>
      <c r="V255" s="24">
        <v>950</v>
      </c>
      <c r="W255" s="47" t="s">
        <v>4634</v>
      </c>
    </row>
    <row r="256" spans="1:23">
      <c r="A256" s="23">
        <v>3</v>
      </c>
      <c r="B256" s="23">
        <v>22</v>
      </c>
      <c r="C256" s="18">
        <v>4</v>
      </c>
      <c r="D256" s="18">
        <v>4</v>
      </c>
      <c r="E256" s="20">
        <v>56</v>
      </c>
      <c r="F256" s="21">
        <f t="shared" si="10"/>
        <v>114.20969441517387</v>
      </c>
      <c r="G256" s="22">
        <v>0.86243578596019899</v>
      </c>
      <c r="H256" s="3">
        <v>1</v>
      </c>
      <c r="I256" s="18">
        <f t="shared" si="11"/>
        <v>0</v>
      </c>
      <c r="J256" s="41">
        <v>43660</v>
      </c>
      <c r="K256" s="36">
        <v>2019</v>
      </c>
      <c r="L256" s="32">
        <f t="shared" si="9"/>
        <v>43663</v>
      </c>
      <c r="M256" s="40">
        <v>0</v>
      </c>
      <c r="N256" s="33">
        <v>32</v>
      </c>
      <c r="O256" s="34">
        <f>AVERAGEIF(L3:L1205,"&lt;2019/7/14",N3:N1205)</f>
        <v>113.24498416050686</v>
      </c>
      <c r="P256" s="54">
        <v>0</v>
      </c>
      <c r="Q256" s="38">
        <f>AVERAGEIF(L3:L1205,"&lt;2019/7/14",P3:P1205)</f>
        <v>0.41816261879619854</v>
      </c>
      <c r="R256" s="38">
        <v>1</v>
      </c>
      <c r="S256" s="38">
        <f>AVERAGEIF(L3:L1205,"&lt;2019/7/14",R3:R1205)</f>
        <v>1.2386483632523759</v>
      </c>
      <c r="T256" s="54">
        <v>3</v>
      </c>
      <c r="U256" s="38">
        <f>AVERAGEIF(L3:L1205,"&lt;2019/7/14",T3:T1205)</f>
        <v>7.3104540654699051</v>
      </c>
      <c r="V256" s="24">
        <v>949</v>
      </c>
      <c r="W256" s="47" t="s">
        <v>4618</v>
      </c>
    </row>
    <row r="257" spans="1:23">
      <c r="A257" s="23">
        <v>2</v>
      </c>
      <c r="B257" s="23">
        <v>12</v>
      </c>
      <c r="C257" s="18">
        <v>4</v>
      </c>
      <c r="D257" s="18">
        <v>2</v>
      </c>
      <c r="E257" s="20">
        <v>57</v>
      </c>
      <c r="F257" s="21">
        <f t="shared" si="10"/>
        <v>114.27004219409282</v>
      </c>
      <c r="G257" s="22">
        <v>0.59804131659586102</v>
      </c>
      <c r="H257" s="18">
        <v>1</v>
      </c>
      <c r="I257" s="18">
        <f t="shared" si="11"/>
        <v>0</v>
      </c>
      <c r="J257" s="41">
        <v>43655</v>
      </c>
      <c r="K257" s="36">
        <v>2019</v>
      </c>
      <c r="L257" s="32">
        <f t="shared" si="9"/>
        <v>43662</v>
      </c>
      <c r="M257" s="40">
        <v>0</v>
      </c>
      <c r="N257" s="33">
        <v>104</v>
      </c>
      <c r="O257" s="34">
        <f>AVERAGEIF(L3:L1205,"&lt;2019/7/9",N3:N1205)</f>
        <v>112.82059447983015</v>
      </c>
      <c r="P257" s="40">
        <v>0</v>
      </c>
      <c r="Q257" s="40">
        <f>AVERAGEIF(L3:L1205,"&lt;2019/7/9",P3:P1205)</f>
        <v>0.41719745222929938</v>
      </c>
      <c r="R257" s="40">
        <v>1</v>
      </c>
      <c r="S257" s="40">
        <f>AVERAGEIF(L3:L1205,"&lt;2019/7/9",R3:R1205)</f>
        <v>1.2399150743099787</v>
      </c>
      <c r="T257" s="40">
        <v>7</v>
      </c>
      <c r="U257" s="40">
        <f>AVERAGEIF(L3:L1205,"&lt;2019/7/9",T3:T1205)</f>
        <v>7.3290870488322719</v>
      </c>
      <c r="V257" s="24">
        <v>948</v>
      </c>
      <c r="W257" s="47" t="s">
        <v>4550</v>
      </c>
    </row>
    <row r="258" spans="1:23">
      <c r="A258" s="23">
        <v>2</v>
      </c>
      <c r="B258" s="23">
        <v>12</v>
      </c>
      <c r="C258" s="18">
        <v>4</v>
      </c>
      <c r="D258" s="18">
        <v>6</v>
      </c>
      <c r="E258" s="20">
        <v>351</v>
      </c>
      <c r="F258" s="21">
        <f t="shared" si="10"/>
        <v>114.02006335797255</v>
      </c>
      <c r="G258" s="22">
        <v>0.39486615723620799</v>
      </c>
      <c r="H258" s="18">
        <v>1</v>
      </c>
      <c r="I258" s="18">
        <f t="shared" si="11"/>
        <v>0</v>
      </c>
      <c r="J258" s="41">
        <v>43655</v>
      </c>
      <c r="K258" s="36">
        <v>2019</v>
      </c>
      <c r="L258" s="32">
        <f t="shared" si="9"/>
        <v>43658</v>
      </c>
      <c r="M258" s="24">
        <v>0</v>
      </c>
      <c r="N258" s="33">
        <v>125</v>
      </c>
      <c r="O258" s="34">
        <f>AVERAGEIF(L3:L1205,"&lt;2019/7/9",N3:N1205)</f>
        <v>112.82059447983015</v>
      </c>
      <c r="P258" s="38">
        <v>2</v>
      </c>
      <c r="Q258" s="38">
        <f>AVERAGEIF(L3:L1205,"&lt;2019/7/9",P3:P1205)</f>
        <v>0.41719745222929938</v>
      </c>
      <c r="R258" s="38">
        <v>1</v>
      </c>
      <c r="S258" s="38">
        <f>AVERAGEIF(L3:L1205,"&lt;2019/7/9",R3:R1205)</f>
        <v>1.2399150743099787</v>
      </c>
      <c r="T258" s="38">
        <v>3</v>
      </c>
      <c r="U258" s="38">
        <f>AVERAGEIF(L3:L1205,"&lt;2019/7/9",T3:T1205)</f>
        <v>7.3290870488322719</v>
      </c>
      <c r="V258" s="24">
        <v>947</v>
      </c>
      <c r="W258" s="47" t="s">
        <v>4817</v>
      </c>
    </row>
    <row r="259" spans="1:23">
      <c r="A259" s="23">
        <v>2</v>
      </c>
      <c r="B259" s="23">
        <v>12</v>
      </c>
      <c r="C259" s="18">
        <v>4</v>
      </c>
      <c r="D259" s="18">
        <v>6</v>
      </c>
      <c r="E259" s="20">
        <v>367</v>
      </c>
      <c r="F259" s="21">
        <f t="shared" si="10"/>
        <v>113.75264270613108</v>
      </c>
      <c r="G259" s="22">
        <v>0.28176118295615799</v>
      </c>
      <c r="H259" s="18">
        <v>1</v>
      </c>
      <c r="I259" s="18">
        <f t="shared" si="11"/>
        <v>0</v>
      </c>
      <c r="J259" s="41">
        <v>43655</v>
      </c>
      <c r="K259" s="36">
        <v>2019</v>
      </c>
      <c r="L259" s="32">
        <f t="shared" ref="L259:L322" si="12">J259+T259</f>
        <v>43658</v>
      </c>
      <c r="M259" s="24">
        <v>0</v>
      </c>
      <c r="N259" s="33">
        <v>127</v>
      </c>
      <c r="O259" s="34">
        <f>AVERAGEIF(L3:L1205,"&lt;2019/7/9",N3:N1205)</f>
        <v>112.82059447983015</v>
      </c>
      <c r="P259" s="38">
        <v>1</v>
      </c>
      <c r="Q259" s="38">
        <f>AVERAGEIF(L3:L1205,"&lt;2019/7/9",P3:P1205)</f>
        <v>0.41719745222929938</v>
      </c>
      <c r="R259" s="38">
        <v>1</v>
      </c>
      <c r="S259" s="38">
        <f>AVERAGEIF(L3:L1205,"&lt;2019/7/9",R3:R1205)</f>
        <v>1.2399150743099787</v>
      </c>
      <c r="T259" s="38">
        <v>3</v>
      </c>
      <c r="U259" s="38">
        <f>AVERAGEIF(L3:L1205,"&lt;2019/7/9",T3:T1205)</f>
        <v>7.3290870488322719</v>
      </c>
      <c r="V259" s="24">
        <v>946</v>
      </c>
      <c r="W259" s="47" t="s">
        <v>4741</v>
      </c>
    </row>
    <row r="260" spans="1:23">
      <c r="A260" s="23">
        <v>4</v>
      </c>
      <c r="B260" s="23">
        <v>28</v>
      </c>
      <c r="C260" s="18">
        <v>4</v>
      </c>
      <c r="D260" s="18">
        <v>2</v>
      </c>
      <c r="E260" s="20">
        <v>8</v>
      </c>
      <c r="F260" s="21">
        <f t="shared" ref="F260:F323" si="13">AVERAGE(E261:E1462)</f>
        <v>113.86455026455026</v>
      </c>
      <c r="G260" s="22">
        <v>0.30991787741839</v>
      </c>
      <c r="H260" s="18">
        <v>1</v>
      </c>
      <c r="I260" s="18">
        <f t="shared" ref="I260:I323" si="14">IF(H260=1,0,1)</f>
        <v>0</v>
      </c>
      <c r="J260" s="45">
        <v>43655</v>
      </c>
      <c r="K260" s="36">
        <v>2019</v>
      </c>
      <c r="L260" s="32">
        <f t="shared" si="12"/>
        <v>43683</v>
      </c>
      <c r="M260" s="58">
        <v>1</v>
      </c>
      <c r="N260" s="33">
        <v>118</v>
      </c>
      <c r="O260" s="34">
        <f>AVERAGEIF(L3:L1205,"&lt;2019/7/9",N3:N1205)</f>
        <v>112.82059447983015</v>
      </c>
      <c r="P260" s="38">
        <v>3</v>
      </c>
      <c r="Q260" s="38">
        <f>AVERAGEIF(L3:L1205,"&lt;2019/7/9",P3:P1205)</f>
        <v>0.41719745222929938</v>
      </c>
      <c r="R260" s="38">
        <v>1</v>
      </c>
      <c r="S260" s="38">
        <f>AVERAGEIF(L3:L1205,"&lt;2019/7/9",R3:R1205)</f>
        <v>1.2399150743099787</v>
      </c>
      <c r="T260" s="38">
        <v>28</v>
      </c>
      <c r="U260" s="38">
        <f>AVERAGEIF(L3:L1205,"&lt;2019/7/9",T3:T1205)</f>
        <v>7.3290870488322719</v>
      </c>
      <c r="V260" s="24">
        <v>945</v>
      </c>
      <c r="W260" s="47" t="s">
        <v>4529</v>
      </c>
    </row>
    <row r="261" spans="1:23">
      <c r="A261" s="23">
        <v>2</v>
      </c>
      <c r="B261" s="23">
        <v>7</v>
      </c>
      <c r="C261" s="18">
        <v>4</v>
      </c>
      <c r="D261" s="18">
        <v>8</v>
      </c>
      <c r="E261" s="20">
        <v>64</v>
      </c>
      <c r="F261" s="21">
        <f t="shared" si="13"/>
        <v>113.91737288135593</v>
      </c>
      <c r="G261" s="22">
        <v>0.34410945309649099</v>
      </c>
      <c r="H261" s="18">
        <v>1</v>
      </c>
      <c r="I261" s="18">
        <f t="shared" si="14"/>
        <v>0</v>
      </c>
      <c r="J261" s="41">
        <v>43651</v>
      </c>
      <c r="K261" s="36">
        <v>2019</v>
      </c>
      <c r="L261" s="32">
        <f t="shared" si="12"/>
        <v>43654</v>
      </c>
      <c r="M261" s="40">
        <v>0</v>
      </c>
      <c r="N261" s="33">
        <v>143</v>
      </c>
      <c r="O261" s="34">
        <f>AVERAGEIF(L3:L1205,"&lt;2019/7/5",N3:N1205)</f>
        <v>112.67944621938233</v>
      </c>
      <c r="P261" s="40">
        <v>0</v>
      </c>
      <c r="Q261" s="40">
        <f>AVERAGEIF(L3:L1205,"&lt;2019/7/5",P3:P1205)</f>
        <v>0.41640042598509053</v>
      </c>
      <c r="R261" s="40">
        <v>1</v>
      </c>
      <c r="S261" s="40">
        <f>AVERAGEIF(L3:L1205,"&lt;2019/7/5",R3:R1205)</f>
        <v>1.2406815761448349</v>
      </c>
      <c r="T261" s="40">
        <v>3</v>
      </c>
      <c r="U261" s="40">
        <f>AVERAGEIF(L3:L1205,"&lt;2019/7/5",T3:T1205)</f>
        <v>7.3280085197018101</v>
      </c>
      <c r="V261" s="24">
        <v>944</v>
      </c>
      <c r="W261" s="47" t="s">
        <v>4563</v>
      </c>
    </row>
    <row r="262" spans="1:23">
      <c r="A262" s="23">
        <v>4</v>
      </c>
      <c r="B262" s="23">
        <v>28</v>
      </c>
      <c r="C262" s="18">
        <v>4</v>
      </c>
      <c r="D262" s="18">
        <v>2</v>
      </c>
      <c r="E262" s="20">
        <v>215</v>
      </c>
      <c r="F262" s="21">
        <f t="shared" si="13"/>
        <v>113.81018027571579</v>
      </c>
      <c r="G262" s="22">
        <v>0.21184518890081999</v>
      </c>
      <c r="H262" s="18">
        <v>1</v>
      </c>
      <c r="I262" s="18">
        <f t="shared" si="14"/>
        <v>0</v>
      </c>
      <c r="J262" s="45">
        <v>43651</v>
      </c>
      <c r="K262" s="36">
        <v>2019</v>
      </c>
      <c r="L262" s="32">
        <f t="shared" si="12"/>
        <v>43655</v>
      </c>
      <c r="M262" s="20">
        <v>1</v>
      </c>
      <c r="N262" s="33">
        <v>228</v>
      </c>
      <c r="O262" s="34">
        <f>AVERAGEIF(L3:L1205,"&lt;2019/7/5",N3:N1205)</f>
        <v>112.67944621938233</v>
      </c>
      <c r="P262" s="38">
        <v>0</v>
      </c>
      <c r="Q262" s="38">
        <f>AVERAGEIF(L3:L1205,"&lt;2019/7/5",P3:P1205)</f>
        <v>0.41640042598509053</v>
      </c>
      <c r="R262" s="38">
        <v>1</v>
      </c>
      <c r="S262" s="38">
        <f>AVERAGEIF(L3:L1205,"&lt;2019/7/5",R3:R1205)</f>
        <v>1.2406815761448349</v>
      </c>
      <c r="T262" s="38">
        <v>4</v>
      </c>
      <c r="U262" s="38">
        <f>AVERAGEIF(L3:L1205,"&lt;2019/7/5",T3:T1205)</f>
        <v>7.3280085197018101</v>
      </c>
      <c r="V262" s="24">
        <v>943</v>
      </c>
      <c r="W262" s="47" t="s">
        <v>4523</v>
      </c>
    </row>
    <row r="263" spans="1:23">
      <c r="A263" s="23">
        <v>4</v>
      </c>
      <c r="B263" s="23">
        <v>36</v>
      </c>
      <c r="C263" s="18">
        <v>4</v>
      </c>
      <c r="D263" s="18">
        <v>4</v>
      </c>
      <c r="E263" s="20">
        <v>270</v>
      </c>
      <c r="F263" s="21">
        <f t="shared" si="13"/>
        <v>113.6443736730361</v>
      </c>
      <c r="G263" s="22">
        <v>0.37500000002834899</v>
      </c>
      <c r="H263" s="18">
        <v>1</v>
      </c>
      <c r="I263" s="18">
        <f t="shared" si="14"/>
        <v>0</v>
      </c>
      <c r="J263" s="45">
        <v>43651</v>
      </c>
      <c r="K263" s="36">
        <v>2019</v>
      </c>
      <c r="L263" s="32">
        <f t="shared" si="12"/>
        <v>43655</v>
      </c>
      <c r="M263" s="42">
        <v>1</v>
      </c>
      <c r="N263" s="33">
        <v>304</v>
      </c>
      <c r="O263" s="34">
        <f>AVERAGEIF(L3:L1205,"&lt;2019/7/5",N3:N1205)</f>
        <v>112.67944621938233</v>
      </c>
      <c r="P263" s="38">
        <v>0</v>
      </c>
      <c r="Q263" s="38">
        <f>AVERAGEIF(L3:L1205,"&lt;2019/7/5",P3:P1205)</f>
        <v>0.41640042598509053</v>
      </c>
      <c r="R263" s="38">
        <v>1</v>
      </c>
      <c r="S263" s="38">
        <f>AVERAGEIF(L3:L1205,"&lt;2019/7/5",R3:R1205)</f>
        <v>1.2406815761448349</v>
      </c>
      <c r="T263" s="38">
        <v>4</v>
      </c>
      <c r="U263" s="38">
        <f>AVERAGEIF(L3:L1205,"&lt;2019/7/5",T3:T1205)</f>
        <v>7.3280085197018101</v>
      </c>
      <c r="V263" s="24">
        <v>942</v>
      </c>
      <c r="W263" s="47" t="s">
        <v>4634</v>
      </c>
    </row>
    <row r="264" spans="1:23">
      <c r="A264" s="23">
        <v>2</v>
      </c>
      <c r="B264" s="23">
        <v>6</v>
      </c>
      <c r="C264" s="18">
        <v>4</v>
      </c>
      <c r="D264" s="18">
        <v>4</v>
      </c>
      <c r="E264" s="20">
        <v>397</v>
      </c>
      <c r="F264" s="21">
        <f t="shared" si="13"/>
        <v>113.34325185972369</v>
      </c>
      <c r="G264" s="22">
        <v>0.15915753957543</v>
      </c>
      <c r="H264" s="18">
        <v>1</v>
      </c>
      <c r="I264" s="18">
        <f t="shared" si="14"/>
        <v>0</v>
      </c>
      <c r="J264" s="41">
        <v>43650</v>
      </c>
      <c r="K264" s="36">
        <v>2019</v>
      </c>
      <c r="L264" s="32">
        <f t="shared" si="12"/>
        <v>43655</v>
      </c>
      <c r="M264" s="40">
        <v>1</v>
      </c>
      <c r="N264" s="33">
        <v>182</v>
      </c>
      <c r="O264" s="34">
        <f>AVERAGEIF(L3:L1205,"&lt;2019/7/4",N3:N1205)</f>
        <v>112.67944621938233</v>
      </c>
      <c r="P264" s="38">
        <v>0</v>
      </c>
      <c r="Q264" s="38">
        <f>AVERAGEIF(L3:L1205,"&lt;2019/7/4",P3:P1205)</f>
        <v>0.41640042598509053</v>
      </c>
      <c r="R264" s="38">
        <v>1</v>
      </c>
      <c r="S264" s="38">
        <f>AVERAGEIF(L3:L1205,"&lt;2019/7/4",R3:R1205)</f>
        <v>1.2406815761448349</v>
      </c>
      <c r="T264" s="38">
        <v>5</v>
      </c>
      <c r="U264" s="38">
        <f>AVERAGEIF(L3:L1205,"&lt;2019/7/4",T3:T1205)</f>
        <v>7.3280085197018101</v>
      </c>
      <c r="V264" s="24">
        <v>941</v>
      </c>
      <c r="W264" s="47" t="s">
        <v>4652</v>
      </c>
    </row>
    <row r="265" spans="1:23">
      <c r="A265" s="23">
        <v>4</v>
      </c>
      <c r="B265" s="23">
        <v>28</v>
      </c>
      <c r="C265" s="18">
        <v>1</v>
      </c>
      <c r="D265" s="18">
        <v>4</v>
      </c>
      <c r="E265" s="20">
        <v>57</v>
      </c>
      <c r="F265" s="21">
        <f t="shared" si="13"/>
        <v>113.4031914893617</v>
      </c>
      <c r="G265" s="22">
        <v>0.37505241173190901</v>
      </c>
      <c r="H265" s="18">
        <v>1</v>
      </c>
      <c r="I265" s="18">
        <f t="shared" si="14"/>
        <v>0</v>
      </c>
      <c r="J265" s="45">
        <v>43645</v>
      </c>
      <c r="K265" s="36">
        <v>2019</v>
      </c>
      <c r="L265" s="32">
        <f t="shared" si="12"/>
        <v>43651</v>
      </c>
      <c r="M265" s="44">
        <v>0</v>
      </c>
      <c r="N265" s="33">
        <v>246</v>
      </c>
      <c r="O265" s="34">
        <f>AVERAGEIF(L3:L1205,"&lt;2019/6/29",N3:N1205)</f>
        <v>112.73667377398721</v>
      </c>
      <c r="P265" s="38">
        <v>1</v>
      </c>
      <c r="Q265" s="38">
        <f>AVERAGEIF(L3:L1205,"&lt;2019/6/29",P3:P1205)</f>
        <v>0.41684434968017059</v>
      </c>
      <c r="R265" s="38">
        <v>1</v>
      </c>
      <c r="S265" s="38">
        <f>AVERAGEIF(L3:L1205,"&lt;2019/6/29",R3:R1205)</f>
        <v>1.2409381663113006</v>
      </c>
      <c r="T265" s="38">
        <v>6</v>
      </c>
      <c r="U265" s="38">
        <f>AVERAGEIF(L3:L1205,"&lt;2019/6/29",T3:T1205)</f>
        <v>7.3294243070362475</v>
      </c>
      <c r="V265" s="24">
        <v>940</v>
      </c>
      <c r="W265" s="47" t="s">
        <v>4742</v>
      </c>
    </row>
    <row r="266" spans="1:23">
      <c r="A266" s="23">
        <v>2</v>
      </c>
      <c r="B266" s="23">
        <v>6</v>
      </c>
      <c r="C266" s="18">
        <v>4</v>
      </c>
      <c r="D266" s="18">
        <v>4</v>
      </c>
      <c r="E266" s="20">
        <v>106</v>
      </c>
      <c r="F266" s="21">
        <f t="shared" si="13"/>
        <v>113.41107561235357</v>
      </c>
      <c r="G266" s="22">
        <v>0.87498087649377398</v>
      </c>
      <c r="H266" s="18">
        <v>1</v>
      </c>
      <c r="I266" s="18">
        <f t="shared" si="14"/>
        <v>0</v>
      </c>
      <c r="J266" s="48">
        <v>43643</v>
      </c>
      <c r="K266" s="36">
        <v>2019</v>
      </c>
      <c r="L266" s="32">
        <f t="shared" si="12"/>
        <v>43644</v>
      </c>
      <c r="M266" s="40">
        <v>1</v>
      </c>
      <c r="N266" s="33">
        <v>64</v>
      </c>
      <c r="O266" s="34">
        <f>AVERAGEIF(L3:L1205,"&lt;2019/6/27",N3:N1205)</f>
        <v>112.85347593582888</v>
      </c>
      <c r="P266" s="38">
        <v>0</v>
      </c>
      <c r="Q266" s="38">
        <f>AVERAGEIF(L3:L1205,"&lt;2019/6/27",P3:P1205)</f>
        <v>0.41497326203208557</v>
      </c>
      <c r="R266" s="38">
        <v>1</v>
      </c>
      <c r="S266" s="38">
        <f>AVERAGEIF(L3:L1205,"&lt;2019/6/27",R3:R1205)</f>
        <v>1.2385026737967915</v>
      </c>
      <c r="T266" s="38">
        <v>1</v>
      </c>
      <c r="U266" s="38">
        <f>AVERAGEIF(L3:L1205,"&lt;2019/6/27",T3:T1205)</f>
        <v>7.3229946524064173</v>
      </c>
      <c r="V266" s="24">
        <v>939</v>
      </c>
      <c r="W266" s="47" t="s">
        <v>4618</v>
      </c>
    </row>
    <row r="267" spans="1:23">
      <c r="A267" s="23">
        <v>2</v>
      </c>
      <c r="B267" s="23">
        <v>6</v>
      </c>
      <c r="C267" s="18">
        <v>4</v>
      </c>
      <c r="D267" s="18">
        <v>4</v>
      </c>
      <c r="E267" s="20">
        <v>91</v>
      </c>
      <c r="F267" s="21">
        <f t="shared" si="13"/>
        <v>113.43496801705757</v>
      </c>
      <c r="G267" s="22">
        <v>0.47085510205189302</v>
      </c>
      <c r="H267" s="18">
        <v>1</v>
      </c>
      <c r="I267" s="18">
        <f t="shared" si="14"/>
        <v>0</v>
      </c>
      <c r="J267" s="41">
        <v>43641</v>
      </c>
      <c r="K267" s="36">
        <v>2019</v>
      </c>
      <c r="L267" s="32">
        <f t="shared" si="12"/>
        <v>43647</v>
      </c>
      <c r="M267" s="40">
        <v>0</v>
      </c>
      <c r="N267" s="33">
        <v>59</v>
      </c>
      <c r="O267" s="34">
        <f>AVERAGEIF(L3:L1205,"&lt;2019/6/25",N3:N1205)</f>
        <v>112.91094420600858</v>
      </c>
      <c r="P267" s="38">
        <v>0</v>
      </c>
      <c r="Q267" s="38">
        <f>AVERAGEIF(L3:L1205,"&lt;2019/6/25",P3:P1205)</f>
        <v>0.41630901287553645</v>
      </c>
      <c r="R267" s="38">
        <v>1</v>
      </c>
      <c r="S267" s="38">
        <f>AVERAGEIF(L3:L1205,"&lt;2019/6/25",R3:R1205)</f>
        <v>1.2392703862660943</v>
      </c>
      <c r="T267" s="38">
        <v>6</v>
      </c>
      <c r="U267" s="38">
        <f>AVERAGEIF(L3:L1205,"&lt;2019/6/25",T3:T1205)</f>
        <v>7.3326180257510734</v>
      </c>
      <c r="V267" s="24">
        <v>938</v>
      </c>
      <c r="W267" s="47" t="s">
        <v>4521</v>
      </c>
    </row>
    <row r="268" spans="1:23">
      <c r="A268" s="23">
        <v>2</v>
      </c>
      <c r="B268" s="23">
        <v>6</v>
      </c>
      <c r="C268" s="18">
        <v>4</v>
      </c>
      <c r="D268" s="18">
        <v>4</v>
      </c>
      <c r="E268" s="20">
        <v>54</v>
      </c>
      <c r="F268" s="21">
        <f t="shared" si="13"/>
        <v>113.49839914621131</v>
      </c>
      <c r="G268" s="22">
        <v>0.412553992286046</v>
      </c>
      <c r="H268" s="18">
        <v>1</v>
      </c>
      <c r="I268" s="18">
        <f t="shared" si="14"/>
        <v>0</v>
      </c>
      <c r="J268" s="41">
        <v>43641</v>
      </c>
      <c r="K268" s="36">
        <v>2019</v>
      </c>
      <c r="L268" s="32">
        <f t="shared" si="12"/>
        <v>43644</v>
      </c>
      <c r="M268" s="40">
        <v>0</v>
      </c>
      <c r="N268" s="33">
        <v>49</v>
      </c>
      <c r="O268" s="34">
        <f>AVERAGEIF(L3:L1205,"&lt;2019/6/25",N3:N1205)</f>
        <v>112.91094420600858</v>
      </c>
      <c r="P268" s="54">
        <v>0</v>
      </c>
      <c r="Q268" s="38">
        <f>AVERAGEIF(L3:L1205,"&lt;2019/6/25",P3:P1205)</f>
        <v>0.41630901287553645</v>
      </c>
      <c r="R268" s="38">
        <v>1</v>
      </c>
      <c r="S268" s="38">
        <f>AVERAGEIF(L3:L1205,"&lt;2019/6/25",R3:R1205)</f>
        <v>1.2392703862660943</v>
      </c>
      <c r="T268" s="54">
        <v>3</v>
      </c>
      <c r="U268" s="38">
        <f>AVERAGEIF(L3:L1205,"&lt;2019/6/25",T3:T1205)</f>
        <v>7.3326180257510734</v>
      </c>
      <c r="V268" s="24">
        <v>937</v>
      </c>
      <c r="W268" s="47" t="s">
        <v>4521</v>
      </c>
    </row>
    <row r="269" spans="1:23">
      <c r="A269" s="23">
        <v>2</v>
      </c>
      <c r="B269" s="23">
        <v>4</v>
      </c>
      <c r="C269" s="18">
        <v>4</v>
      </c>
      <c r="D269" s="18">
        <v>6</v>
      </c>
      <c r="E269" s="20">
        <v>130</v>
      </c>
      <c r="F269" s="21">
        <f t="shared" si="13"/>
        <v>113.48076923076923</v>
      </c>
      <c r="G269" s="22">
        <v>0.45738106649975402</v>
      </c>
      <c r="H269" s="18">
        <v>1</v>
      </c>
      <c r="I269" s="18">
        <f t="shared" si="14"/>
        <v>0</v>
      </c>
      <c r="J269" s="41">
        <v>43640</v>
      </c>
      <c r="K269" s="36">
        <v>2019</v>
      </c>
      <c r="L269" s="32">
        <f t="shared" si="12"/>
        <v>43642</v>
      </c>
      <c r="M269" s="24">
        <v>0</v>
      </c>
      <c r="N269" s="33">
        <v>102</v>
      </c>
      <c r="O269" s="34">
        <f>AVERAGEIF(L3:L1205,"&lt;2019/6/24",N3:N1205)</f>
        <v>113.06889128094726</v>
      </c>
      <c r="P269" s="38">
        <v>0</v>
      </c>
      <c r="Q269" s="38">
        <f>AVERAGEIF(L3:L1205,"&lt;2019/6/24",P3:P1205)</f>
        <v>0.41550053821313238</v>
      </c>
      <c r="R269" s="38">
        <v>1</v>
      </c>
      <c r="S269" s="38">
        <f>AVERAGEIF(L3:L1205,"&lt;2019/6/24",R3:R1205)</f>
        <v>1.2389666307857912</v>
      </c>
      <c r="T269" s="38">
        <v>2</v>
      </c>
      <c r="U269" s="38">
        <f>AVERAGEIF(L3:L1205,"&lt;2019/6/24",T3:T1205)</f>
        <v>7.3455328310010763</v>
      </c>
      <c r="V269" s="24">
        <v>936</v>
      </c>
      <c r="W269" s="47" t="s">
        <v>4634</v>
      </c>
    </row>
    <row r="270" spans="1:23">
      <c r="A270" s="23">
        <v>2</v>
      </c>
      <c r="B270" s="23">
        <v>4</v>
      </c>
      <c r="C270" s="18">
        <v>4</v>
      </c>
      <c r="D270" s="18">
        <v>6</v>
      </c>
      <c r="E270" s="20">
        <v>95</v>
      </c>
      <c r="F270" s="21">
        <f t="shared" si="13"/>
        <v>113.50053475935829</v>
      </c>
      <c r="G270" s="22">
        <v>0.77006626001501699</v>
      </c>
      <c r="H270" s="18">
        <v>1</v>
      </c>
      <c r="I270" s="18">
        <f t="shared" si="14"/>
        <v>0</v>
      </c>
      <c r="J270" s="41">
        <v>43638</v>
      </c>
      <c r="K270" s="36">
        <v>2019</v>
      </c>
      <c r="L270" s="32">
        <f t="shared" si="12"/>
        <v>43640</v>
      </c>
      <c r="M270" s="40">
        <v>0</v>
      </c>
      <c r="N270" s="33">
        <v>84</v>
      </c>
      <c r="O270" s="34">
        <f>AVERAGEIF(L3:L1205,"&lt;2019/6/22",N3:N1205)</f>
        <v>113.06889128094726</v>
      </c>
      <c r="P270" s="54">
        <v>0</v>
      </c>
      <c r="Q270" s="38">
        <f>AVERAGEIF(L3:L1205,"&lt;2019/6/22",P3:P1205)</f>
        <v>0.41550053821313238</v>
      </c>
      <c r="R270" s="38">
        <v>1</v>
      </c>
      <c r="S270" s="38">
        <f>AVERAGEIF(L3:L1205,"&lt;2019/6/22",R3:R1205)</f>
        <v>1.2389666307857912</v>
      </c>
      <c r="T270" s="54">
        <v>2</v>
      </c>
      <c r="U270" s="38">
        <f>AVERAGEIF(L3:L1205,"&lt;2019/6/22",T3:T1205)</f>
        <v>7.3455328310010763</v>
      </c>
      <c r="V270" s="24">
        <v>935</v>
      </c>
      <c r="W270" s="47" t="s">
        <v>4634</v>
      </c>
    </row>
    <row r="271" spans="1:23">
      <c r="A271" s="23">
        <v>4</v>
      </c>
      <c r="B271" s="23">
        <v>34</v>
      </c>
      <c r="C271" s="18">
        <v>4</v>
      </c>
      <c r="D271" s="18">
        <v>4</v>
      </c>
      <c r="E271" s="20">
        <v>39</v>
      </c>
      <c r="F271" s="21">
        <f t="shared" si="13"/>
        <v>113.58029978586724</v>
      </c>
      <c r="G271" s="22">
        <v>0.435810494496993</v>
      </c>
      <c r="H271" s="18">
        <v>1</v>
      </c>
      <c r="I271" s="18">
        <f t="shared" si="14"/>
        <v>0</v>
      </c>
      <c r="J271" s="45">
        <v>43638</v>
      </c>
      <c r="K271" s="36">
        <v>2019</v>
      </c>
      <c r="L271" s="32">
        <f t="shared" si="12"/>
        <v>43642</v>
      </c>
      <c r="M271" s="42">
        <v>0</v>
      </c>
      <c r="N271" s="33">
        <v>129</v>
      </c>
      <c r="O271" s="34">
        <f>AVERAGEIF(L3:L1205,"&lt;2019/6/22",N3:N1205)</f>
        <v>113.06889128094726</v>
      </c>
      <c r="P271" s="38">
        <v>0</v>
      </c>
      <c r="Q271" s="38">
        <f>AVERAGEIF(L3:L1205,"&lt;2019/6/22",P3:P1205)</f>
        <v>0.41550053821313238</v>
      </c>
      <c r="R271" s="38">
        <v>1</v>
      </c>
      <c r="S271" s="38">
        <f>AVERAGEIF(L3:L1205,"&lt;2019/6/22",R3:R1205)</f>
        <v>1.2389666307857912</v>
      </c>
      <c r="T271" s="38">
        <v>4</v>
      </c>
      <c r="U271" s="38">
        <f>AVERAGEIF(L3:L1205,"&lt;2019/6/22",T3:T1205)</f>
        <v>7.3455328310010763</v>
      </c>
      <c r="V271" s="24">
        <v>934</v>
      </c>
      <c r="W271" s="47" t="s">
        <v>4557</v>
      </c>
    </row>
    <row r="272" spans="1:23">
      <c r="A272" s="23">
        <v>2</v>
      </c>
      <c r="B272" s="23">
        <v>14</v>
      </c>
      <c r="C272" s="18">
        <v>4</v>
      </c>
      <c r="D272" s="18">
        <v>4</v>
      </c>
      <c r="E272" s="20">
        <v>32</v>
      </c>
      <c r="F272" s="21">
        <f t="shared" si="13"/>
        <v>113.66773847802787</v>
      </c>
      <c r="G272" s="22">
        <v>0.41581148801812301</v>
      </c>
      <c r="H272" s="18">
        <v>1</v>
      </c>
      <c r="I272" s="18">
        <f t="shared" si="14"/>
        <v>0</v>
      </c>
      <c r="J272" s="41">
        <v>43637</v>
      </c>
      <c r="K272" s="36">
        <v>2019</v>
      </c>
      <c r="L272" s="32">
        <f t="shared" si="12"/>
        <v>43651</v>
      </c>
      <c r="M272" s="40">
        <v>0</v>
      </c>
      <c r="N272" s="33">
        <v>82</v>
      </c>
      <c r="O272" s="34">
        <f>AVERAGEIF(L3:L1205,"&lt;2019/6/21",N3:N1205)</f>
        <v>113.16306695464363</v>
      </c>
      <c r="P272" s="40">
        <v>1</v>
      </c>
      <c r="Q272" s="40">
        <f>AVERAGEIF(L3:L1205,"&lt;2019/6/21",P3:P1205)</f>
        <v>0.41684665226781858</v>
      </c>
      <c r="R272" s="40">
        <v>1</v>
      </c>
      <c r="S272" s="40">
        <f>AVERAGEIF(L3:L1205,"&lt;2019/6/21",R3:R1205)</f>
        <v>1.2397408207343412</v>
      </c>
      <c r="T272" s="40">
        <v>14</v>
      </c>
      <c r="U272" s="40">
        <f>AVERAGEIF(L3:L1205,"&lt;2019/6/21",T3:T1205)</f>
        <v>7.3617710583153348</v>
      </c>
      <c r="V272" s="24">
        <v>933</v>
      </c>
      <c r="W272" s="47" t="s">
        <v>4550</v>
      </c>
    </row>
    <row r="273" spans="1:23">
      <c r="A273" s="23">
        <v>3</v>
      </c>
      <c r="B273" s="23">
        <v>26</v>
      </c>
      <c r="C273" s="18">
        <v>4</v>
      </c>
      <c r="D273" s="18">
        <v>4</v>
      </c>
      <c r="E273" s="20">
        <v>31</v>
      </c>
      <c r="F273" s="21">
        <f t="shared" si="13"/>
        <v>113.75643776824035</v>
      </c>
      <c r="G273" s="22">
        <v>0.37661955471587499</v>
      </c>
      <c r="H273" s="3">
        <v>1</v>
      </c>
      <c r="I273" s="18">
        <f t="shared" si="14"/>
        <v>0</v>
      </c>
      <c r="J273" s="41">
        <v>43637</v>
      </c>
      <c r="K273" s="36">
        <v>2019</v>
      </c>
      <c r="L273" s="32">
        <f t="shared" si="12"/>
        <v>43640</v>
      </c>
      <c r="M273" s="37">
        <v>0</v>
      </c>
      <c r="N273" s="33">
        <v>62</v>
      </c>
      <c r="O273" s="34">
        <f>AVERAGEIF(L3:L1205,"&lt;2019/6/21",N3:N1205)</f>
        <v>113.16306695464363</v>
      </c>
      <c r="P273" s="38">
        <v>0</v>
      </c>
      <c r="Q273" s="38">
        <f>AVERAGEIF(L3:L1205,"&lt;2019/6/21",P3:P1205)</f>
        <v>0.41684665226781858</v>
      </c>
      <c r="R273" s="38">
        <v>1</v>
      </c>
      <c r="S273" s="38">
        <f>AVERAGEIF(L3:L1205,"&lt;2019/6/21",R3:R1205)</f>
        <v>1.2397408207343412</v>
      </c>
      <c r="T273" s="38">
        <v>3</v>
      </c>
      <c r="U273" s="38">
        <f>AVERAGEIF(L3:L1205,"&lt;2019/6/21",T3:T1205)</f>
        <v>7.3617710583153348</v>
      </c>
      <c r="V273" s="24">
        <v>932</v>
      </c>
      <c r="W273" s="47" t="s">
        <v>4618</v>
      </c>
    </row>
    <row r="274" spans="1:23">
      <c r="A274" s="23">
        <v>2</v>
      </c>
      <c r="B274" s="23">
        <v>6</v>
      </c>
      <c r="C274" s="18">
        <v>4</v>
      </c>
      <c r="D274" s="18">
        <v>4</v>
      </c>
      <c r="E274" s="20">
        <v>71</v>
      </c>
      <c r="F274" s="21">
        <f t="shared" si="13"/>
        <v>113.80236305048335</v>
      </c>
      <c r="G274" s="22">
        <v>0.37506592401955602</v>
      </c>
      <c r="H274" s="18">
        <v>1</v>
      </c>
      <c r="I274" s="18">
        <f t="shared" si="14"/>
        <v>0</v>
      </c>
      <c r="J274" s="41">
        <v>43636</v>
      </c>
      <c r="K274" s="36">
        <v>2019</v>
      </c>
      <c r="L274" s="32">
        <f t="shared" si="12"/>
        <v>43637</v>
      </c>
      <c r="M274" s="40">
        <v>0</v>
      </c>
      <c r="N274" s="33">
        <v>106</v>
      </c>
      <c r="O274" s="34">
        <f>AVERAGEIF(L3:L1205,"&lt;2019/6/20",N3:N1205)</f>
        <v>113.19459459459459</v>
      </c>
      <c r="P274" s="38">
        <v>0</v>
      </c>
      <c r="Q274" s="38">
        <f>AVERAGEIF(L3:L1205,"&lt;2019/6/20",P3:P1205)</f>
        <v>0.41621621621621624</v>
      </c>
      <c r="R274" s="38">
        <v>1</v>
      </c>
      <c r="S274" s="38">
        <f>AVERAGEIF(L3:L1205,"&lt;2019/6/20",R3:R1205)</f>
        <v>1.2389189189189189</v>
      </c>
      <c r="T274" s="38">
        <v>1</v>
      </c>
      <c r="U274" s="38">
        <f>AVERAGEIF(L3:L1205,"&lt;2019/6/20",T3:T1205)</f>
        <v>7.3610810810810809</v>
      </c>
      <c r="V274" s="24">
        <v>931</v>
      </c>
      <c r="W274" s="47" t="s">
        <v>4523</v>
      </c>
    </row>
    <row r="275" spans="1:23">
      <c r="A275" s="23">
        <v>2</v>
      </c>
      <c r="B275" s="23">
        <v>6</v>
      </c>
      <c r="C275" s="18">
        <v>4</v>
      </c>
      <c r="D275" s="18">
        <v>6</v>
      </c>
      <c r="E275" s="20">
        <v>260</v>
      </c>
      <c r="F275" s="21">
        <f t="shared" si="13"/>
        <v>113.64516129032258</v>
      </c>
      <c r="G275" s="22">
        <v>0.43514550443674799</v>
      </c>
      <c r="H275" s="18">
        <v>1</v>
      </c>
      <c r="I275" s="18">
        <f t="shared" si="14"/>
        <v>0</v>
      </c>
      <c r="J275" s="41">
        <v>43635</v>
      </c>
      <c r="K275" s="36">
        <v>2019</v>
      </c>
      <c r="L275" s="32">
        <f t="shared" si="12"/>
        <v>43637</v>
      </c>
      <c r="M275" s="40">
        <v>0</v>
      </c>
      <c r="N275" s="33">
        <v>42</v>
      </c>
      <c r="O275" s="34">
        <f>AVERAGEIF(L3:L1205,"&lt;2019/6/19",N3:N1205)</f>
        <v>113.30660888407367</v>
      </c>
      <c r="P275" s="54">
        <v>0</v>
      </c>
      <c r="Q275" s="38">
        <f>AVERAGEIF(L3:L1205,"&lt;2019/6/19",P3:P1205)</f>
        <v>0.41711809317443121</v>
      </c>
      <c r="R275" s="38">
        <v>1</v>
      </c>
      <c r="S275" s="38">
        <f>AVERAGEIF(L3:L1205,"&lt;2019/6/19",R3:R1205)</f>
        <v>1.2394366197183098</v>
      </c>
      <c r="T275" s="54">
        <v>2</v>
      </c>
      <c r="U275" s="38">
        <f>AVERAGEIF(L3:L1205,"&lt;2019/6/19",T3:T1205)</f>
        <v>7.3737811484290354</v>
      </c>
      <c r="V275" s="24">
        <v>930</v>
      </c>
      <c r="W275" s="47" t="s">
        <v>4742</v>
      </c>
    </row>
    <row r="276" spans="1:23">
      <c r="A276" s="23">
        <v>2</v>
      </c>
      <c r="B276" s="23">
        <v>6</v>
      </c>
      <c r="C276" s="18">
        <v>4</v>
      </c>
      <c r="D276" s="18">
        <v>4</v>
      </c>
      <c r="E276" s="20">
        <v>46</v>
      </c>
      <c r="F276" s="21">
        <f t="shared" si="13"/>
        <v>113.71797631862218</v>
      </c>
      <c r="G276" s="22">
        <v>0.31311328507714697</v>
      </c>
      <c r="H276" s="18">
        <v>1</v>
      </c>
      <c r="I276" s="18">
        <f t="shared" si="14"/>
        <v>0</v>
      </c>
      <c r="J276" s="41">
        <v>43635</v>
      </c>
      <c r="K276" s="36">
        <v>2019</v>
      </c>
      <c r="L276" s="32">
        <f t="shared" si="12"/>
        <v>43640</v>
      </c>
      <c r="M276" s="40">
        <v>0</v>
      </c>
      <c r="N276" s="33">
        <v>46</v>
      </c>
      <c r="O276" s="34">
        <f>AVERAGEIF(L3:L1205,"&lt;2019/6/19",N3:N1205)</f>
        <v>113.30660888407367</v>
      </c>
      <c r="P276" s="54">
        <v>2</v>
      </c>
      <c r="Q276" s="38">
        <f>AVERAGEIF(L3:L1205,"&lt;2019/6/19",P3:P1205)</f>
        <v>0.41711809317443121</v>
      </c>
      <c r="R276" s="38">
        <v>2</v>
      </c>
      <c r="S276" s="38">
        <f>AVERAGEIF(L3:L1205,"&lt;2019/6/19",R3:R1205)</f>
        <v>1.2394366197183098</v>
      </c>
      <c r="T276" s="54">
        <v>5</v>
      </c>
      <c r="U276" s="38">
        <f>AVERAGEIF(L3:L1205,"&lt;2019/6/19",T3:T1205)</f>
        <v>7.3737811484290354</v>
      </c>
      <c r="V276" s="24">
        <v>929</v>
      </c>
      <c r="W276" s="47" t="s">
        <v>4521</v>
      </c>
    </row>
    <row r="277" spans="1:23">
      <c r="A277" s="23">
        <v>2</v>
      </c>
      <c r="B277" s="23">
        <v>4</v>
      </c>
      <c r="C277" s="18">
        <v>4</v>
      </c>
      <c r="D277" s="18">
        <v>4</v>
      </c>
      <c r="E277" s="20">
        <v>48</v>
      </c>
      <c r="F277" s="21">
        <f t="shared" si="13"/>
        <v>113.78879310344827</v>
      </c>
      <c r="G277" s="22">
        <v>0.77303437753855997</v>
      </c>
      <c r="H277" s="18">
        <v>1</v>
      </c>
      <c r="I277" s="18">
        <f t="shared" si="14"/>
        <v>0</v>
      </c>
      <c r="J277" s="41">
        <v>43634</v>
      </c>
      <c r="K277" s="36">
        <v>2019</v>
      </c>
      <c r="L277" s="32">
        <f t="shared" si="12"/>
        <v>43641</v>
      </c>
      <c r="M277" s="40">
        <v>0</v>
      </c>
      <c r="N277" s="33">
        <v>54</v>
      </c>
      <c r="O277" s="34">
        <f>AVERAGEIF(L3:L1205,"&lt;2019/6/18",N3:N1205)</f>
        <v>113.30660888407367</v>
      </c>
      <c r="P277" s="38">
        <v>0</v>
      </c>
      <c r="Q277" s="38">
        <f>AVERAGEIF(L3:L1205,"&lt;2019/6/18",P3:P1205)</f>
        <v>0.41711809317443121</v>
      </c>
      <c r="R277" s="38">
        <v>1</v>
      </c>
      <c r="S277" s="38">
        <f>AVERAGEIF(L3:L1205,"&lt;2019/6/18",R3:R1205)</f>
        <v>1.2394366197183098</v>
      </c>
      <c r="T277" s="38">
        <v>7</v>
      </c>
      <c r="U277" s="38">
        <f>AVERAGEIF(L3:L1205,"&lt;2019/6/18",T3:T1205)</f>
        <v>7.3737811484290354</v>
      </c>
      <c r="V277" s="24">
        <v>928</v>
      </c>
      <c r="W277" s="47" t="s">
        <v>4550</v>
      </c>
    </row>
    <row r="278" spans="1:23">
      <c r="A278" s="23">
        <v>2</v>
      </c>
      <c r="B278" s="23">
        <v>6</v>
      </c>
      <c r="C278" s="18">
        <v>4</v>
      </c>
      <c r="D278" s="18">
        <v>4</v>
      </c>
      <c r="E278" s="20">
        <v>50</v>
      </c>
      <c r="F278" s="21">
        <f t="shared" si="13"/>
        <v>113.85760517799353</v>
      </c>
      <c r="G278" s="22">
        <v>0.41295859530531798</v>
      </c>
      <c r="H278" s="18">
        <v>1</v>
      </c>
      <c r="I278" s="18">
        <f t="shared" si="14"/>
        <v>0</v>
      </c>
      <c r="J278" s="53">
        <v>43634</v>
      </c>
      <c r="K278" s="36">
        <v>2019</v>
      </c>
      <c r="L278" s="32">
        <f t="shared" si="12"/>
        <v>43635</v>
      </c>
      <c r="M278" s="40">
        <v>0</v>
      </c>
      <c r="N278" s="33">
        <v>56</v>
      </c>
      <c r="O278" s="34">
        <f>AVERAGEIF(L3:L1205,"&lt;2019/6/18",N3:N1205)</f>
        <v>113.30660888407367</v>
      </c>
      <c r="P278" s="38">
        <v>0</v>
      </c>
      <c r="Q278" s="38">
        <f>AVERAGEIF(L3:L1205,"&lt;2019/6/18",P3:P1205)</f>
        <v>0.41711809317443121</v>
      </c>
      <c r="R278" s="38">
        <v>1</v>
      </c>
      <c r="S278" s="38">
        <f>AVERAGEIF(L3:L1205,"&lt;2019/6/18",R3:R1205)</f>
        <v>1.2394366197183098</v>
      </c>
      <c r="T278" s="38">
        <v>1</v>
      </c>
      <c r="U278" s="38">
        <f>AVERAGEIF(L3:L1205,"&lt;2019/6/18",T3:T1205)</f>
        <v>7.3737811484290354</v>
      </c>
      <c r="V278" s="24">
        <v>927</v>
      </c>
      <c r="W278" s="47" t="s">
        <v>4521</v>
      </c>
    </row>
    <row r="279" spans="1:23">
      <c r="A279" s="23">
        <v>2</v>
      </c>
      <c r="B279" s="23">
        <v>4</v>
      </c>
      <c r="C279" s="18">
        <v>4</v>
      </c>
      <c r="D279" s="18">
        <v>4</v>
      </c>
      <c r="E279" s="20">
        <v>69</v>
      </c>
      <c r="F279" s="21">
        <f t="shared" si="13"/>
        <v>113.9060475161987</v>
      </c>
      <c r="G279" s="22">
        <v>0.86974952766006497</v>
      </c>
      <c r="H279" s="18">
        <v>1</v>
      </c>
      <c r="I279" s="18">
        <f t="shared" si="14"/>
        <v>0</v>
      </c>
      <c r="J279" s="41">
        <v>43633</v>
      </c>
      <c r="K279" s="36">
        <v>2019</v>
      </c>
      <c r="L279" s="32">
        <f t="shared" si="12"/>
        <v>43637</v>
      </c>
      <c r="M279" s="40">
        <v>1</v>
      </c>
      <c r="N279" s="33">
        <v>104</v>
      </c>
      <c r="O279" s="34">
        <f>AVERAGEIF(L3:L1205,"&lt;2019/6/17",N3:N1205)</f>
        <v>113.2646420824295</v>
      </c>
      <c r="P279" s="38">
        <v>0</v>
      </c>
      <c r="Q279" s="38">
        <f>AVERAGEIF(L3:L1205,"&lt;2019/6/17",P3:P1205)</f>
        <v>0.40997830802603036</v>
      </c>
      <c r="R279" s="38">
        <v>1</v>
      </c>
      <c r="S279" s="38">
        <f>AVERAGEIF(L3:L1205,"&lt;2019/6/17",R3:R1205)</f>
        <v>1.2386117136659436</v>
      </c>
      <c r="T279" s="38">
        <v>4</v>
      </c>
      <c r="U279" s="38">
        <f>AVERAGEIF(L3:L1205,"&lt;2019/6/17",T3:T1205)</f>
        <v>7.3535791757049891</v>
      </c>
      <c r="V279" s="24">
        <v>926</v>
      </c>
      <c r="W279" s="47" t="s">
        <v>4550</v>
      </c>
    </row>
    <row r="280" spans="1:23">
      <c r="A280" s="23">
        <v>2</v>
      </c>
      <c r="B280" s="23">
        <v>6</v>
      </c>
      <c r="C280" s="18">
        <v>4</v>
      </c>
      <c r="D280" s="18">
        <v>6</v>
      </c>
      <c r="E280" s="20">
        <v>145</v>
      </c>
      <c r="F280" s="21">
        <f t="shared" si="13"/>
        <v>113.87243243243243</v>
      </c>
      <c r="G280" s="22">
        <v>0.41290268340404201</v>
      </c>
      <c r="H280" s="18">
        <v>1</v>
      </c>
      <c r="I280" s="18">
        <f t="shared" si="14"/>
        <v>0</v>
      </c>
      <c r="J280" s="41">
        <v>43633</v>
      </c>
      <c r="K280" s="36">
        <v>2019</v>
      </c>
      <c r="L280" s="32">
        <f t="shared" si="12"/>
        <v>43635</v>
      </c>
      <c r="M280" s="40">
        <v>1</v>
      </c>
      <c r="N280" s="33">
        <v>67</v>
      </c>
      <c r="O280" s="34">
        <f>AVERAGEIF(L3:L1205,"&lt;2019/6/17",N3:N1205)</f>
        <v>113.2646420824295</v>
      </c>
      <c r="P280" s="38">
        <v>0</v>
      </c>
      <c r="Q280" s="38">
        <f>AVERAGEIF(L3:L1205,"&lt;2019/6/17",P3:P1205)</f>
        <v>0.40997830802603036</v>
      </c>
      <c r="R280" s="38">
        <v>1</v>
      </c>
      <c r="S280" s="38">
        <f>AVERAGEIF(L3:L1205,"&lt;2019/6/17",R3:R1205)</f>
        <v>1.2386117136659436</v>
      </c>
      <c r="T280" s="38">
        <v>2</v>
      </c>
      <c r="U280" s="38">
        <f>AVERAGEIF(L3:L1205,"&lt;2019/6/17",T3:T1205)</f>
        <v>7.3535791757049891</v>
      </c>
      <c r="V280" s="24">
        <v>925</v>
      </c>
      <c r="W280" s="47" t="s">
        <v>4829</v>
      </c>
    </row>
    <row r="281" spans="1:23">
      <c r="A281" s="23">
        <v>2</v>
      </c>
      <c r="B281" s="23">
        <v>4</v>
      </c>
      <c r="C281" s="18">
        <v>4</v>
      </c>
      <c r="D281" s="18">
        <v>4</v>
      </c>
      <c r="E281" s="20">
        <v>105</v>
      </c>
      <c r="F281" s="21">
        <f t="shared" si="13"/>
        <v>113.88203463203463</v>
      </c>
      <c r="G281" s="22">
        <v>0.41624417896169102</v>
      </c>
      <c r="H281" s="18">
        <v>1</v>
      </c>
      <c r="I281" s="18">
        <f t="shared" si="14"/>
        <v>0</v>
      </c>
      <c r="J281" s="41">
        <v>43628</v>
      </c>
      <c r="K281" s="36">
        <v>2019</v>
      </c>
      <c r="L281" s="32">
        <f t="shared" si="12"/>
        <v>43630</v>
      </c>
      <c r="M281" s="40">
        <v>0</v>
      </c>
      <c r="N281" s="33">
        <v>66</v>
      </c>
      <c r="O281" s="34">
        <f>AVERAGEIF(L3:L1205,"&lt;2019/6/12",N3:N1205)</f>
        <v>113.38779956427015</v>
      </c>
      <c r="P281" s="38">
        <v>1</v>
      </c>
      <c r="Q281" s="38">
        <f>AVERAGEIF(L3:L1205,"&lt;2019/6/12",P3:P1205)</f>
        <v>0.41067538126361658</v>
      </c>
      <c r="R281" s="38">
        <v>1</v>
      </c>
      <c r="S281" s="38">
        <f>AVERAGEIF(L3:L1205,"&lt;2019/6/12",R3:R1205)</f>
        <v>1.2396514161220045</v>
      </c>
      <c r="T281" s="38">
        <v>2</v>
      </c>
      <c r="U281" s="38">
        <f>AVERAGEIF(L3:L1205,"&lt;2019/6/12",T3:T1205)</f>
        <v>7.3714596949891069</v>
      </c>
      <c r="V281" s="24">
        <v>924</v>
      </c>
      <c r="W281" s="47" t="s">
        <v>4652</v>
      </c>
    </row>
    <row r="282" spans="1:23">
      <c r="A282" s="23">
        <v>2</v>
      </c>
      <c r="B282" s="23">
        <v>6</v>
      </c>
      <c r="C282" s="18">
        <v>4</v>
      </c>
      <c r="D282" s="18">
        <v>2</v>
      </c>
      <c r="E282" s="20">
        <v>38</v>
      </c>
      <c r="F282" s="21">
        <f t="shared" si="13"/>
        <v>113.96424702058505</v>
      </c>
      <c r="G282" s="22">
        <v>0.25739501482638599</v>
      </c>
      <c r="H282" s="18">
        <v>0</v>
      </c>
      <c r="I282" s="18">
        <f t="shared" si="14"/>
        <v>1</v>
      </c>
      <c r="J282" s="41">
        <v>43628</v>
      </c>
      <c r="K282" s="36">
        <v>2019</v>
      </c>
      <c r="L282" s="32">
        <f t="shared" si="12"/>
        <v>43636</v>
      </c>
      <c r="M282" s="40">
        <v>0</v>
      </c>
      <c r="N282" s="33">
        <v>84</v>
      </c>
      <c r="O282" s="34">
        <f>AVERAGEIF(L3:L1205,"&lt;2019/6/12",N3:N1205)</f>
        <v>113.38779956427015</v>
      </c>
      <c r="P282" s="54">
        <v>1</v>
      </c>
      <c r="Q282" s="38">
        <f>AVERAGEIF(L3:L1205,"&lt;2019/6/12",P3:P1205)</f>
        <v>0.41067538126361658</v>
      </c>
      <c r="R282" s="38">
        <v>2</v>
      </c>
      <c r="S282" s="38">
        <f>AVERAGEIF(L3:L1205,"&lt;2019/6/12",R3:R1205)</f>
        <v>1.2396514161220045</v>
      </c>
      <c r="T282" s="54">
        <v>8</v>
      </c>
      <c r="U282" s="38">
        <f>AVERAGEIF(L3:L1205,"&lt;2019/6/12",T3:T1205)</f>
        <v>7.3714596949891069</v>
      </c>
      <c r="V282" s="24">
        <v>923</v>
      </c>
      <c r="W282" s="47" t="s">
        <v>4550</v>
      </c>
    </row>
    <row r="283" spans="1:23">
      <c r="A283" s="23">
        <v>4</v>
      </c>
      <c r="B283" s="23">
        <v>29</v>
      </c>
      <c r="C283" s="18">
        <v>4</v>
      </c>
      <c r="D283" s="18">
        <v>6</v>
      </c>
      <c r="E283" s="20">
        <v>70</v>
      </c>
      <c r="F283" s="21">
        <f t="shared" si="13"/>
        <v>114.0119305856833</v>
      </c>
      <c r="G283" s="22">
        <v>0.39984265468521202</v>
      </c>
      <c r="H283" s="18">
        <v>1</v>
      </c>
      <c r="I283" s="18">
        <f t="shared" si="14"/>
        <v>0</v>
      </c>
      <c r="J283" s="45">
        <v>43626</v>
      </c>
      <c r="K283" s="36">
        <v>2019</v>
      </c>
      <c r="L283" s="32">
        <f t="shared" si="12"/>
        <v>43629</v>
      </c>
      <c r="M283" s="42">
        <v>1</v>
      </c>
      <c r="N283" s="33">
        <v>77</v>
      </c>
      <c r="O283" s="34">
        <f>AVERAGEIF(L3:L1205,"&lt;2019/6/10",N3:N1205)</f>
        <v>113.47925764192139</v>
      </c>
      <c r="P283" s="38">
        <v>0</v>
      </c>
      <c r="Q283" s="38">
        <f>AVERAGEIF(L3:L1205,"&lt;2019/6/10",P3:P1205)</f>
        <v>0.40829694323144106</v>
      </c>
      <c r="R283" s="38">
        <v>1</v>
      </c>
      <c r="S283" s="38">
        <f>AVERAGEIF(L3:L1205,"&lt;2019/6/10",R3:R1205)</f>
        <v>1.2390829694323144</v>
      </c>
      <c r="T283" s="38">
        <v>3</v>
      </c>
      <c r="U283" s="38">
        <f>AVERAGEIF(L3:L1205,"&lt;2019/6/10",T3:T1205)</f>
        <v>7.3668122270742362</v>
      </c>
      <c r="V283" s="24">
        <v>922</v>
      </c>
      <c r="W283" s="47" t="s">
        <v>4529</v>
      </c>
    </row>
    <row r="284" spans="1:23">
      <c r="A284" s="23">
        <v>2</v>
      </c>
      <c r="B284" s="23">
        <v>6</v>
      </c>
      <c r="C284" s="18">
        <v>4</v>
      </c>
      <c r="D284" s="18">
        <v>4</v>
      </c>
      <c r="E284" s="20">
        <v>107</v>
      </c>
      <c r="F284" s="21">
        <f t="shared" si="13"/>
        <v>114.01954397394137</v>
      </c>
      <c r="G284" s="22">
        <v>0.73404797271044797</v>
      </c>
      <c r="H284" s="18">
        <v>1</v>
      </c>
      <c r="I284" s="18">
        <f t="shared" si="14"/>
        <v>0</v>
      </c>
      <c r="J284" s="41">
        <v>43625</v>
      </c>
      <c r="K284" s="36">
        <v>2019</v>
      </c>
      <c r="L284" s="32">
        <f t="shared" si="12"/>
        <v>43628</v>
      </c>
      <c r="M284" s="40">
        <v>0</v>
      </c>
      <c r="N284" s="33">
        <v>92</v>
      </c>
      <c r="O284" s="34">
        <f>AVERAGEIF(L3:L1205,"&lt;2019/6/9",N3:N1205)</f>
        <v>113.47925764192139</v>
      </c>
      <c r="P284" s="38">
        <v>0</v>
      </c>
      <c r="Q284" s="38">
        <f>AVERAGEIF(L3:L1205,"&lt;2019/6/9",P3:P1205)</f>
        <v>0.40829694323144106</v>
      </c>
      <c r="R284" s="38">
        <v>1</v>
      </c>
      <c r="S284" s="38">
        <f>AVERAGEIF(L3:L1205,"&lt;2019/6/9",R3:R1205)</f>
        <v>1.2390829694323144</v>
      </c>
      <c r="T284" s="38">
        <v>3</v>
      </c>
      <c r="U284" s="38">
        <f>AVERAGEIF(L3:L1205,"&lt;2019/6/9",T3:T1205)</f>
        <v>7.3668122270742362</v>
      </c>
      <c r="V284" s="24">
        <v>921</v>
      </c>
      <c r="W284" s="47" t="s">
        <v>4563</v>
      </c>
    </row>
    <row r="285" spans="1:23">
      <c r="A285" s="23">
        <v>3</v>
      </c>
      <c r="B285" s="23">
        <v>19</v>
      </c>
      <c r="C285" s="18">
        <v>4</v>
      </c>
      <c r="D285" s="18">
        <v>6</v>
      </c>
      <c r="E285" s="20">
        <v>375</v>
      </c>
      <c r="F285" s="21">
        <f t="shared" si="13"/>
        <v>113.73586956521739</v>
      </c>
      <c r="G285" s="22">
        <v>0.211679148248023</v>
      </c>
      <c r="H285" s="3">
        <v>0</v>
      </c>
      <c r="I285" s="18">
        <f t="shared" si="14"/>
        <v>1</v>
      </c>
      <c r="J285" s="41">
        <v>43623</v>
      </c>
      <c r="K285" s="36">
        <v>2019</v>
      </c>
      <c r="L285" s="32">
        <f t="shared" si="12"/>
        <v>43628</v>
      </c>
      <c r="M285" s="24">
        <v>0</v>
      </c>
      <c r="N285" s="33">
        <v>105</v>
      </c>
      <c r="O285" s="34">
        <f>AVERAGEIF(L3:L1205,"&lt;2019/6/7",N3:N1205)</f>
        <v>113.47925764192139</v>
      </c>
      <c r="P285" s="38">
        <v>0</v>
      </c>
      <c r="Q285" s="38">
        <f>AVERAGEIF(L3:L1205,"&lt;2019/6/7",P3:P1205)</f>
        <v>0.40829694323144106</v>
      </c>
      <c r="R285" s="38">
        <v>1</v>
      </c>
      <c r="S285" s="38">
        <f>AVERAGEIF(L3:L1205,"&lt;2019/6/7",R3:R1205)</f>
        <v>1.2390829694323144</v>
      </c>
      <c r="T285" s="38">
        <v>5</v>
      </c>
      <c r="U285" s="38">
        <f>AVERAGEIF(L3:L1205,"&lt;2019/6/7",T3:T1205)</f>
        <v>7.3668122270742362</v>
      </c>
      <c r="V285" s="24">
        <v>920</v>
      </c>
      <c r="W285" s="47" t="s">
        <v>4550</v>
      </c>
    </row>
    <row r="286" spans="1:23">
      <c r="A286" s="23">
        <v>2</v>
      </c>
      <c r="B286" s="23">
        <v>6</v>
      </c>
      <c r="C286" s="18">
        <v>4</v>
      </c>
      <c r="D286" s="18">
        <v>4</v>
      </c>
      <c r="E286" s="20">
        <v>84</v>
      </c>
      <c r="F286" s="21">
        <f t="shared" si="13"/>
        <v>113.76822633297061</v>
      </c>
      <c r="G286" s="22">
        <v>0.375469637364852</v>
      </c>
      <c r="H286" s="18">
        <v>1</v>
      </c>
      <c r="I286" s="18">
        <f t="shared" si="14"/>
        <v>0</v>
      </c>
      <c r="J286" s="41">
        <v>43620</v>
      </c>
      <c r="K286" s="36">
        <v>2019</v>
      </c>
      <c r="L286" s="32">
        <f t="shared" si="12"/>
        <v>43626</v>
      </c>
      <c r="M286" s="40">
        <v>0</v>
      </c>
      <c r="N286" s="33">
        <v>76</v>
      </c>
      <c r="O286" s="34">
        <f>AVERAGEIF(L3:L1205,"&lt;2019/6/4",N3:N1205)</f>
        <v>113.56955093099671</v>
      </c>
      <c r="P286" s="40">
        <v>0</v>
      </c>
      <c r="Q286" s="40">
        <f>AVERAGEIF(L3:L1205,"&lt;2019/6/4",P3:P1205)</f>
        <v>0.40635268346111719</v>
      </c>
      <c r="R286" s="40">
        <v>1</v>
      </c>
      <c r="S286" s="40">
        <f>AVERAGEIF(L3:L1205,"&lt;2019/6/4",R3:R1205)</f>
        <v>1.2398685651697701</v>
      </c>
      <c r="T286" s="40">
        <v>6</v>
      </c>
      <c r="U286" s="40">
        <f>AVERAGEIF(L3:L1205,"&lt;2019/6/4",T3:T1205)</f>
        <v>7.3723986856516976</v>
      </c>
      <c r="V286" s="24">
        <v>919</v>
      </c>
      <c r="W286" s="47" t="s">
        <v>4550</v>
      </c>
    </row>
    <row r="287" spans="1:23">
      <c r="A287" s="23">
        <v>2</v>
      </c>
      <c r="B287" s="23">
        <v>7</v>
      </c>
      <c r="C287" s="18">
        <v>4</v>
      </c>
      <c r="D287" s="18">
        <v>6</v>
      </c>
      <c r="E287" s="20">
        <v>145</v>
      </c>
      <c r="F287" s="21">
        <f t="shared" si="13"/>
        <v>113.73420479302833</v>
      </c>
      <c r="G287" s="22">
        <v>0.47344922113957999</v>
      </c>
      <c r="H287" s="18">
        <v>1</v>
      </c>
      <c r="I287" s="18">
        <f t="shared" si="14"/>
        <v>0</v>
      </c>
      <c r="J287" s="41">
        <v>43619</v>
      </c>
      <c r="K287" s="36">
        <v>2019</v>
      </c>
      <c r="L287" s="32">
        <f t="shared" si="12"/>
        <v>43643</v>
      </c>
      <c r="M287" s="40">
        <v>0</v>
      </c>
      <c r="N287" s="33">
        <v>116</v>
      </c>
      <c r="O287" s="34">
        <f>AVERAGEIF(L3:L1205,"&lt;2019/6/3",N3:N1205)</f>
        <v>113.38815789473684</v>
      </c>
      <c r="P287" s="38">
        <v>3</v>
      </c>
      <c r="Q287" s="38">
        <f>AVERAGEIF(L3:L1205,"&lt;2019/6/3",P3:P1205)</f>
        <v>0.40350877192982454</v>
      </c>
      <c r="R287" s="38">
        <v>4</v>
      </c>
      <c r="S287" s="38">
        <f>AVERAGEIF(L3:L1205,"&lt;2019/6/3",R3:R1205)</f>
        <v>1.2401315789473684</v>
      </c>
      <c r="T287" s="38">
        <v>24</v>
      </c>
      <c r="U287" s="38">
        <f>AVERAGEIF(L3:L1205,"&lt;2019/6/3",T3:T1205)</f>
        <v>7.369517543859649</v>
      </c>
      <c r="V287" s="24">
        <v>918</v>
      </c>
      <c r="W287" s="47" t="s">
        <v>4557</v>
      </c>
    </row>
    <row r="288" spans="1:23">
      <c r="A288" s="23">
        <v>4</v>
      </c>
      <c r="B288" s="23">
        <v>30</v>
      </c>
      <c r="C288" s="18">
        <v>5</v>
      </c>
      <c r="D288" s="18">
        <v>1</v>
      </c>
      <c r="E288" s="20">
        <v>34</v>
      </c>
      <c r="F288" s="21">
        <f t="shared" si="13"/>
        <v>113.82115594329335</v>
      </c>
      <c r="G288" s="22">
        <v>0.38326704264894101</v>
      </c>
      <c r="H288" s="18">
        <v>1</v>
      </c>
      <c r="I288" s="18">
        <f t="shared" si="14"/>
        <v>0</v>
      </c>
      <c r="J288" s="59">
        <v>43619</v>
      </c>
      <c r="K288" s="36">
        <v>2019</v>
      </c>
      <c r="L288" s="32">
        <f t="shared" si="12"/>
        <v>43621</v>
      </c>
      <c r="M288" s="42">
        <v>0</v>
      </c>
      <c r="N288" s="33">
        <v>38</v>
      </c>
      <c r="O288" s="34">
        <f>AVERAGEIF(L3:L1205,"&lt;2019/6/3",N3:N1205)</f>
        <v>113.38815789473684</v>
      </c>
      <c r="P288" s="38">
        <v>0</v>
      </c>
      <c r="Q288" s="38">
        <f>AVERAGEIF(L3:L1205,"&lt;2019/6/3",P3:P1205)</f>
        <v>0.40350877192982454</v>
      </c>
      <c r="R288" s="38">
        <v>1</v>
      </c>
      <c r="S288" s="38">
        <f>AVERAGEIF(L3:L1205,"&lt;2019/6/3",R3:R1205)</f>
        <v>1.2401315789473684</v>
      </c>
      <c r="T288" s="38">
        <v>2</v>
      </c>
      <c r="U288" s="38">
        <f>AVERAGEIF(L3:L1205,"&lt;2019/6/3",T3:T1205)</f>
        <v>7.369517543859649</v>
      </c>
      <c r="V288" s="24">
        <v>917</v>
      </c>
      <c r="W288" s="47" t="s">
        <v>4564</v>
      </c>
    </row>
    <row r="289" spans="1:23">
      <c r="A289" s="23">
        <v>2</v>
      </c>
      <c r="B289" s="23">
        <v>6</v>
      </c>
      <c r="C289" s="18">
        <v>5</v>
      </c>
      <c r="D289" s="18">
        <v>6</v>
      </c>
      <c r="E289" s="20">
        <v>78</v>
      </c>
      <c r="F289" s="21">
        <f t="shared" si="13"/>
        <v>113.86026200873363</v>
      </c>
      <c r="G289" s="22">
        <v>0.30999899361043698</v>
      </c>
      <c r="H289" s="18">
        <v>1</v>
      </c>
      <c r="I289" s="18">
        <f t="shared" si="14"/>
        <v>0</v>
      </c>
      <c r="J289" s="41">
        <v>43615</v>
      </c>
      <c r="K289" s="36">
        <v>2019</v>
      </c>
      <c r="L289" s="32">
        <f t="shared" si="12"/>
        <v>43621</v>
      </c>
      <c r="M289" s="40">
        <v>0</v>
      </c>
      <c r="N289" s="33">
        <v>133</v>
      </c>
      <c r="O289" s="34">
        <f>AVERAGEIF(L3:L1205,"&lt;2019/5/30",N3:N1205)</f>
        <v>113.43468715697036</v>
      </c>
      <c r="P289" s="38">
        <v>0</v>
      </c>
      <c r="Q289" s="38">
        <f>AVERAGEIF(L3:L1205,"&lt;2019/5/30",P3:P1205)</f>
        <v>0.40175631174533477</v>
      </c>
      <c r="R289" s="38">
        <v>1</v>
      </c>
      <c r="S289" s="38">
        <f>AVERAGEIF(L3:L1205,"&lt;2019/5/30",R3:R1205)</f>
        <v>1.2403951701427003</v>
      </c>
      <c r="T289" s="38">
        <v>6</v>
      </c>
      <c r="U289" s="38">
        <f>AVERAGEIF(L3:L1205,"&lt;2019/5/30",T3:T1205)</f>
        <v>7.3743139407244787</v>
      </c>
      <c r="V289" s="24">
        <v>916</v>
      </c>
      <c r="W289" s="47" t="s">
        <v>4563</v>
      </c>
    </row>
    <row r="290" spans="1:23">
      <c r="A290" s="23">
        <v>2</v>
      </c>
      <c r="B290" s="23">
        <v>11</v>
      </c>
      <c r="C290" s="18">
        <v>4</v>
      </c>
      <c r="D290" s="18">
        <v>6</v>
      </c>
      <c r="E290" s="20">
        <v>9</v>
      </c>
      <c r="F290" s="21">
        <f t="shared" si="13"/>
        <v>113.97486338797815</v>
      </c>
      <c r="G290" s="22">
        <v>0.41105465214512399</v>
      </c>
      <c r="H290" s="18">
        <v>0</v>
      </c>
      <c r="I290" s="18">
        <f t="shared" si="14"/>
        <v>1</v>
      </c>
      <c r="J290" s="52">
        <v>43613</v>
      </c>
      <c r="K290" s="36">
        <v>2019</v>
      </c>
      <c r="L290" s="32">
        <f t="shared" si="12"/>
        <v>43626</v>
      </c>
      <c r="M290" s="40">
        <v>0</v>
      </c>
      <c r="N290" s="33">
        <v>67</v>
      </c>
      <c r="O290" s="34">
        <f>AVERAGEIF(L3:L1205,"&lt;2019/5/27",N3:N1205)</f>
        <v>113.56167400881057</v>
      </c>
      <c r="P290" s="40">
        <v>3</v>
      </c>
      <c r="Q290" s="40">
        <f>AVERAGEIF(L3:L1205,"&lt;2019/5/28",P3:P1205)</f>
        <v>0.40308370044052866</v>
      </c>
      <c r="R290" s="40">
        <v>2</v>
      </c>
      <c r="S290" s="40">
        <f>AVERAGEIF(L3:L1205,"&lt;2019/5/28",R3:R1205)</f>
        <v>1.2411894273127753</v>
      </c>
      <c r="T290" s="40">
        <v>13</v>
      </c>
      <c r="U290" s="40">
        <f>AVERAGEIF(L3:L1205,"&lt;2019/5/28",T3:T1205)</f>
        <v>7.3887665198237888</v>
      </c>
      <c r="V290" s="24">
        <v>915</v>
      </c>
      <c r="W290" s="47" t="s">
        <v>4529</v>
      </c>
    </row>
    <row r="291" spans="1:23">
      <c r="A291" s="23">
        <v>2</v>
      </c>
      <c r="B291" s="23">
        <v>5</v>
      </c>
      <c r="C291" s="18">
        <v>4</v>
      </c>
      <c r="D291" s="18">
        <v>6</v>
      </c>
      <c r="E291" s="20">
        <v>61</v>
      </c>
      <c r="F291" s="21">
        <f t="shared" si="13"/>
        <v>114.0328227571116</v>
      </c>
      <c r="G291" s="22">
        <v>0.44493515972068798</v>
      </c>
      <c r="H291" s="18">
        <v>1</v>
      </c>
      <c r="I291" s="18">
        <f t="shared" si="14"/>
        <v>0</v>
      </c>
      <c r="J291" s="41">
        <v>43612</v>
      </c>
      <c r="K291" s="36">
        <v>2019</v>
      </c>
      <c r="L291" s="32">
        <f t="shared" si="12"/>
        <v>43615</v>
      </c>
      <c r="M291" s="40">
        <v>1</v>
      </c>
      <c r="N291" s="33">
        <v>71</v>
      </c>
      <c r="O291" s="34">
        <f>AVERAGEIF(L3:L1205,"&lt;2019/5/27",N3:N1205)</f>
        <v>113.56167400881057</v>
      </c>
      <c r="P291" s="38">
        <v>2</v>
      </c>
      <c r="Q291" s="38">
        <f>AVERAGEIF(L3:L1205,"&lt;2019/5/27",P3:P1205)</f>
        <v>0.40308370044052866</v>
      </c>
      <c r="R291" s="38">
        <v>1</v>
      </c>
      <c r="S291" s="38">
        <f>AVERAGEIF(L3:L1205,"&lt;2019/5/27",R3:R1205)</f>
        <v>1.2411894273127753</v>
      </c>
      <c r="T291" s="38">
        <v>3</v>
      </c>
      <c r="U291" s="38">
        <f>AVERAGEIF(L3:L1205,"&lt;2019/5/27",T3:T1205)</f>
        <v>7.3887665198237888</v>
      </c>
      <c r="V291" s="24">
        <v>914</v>
      </c>
      <c r="W291" s="47" t="s">
        <v>4529</v>
      </c>
    </row>
    <row r="292" spans="1:23">
      <c r="A292" s="23">
        <v>2</v>
      </c>
      <c r="B292" s="23">
        <v>6</v>
      </c>
      <c r="C292" s="18">
        <v>4</v>
      </c>
      <c r="D292" s="18">
        <v>2</v>
      </c>
      <c r="E292" s="20">
        <v>28</v>
      </c>
      <c r="F292" s="21">
        <f t="shared" si="13"/>
        <v>114.12705366922235</v>
      </c>
      <c r="G292" s="22">
        <v>0.375357451843079</v>
      </c>
      <c r="H292" s="18">
        <v>0</v>
      </c>
      <c r="I292" s="18">
        <f t="shared" si="14"/>
        <v>1</v>
      </c>
      <c r="J292" s="41">
        <v>43612</v>
      </c>
      <c r="K292" s="36">
        <v>2019</v>
      </c>
      <c r="L292" s="32">
        <f t="shared" si="12"/>
        <v>43614</v>
      </c>
      <c r="M292" s="40">
        <v>0</v>
      </c>
      <c r="N292" s="33">
        <v>49</v>
      </c>
      <c r="O292" s="34">
        <f>AVERAGEIF(L3:L1205,"&lt;2019/5/27",N3:N1205)</f>
        <v>113.56167400881057</v>
      </c>
      <c r="P292" s="56">
        <v>0</v>
      </c>
      <c r="Q292" s="40">
        <f>AVERAGEIF(L3:L1205,"&lt;2019/5/27",P3:P1205)</f>
        <v>0.40308370044052866</v>
      </c>
      <c r="R292" s="40">
        <v>1</v>
      </c>
      <c r="S292" s="40">
        <f>AVERAGEIF(L3:L1205,"&lt;2019/5/27",R3:R1205)</f>
        <v>1.2411894273127753</v>
      </c>
      <c r="T292" s="56">
        <v>2</v>
      </c>
      <c r="U292" s="40">
        <f>AVERAGEIF(L3:L1205,"&lt;2019/5/26",T3:T1205)</f>
        <v>7.3887665198237888</v>
      </c>
      <c r="V292" s="24">
        <v>913</v>
      </c>
      <c r="W292" s="47" t="s">
        <v>4550</v>
      </c>
    </row>
    <row r="293" spans="1:23">
      <c r="A293" s="23">
        <v>2</v>
      </c>
      <c r="B293" s="23">
        <v>8</v>
      </c>
      <c r="C293" s="18">
        <v>4</v>
      </c>
      <c r="D293" s="18">
        <v>2</v>
      </c>
      <c r="E293" s="20">
        <v>83</v>
      </c>
      <c r="F293" s="21">
        <f t="shared" si="13"/>
        <v>114.16118421052632</v>
      </c>
      <c r="G293" s="22">
        <v>0.87153974717954297</v>
      </c>
      <c r="H293" s="18">
        <v>1</v>
      </c>
      <c r="I293" s="18">
        <f t="shared" si="14"/>
        <v>0</v>
      </c>
      <c r="J293" s="48">
        <v>43611</v>
      </c>
      <c r="K293" s="36">
        <v>2019</v>
      </c>
      <c r="L293" s="32">
        <f t="shared" si="12"/>
        <v>43614</v>
      </c>
      <c r="M293" s="40">
        <v>1</v>
      </c>
      <c r="N293" s="33">
        <v>83</v>
      </c>
      <c r="O293" s="34">
        <f>AVERAGEIF(L3:L1205,"&lt;2019/5/26",N3:N1205)</f>
        <v>113.56167400881057</v>
      </c>
      <c r="P293" s="38">
        <v>0</v>
      </c>
      <c r="Q293" s="38">
        <f>AVERAGEIF(L3:L1205,"&lt;2019/5/26",P3:P1205)</f>
        <v>0.40308370044052866</v>
      </c>
      <c r="R293" s="38">
        <v>1</v>
      </c>
      <c r="S293" s="38">
        <f>AVERAGEIF(L3:L1205,"&lt;2019/5/26",R3:R1205)</f>
        <v>1.2411894273127753</v>
      </c>
      <c r="T293" s="38">
        <v>3</v>
      </c>
      <c r="U293" s="38">
        <f>AVERAGEIF(L3:L1205,"&lt;2019/5/26",T3:T1205)</f>
        <v>7.3887665198237888</v>
      </c>
      <c r="V293" s="24">
        <v>912</v>
      </c>
      <c r="W293" s="47" t="s">
        <v>4529</v>
      </c>
    </row>
    <row r="294" spans="1:23">
      <c r="A294" s="23">
        <v>2</v>
      </c>
      <c r="B294" s="23">
        <v>11</v>
      </c>
      <c r="C294" s="18">
        <v>4</v>
      </c>
      <c r="D294" s="18">
        <v>6</v>
      </c>
      <c r="E294" s="20">
        <v>20</v>
      </c>
      <c r="F294" s="21">
        <f t="shared" si="13"/>
        <v>114.26454445664105</v>
      </c>
      <c r="G294" s="22">
        <v>0.37818406931627802</v>
      </c>
      <c r="H294" s="18">
        <v>0</v>
      </c>
      <c r="I294" s="18">
        <f t="shared" si="14"/>
        <v>1</v>
      </c>
      <c r="J294" s="41">
        <v>43611</v>
      </c>
      <c r="K294" s="36">
        <v>2019</v>
      </c>
      <c r="L294" s="32">
        <f t="shared" si="12"/>
        <v>43620</v>
      </c>
      <c r="M294" s="40">
        <v>0</v>
      </c>
      <c r="N294" s="33">
        <v>87</v>
      </c>
      <c r="O294" s="34">
        <f>AVERAGEIF(L3:L1205,"&lt;2019/5/26",N3:N1205)</f>
        <v>113.56167400881057</v>
      </c>
      <c r="P294" s="40">
        <v>3</v>
      </c>
      <c r="Q294" s="40">
        <f>AVERAGEIF(L3:L1205,"&lt;2019/5/26",P3:P1205)</f>
        <v>0.40308370044052866</v>
      </c>
      <c r="R294" s="40">
        <v>1</v>
      </c>
      <c r="S294" s="40">
        <f>AVERAGEIF(L3:L1205,"&lt;2019/5/26",R3:R1205)</f>
        <v>1.2411894273127753</v>
      </c>
      <c r="T294" s="40">
        <v>9</v>
      </c>
      <c r="U294" s="40">
        <f>AVERAGEIF(L3:L1205,"&lt;2019/5/26",T3:T1205)</f>
        <v>7.3887665198237888</v>
      </c>
      <c r="V294" s="24">
        <v>911</v>
      </c>
      <c r="W294" s="47" t="s">
        <v>4529</v>
      </c>
    </row>
    <row r="295" spans="1:23">
      <c r="A295" s="23">
        <v>2</v>
      </c>
      <c r="B295" s="23">
        <v>6</v>
      </c>
      <c r="C295" s="18">
        <v>4</v>
      </c>
      <c r="D295" s="18">
        <v>6</v>
      </c>
      <c r="E295" s="20">
        <v>39</v>
      </c>
      <c r="F295" s="21">
        <f t="shared" si="13"/>
        <v>114.34725274725275</v>
      </c>
      <c r="G295" s="22">
        <v>0.39255375343883703</v>
      </c>
      <c r="H295" s="18">
        <v>1</v>
      </c>
      <c r="I295" s="18">
        <f t="shared" si="14"/>
        <v>0</v>
      </c>
      <c r="J295" s="41">
        <v>43609</v>
      </c>
      <c r="K295" s="36">
        <v>2019</v>
      </c>
      <c r="L295" s="32">
        <f t="shared" si="12"/>
        <v>43613</v>
      </c>
      <c r="M295" s="40">
        <v>0</v>
      </c>
      <c r="N295" s="33">
        <v>93</v>
      </c>
      <c r="O295" s="34">
        <f>AVERAGEIF(L3:L1205,"&lt;2019/5/24",N3:N1205)</f>
        <v>113.56574585635359</v>
      </c>
      <c r="P295" s="38">
        <v>0</v>
      </c>
      <c r="Q295" s="38">
        <f>AVERAGEIF(L3:L1205,"&lt;2019/5/24",P3:P1205)</f>
        <v>0.40220994475138122</v>
      </c>
      <c r="R295" s="38">
        <v>1</v>
      </c>
      <c r="S295" s="38">
        <f>AVERAGEIF(L3:L1205,"&lt;2019/5/24",R3:R1205)</f>
        <v>1.23646408839779</v>
      </c>
      <c r="T295" s="38">
        <v>4</v>
      </c>
      <c r="U295" s="38">
        <f>AVERAGEIF(L3:L1205,"&lt;2019/5/24",T3:T1205)</f>
        <v>7.3911602209944753</v>
      </c>
      <c r="V295" s="24">
        <v>910</v>
      </c>
      <c r="W295" s="47" t="s">
        <v>4550</v>
      </c>
    </row>
    <row r="296" spans="1:23">
      <c r="A296" s="23">
        <v>2</v>
      </c>
      <c r="B296" s="23">
        <v>7</v>
      </c>
      <c r="C296" s="18">
        <v>5</v>
      </c>
      <c r="D296" s="18">
        <v>6</v>
      </c>
      <c r="E296" s="20">
        <v>76</v>
      </c>
      <c r="F296" s="21">
        <f t="shared" si="13"/>
        <v>114.38943894389439</v>
      </c>
      <c r="G296" s="22">
        <v>0.34113089708259398</v>
      </c>
      <c r="H296" s="18">
        <v>0</v>
      </c>
      <c r="I296" s="18">
        <f t="shared" si="14"/>
        <v>1</v>
      </c>
      <c r="J296" s="41">
        <v>43609</v>
      </c>
      <c r="K296" s="36">
        <v>2019</v>
      </c>
      <c r="L296" s="32">
        <f t="shared" si="12"/>
        <v>43619</v>
      </c>
      <c r="M296" s="40">
        <v>1</v>
      </c>
      <c r="N296" s="33">
        <v>279</v>
      </c>
      <c r="O296" s="34">
        <f>AVERAGEIF(L3:L1205,"&lt;2019/5/24",N3:N1205)</f>
        <v>113.56574585635359</v>
      </c>
      <c r="P296" s="38">
        <v>3</v>
      </c>
      <c r="Q296" s="38">
        <f>AVERAGEIF(L3:L1205,"&lt;2019/5/24",P3:P1205)</f>
        <v>0.40220994475138122</v>
      </c>
      <c r="R296" s="38">
        <v>1</v>
      </c>
      <c r="S296" s="38">
        <f>AVERAGEIF(L3:L1205,"&lt;2019/5/24",R3:R1205)</f>
        <v>1.23646408839779</v>
      </c>
      <c r="T296" s="38">
        <v>10</v>
      </c>
      <c r="U296" s="38">
        <f>AVERAGEIF(L3:L1205,"&lt;2019/5/24",T3:T1205)</f>
        <v>7.3911602209944753</v>
      </c>
      <c r="V296" s="24">
        <v>909</v>
      </c>
      <c r="W296" s="47" t="s">
        <v>4563</v>
      </c>
    </row>
    <row r="297" spans="1:23">
      <c r="A297" s="23">
        <v>2</v>
      </c>
      <c r="B297" s="23">
        <v>7</v>
      </c>
      <c r="C297" s="18">
        <v>4</v>
      </c>
      <c r="D297" s="18">
        <v>8</v>
      </c>
      <c r="E297" s="20">
        <v>42</v>
      </c>
      <c r="F297" s="21">
        <f t="shared" si="13"/>
        <v>114.46916299559471</v>
      </c>
      <c r="G297" s="22">
        <v>0.37962356042839102</v>
      </c>
      <c r="H297" s="18">
        <v>1</v>
      </c>
      <c r="I297" s="18">
        <f t="shared" si="14"/>
        <v>0</v>
      </c>
      <c r="J297" s="41">
        <v>43607</v>
      </c>
      <c r="K297" s="36">
        <v>2019</v>
      </c>
      <c r="L297" s="32">
        <f t="shared" si="12"/>
        <v>43633</v>
      </c>
      <c r="M297" s="40">
        <v>1</v>
      </c>
      <c r="N297" s="33">
        <v>152</v>
      </c>
      <c r="O297" s="34">
        <f>AVERAGEIF(L3:L1205,"&lt;2019/5/22",N3:N1205)</f>
        <v>113.62458471760797</v>
      </c>
      <c r="P297" s="40">
        <v>7</v>
      </c>
      <c r="Q297" s="40">
        <f>AVERAGEIF(L3:L1205,"&lt;2019/5/22",P3:P1205)</f>
        <v>0.4019933554817276</v>
      </c>
      <c r="R297" s="40">
        <v>2</v>
      </c>
      <c r="S297" s="40">
        <f>AVERAGEIF(L3:L1205,"&lt;2019/5/22",R3:R1205)</f>
        <v>1.2369878183831673</v>
      </c>
      <c r="T297" s="40">
        <v>26</v>
      </c>
      <c r="U297" s="40">
        <f>AVERAGEIF(L3:L1205,"&lt;2019/5/22",T3:T1205)</f>
        <v>7.3997785160575855</v>
      </c>
      <c r="V297" s="24">
        <v>908</v>
      </c>
      <c r="W297" s="47" t="s">
        <v>4529</v>
      </c>
    </row>
    <row r="298" spans="1:23">
      <c r="A298" s="23">
        <v>2</v>
      </c>
      <c r="B298" s="23">
        <v>7</v>
      </c>
      <c r="C298" s="18">
        <v>4</v>
      </c>
      <c r="D298" s="18">
        <v>4</v>
      </c>
      <c r="E298" s="20">
        <v>68</v>
      </c>
      <c r="F298" s="21">
        <f t="shared" si="13"/>
        <v>114.52039691289967</v>
      </c>
      <c r="G298" s="22">
        <v>0.86679152203925303</v>
      </c>
      <c r="H298" s="18">
        <v>0</v>
      </c>
      <c r="I298" s="18">
        <f t="shared" si="14"/>
        <v>1</v>
      </c>
      <c r="J298" s="41">
        <v>43606</v>
      </c>
      <c r="K298" s="36">
        <v>2019</v>
      </c>
      <c r="L298" s="32">
        <f t="shared" si="12"/>
        <v>43609</v>
      </c>
      <c r="M298" s="40">
        <v>0</v>
      </c>
      <c r="N298" s="33">
        <v>78</v>
      </c>
      <c r="O298" s="34">
        <f>AVERAGEIF(L3:L1205,"&lt;2019/5/21",N3:N1205)</f>
        <v>113.62458471760797</v>
      </c>
      <c r="P298" s="54">
        <v>1</v>
      </c>
      <c r="Q298" s="38">
        <f>AVERAGEIF(L3:L1205,"&lt;2019/5/21",P3:P1205)</f>
        <v>0.4019933554817276</v>
      </c>
      <c r="R298" s="38">
        <v>1</v>
      </c>
      <c r="S298" s="38">
        <f>AVERAGEIF(L3:L1205,"&lt;2019/5/21",R3:R1205)</f>
        <v>1.2369878183831673</v>
      </c>
      <c r="T298" s="54">
        <v>3</v>
      </c>
      <c r="U298" s="38">
        <f>AVERAGEIF(L3:L1205,"&lt;2019/5/21",T3:T1205)</f>
        <v>7.3997785160575855</v>
      </c>
      <c r="V298" s="24">
        <v>907</v>
      </c>
      <c r="W298" s="47" t="s">
        <v>4550</v>
      </c>
    </row>
    <row r="299" spans="1:23">
      <c r="A299" s="23">
        <v>2</v>
      </c>
      <c r="B299" s="23">
        <v>11</v>
      </c>
      <c r="C299" s="18">
        <v>4</v>
      </c>
      <c r="D299" s="18">
        <v>6</v>
      </c>
      <c r="E299" s="20">
        <v>115</v>
      </c>
      <c r="F299" s="21">
        <f t="shared" si="13"/>
        <v>114.51986754966887</v>
      </c>
      <c r="G299" s="22">
        <v>0.50560383468590697</v>
      </c>
      <c r="H299" s="18">
        <v>0</v>
      </c>
      <c r="I299" s="18">
        <f t="shared" si="14"/>
        <v>1</v>
      </c>
      <c r="J299" s="41">
        <v>43606</v>
      </c>
      <c r="K299" s="36">
        <v>2019</v>
      </c>
      <c r="L299" s="32">
        <f t="shared" si="12"/>
        <v>43608</v>
      </c>
      <c r="M299" s="40">
        <v>1</v>
      </c>
      <c r="N299" s="33">
        <v>87</v>
      </c>
      <c r="O299" s="34">
        <f>AVERAGEIF(L3:L1205,"&lt;2019/5/21",N3:N1205)</f>
        <v>113.62458471760797</v>
      </c>
      <c r="P299" s="56">
        <v>0</v>
      </c>
      <c r="Q299" s="40">
        <f>AVERAGEIF(L3:L1205,"&lt;2019/5/21",P3:P1205)</f>
        <v>0.4019933554817276</v>
      </c>
      <c r="R299" s="40">
        <v>1</v>
      </c>
      <c r="S299" s="40">
        <f>AVERAGEIF(L3:L1205,"&lt;2019/5/21",R3:R1205)</f>
        <v>1.2369878183831673</v>
      </c>
      <c r="T299" s="56">
        <v>2</v>
      </c>
      <c r="U299" s="40">
        <f>AVERAGEIF(L3:L1205,"&lt;2019/5/21",T3:T1205)</f>
        <v>7.3997785160575855</v>
      </c>
      <c r="V299" s="24">
        <v>906</v>
      </c>
      <c r="W299" s="47" t="s">
        <v>4563</v>
      </c>
    </row>
    <row r="300" spans="1:23">
      <c r="A300" s="23">
        <v>2</v>
      </c>
      <c r="B300" s="23">
        <v>6</v>
      </c>
      <c r="C300" s="18">
        <v>5</v>
      </c>
      <c r="D300" s="18">
        <v>1</v>
      </c>
      <c r="E300" s="20">
        <v>147</v>
      </c>
      <c r="F300" s="21">
        <f t="shared" si="13"/>
        <v>114.48397790055249</v>
      </c>
      <c r="G300" s="22">
        <v>0.30991746344848797</v>
      </c>
      <c r="H300" s="18">
        <v>1</v>
      </c>
      <c r="I300" s="18">
        <f t="shared" si="14"/>
        <v>0</v>
      </c>
      <c r="J300" s="41">
        <v>43605</v>
      </c>
      <c r="K300" s="36">
        <v>2019</v>
      </c>
      <c r="L300" s="32">
        <f t="shared" si="12"/>
        <v>43609</v>
      </c>
      <c r="M300" s="40">
        <v>1</v>
      </c>
      <c r="N300" s="33">
        <v>103</v>
      </c>
      <c r="O300" s="34">
        <f>AVERAGEIF(L3:L1205,"&lt;2019/5/20",N3:N1205)</f>
        <v>113.50666666666666</v>
      </c>
      <c r="P300" s="38">
        <v>0</v>
      </c>
      <c r="Q300" s="38">
        <f>AVERAGEIF(L3:L1205,"&lt;2019/5/20",P3:P1205)</f>
        <v>0.39777777777777779</v>
      </c>
      <c r="R300" s="38">
        <v>4</v>
      </c>
      <c r="S300" s="38">
        <f>AVERAGEIF(L3:L1205,"&lt;2019/5/20",R3:R1205)</f>
        <v>1.2355555555555555</v>
      </c>
      <c r="T300" s="38">
        <v>4</v>
      </c>
      <c r="U300" s="38">
        <f>AVERAGEIF(L3:L1205,"&lt;2019/5/20",T3:T1205)</f>
        <v>7.3922222222222222</v>
      </c>
      <c r="V300" s="24">
        <v>905</v>
      </c>
      <c r="W300" s="47" t="s">
        <v>4626</v>
      </c>
    </row>
    <row r="301" spans="1:23">
      <c r="A301" s="23">
        <v>2</v>
      </c>
      <c r="B301" s="23">
        <v>11</v>
      </c>
      <c r="C301" s="18">
        <v>4</v>
      </c>
      <c r="D301" s="18">
        <v>6</v>
      </c>
      <c r="E301" s="20">
        <v>47</v>
      </c>
      <c r="F301" s="21">
        <f t="shared" si="13"/>
        <v>114.55862831858407</v>
      </c>
      <c r="G301" s="22">
        <v>0.82237434014284105</v>
      </c>
      <c r="H301" s="18">
        <v>0</v>
      </c>
      <c r="I301" s="18">
        <f t="shared" si="14"/>
        <v>1</v>
      </c>
      <c r="J301" s="41">
        <v>43603</v>
      </c>
      <c r="K301" s="36">
        <v>2019</v>
      </c>
      <c r="L301" s="32">
        <f t="shared" si="12"/>
        <v>43608</v>
      </c>
      <c r="M301" s="40">
        <v>1</v>
      </c>
      <c r="N301" s="33">
        <v>87</v>
      </c>
      <c r="O301" s="34">
        <f>AVERAGEIF(L3:L1205,"&lt;2019/5/18",N3:N1205)</f>
        <v>113.50666666666666</v>
      </c>
      <c r="P301" s="54">
        <v>1</v>
      </c>
      <c r="Q301" s="38">
        <f>AVERAGEIF(L3:L1205,"&lt;2019/5/18",P3:P1205)</f>
        <v>0.39777777777777779</v>
      </c>
      <c r="R301" s="38">
        <v>1</v>
      </c>
      <c r="S301" s="38">
        <f>AVERAGEIF(L3:L1205,"&lt;2019/5/18",R3:R1205)</f>
        <v>1.2355555555555555</v>
      </c>
      <c r="T301" s="54">
        <v>5</v>
      </c>
      <c r="U301" s="38">
        <f>AVERAGEIF(L3:L1205,"&lt;2019/5/18",T3:T1205)</f>
        <v>7.3922222222222222</v>
      </c>
      <c r="V301" s="24">
        <v>904</v>
      </c>
      <c r="W301" s="47" t="s">
        <v>4529</v>
      </c>
    </row>
    <row r="302" spans="1:23">
      <c r="A302" s="23">
        <v>2</v>
      </c>
      <c r="B302" s="23">
        <v>6</v>
      </c>
      <c r="C302" s="18">
        <v>4</v>
      </c>
      <c r="D302" s="18">
        <v>2</v>
      </c>
      <c r="E302" s="20">
        <v>54</v>
      </c>
      <c r="F302" s="21">
        <f t="shared" si="13"/>
        <v>114.62569213732004</v>
      </c>
      <c r="G302" s="22">
        <v>0.68922306733076799</v>
      </c>
      <c r="H302" s="18">
        <v>0</v>
      </c>
      <c r="I302" s="18">
        <f t="shared" si="14"/>
        <v>1</v>
      </c>
      <c r="J302" s="41">
        <v>43600</v>
      </c>
      <c r="K302" s="36">
        <v>2019</v>
      </c>
      <c r="L302" s="32">
        <f t="shared" si="12"/>
        <v>43601</v>
      </c>
      <c r="M302" s="40">
        <v>0</v>
      </c>
      <c r="N302" s="33">
        <v>57</v>
      </c>
      <c r="O302" s="34">
        <f>AVERAGEIF(L3:L1205,"&lt;2019/5/15",N3:N1205)</f>
        <v>113.13677130044843</v>
      </c>
      <c r="P302" s="38">
        <v>1</v>
      </c>
      <c r="Q302" s="38">
        <f>AVERAGEIF(L3:L1205,"&lt;2019/5/15",P3:P1205)</f>
        <v>0.3923766816143498</v>
      </c>
      <c r="R302" s="38">
        <v>1</v>
      </c>
      <c r="S302" s="38">
        <f>AVERAGEIF(L3:L1205,"&lt;2019/5/15",R3:R1205)</f>
        <v>1.2309417040358743</v>
      </c>
      <c r="T302" s="38">
        <v>1</v>
      </c>
      <c r="U302" s="38">
        <f>AVERAGEIF(L3:L1205,"&lt;2019/5/15",T3:T1205)</f>
        <v>7.3923766816143495</v>
      </c>
      <c r="V302" s="24">
        <v>903</v>
      </c>
      <c r="W302" s="47" t="s">
        <v>4626</v>
      </c>
    </row>
    <row r="303" spans="1:23">
      <c r="A303" s="23">
        <v>2</v>
      </c>
      <c r="B303" s="23">
        <v>5</v>
      </c>
      <c r="C303" s="18">
        <v>4</v>
      </c>
      <c r="D303" s="18">
        <v>2</v>
      </c>
      <c r="E303" s="20">
        <v>29</v>
      </c>
      <c r="F303" s="21">
        <f t="shared" si="13"/>
        <v>114.72062084257206</v>
      </c>
      <c r="G303" s="22">
        <v>0.50009943504246501</v>
      </c>
      <c r="H303" s="18">
        <v>0</v>
      </c>
      <c r="I303" s="18">
        <f t="shared" si="14"/>
        <v>1</v>
      </c>
      <c r="J303" s="41">
        <v>43599</v>
      </c>
      <c r="K303" s="36">
        <v>2019</v>
      </c>
      <c r="L303" s="32">
        <f t="shared" si="12"/>
        <v>43605</v>
      </c>
      <c r="M303" s="24">
        <v>1</v>
      </c>
      <c r="N303" s="33">
        <v>81</v>
      </c>
      <c r="O303" s="34">
        <f>AVERAGEIF(L3:L1205,"&lt;2019/5/14",N3:N1205)</f>
        <v>113.19235095613048</v>
      </c>
      <c r="P303" s="38">
        <v>1</v>
      </c>
      <c r="Q303" s="38">
        <f>AVERAGEIF(L3:L1205,"&lt;2019/5/14",P3:P1205)</f>
        <v>0.39257592800899888</v>
      </c>
      <c r="R303" s="38">
        <v>1</v>
      </c>
      <c r="S303" s="38">
        <f>AVERAGEIF(L3:L1205,"&lt;2019/5/14",R3:R1205)</f>
        <v>1.2305961754780652</v>
      </c>
      <c r="T303" s="38">
        <v>6</v>
      </c>
      <c r="U303" s="38">
        <f>AVERAGEIF(L3:L1205,"&lt;2019/5/14",T3:T1205)</f>
        <v>7.4049493813273344</v>
      </c>
      <c r="V303" s="24">
        <v>902</v>
      </c>
      <c r="W303" s="47" t="s">
        <v>4542</v>
      </c>
    </row>
    <row r="304" spans="1:23">
      <c r="A304" s="23">
        <v>2</v>
      </c>
      <c r="B304" s="23">
        <v>6</v>
      </c>
      <c r="C304" s="18">
        <v>4</v>
      </c>
      <c r="D304" s="18">
        <v>6</v>
      </c>
      <c r="E304" s="20">
        <v>198</v>
      </c>
      <c r="F304" s="21">
        <f t="shared" si="13"/>
        <v>114.62819089900111</v>
      </c>
      <c r="G304" s="22">
        <v>0.91249989414621702</v>
      </c>
      <c r="H304" s="18">
        <v>1</v>
      </c>
      <c r="I304" s="18">
        <f t="shared" si="14"/>
        <v>0</v>
      </c>
      <c r="J304" s="41">
        <v>43597</v>
      </c>
      <c r="K304" s="36">
        <v>2019</v>
      </c>
      <c r="L304" s="32">
        <f t="shared" si="12"/>
        <v>43599</v>
      </c>
      <c r="M304" s="24">
        <v>0</v>
      </c>
      <c r="N304" s="33">
        <v>48</v>
      </c>
      <c r="O304" s="34">
        <f>AVERAGEIF(L3:L1205,"&lt;2019/5/12",N3:N1205)</f>
        <v>113.12612612612612</v>
      </c>
      <c r="P304" s="38">
        <v>1</v>
      </c>
      <c r="Q304" s="38">
        <f>AVERAGEIF(L3:L1205,"&lt;2019/5/12",P3:P1205)</f>
        <v>0.38626126126126126</v>
      </c>
      <c r="R304" s="38">
        <v>2</v>
      </c>
      <c r="S304" s="38">
        <f>AVERAGEIF(L3:L1205,"&lt;2019/5/12",R3:R1205)</f>
        <v>1.2297297297297298</v>
      </c>
      <c r="T304" s="38">
        <v>2</v>
      </c>
      <c r="U304" s="38">
        <f>AVERAGEIF(L3:L1205,"&lt;2019/5/12",T3:T1205)</f>
        <v>7.3806306306306304</v>
      </c>
      <c r="V304" s="24">
        <v>901</v>
      </c>
      <c r="W304" s="47" t="s">
        <v>4634</v>
      </c>
    </row>
    <row r="305" spans="1:23">
      <c r="A305" s="23">
        <v>2</v>
      </c>
      <c r="B305" s="23">
        <v>7</v>
      </c>
      <c r="C305" s="18">
        <v>4</v>
      </c>
      <c r="D305" s="18">
        <v>2</v>
      </c>
      <c r="E305" s="20">
        <v>215</v>
      </c>
      <c r="F305" s="21">
        <f t="shared" si="13"/>
        <v>114.51666666666667</v>
      </c>
      <c r="G305" s="22">
        <v>0.91249989414621702</v>
      </c>
      <c r="H305" s="18">
        <v>1</v>
      </c>
      <c r="I305" s="18">
        <f t="shared" si="14"/>
        <v>0</v>
      </c>
      <c r="J305" s="41">
        <v>43597</v>
      </c>
      <c r="K305" s="36">
        <v>2019</v>
      </c>
      <c r="L305" s="32">
        <f t="shared" si="12"/>
        <v>43601</v>
      </c>
      <c r="M305" s="24">
        <v>0</v>
      </c>
      <c r="N305" s="33">
        <v>124</v>
      </c>
      <c r="O305" s="34">
        <f>AVERAGEIF(L3:L1205,"&lt;2019/5/12",N3:N1205)</f>
        <v>113.12612612612612</v>
      </c>
      <c r="P305" s="38">
        <v>2</v>
      </c>
      <c r="Q305" s="38">
        <f>AVERAGEIF(L3:L1205,"&lt;2019/5/12",P3:P1205)</f>
        <v>0.38626126126126126</v>
      </c>
      <c r="R305" s="38">
        <v>1</v>
      </c>
      <c r="S305" s="38">
        <f>AVERAGEIF(L3:L1205,"&lt;2019/5/12",R3:R1205)</f>
        <v>1.2297297297297298</v>
      </c>
      <c r="T305" s="38">
        <v>4</v>
      </c>
      <c r="U305" s="38">
        <f>AVERAGEIF(L3:L1205,"&lt;2019/5/12",T3:T1205)</f>
        <v>7.3806306306306304</v>
      </c>
      <c r="V305" s="24">
        <v>900</v>
      </c>
      <c r="W305" s="47" t="s">
        <v>4564</v>
      </c>
    </row>
    <row r="306" spans="1:23">
      <c r="A306" s="23">
        <v>2</v>
      </c>
      <c r="B306" s="23">
        <v>9</v>
      </c>
      <c r="C306" s="18">
        <v>4</v>
      </c>
      <c r="D306" s="18">
        <v>6</v>
      </c>
      <c r="E306" s="20">
        <v>198</v>
      </c>
      <c r="F306" s="21">
        <f t="shared" si="13"/>
        <v>114.4238042269188</v>
      </c>
      <c r="G306" s="22">
        <v>0.233569843497163</v>
      </c>
      <c r="H306" s="18">
        <v>1</v>
      </c>
      <c r="I306" s="18">
        <f t="shared" si="14"/>
        <v>0</v>
      </c>
      <c r="J306" s="41">
        <v>43597</v>
      </c>
      <c r="K306" s="36">
        <v>2019</v>
      </c>
      <c r="L306" s="32">
        <f t="shared" si="12"/>
        <v>43602</v>
      </c>
      <c r="M306" s="24">
        <v>0</v>
      </c>
      <c r="N306" s="33">
        <v>89</v>
      </c>
      <c r="O306" s="34">
        <f>AVERAGEIF(L3:L1205,"&lt;2019/5/12",N3:N1205)</f>
        <v>113.12612612612612</v>
      </c>
      <c r="P306" s="40">
        <v>1</v>
      </c>
      <c r="Q306" s="40">
        <f>AVERAGEIF(L3:L1205,"&lt;2019/5/12",P3:P1205)</f>
        <v>0.38626126126126126</v>
      </c>
      <c r="R306" s="40">
        <v>2</v>
      </c>
      <c r="S306" s="40">
        <f>AVERAGEIF(L3:L1205,"&lt;2019/5/12",R3:R1205)</f>
        <v>1.2297297297297298</v>
      </c>
      <c r="T306" s="40">
        <v>5</v>
      </c>
      <c r="U306" s="40">
        <f>AVERAGEIF(L3:L1205,"&lt;2019/5/12",T3:T1205)</f>
        <v>7.3806306306306304</v>
      </c>
      <c r="V306" s="24">
        <v>899</v>
      </c>
      <c r="W306" s="47" t="s">
        <v>4634</v>
      </c>
    </row>
    <row r="307" spans="1:23">
      <c r="A307" s="23">
        <v>2</v>
      </c>
      <c r="B307" s="23">
        <v>6</v>
      </c>
      <c r="C307" s="18">
        <v>4</v>
      </c>
      <c r="D307" s="18">
        <v>6</v>
      </c>
      <c r="E307" s="20">
        <v>91</v>
      </c>
      <c r="F307" s="21">
        <f t="shared" si="13"/>
        <v>114.44988864142539</v>
      </c>
      <c r="G307" s="22">
        <v>0.78738750987093897</v>
      </c>
      <c r="H307" s="18">
        <v>0</v>
      </c>
      <c r="I307" s="18">
        <f t="shared" si="14"/>
        <v>1</v>
      </c>
      <c r="J307" s="41">
        <v>43596</v>
      </c>
      <c r="K307" s="36">
        <v>2019</v>
      </c>
      <c r="L307" s="32">
        <f t="shared" si="12"/>
        <v>43600</v>
      </c>
      <c r="M307" s="40">
        <v>1</v>
      </c>
      <c r="N307" s="33">
        <v>124</v>
      </c>
      <c r="O307" s="34">
        <f>AVERAGEIF(L3:L1205,"&lt;2019/5/11",N3:N1205)</f>
        <v>113.12612612612612</v>
      </c>
      <c r="P307" s="40">
        <v>0</v>
      </c>
      <c r="Q307" s="40">
        <f>AVERAGEIF(L3:L1205,"&lt;2019/5/11",P3:P1205)</f>
        <v>0.38626126126126126</v>
      </c>
      <c r="R307" s="40">
        <v>1</v>
      </c>
      <c r="S307" s="40">
        <f>AVERAGEIF(L3:L1205,"&lt;2019/5/11",R3:R1205)</f>
        <v>1.2297297297297298</v>
      </c>
      <c r="T307" s="40">
        <v>4</v>
      </c>
      <c r="U307" s="40">
        <f>AVERAGEIF(L3:L1205,"&lt;2019/5/11",T3:T1205)</f>
        <v>7.3806306306306304</v>
      </c>
      <c r="V307" s="24">
        <v>898</v>
      </c>
      <c r="W307" s="47" t="s">
        <v>4716</v>
      </c>
    </row>
    <row r="308" spans="1:23">
      <c r="A308" s="23">
        <v>2</v>
      </c>
      <c r="B308" s="23">
        <v>6</v>
      </c>
      <c r="C308" s="18">
        <v>5</v>
      </c>
      <c r="D308" s="18">
        <v>2</v>
      </c>
      <c r="E308" s="20">
        <v>114</v>
      </c>
      <c r="F308" s="21">
        <f t="shared" si="13"/>
        <v>114.45039018952062</v>
      </c>
      <c r="G308" s="22">
        <v>0.60973932607299497</v>
      </c>
      <c r="H308" s="18">
        <v>1</v>
      </c>
      <c r="I308" s="18">
        <f t="shared" si="14"/>
        <v>0</v>
      </c>
      <c r="J308" s="41">
        <v>43596</v>
      </c>
      <c r="K308" s="36">
        <v>2019</v>
      </c>
      <c r="L308" s="32">
        <f t="shared" si="12"/>
        <v>43609</v>
      </c>
      <c r="M308" s="40">
        <v>1</v>
      </c>
      <c r="N308" s="33">
        <v>156</v>
      </c>
      <c r="O308" s="34">
        <f>AVERAGEIF(L3:L1205,"&lt;2019/5/11",N3:N1205)</f>
        <v>113.12612612612612</v>
      </c>
      <c r="P308" s="56">
        <v>1</v>
      </c>
      <c r="Q308" s="40">
        <f>AVERAGEIF(L3:L1205,"&lt;2019/5/11",P3:P1205)</f>
        <v>0.38626126126126126</v>
      </c>
      <c r="R308" s="40">
        <v>3</v>
      </c>
      <c r="S308" s="40">
        <f>AVERAGEIF(L3:L1205,"&lt;2019/5/11",R3:R1205)</f>
        <v>1.2297297297297298</v>
      </c>
      <c r="T308" s="56">
        <v>13</v>
      </c>
      <c r="U308" s="40">
        <f>AVERAGEIF(L3:L1205,"&lt;2019/5/11",T3:T1205)</f>
        <v>7.3806306306306304</v>
      </c>
      <c r="V308" s="24">
        <v>897</v>
      </c>
      <c r="W308" s="47" t="s">
        <v>4529</v>
      </c>
    </row>
    <row r="309" spans="1:23">
      <c r="A309" s="23">
        <v>2</v>
      </c>
      <c r="B309" s="23">
        <v>5</v>
      </c>
      <c r="C309" s="18">
        <v>4</v>
      </c>
      <c r="D309" s="18">
        <v>2</v>
      </c>
      <c r="E309" s="20">
        <v>48</v>
      </c>
      <c r="F309" s="21">
        <f t="shared" si="13"/>
        <v>114.52455357142857</v>
      </c>
      <c r="G309" s="22">
        <v>0.76496752293477399</v>
      </c>
      <c r="H309" s="18">
        <v>0</v>
      </c>
      <c r="I309" s="18">
        <f t="shared" si="14"/>
        <v>1</v>
      </c>
      <c r="J309" s="52">
        <v>43595</v>
      </c>
      <c r="K309" s="36">
        <v>2019</v>
      </c>
      <c r="L309" s="32">
        <f t="shared" si="12"/>
        <v>43605</v>
      </c>
      <c r="M309" s="40">
        <v>1</v>
      </c>
      <c r="N309" s="33">
        <v>94</v>
      </c>
      <c r="O309" s="34">
        <f>AVERAGEIF(L3:L1205,"&lt;2019/5/10",N3:N1205)</f>
        <v>113.12612612612612</v>
      </c>
      <c r="P309" s="38">
        <v>1</v>
      </c>
      <c r="Q309" s="38">
        <f>AVERAGEIF(L3:L1205,"&lt;2019/5/10",P3:P1205)</f>
        <v>0.38626126126126126</v>
      </c>
      <c r="R309" s="38">
        <v>1</v>
      </c>
      <c r="S309" s="38">
        <f>AVERAGEIF(L3:L1205,"&lt;2019/5/10",R3:R1205)</f>
        <v>1.2297297297297298</v>
      </c>
      <c r="T309" s="38">
        <v>10</v>
      </c>
      <c r="U309" s="38">
        <f>AVERAGEIF(L3:L1205,"&lt;2019/5/10",T3:T1205)</f>
        <v>7.3806306306306304</v>
      </c>
      <c r="V309" s="24">
        <v>896</v>
      </c>
      <c r="W309" s="47" t="s">
        <v>4529</v>
      </c>
    </row>
    <row r="310" spans="1:23">
      <c r="A310" s="23">
        <v>5</v>
      </c>
      <c r="B310" s="23">
        <v>38</v>
      </c>
      <c r="C310" s="18">
        <v>4</v>
      </c>
      <c r="D310" s="18">
        <v>4</v>
      </c>
      <c r="E310" s="20">
        <v>38</v>
      </c>
      <c r="F310" s="21">
        <f t="shared" si="13"/>
        <v>114.61005586592179</v>
      </c>
      <c r="G310" s="22">
        <v>0.31135143317761599</v>
      </c>
      <c r="H310" s="18">
        <v>1</v>
      </c>
      <c r="I310" s="18">
        <f t="shared" si="14"/>
        <v>0</v>
      </c>
      <c r="J310" s="41">
        <v>43595</v>
      </c>
      <c r="K310" s="36">
        <v>2019</v>
      </c>
      <c r="L310" s="32">
        <f t="shared" si="12"/>
        <v>43599</v>
      </c>
      <c r="M310" s="40">
        <v>1</v>
      </c>
      <c r="N310" s="33">
        <v>121</v>
      </c>
      <c r="O310" s="34">
        <f>AVERAGEIF(L3:L1205,"&lt;2019/5/10",N3:N1205)</f>
        <v>113.12612612612612</v>
      </c>
      <c r="P310" s="56">
        <v>0</v>
      </c>
      <c r="Q310" s="40">
        <f>AVERAGEIF(L3:L1205,"&lt;2019/5/10",P3:P1205)</f>
        <v>0.38626126126126126</v>
      </c>
      <c r="R310" s="40">
        <v>1</v>
      </c>
      <c r="S310" s="40">
        <f>AVERAGEIF(L3:L1205,"&lt;2019/5/10",R3:R1205)</f>
        <v>1.2297297297297298</v>
      </c>
      <c r="T310" s="56">
        <v>4</v>
      </c>
      <c r="U310" s="40">
        <f>AVERAGEIF(L3:L1205,"&lt;2019/5/10",T3:T1205)</f>
        <v>7.3806306306306304</v>
      </c>
      <c r="V310" s="24">
        <v>895</v>
      </c>
      <c r="W310" s="47" t="s">
        <v>4529</v>
      </c>
    </row>
    <row r="311" spans="1:23">
      <c r="A311" s="23">
        <v>5</v>
      </c>
      <c r="B311" s="23">
        <v>38</v>
      </c>
      <c r="C311" s="18">
        <v>4</v>
      </c>
      <c r="D311" s="18">
        <v>4</v>
      </c>
      <c r="E311" s="20">
        <v>40</v>
      </c>
      <c r="F311" s="21">
        <f t="shared" si="13"/>
        <v>114.69351230425056</v>
      </c>
      <c r="G311" s="22">
        <v>0.41421471520234399</v>
      </c>
      <c r="H311" s="18">
        <v>1</v>
      </c>
      <c r="I311" s="18">
        <f t="shared" si="14"/>
        <v>0</v>
      </c>
      <c r="J311" s="41">
        <v>43594</v>
      </c>
      <c r="K311" s="36">
        <v>2019</v>
      </c>
      <c r="L311" s="32">
        <f t="shared" si="12"/>
        <v>43599</v>
      </c>
      <c r="M311" s="40">
        <v>1</v>
      </c>
      <c r="N311" s="33">
        <v>121</v>
      </c>
      <c r="O311" s="34">
        <f>AVERAGEIF(L3:L1205,"&lt;2019/5/9",N3:N1205)</f>
        <v>113.12612612612612</v>
      </c>
      <c r="P311" s="40">
        <v>0</v>
      </c>
      <c r="Q311" s="40">
        <f>AVERAGEIF(L3:L1205,"&lt;2019/5/9",P3:P1205)</f>
        <v>0.38626126126126126</v>
      </c>
      <c r="R311" s="40">
        <v>1</v>
      </c>
      <c r="S311" s="40">
        <f>AVERAGEIF(L3:L1205,"&lt;2019/5/9",R3:R1205)</f>
        <v>1.2297297297297298</v>
      </c>
      <c r="T311" s="40">
        <v>5</v>
      </c>
      <c r="U311" s="40">
        <f>AVERAGEIF(L3:L1205,"&lt;2019/5/9",T3:T1205)</f>
        <v>7.3806306306306304</v>
      </c>
      <c r="V311" s="24">
        <v>894</v>
      </c>
      <c r="W311" s="47" t="s">
        <v>4558</v>
      </c>
    </row>
    <row r="312" spans="1:23">
      <c r="A312" s="23">
        <v>2</v>
      </c>
      <c r="B312" s="23">
        <v>7</v>
      </c>
      <c r="C312" s="18">
        <v>4</v>
      </c>
      <c r="D312" s="18">
        <v>8</v>
      </c>
      <c r="E312" s="20">
        <v>113</v>
      </c>
      <c r="F312" s="21">
        <f t="shared" si="13"/>
        <v>114.69540873460247</v>
      </c>
      <c r="G312" s="22">
        <v>0.48304461922487602</v>
      </c>
      <c r="H312" s="18">
        <v>1</v>
      </c>
      <c r="I312" s="18">
        <f t="shared" si="14"/>
        <v>0</v>
      </c>
      <c r="J312" s="41">
        <v>43593</v>
      </c>
      <c r="K312" s="36">
        <v>2019</v>
      </c>
      <c r="L312" s="32">
        <f t="shared" si="12"/>
        <v>43600</v>
      </c>
      <c r="M312" s="40">
        <v>1</v>
      </c>
      <c r="N312" s="33">
        <v>211</v>
      </c>
      <c r="O312" s="34">
        <f>AVERAGEIF(L3:L1205,"&lt;2019/5/8",N3:N1205)</f>
        <v>113.12612612612612</v>
      </c>
      <c r="P312" s="38">
        <v>1</v>
      </c>
      <c r="Q312" s="38">
        <f>AVERAGEIF(L3:L1205,"&lt;2019/5/8",P3:P1205)</f>
        <v>0.38626126126126126</v>
      </c>
      <c r="R312" s="38">
        <v>1</v>
      </c>
      <c r="S312" s="38">
        <f>AVERAGEIF(L3:L1205,"&lt;2019/5/8",R3:R1205)</f>
        <v>1.2297297297297298</v>
      </c>
      <c r="T312" s="38">
        <v>7</v>
      </c>
      <c r="U312" s="38">
        <f>AVERAGEIF(L3:L1205,"&lt;2019/5/8",T3:T1205)</f>
        <v>7.3806306306306304</v>
      </c>
      <c r="V312" s="24">
        <v>893</v>
      </c>
      <c r="W312" s="47" t="s">
        <v>4529</v>
      </c>
    </row>
    <row r="313" spans="1:23">
      <c r="A313" s="23">
        <v>2</v>
      </c>
      <c r="B313" s="23">
        <v>7</v>
      </c>
      <c r="C313" s="18">
        <v>4</v>
      </c>
      <c r="D313" s="18">
        <v>8</v>
      </c>
      <c r="E313" s="20">
        <v>78</v>
      </c>
      <c r="F313" s="21">
        <f t="shared" si="13"/>
        <v>114.73654708520179</v>
      </c>
      <c r="G313" s="22">
        <v>0.28279784091187798</v>
      </c>
      <c r="H313" s="18">
        <v>1</v>
      </c>
      <c r="I313" s="18">
        <f t="shared" si="14"/>
        <v>0</v>
      </c>
      <c r="J313" s="41">
        <v>43592</v>
      </c>
      <c r="K313" s="36">
        <v>2019</v>
      </c>
      <c r="L313" s="32">
        <f t="shared" si="12"/>
        <v>43602</v>
      </c>
      <c r="M313" s="40">
        <v>1</v>
      </c>
      <c r="N313" s="33">
        <v>211</v>
      </c>
      <c r="O313" s="34">
        <f>AVERAGEIF(L3:L1205,"&lt;2019/5/7",N3:N1205)</f>
        <v>113.12612612612612</v>
      </c>
      <c r="P313" s="38">
        <v>1</v>
      </c>
      <c r="Q313" s="38">
        <f>AVERAGEIF(L3:L1205,"&lt;2019/5/7",P3:P1205)</f>
        <v>0.38626126126126126</v>
      </c>
      <c r="R313" s="38">
        <v>2</v>
      </c>
      <c r="S313" s="38">
        <f>AVERAGEIF(L3:L1205,"&lt;2019/5/7",R3:R1205)</f>
        <v>1.2297297297297298</v>
      </c>
      <c r="T313" s="38">
        <v>10</v>
      </c>
      <c r="U313" s="38">
        <f>AVERAGEIF(L3:L1205,"&lt;2019/5/7",T3:T1205)</f>
        <v>7.3806306306306304</v>
      </c>
      <c r="V313" s="24">
        <v>892</v>
      </c>
      <c r="W313" s="47" t="s">
        <v>4572</v>
      </c>
    </row>
    <row r="314" spans="1:23">
      <c r="A314" s="23">
        <v>2</v>
      </c>
      <c r="B314" s="23">
        <v>7</v>
      </c>
      <c r="C314" s="18">
        <v>4</v>
      </c>
      <c r="D314" s="18">
        <v>8</v>
      </c>
      <c r="E314" s="20">
        <v>105</v>
      </c>
      <c r="F314" s="21">
        <f t="shared" si="13"/>
        <v>114.74747474747475</v>
      </c>
      <c r="G314" s="22">
        <v>0.309917432704365</v>
      </c>
      <c r="H314" s="18">
        <v>1</v>
      </c>
      <c r="I314" s="18">
        <f t="shared" si="14"/>
        <v>0</v>
      </c>
      <c r="J314" s="41">
        <v>43592</v>
      </c>
      <c r="K314" s="36">
        <v>2019</v>
      </c>
      <c r="L314" s="32">
        <f t="shared" si="12"/>
        <v>43605</v>
      </c>
      <c r="M314" s="40">
        <v>1</v>
      </c>
      <c r="N314" s="33">
        <v>272</v>
      </c>
      <c r="O314" s="34">
        <f>AVERAGEIF(L3:L1205,"&lt;2019/5/7",N3:N1205)</f>
        <v>113.12612612612612</v>
      </c>
      <c r="P314" s="56">
        <v>3</v>
      </c>
      <c r="Q314" s="40">
        <f>AVERAGEIF(L3:L1205,"&lt;2019/5/7",P3:P1205)</f>
        <v>0.38626126126126126</v>
      </c>
      <c r="R314" s="40">
        <v>3</v>
      </c>
      <c r="S314" s="40">
        <f>AVERAGEIF(L3:L1205,"&lt;2019/5/7",R3:R1205)</f>
        <v>1.2297297297297298</v>
      </c>
      <c r="T314" s="56">
        <v>13</v>
      </c>
      <c r="U314" s="40">
        <f>AVERAGEIF(L3:L1205,"&lt;2019/5/7",T3:T1205)</f>
        <v>7.3806306306306304</v>
      </c>
      <c r="V314" s="24">
        <v>891</v>
      </c>
      <c r="W314" s="47" t="s">
        <v>4529</v>
      </c>
    </row>
    <row r="315" spans="1:23">
      <c r="A315" s="23">
        <v>2</v>
      </c>
      <c r="B315" s="23">
        <v>7</v>
      </c>
      <c r="C315" s="18">
        <v>4</v>
      </c>
      <c r="D315" s="18">
        <v>4</v>
      </c>
      <c r="E315" s="20">
        <v>108</v>
      </c>
      <c r="F315" s="21">
        <f t="shared" si="13"/>
        <v>114.75505617977528</v>
      </c>
      <c r="G315" s="22">
        <v>0.70502267569934696</v>
      </c>
      <c r="H315" s="18">
        <v>1</v>
      </c>
      <c r="I315" s="18">
        <f t="shared" si="14"/>
        <v>0</v>
      </c>
      <c r="J315" s="41">
        <v>43589</v>
      </c>
      <c r="K315" s="36">
        <v>2019</v>
      </c>
      <c r="L315" s="32">
        <f t="shared" si="12"/>
        <v>43602</v>
      </c>
      <c r="M315" s="40">
        <v>1</v>
      </c>
      <c r="N315" s="33">
        <v>211</v>
      </c>
      <c r="O315" s="34">
        <f>AVERAGEIF(L3:L1205,"&lt;2019/5/4",N3:N1205)</f>
        <v>113.14881623449831</v>
      </c>
      <c r="P315" s="38">
        <v>1</v>
      </c>
      <c r="Q315" s="38">
        <f>AVERAGEIF(L3:L1205,"&lt;2019/5/4",P3:P1205)</f>
        <v>0.38669673055242393</v>
      </c>
      <c r="R315" s="38">
        <v>3</v>
      </c>
      <c r="S315" s="38">
        <f>AVERAGEIF(L3:L1205,"&lt;2019/5/4",R3:R1205)</f>
        <v>1.229988726042841</v>
      </c>
      <c r="T315" s="38">
        <v>13</v>
      </c>
      <c r="U315" s="38">
        <f>AVERAGEIF(L3:L1205,"&lt;2019/5/4",T3:T1205)</f>
        <v>7.3788049605411503</v>
      </c>
      <c r="V315" s="24">
        <v>890</v>
      </c>
      <c r="W315" s="47" t="s">
        <v>4529</v>
      </c>
    </row>
    <row r="316" spans="1:23">
      <c r="A316" s="23">
        <v>2</v>
      </c>
      <c r="B316" s="23">
        <v>7</v>
      </c>
      <c r="C316" s="18">
        <v>4</v>
      </c>
      <c r="D316" s="18">
        <v>8</v>
      </c>
      <c r="E316" s="20">
        <v>123</v>
      </c>
      <c r="F316" s="21">
        <f t="shared" si="13"/>
        <v>114.74578177727784</v>
      </c>
      <c r="G316" s="22">
        <v>0.23285377473112301</v>
      </c>
      <c r="H316" s="18">
        <v>1</v>
      </c>
      <c r="I316" s="18">
        <f t="shared" si="14"/>
        <v>0</v>
      </c>
      <c r="J316" s="41">
        <v>43587</v>
      </c>
      <c r="K316" s="36">
        <v>2019</v>
      </c>
      <c r="L316" s="32">
        <f t="shared" si="12"/>
        <v>43602</v>
      </c>
      <c r="M316" s="40">
        <v>1</v>
      </c>
      <c r="N316" s="33">
        <v>211</v>
      </c>
      <c r="O316" s="34">
        <f>AVERAGEIF(L3:L1205,"&lt;2019/5/2",N3:N1205)</f>
        <v>113.14881623449831</v>
      </c>
      <c r="P316" s="54">
        <v>1</v>
      </c>
      <c r="Q316" s="38">
        <f>AVERAGEIF(L3:L1205,"&lt;2019/5/2",P3:P1205)</f>
        <v>0.38669673055242393</v>
      </c>
      <c r="R316" s="38">
        <v>3</v>
      </c>
      <c r="S316" s="38">
        <f>AVERAGEIF(L3:L1205,"&lt;2019/5/2",R3:R1205)</f>
        <v>1.229988726042841</v>
      </c>
      <c r="T316" s="54">
        <v>15</v>
      </c>
      <c r="U316" s="38">
        <f>AVERAGEIF(L3:L1205,"&lt;2019/5/2",T3:T1205)</f>
        <v>7.3788049605411503</v>
      </c>
      <c r="V316" s="24">
        <v>889</v>
      </c>
      <c r="W316" s="47" t="s">
        <v>4626</v>
      </c>
    </row>
    <row r="317" spans="1:23">
      <c r="A317" s="23">
        <v>2</v>
      </c>
      <c r="B317" s="23">
        <v>13</v>
      </c>
      <c r="C317" s="18">
        <v>4</v>
      </c>
      <c r="D317" s="18">
        <v>6</v>
      </c>
      <c r="E317" s="20">
        <v>29</v>
      </c>
      <c r="F317" s="21">
        <f t="shared" si="13"/>
        <v>114.84234234234235</v>
      </c>
      <c r="G317" s="22">
        <v>0.48626295973894701</v>
      </c>
      <c r="H317" s="18">
        <v>1</v>
      </c>
      <c r="I317" s="18">
        <f t="shared" si="14"/>
        <v>0</v>
      </c>
      <c r="J317" s="41">
        <v>43584</v>
      </c>
      <c r="K317" s="36">
        <v>2019</v>
      </c>
      <c r="L317" s="32">
        <f t="shared" si="12"/>
        <v>43585</v>
      </c>
      <c r="M317" s="37">
        <v>0</v>
      </c>
      <c r="N317" s="33">
        <v>86</v>
      </c>
      <c r="O317" s="34">
        <f>AVERAGEIF(L3:L1205,"&lt;2019/4/29",N3:N1205)</f>
        <v>113.15628539071348</v>
      </c>
      <c r="P317" s="54">
        <v>0</v>
      </c>
      <c r="Q317" s="38">
        <f>AVERAGEIF(L3:L1205,"&lt;2019/4/29",P3:P1205)</f>
        <v>0.38731596828992071</v>
      </c>
      <c r="R317" s="38">
        <v>1</v>
      </c>
      <c r="S317" s="38">
        <f>AVERAGEIF(L3:L1205,"&lt;2019/4/29",R3:R1205)</f>
        <v>1.2310305775764439</v>
      </c>
      <c r="T317" s="54">
        <v>1</v>
      </c>
      <c r="U317" s="38">
        <f>AVERAGEIF(L3:L1205,"&lt;2019/4/29",T3:T1205)</f>
        <v>7.4020385050962627</v>
      </c>
      <c r="V317" s="24">
        <v>888</v>
      </c>
      <c r="W317" s="47" t="s">
        <v>4564</v>
      </c>
    </row>
    <row r="318" spans="1:23">
      <c r="A318" s="23">
        <v>2</v>
      </c>
      <c r="B318" s="23">
        <v>4</v>
      </c>
      <c r="C318" s="18">
        <v>4</v>
      </c>
      <c r="D318" s="18">
        <v>2</v>
      </c>
      <c r="E318" s="20">
        <v>63</v>
      </c>
      <c r="F318" s="21">
        <f t="shared" si="13"/>
        <v>114.90078917700113</v>
      </c>
      <c r="G318" s="22">
        <v>0.44409489633307497</v>
      </c>
      <c r="H318" s="18">
        <v>0</v>
      </c>
      <c r="I318" s="18">
        <f t="shared" si="14"/>
        <v>1</v>
      </c>
      <c r="J318" s="48">
        <v>43583</v>
      </c>
      <c r="K318" s="36">
        <v>2019</v>
      </c>
      <c r="L318" s="32">
        <f t="shared" si="12"/>
        <v>43584</v>
      </c>
      <c r="M318" s="40">
        <v>0</v>
      </c>
      <c r="N318" s="33">
        <v>169</v>
      </c>
      <c r="O318" s="34">
        <f>AVERAGEIF(L3:L1205,"&lt;2019/4/28",N3:N1205)</f>
        <v>113.15628539071348</v>
      </c>
      <c r="P318" s="38">
        <v>0</v>
      </c>
      <c r="Q318" s="38">
        <f>AVERAGEIF(L3:L1205,"&lt;2019/4/28",P3:P1205)</f>
        <v>0.38731596828992071</v>
      </c>
      <c r="R318" s="38">
        <v>1</v>
      </c>
      <c r="S318" s="38">
        <f>AVERAGEIF(L3:L1205,"&lt;2019/4/28",R3:R1205)</f>
        <v>1.2310305775764439</v>
      </c>
      <c r="T318" s="38">
        <v>1</v>
      </c>
      <c r="U318" s="38">
        <f>AVERAGEIF(L3:L1205,"&lt;2019/4/28",T3:T1205)</f>
        <v>7.4020385050962627</v>
      </c>
      <c r="V318" s="24">
        <v>887</v>
      </c>
      <c r="W318" s="47" t="s">
        <v>4624</v>
      </c>
    </row>
    <row r="319" spans="1:23">
      <c r="A319" s="23">
        <v>2</v>
      </c>
      <c r="B319" s="23">
        <v>7</v>
      </c>
      <c r="C319" s="18">
        <v>4</v>
      </c>
      <c r="D319" s="18">
        <v>4</v>
      </c>
      <c r="E319" s="20">
        <v>53</v>
      </c>
      <c r="F319" s="21">
        <f t="shared" si="13"/>
        <v>114.9706546275395</v>
      </c>
      <c r="G319" s="22">
        <v>0.40333233601260698</v>
      </c>
      <c r="H319" s="18">
        <v>1</v>
      </c>
      <c r="I319" s="18">
        <f t="shared" si="14"/>
        <v>0</v>
      </c>
      <c r="J319" s="41">
        <v>43582</v>
      </c>
      <c r="K319" s="36">
        <v>2019</v>
      </c>
      <c r="L319" s="32">
        <f t="shared" si="12"/>
        <v>43591</v>
      </c>
      <c r="M319" s="40">
        <v>0</v>
      </c>
      <c r="N319" s="33">
        <v>93</v>
      </c>
      <c r="O319" s="34">
        <f>AVERAGEIF(L3:L1205,"&lt;2019/4/27",N3:N1205)</f>
        <v>113.15628539071348</v>
      </c>
      <c r="P319" s="38">
        <v>0</v>
      </c>
      <c r="Q319" s="38">
        <f>AVERAGEIF(L3:L1205,"&lt;2019/4/27",P3:P1205)</f>
        <v>0.38731596828992071</v>
      </c>
      <c r="R319" s="38">
        <v>1</v>
      </c>
      <c r="S319" s="38">
        <f>AVERAGEIF(L3:L1205,"&lt;2019/4/27",R3:R1205)</f>
        <v>1.2310305775764439</v>
      </c>
      <c r="T319" s="38">
        <v>9</v>
      </c>
      <c r="U319" s="38">
        <f>AVERAGEIF(L3:L1205,"&lt;2019/4/27",T3:T1205)</f>
        <v>7.4020385050962627</v>
      </c>
      <c r="V319" s="24">
        <v>886</v>
      </c>
      <c r="W319" s="47" t="s">
        <v>4529</v>
      </c>
    </row>
    <row r="320" spans="1:23">
      <c r="A320" s="23">
        <v>2</v>
      </c>
      <c r="B320" s="23">
        <v>13</v>
      </c>
      <c r="C320" s="18">
        <v>5</v>
      </c>
      <c r="D320" s="18">
        <v>6</v>
      </c>
      <c r="E320" s="20">
        <v>101</v>
      </c>
      <c r="F320" s="21">
        <f t="shared" si="13"/>
        <v>114.9864406779661</v>
      </c>
      <c r="G320" s="22">
        <v>0.41370185943311</v>
      </c>
      <c r="H320" s="18">
        <v>1</v>
      </c>
      <c r="I320" s="18">
        <f t="shared" si="14"/>
        <v>0</v>
      </c>
      <c r="J320" s="41">
        <v>43582</v>
      </c>
      <c r="K320" s="36">
        <v>2019</v>
      </c>
      <c r="L320" s="32">
        <f t="shared" si="12"/>
        <v>43585</v>
      </c>
      <c r="M320" s="40">
        <v>1</v>
      </c>
      <c r="N320" s="33">
        <v>86</v>
      </c>
      <c r="O320" s="34">
        <f>AVERAGEIF(L3:L1205,"&lt;2019/4/27",N3:N1205)</f>
        <v>113.15628539071348</v>
      </c>
      <c r="P320" s="38">
        <v>1</v>
      </c>
      <c r="Q320" s="38">
        <f>AVERAGEIF(L3:L1205,"&lt;2019/4/27",P3:P1205)</f>
        <v>0.38731596828992071</v>
      </c>
      <c r="R320" s="38">
        <v>1</v>
      </c>
      <c r="S320" s="38">
        <f>AVERAGEIF(L3:L1205,"&lt;2019/4/27",R3:R1205)</f>
        <v>1.2310305775764439</v>
      </c>
      <c r="T320" s="38">
        <v>3</v>
      </c>
      <c r="U320" s="38">
        <f>AVERAGEIF(L3:L1205,"&lt;2019/4/27",T3:T1205)</f>
        <v>7.4020385050962627</v>
      </c>
      <c r="V320" s="24">
        <v>885</v>
      </c>
      <c r="W320" s="47" t="s">
        <v>4529</v>
      </c>
    </row>
    <row r="321" spans="1:23">
      <c r="A321" s="23">
        <v>2</v>
      </c>
      <c r="B321" s="23">
        <v>6</v>
      </c>
      <c r="C321" s="18">
        <v>4</v>
      </c>
      <c r="D321" s="18">
        <v>6</v>
      </c>
      <c r="E321" s="20">
        <v>190</v>
      </c>
      <c r="F321" s="21">
        <f t="shared" si="13"/>
        <v>114.90158371040724</v>
      </c>
      <c r="G321" s="22">
        <v>0.68181104316590402</v>
      </c>
      <c r="H321" s="18">
        <v>1</v>
      </c>
      <c r="I321" s="18">
        <f t="shared" si="14"/>
        <v>0</v>
      </c>
      <c r="J321" s="41">
        <v>43581</v>
      </c>
      <c r="K321" s="36">
        <v>2019</v>
      </c>
      <c r="L321" s="32">
        <f t="shared" si="12"/>
        <v>43585</v>
      </c>
      <c r="M321" s="40">
        <v>1</v>
      </c>
      <c r="N321" s="33">
        <v>105</v>
      </c>
      <c r="O321" s="34">
        <f>AVERAGEIF(L3:L1205,"&lt;2019/4/26",N3:N1205)</f>
        <v>113.15628539071348</v>
      </c>
      <c r="P321" s="38">
        <v>0</v>
      </c>
      <c r="Q321" s="38">
        <f>AVERAGEIF(L3:L1205,"&lt;2019/4/26",P3:P1205)</f>
        <v>0.38731596828992071</v>
      </c>
      <c r="R321" s="38">
        <v>1</v>
      </c>
      <c r="S321" s="38">
        <f>AVERAGEIF(L3:L1205,"&lt;2019/4/26",R3:R1205)</f>
        <v>1.2310305775764439</v>
      </c>
      <c r="T321" s="38">
        <v>4</v>
      </c>
      <c r="U321" s="38">
        <f>AVERAGEIF(L3:L1205,"&lt;2019/4/26",T3:T1205)</f>
        <v>7.4020385050962627</v>
      </c>
      <c r="V321" s="24">
        <v>884</v>
      </c>
      <c r="W321" s="47" t="s">
        <v>4618</v>
      </c>
    </row>
    <row r="322" spans="1:23">
      <c r="A322" s="23">
        <v>2</v>
      </c>
      <c r="B322" s="23">
        <v>7</v>
      </c>
      <c r="C322" s="18">
        <v>4</v>
      </c>
      <c r="D322" s="18">
        <v>8</v>
      </c>
      <c r="E322" s="20">
        <v>211</v>
      </c>
      <c r="F322" s="21">
        <f t="shared" si="13"/>
        <v>114.79275198187996</v>
      </c>
      <c r="G322" s="22">
        <v>0.256130046781608</v>
      </c>
      <c r="H322" s="18">
        <v>1</v>
      </c>
      <c r="I322" s="18">
        <f t="shared" si="14"/>
        <v>0</v>
      </c>
      <c r="J322" s="41">
        <v>43577</v>
      </c>
      <c r="K322" s="36">
        <v>2019</v>
      </c>
      <c r="L322" s="32">
        <f t="shared" si="12"/>
        <v>43579</v>
      </c>
      <c r="M322" s="40">
        <v>1</v>
      </c>
      <c r="N322" s="33">
        <v>52</v>
      </c>
      <c r="O322" s="34">
        <f>AVERAGEIF(L3:L1205,"&lt;2019/4/22",N3:N1205)</f>
        <v>113.11464245175937</v>
      </c>
      <c r="P322" s="38">
        <v>0</v>
      </c>
      <c r="Q322" s="38">
        <f>AVERAGEIF(L3:L1205,"&lt;2019/4/22",P3:P1205)</f>
        <v>0.38819523269012485</v>
      </c>
      <c r="R322" s="38">
        <v>1</v>
      </c>
      <c r="S322" s="38">
        <f>AVERAGEIF(L3:L1205,"&lt;2019/4/22",R3:R1205)</f>
        <v>1.2315550510783202</v>
      </c>
      <c r="T322" s="38">
        <v>2</v>
      </c>
      <c r="U322" s="38">
        <f>AVERAGEIF(L3:L1205,"&lt;2019/4/22",T3:T1205)</f>
        <v>7.4120317820658341</v>
      </c>
      <c r="V322" s="24">
        <v>883</v>
      </c>
      <c r="W322" s="47" t="s">
        <v>4529</v>
      </c>
    </row>
    <row r="323" spans="1:23">
      <c r="A323" s="23">
        <v>2</v>
      </c>
      <c r="B323" s="23">
        <v>7</v>
      </c>
      <c r="C323" s="18">
        <v>4</v>
      </c>
      <c r="D323" s="18">
        <v>8</v>
      </c>
      <c r="E323" s="20">
        <v>258</v>
      </c>
      <c r="F323" s="21">
        <f t="shared" si="13"/>
        <v>114.63038548752834</v>
      </c>
      <c r="G323" s="22">
        <v>0.305578110278236</v>
      </c>
      <c r="H323" s="18">
        <v>1</v>
      </c>
      <c r="I323" s="18">
        <f t="shared" si="14"/>
        <v>0</v>
      </c>
      <c r="J323" s="41">
        <v>43574</v>
      </c>
      <c r="K323" s="36">
        <v>2019</v>
      </c>
      <c r="L323" s="32">
        <f t="shared" ref="L323:L386" si="15">J323+T323</f>
        <v>43578</v>
      </c>
      <c r="M323" s="40">
        <v>1</v>
      </c>
      <c r="N323" s="33">
        <v>211</v>
      </c>
      <c r="O323" s="34">
        <f>AVERAGEIF(L3:L1205,"&lt;2019/4/19",N3:N1205)</f>
        <v>113.11464245175937</v>
      </c>
      <c r="P323" s="38">
        <v>0</v>
      </c>
      <c r="Q323" s="38">
        <f>AVERAGEIF(L3:L1205,"&lt;2019/4/19",P3:P1205)</f>
        <v>0.38819523269012485</v>
      </c>
      <c r="R323" s="38">
        <v>1</v>
      </c>
      <c r="S323" s="38">
        <f>AVERAGEIF(L3:L1205,"&lt;2019/4/19",R3:R1205)</f>
        <v>1.2315550510783202</v>
      </c>
      <c r="T323" s="38">
        <v>4</v>
      </c>
      <c r="U323" s="38">
        <f>AVERAGEIF(L3:L1205,"&lt;2019/4/19",T3:T1205)</f>
        <v>7.4120317820658341</v>
      </c>
      <c r="V323" s="24">
        <v>882</v>
      </c>
      <c r="W323" s="47" t="s">
        <v>4563</v>
      </c>
    </row>
    <row r="324" spans="1:23">
      <c r="A324" s="23">
        <v>2</v>
      </c>
      <c r="B324" s="23">
        <v>7</v>
      </c>
      <c r="C324" s="18">
        <v>4</v>
      </c>
      <c r="D324" s="18">
        <v>4</v>
      </c>
      <c r="E324" s="20">
        <v>48</v>
      </c>
      <c r="F324" s="21">
        <f t="shared" ref="F324:F387" si="16">AVERAGE(E325:E1526)</f>
        <v>114.70601589103292</v>
      </c>
      <c r="G324" s="22">
        <v>0.48494854277815702</v>
      </c>
      <c r="H324" s="18">
        <v>1</v>
      </c>
      <c r="I324" s="18">
        <f t="shared" ref="I324:I387" si="17">IF(H324=1,0,1)</f>
        <v>0</v>
      </c>
      <c r="J324" s="41">
        <v>43569</v>
      </c>
      <c r="K324" s="36">
        <v>2019</v>
      </c>
      <c r="L324" s="32">
        <f t="shared" si="15"/>
        <v>43598</v>
      </c>
      <c r="M324" s="40">
        <v>0</v>
      </c>
      <c r="N324" s="33">
        <v>172</v>
      </c>
      <c r="O324" s="34">
        <f>AVERAGEIF(L3:L1205,"&lt;2019/4/14",N3:N1205)</f>
        <v>113.46057142857143</v>
      </c>
      <c r="P324" s="40">
        <v>6</v>
      </c>
      <c r="Q324" s="40">
        <f>AVERAGEIF(L3:L1205,"&lt;2019/4/14",P3:P1205)</f>
        <v>0.38857142857142857</v>
      </c>
      <c r="R324" s="40">
        <v>2</v>
      </c>
      <c r="S324" s="40">
        <f>AVERAGEIF(L3:L1205,"&lt;2019/4/14",R3:R1205)</f>
        <v>1.232</v>
      </c>
      <c r="T324" s="40">
        <v>29</v>
      </c>
      <c r="U324" s="40">
        <f>AVERAGEIF(L3:L1205,"&lt;2019/4/14",T3:T1205)</f>
        <v>7.4045714285714288</v>
      </c>
      <c r="V324" s="24">
        <v>881</v>
      </c>
      <c r="W324" s="47" t="s">
        <v>4650</v>
      </c>
    </row>
    <row r="325" spans="1:23">
      <c r="A325" s="23">
        <v>3</v>
      </c>
      <c r="B325" s="23">
        <v>25</v>
      </c>
      <c r="C325" s="18">
        <v>5</v>
      </c>
      <c r="D325" s="18">
        <v>6</v>
      </c>
      <c r="E325" s="20">
        <v>71</v>
      </c>
      <c r="F325" s="21">
        <f t="shared" si="16"/>
        <v>114.75568181818181</v>
      </c>
      <c r="G325" s="22">
        <v>0.34090909090909199</v>
      </c>
      <c r="H325" s="3">
        <v>1</v>
      </c>
      <c r="I325" s="18">
        <f t="shared" si="17"/>
        <v>0</v>
      </c>
      <c r="J325" s="41">
        <v>43569</v>
      </c>
      <c r="K325" s="36">
        <v>2019</v>
      </c>
      <c r="L325" s="32">
        <f t="shared" si="15"/>
        <v>43572</v>
      </c>
      <c r="M325" s="40">
        <v>1</v>
      </c>
      <c r="N325" s="33">
        <v>85</v>
      </c>
      <c r="O325" s="34">
        <f>AVERAGEIF(L3:L1205,"&lt;2019/4/14",N3:N1205)</f>
        <v>113.46057142857143</v>
      </c>
      <c r="P325" s="38">
        <v>1</v>
      </c>
      <c r="Q325" s="38">
        <f>AVERAGEIF(L3:L1205,"&lt;2019/4/14",P3:P1205)</f>
        <v>0.38857142857142857</v>
      </c>
      <c r="R325" s="38">
        <v>1</v>
      </c>
      <c r="S325" s="38">
        <f>AVERAGEIF(L3:L1205,"&lt;2019/4/14",R3:R1205)</f>
        <v>1.232</v>
      </c>
      <c r="T325" s="38">
        <v>3</v>
      </c>
      <c r="U325" s="38">
        <f>AVERAGEIF(L3:L1205,"&lt;2019/4/14",T3:T1205)</f>
        <v>7.4045714285714288</v>
      </c>
      <c r="V325" s="24">
        <v>880</v>
      </c>
      <c r="W325" s="47" t="s">
        <v>4618</v>
      </c>
    </row>
    <row r="326" spans="1:23">
      <c r="A326" s="23">
        <v>2</v>
      </c>
      <c r="B326" s="23">
        <v>6</v>
      </c>
      <c r="C326" s="18">
        <v>4</v>
      </c>
      <c r="D326" s="18">
        <v>4</v>
      </c>
      <c r="E326" s="20">
        <v>95</v>
      </c>
      <c r="F326" s="21">
        <f t="shared" si="16"/>
        <v>114.77815699658703</v>
      </c>
      <c r="G326" s="22">
        <v>0.859252179026188</v>
      </c>
      <c r="H326" s="18">
        <v>1</v>
      </c>
      <c r="I326" s="18">
        <f t="shared" si="17"/>
        <v>0</v>
      </c>
      <c r="J326" s="52">
        <v>43568</v>
      </c>
      <c r="K326" s="36">
        <v>2019</v>
      </c>
      <c r="L326" s="32">
        <f t="shared" si="15"/>
        <v>43571</v>
      </c>
      <c r="M326" s="40">
        <v>0</v>
      </c>
      <c r="N326" s="33">
        <v>121</v>
      </c>
      <c r="O326" s="34">
        <f>AVERAGEIF(L3:L1205,"&lt;2019/4/13",N3:N1205)</f>
        <v>113.46057142857143</v>
      </c>
      <c r="P326" s="54">
        <v>0</v>
      </c>
      <c r="Q326" s="38">
        <f>AVERAGEIF(L3:L1205,"&lt;2019/4/13",P3:P1205)</f>
        <v>0.38857142857142857</v>
      </c>
      <c r="R326" s="38">
        <v>1</v>
      </c>
      <c r="S326" s="38">
        <f>AVERAGEIF(L3:L1205,"&lt;2019/4/13",R3:R1205)</f>
        <v>1.232</v>
      </c>
      <c r="T326" s="54">
        <v>3</v>
      </c>
      <c r="U326" s="38">
        <f>AVERAGEIF(L3:L1205,"&lt;2019/4/13",T3:T1205)</f>
        <v>7.4045714285714288</v>
      </c>
      <c r="V326" s="24">
        <v>879</v>
      </c>
      <c r="W326" s="47" t="s">
        <v>4542</v>
      </c>
    </row>
    <row r="327" spans="1:23">
      <c r="A327" s="23">
        <v>4</v>
      </c>
      <c r="B327" s="23">
        <v>30</v>
      </c>
      <c r="C327" s="18">
        <v>5</v>
      </c>
      <c r="D327" s="18">
        <v>1</v>
      </c>
      <c r="E327" s="20">
        <v>150</v>
      </c>
      <c r="F327" s="21">
        <f t="shared" si="16"/>
        <v>114.73804100227791</v>
      </c>
      <c r="G327" s="22">
        <v>0.84090908992082103</v>
      </c>
      <c r="H327" s="18">
        <v>1</v>
      </c>
      <c r="I327" s="18">
        <f t="shared" si="17"/>
        <v>0</v>
      </c>
      <c r="J327" s="45">
        <v>43567</v>
      </c>
      <c r="K327" s="36">
        <v>2019</v>
      </c>
      <c r="L327" s="32">
        <f t="shared" si="15"/>
        <v>43571</v>
      </c>
      <c r="M327" s="42">
        <v>0</v>
      </c>
      <c r="N327" s="33">
        <v>44</v>
      </c>
      <c r="O327" s="34">
        <f>AVERAGEIF(L3:L1205,"&lt;2019/4/12",N3:N1205)</f>
        <v>113.50057273768614</v>
      </c>
      <c r="P327" s="54">
        <v>0</v>
      </c>
      <c r="Q327" s="38">
        <f>AVERAGEIF(L3:L1205,"&lt;2019/4/12",P3:P1205)</f>
        <v>0.38946162657502864</v>
      </c>
      <c r="R327" s="38">
        <v>1</v>
      </c>
      <c r="S327" s="38">
        <f>AVERAGEIF(L3:L1205,"&lt;2019/4/12",R3:R1205)</f>
        <v>1.2325315005727377</v>
      </c>
      <c r="T327" s="54">
        <v>4</v>
      </c>
      <c r="U327" s="38">
        <f>AVERAGEIF(L3:L1205,"&lt;2019/4/12",T3:T1205)</f>
        <v>7.4158075601374573</v>
      </c>
      <c r="V327" s="24">
        <v>878</v>
      </c>
      <c r="W327" s="47" t="s">
        <v>4563</v>
      </c>
    </row>
    <row r="328" spans="1:23">
      <c r="A328" s="23">
        <v>2</v>
      </c>
      <c r="B328" s="23">
        <v>6</v>
      </c>
      <c r="C328" s="18">
        <v>4</v>
      </c>
      <c r="D328" s="18">
        <v>3</v>
      </c>
      <c r="E328" s="20">
        <v>285</v>
      </c>
      <c r="F328" s="21">
        <f t="shared" si="16"/>
        <v>114.54389965792474</v>
      </c>
      <c r="G328" s="22">
        <v>0.23284549614733099</v>
      </c>
      <c r="H328" s="18">
        <v>1</v>
      </c>
      <c r="I328" s="18">
        <f t="shared" si="17"/>
        <v>0</v>
      </c>
      <c r="J328" s="41">
        <v>43565</v>
      </c>
      <c r="K328" s="36">
        <v>2019</v>
      </c>
      <c r="L328" s="32">
        <f t="shared" si="15"/>
        <v>43567</v>
      </c>
      <c r="M328" s="40">
        <v>1</v>
      </c>
      <c r="N328" s="33">
        <v>96</v>
      </c>
      <c r="O328" s="34">
        <f>AVERAGEIF(L3:L1205,"&lt;2019/4/10",N3:N1205)</f>
        <v>113.56880733944953</v>
      </c>
      <c r="P328" s="38">
        <v>0</v>
      </c>
      <c r="Q328" s="38">
        <f>AVERAGEIF(L3:L1205,"&lt;2019/4/10",P3:P1205)</f>
        <v>0.38876146788990823</v>
      </c>
      <c r="R328" s="38">
        <v>1</v>
      </c>
      <c r="S328" s="38">
        <f>AVERAGEIF(L3:L1205,"&lt;2019/4/10",R3:R1205)</f>
        <v>1.2316513761467891</v>
      </c>
      <c r="T328" s="38">
        <v>2</v>
      </c>
      <c r="U328" s="38">
        <f>AVERAGEIF(L3:L1205,"&lt;2019/4/10",T3:T1205)</f>
        <v>7.4105504587155959</v>
      </c>
      <c r="V328" s="24">
        <v>877</v>
      </c>
      <c r="W328" s="47" t="s">
        <v>4855</v>
      </c>
    </row>
    <row r="329" spans="1:23">
      <c r="A329" s="23">
        <v>2</v>
      </c>
      <c r="B329" s="23">
        <v>6</v>
      </c>
      <c r="C329" s="18">
        <v>4</v>
      </c>
      <c r="D329" s="18">
        <v>6</v>
      </c>
      <c r="E329" s="20">
        <v>285</v>
      </c>
      <c r="F329" s="21">
        <f t="shared" si="16"/>
        <v>114.34931506849315</v>
      </c>
      <c r="G329" s="22">
        <v>0.23284549614733099</v>
      </c>
      <c r="H329" s="18">
        <v>1</v>
      </c>
      <c r="I329" s="18">
        <f t="shared" si="17"/>
        <v>0</v>
      </c>
      <c r="J329" s="41">
        <v>43564</v>
      </c>
      <c r="K329" s="36">
        <v>2019</v>
      </c>
      <c r="L329" s="32">
        <f t="shared" si="15"/>
        <v>43567</v>
      </c>
      <c r="M329" s="40">
        <v>1</v>
      </c>
      <c r="N329" s="33">
        <v>96</v>
      </c>
      <c r="O329" s="34">
        <f>AVERAGEIF(L3:L1205,"&lt;2019/4/9",N3:N1205)</f>
        <v>113.73563218390805</v>
      </c>
      <c r="P329" s="54">
        <v>0</v>
      </c>
      <c r="Q329" s="38">
        <f>AVERAGEIF(L3:L1205,"&lt;2019/4/9",P3:P1205)</f>
        <v>0.3896551724137931</v>
      </c>
      <c r="R329" s="38">
        <v>1</v>
      </c>
      <c r="S329" s="38">
        <f>AVERAGEIF(L3:L1205,"&lt;2019/4/9",R3:R1205)</f>
        <v>1.2321839080459771</v>
      </c>
      <c r="T329" s="54">
        <v>3</v>
      </c>
      <c r="U329" s="38">
        <f>AVERAGEIF(L3:L1205,"&lt;2019/4/9",T3:T1205)</f>
        <v>7.3954022988505743</v>
      </c>
      <c r="V329" s="24">
        <v>876</v>
      </c>
      <c r="W329" s="47" t="s">
        <v>4855</v>
      </c>
    </row>
    <row r="330" spans="1:23">
      <c r="A330" s="23">
        <v>4</v>
      </c>
      <c r="B330" s="23">
        <v>30</v>
      </c>
      <c r="C330" s="18">
        <v>5</v>
      </c>
      <c r="D330" s="18">
        <v>1</v>
      </c>
      <c r="E330" s="20">
        <v>93</v>
      </c>
      <c r="F330" s="21">
        <f t="shared" si="16"/>
        <v>114.37371428571429</v>
      </c>
      <c r="G330" s="22">
        <v>0.80500978750932894</v>
      </c>
      <c r="H330" s="18">
        <v>1</v>
      </c>
      <c r="I330" s="18">
        <f t="shared" si="17"/>
        <v>0</v>
      </c>
      <c r="J330" s="45">
        <v>43559</v>
      </c>
      <c r="K330" s="36">
        <v>2019</v>
      </c>
      <c r="L330" s="32">
        <f t="shared" si="15"/>
        <v>43570</v>
      </c>
      <c r="M330" s="42">
        <v>0</v>
      </c>
      <c r="N330" s="33">
        <v>44</v>
      </c>
      <c r="O330" s="34">
        <f>AVERAGEIF(L3:L1205,"&lt;2019/4/4",N3:N1205)</f>
        <v>113.73617511520737</v>
      </c>
      <c r="P330" s="38">
        <v>1</v>
      </c>
      <c r="Q330" s="38">
        <f>AVERAGEIF(L3:L1205,"&lt;2019/4/4",P3:P1205)</f>
        <v>0.38940092165898615</v>
      </c>
      <c r="R330" s="38">
        <v>2</v>
      </c>
      <c r="S330" s="38">
        <f>AVERAGEIF(L3:L1205,"&lt;2019/4/4",R3:R1205)</f>
        <v>1.2327188940092166</v>
      </c>
      <c r="T330" s="38">
        <v>11</v>
      </c>
      <c r="U330" s="38">
        <f>AVERAGEIF(L3:L1205,"&lt;2019/4/4",T3:T1205)</f>
        <v>7.403225806451613</v>
      </c>
      <c r="V330" s="24">
        <v>875</v>
      </c>
      <c r="W330" s="47" t="s">
        <v>4563</v>
      </c>
    </row>
    <row r="331" spans="1:23">
      <c r="A331" s="23">
        <v>3</v>
      </c>
      <c r="B331" s="23">
        <v>25</v>
      </c>
      <c r="C331" s="18">
        <v>5</v>
      </c>
      <c r="D331" s="18">
        <v>6</v>
      </c>
      <c r="E331" s="20">
        <v>12</v>
      </c>
      <c r="F331" s="21">
        <f t="shared" si="16"/>
        <v>114.49084668192219</v>
      </c>
      <c r="G331" s="22">
        <v>0.52324511959527098</v>
      </c>
      <c r="H331" s="3">
        <v>1</v>
      </c>
      <c r="I331" s="18">
        <f t="shared" si="17"/>
        <v>0</v>
      </c>
      <c r="J331" s="41">
        <v>43558</v>
      </c>
      <c r="K331" s="36">
        <v>2019</v>
      </c>
      <c r="L331" s="32">
        <f t="shared" si="15"/>
        <v>43563</v>
      </c>
      <c r="M331" s="37">
        <v>0</v>
      </c>
      <c r="N331" s="33">
        <v>86</v>
      </c>
      <c r="O331" s="34">
        <f>AVERAGEIF(L3:L1205,"&lt;2019/4/3",N3:N1205)</f>
        <v>113.73617511520737</v>
      </c>
      <c r="P331" s="38">
        <v>1</v>
      </c>
      <c r="Q331" s="38">
        <f>AVERAGEIF(L3:L1205,"&lt;2019/4/3",P3:P1205)</f>
        <v>0.38940092165898615</v>
      </c>
      <c r="R331" s="38">
        <v>1</v>
      </c>
      <c r="S331" s="38">
        <f>AVERAGEIF(L3:L1205,"&lt;2019/4/3",R3:R1205)</f>
        <v>1.2327188940092166</v>
      </c>
      <c r="T331" s="38">
        <v>5</v>
      </c>
      <c r="U331" s="38">
        <f>AVERAGEIF(L3:L1205,"&lt;2019/4/3",T3:T1205)</f>
        <v>7.403225806451613</v>
      </c>
      <c r="V331" s="24">
        <v>874</v>
      </c>
      <c r="W331" s="47" t="s">
        <v>4529</v>
      </c>
    </row>
    <row r="332" spans="1:23">
      <c r="A332" s="23">
        <v>2</v>
      </c>
      <c r="B332" s="23">
        <v>7</v>
      </c>
      <c r="C332" s="18">
        <v>4</v>
      </c>
      <c r="D332" s="18">
        <v>1</v>
      </c>
      <c r="E332" s="20">
        <v>266</v>
      </c>
      <c r="F332" s="21">
        <f t="shared" si="16"/>
        <v>114.31729667812142</v>
      </c>
      <c r="G332" s="22">
        <v>0.62170283796812698</v>
      </c>
      <c r="H332" s="18">
        <v>1</v>
      </c>
      <c r="I332" s="18">
        <f t="shared" si="17"/>
        <v>0</v>
      </c>
      <c r="J332" s="41">
        <v>43557</v>
      </c>
      <c r="K332" s="36">
        <v>2019</v>
      </c>
      <c r="L332" s="32">
        <f t="shared" si="15"/>
        <v>43572</v>
      </c>
      <c r="M332" s="40">
        <v>0</v>
      </c>
      <c r="N332" s="33">
        <v>41</v>
      </c>
      <c r="O332" s="34">
        <f>AVERAGEIF(L3:L1205,"&lt;2019/4/2",N3:N1205)</f>
        <v>113.73617511520737</v>
      </c>
      <c r="P332" s="54">
        <v>0</v>
      </c>
      <c r="Q332" s="38">
        <f>AVERAGEIF(L3:L1205,"&lt;2019/4/2",P3:P1205)</f>
        <v>0.38940092165898615</v>
      </c>
      <c r="R332" s="38">
        <v>1</v>
      </c>
      <c r="S332" s="38">
        <f>AVERAGEIF(L3:L1205,"&lt;2019/4/2",R3:R1205)</f>
        <v>1.2327188940092166</v>
      </c>
      <c r="T332" s="54">
        <v>15</v>
      </c>
      <c r="U332" s="38">
        <f>AVERAGEIF(L3:L1205,"&lt;2019/4/2",T3:T1205)</f>
        <v>7.403225806451613</v>
      </c>
      <c r="V332" s="24">
        <v>873</v>
      </c>
      <c r="W332" s="47" t="s">
        <v>4550</v>
      </c>
    </row>
    <row r="333" spans="1:23">
      <c r="A333" s="23">
        <v>2</v>
      </c>
      <c r="B333" s="23">
        <v>7</v>
      </c>
      <c r="C333" s="18">
        <v>4</v>
      </c>
      <c r="D333" s="18">
        <v>1</v>
      </c>
      <c r="E333" s="20">
        <v>152</v>
      </c>
      <c r="F333" s="21">
        <f t="shared" si="16"/>
        <v>114.27408256880734</v>
      </c>
      <c r="G333" s="22">
        <v>0.37500011227977098</v>
      </c>
      <c r="H333" s="18">
        <v>1</v>
      </c>
      <c r="I333" s="18">
        <f t="shared" si="17"/>
        <v>0</v>
      </c>
      <c r="J333" s="41">
        <v>43557</v>
      </c>
      <c r="K333" s="36">
        <v>2019</v>
      </c>
      <c r="L333" s="32">
        <f t="shared" si="15"/>
        <v>43572</v>
      </c>
      <c r="M333" s="40">
        <v>0</v>
      </c>
      <c r="N333" s="33">
        <v>41</v>
      </c>
      <c r="O333" s="34">
        <f>AVERAGEIF(L3:L1205,"&lt;2019/4/2",N3:N1205)</f>
        <v>113.73617511520737</v>
      </c>
      <c r="P333" s="38">
        <v>0</v>
      </c>
      <c r="Q333" s="38">
        <f>AVERAGEIF(L3:L1205,"&lt;2019/4/2",P3:P1205)</f>
        <v>0.38940092165898615</v>
      </c>
      <c r="R333" s="38">
        <v>1</v>
      </c>
      <c r="S333" s="38">
        <f>AVERAGEIF(L3:L1205,"&lt;2019/4/2",R3:R1205)</f>
        <v>1.2327188940092166</v>
      </c>
      <c r="T333" s="38">
        <v>15</v>
      </c>
      <c r="U333" s="38">
        <f>AVERAGEIF(L3:L1205,"&lt;2019/4/2",T3:T1205)</f>
        <v>7.403225806451613</v>
      </c>
      <c r="V333" s="24">
        <v>872</v>
      </c>
      <c r="W333" s="47" t="s">
        <v>4529</v>
      </c>
    </row>
    <row r="334" spans="1:23">
      <c r="A334" s="23">
        <v>2</v>
      </c>
      <c r="B334" s="23">
        <v>12</v>
      </c>
      <c r="C334" s="18">
        <v>1</v>
      </c>
      <c r="D334" s="18">
        <v>1</v>
      </c>
      <c r="E334" s="20">
        <v>159</v>
      </c>
      <c r="F334" s="21">
        <f t="shared" si="16"/>
        <v>114.22273249138921</v>
      </c>
      <c r="G334" s="22">
        <v>0.38436404311211197</v>
      </c>
      <c r="H334" s="18">
        <v>1</v>
      </c>
      <c r="I334" s="18">
        <f t="shared" si="17"/>
        <v>0</v>
      </c>
      <c r="J334" s="41">
        <v>43556</v>
      </c>
      <c r="K334" s="36">
        <v>2019</v>
      </c>
      <c r="L334" s="32">
        <f t="shared" si="15"/>
        <v>43559</v>
      </c>
      <c r="M334" s="40">
        <v>1</v>
      </c>
      <c r="N334" s="33">
        <v>141</v>
      </c>
      <c r="O334" s="34">
        <f>AVERAGEIF(L3:L1205,"&lt;2019/4/1",N3:N1205)</f>
        <v>113.73617511520737</v>
      </c>
      <c r="P334" s="40">
        <v>0</v>
      </c>
      <c r="Q334" s="40">
        <f>AVERAGEIF(L3:L1205,"&lt;2019/4/1",P3:P1205)</f>
        <v>0.38940092165898615</v>
      </c>
      <c r="R334" s="40">
        <v>1</v>
      </c>
      <c r="S334" s="40">
        <f>AVERAGEIF(L3:L1205,"&lt;2019/4/1",R3:R1205)</f>
        <v>1.2327188940092166</v>
      </c>
      <c r="T334" s="40">
        <v>3</v>
      </c>
      <c r="U334" s="40">
        <f>AVERAGEIF(L3:L1205,"&lt;2019/4/1",T3:T1205)</f>
        <v>7.403225806451613</v>
      </c>
      <c r="V334" s="24">
        <v>871</v>
      </c>
      <c r="W334" s="47" t="s">
        <v>4742</v>
      </c>
    </row>
    <row r="335" spans="1:23">
      <c r="A335" s="23">
        <v>2</v>
      </c>
      <c r="B335" s="23">
        <v>6</v>
      </c>
      <c r="C335" s="18">
        <v>4</v>
      </c>
      <c r="D335" s="18">
        <v>6</v>
      </c>
      <c r="E335" s="20">
        <v>98</v>
      </c>
      <c r="F335" s="21">
        <f t="shared" si="16"/>
        <v>114.24137931034483</v>
      </c>
      <c r="G335" s="22">
        <v>0.43999118204698701</v>
      </c>
      <c r="H335" s="18">
        <v>1</v>
      </c>
      <c r="I335" s="18">
        <f t="shared" si="17"/>
        <v>0</v>
      </c>
      <c r="J335" s="41">
        <v>43553</v>
      </c>
      <c r="K335" s="36">
        <v>2019</v>
      </c>
      <c r="L335" s="32">
        <f t="shared" si="15"/>
        <v>43565</v>
      </c>
      <c r="M335" s="40">
        <v>0</v>
      </c>
      <c r="N335" s="33">
        <v>54</v>
      </c>
      <c r="O335" s="34">
        <f>AVERAGEIF(L3:L1205,"&lt;2019/3/29",N3:N1205)</f>
        <v>113.66435986159169</v>
      </c>
      <c r="P335" s="38">
        <v>1</v>
      </c>
      <c r="Q335" s="38">
        <f>AVERAGEIF(L3:L1205,"&lt;2019/3/29",P3:P1205)</f>
        <v>0.38985005767012687</v>
      </c>
      <c r="R335" s="38">
        <v>2</v>
      </c>
      <c r="S335" s="38">
        <f>AVERAGEIF(L3:L1205,"&lt;2019/3/29",R3:R1205)</f>
        <v>1.2329873125720876</v>
      </c>
      <c r="T335" s="38">
        <v>12</v>
      </c>
      <c r="U335" s="38">
        <f>AVERAGEIF(L3:L1205,"&lt;2019/3/29",T3:T1205)</f>
        <v>7.4094579008073822</v>
      </c>
      <c r="V335" s="24">
        <v>870</v>
      </c>
      <c r="W335" s="47" t="s">
        <v>4550</v>
      </c>
    </row>
    <row r="336" spans="1:23">
      <c r="A336" s="23">
        <v>4</v>
      </c>
      <c r="B336" s="23">
        <v>35</v>
      </c>
      <c r="C336" s="18">
        <v>5</v>
      </c>
      <c r="D336" s="18">
        <v>4</v>
      </c>
      <c r="E336" s="20">
        <v>41</v>
      </c>
      <c r="F336" s="21">
        <f t="shared" si="16"/>
        <v>114.32566168009205</v>
      </c>
      <c r="G336" s="22">
        <v>0.34105754213985801</v>
      </c>
      <c r="H336" s="18">
        <v>1</v>
      </c>
      <c r="I336" s="18">
        <f t="shared" si="17"/>
        <v>0</v>
      </c>
      <c r="J336" s="45">
        <v>43551</v>
      </c>
      <c r="K336" s="36">
        <v>2019</v>
      </c>
      <c r="L336" s="32">
        <f t="shared" si="15"/>
        <v>43553</v>
      </c>
      <c r="M336" s="42">
        <v>1</v>
      </c>
      <c r="N336" s="33">
        <v>176</v>
      </c>
      <c r="O336" s="34">
        <f>AVERAGEIF(L3:L1205,"&lt;2019/3/27",N3:N1205)</f>
        <v>113.71791907514451</v>
      </c>
      <c r="P336" s="38">
        <v>0</v>
      </c>
      <c r="Q336" s="38">
        <f>AVERAGEIF(L3:L1205,"&lt;2019/3/27",P3:P1205)</f>
        <v>0.38959537572254338</v>
      </c>
      <c r="R336" s="38">
        <v>1</v>
      </c>
      <c r="S336" s="38">
        <f>AVERAGEIF(L3:L1205,"&lt;2019/3/27",R3:R1205)</f>
        <v>1.2335260115606936</v>
      </c>
      <c r="T336" s="38">
        <v>2</v>
      </c>
      <c r="U336" s="38">
        <f>AVERAGEIF(L3:L1205,"&lt;2019/3/27",T3:T1205)</f>
        <v>7.4011560693641618</v>
      </c>
      <c r="V336" s="24">
        <v>869</v>
      </c>
      <c r="W336" s="47" t="s">
        <v>4626</v>
      </c>
    </row>
    <row r="337" spans="1:23">
      <c r="A337" s="23">
        <v>2</v>
      </c>
      <c r="B337" s="23">
        <v>7</v>
      </c>
      <c r="C337" s="18">
        <v>4</v>
      </c>
      <c r="D337" s="18">
        <v>1</v>
      </c>
      <c r="E337" s="20">
        <v>138</v>
      </c>
      <c r="F337" s="21">
        <f t="shared" si="16"/>
        <v>114.29838709677419</v>
      </c>
      <c r="G337" s="22">
        <v>0.34090909560802002</v>
      </c>
      <c r="H337" s="18">
        <v>1</v>
      </c>
      <c r="I337" s="18">
        <f t="shared" si="17"/>
        <v>0</v>
      </c>
      <c r="J337" s="41">
        <v>43550</v>
      </c>
      <c r="K337" s="36">
        <v>2019</v>
      </c>
      <c r="L337" s="32">
        <f t="shared" si="15"/>
        <v>43564</v>
      </c>
      <c r="M337" s="40">
        <v>0</v>
      </c>
      <c r="N337" s="33">
        <v>41</v>
      </c>
      <c r="O337" s="34">
        <f>AVERAGEIF(L3:L1205,"&lt;2019/3/26",N3:N1205)</f>
        <v>113.67708333333333</v>
      </c>
      <c r="P337" s="38">
        <v>0</v>
      </c>
      <c r="Q337" s="38">
        <f>AVERAGEIF(L3:L1205,"&lt;2019/3/26",P3:P1205)</f>
        <v>0.39004629629629628</v>
      </c>
      <c r="R337" s="38">
        <v>1</v>
      </c>
      <c r="S337" s="38">
        <f>AVERAGEIF(L3:L1205,"&lt;2019/3/26",R3:R1205)</f>
        <v>1.2337962962962963</v>
      </c>
      <c r="T337" s="38">
        <v>14</v>
      </c>
      <c r="U337" s="38">
        <f>AVERAGEIF(L3:L1205,"&lt;2019/3/26",T3:T1205)</f>
        <v>7.4050925925925926</v>
      </c>
      <c r="V337" s="24">
        <v>868</v>
      </c>
      <c r="W337" s="47" t="s">
        <v>4529</v>
      </c>
    </row>
    <row r="338" spans="1:23">
      <c r="A338" s="23">
        <v>2</v>
      </c>
      <c r="B338" s="23">
        <v>7</v>
      </c>
      <c r="C338" s="18">
        <v>4</v>
      </c>
      <c r="D338" s="18">
        <v>1</v>
      </c>
      <c r="E338" s="20">
        <v>129</v>
      </c>
      <c r="F338" s="21">
        <f t="shared" si="16"/>
        <v>114.28143021914649</v>
      </c>
      <c r="G338" s="22">
        <v>0.41250000000000597</v>
      </c>
      <c r="H338" s="18">
        <v>1</v>
      </c>
      <c r="I338" s="18">
        <f t="shared" si="17"/>
        <v>0</v>
      </c>
      <c r="J338" s="41">
        <v>43550</v>
      </c>
      <c r="K338" s="36">
        <v>2019</v>
      </c>
      <c r="L338" s="32">
        <f t="shared" si="15"/>
        <v>43564</v>
      </c>
      <c r="M338" s="40">
        <v>0</v>
      </c>
      <c r="N338" s="33">
        <v>41</v>
      </c>
      <c r="O338" s="34">
        <f>AVERAGEIF(L3:L1205,"&lt;2019/3/26",N3:N1205)</f>
        <v>113.67708333333333</v>
      </c>
      <c r="P338" s="38">
        <v>0</v>
      </c>
      <c r="Q338" s="38">
        <f>AVERAGEIF(L3:L1205,"&lt;2019/3/26",P3:P1205)</f>
        <v>0.39004629629629628</v>
      </c>
      <c r="R338" s="38">
        <v>1</v>
      </c>
      <c r="S338" s="38">
        <f>AVERAGEIF(L3:L1205,"&lt;2019/3/26",R3:R1205)</f>
        <v>1.2337962962962963</v>
      </c>
      <c r="T338" s="38">
        <v>14</v>
      </c>
      <c r="U338" s="38">
        <f>AVERAGEIF(L3:L1205,"&lt;2019/3/26",T3:T1205)</f>
        <v>7.4050925925925926</v>
      </c>
      <c r="V338" s="24">
        <v>867</v>
      </c>
      <c r="W338" s="47" t="s">
        <v>4550</v>
      </c>
    </row>
    <row r="339" spans="1:23">
      <c r="A339" s="23">
        <v>3</v>
      </c>
      <c r="B339" s="23">
        <v>26</v>
      </c>
      <c r="C339" s="18">
        <v>4</v>
      </c>
      <c r="D339" s="18">
        <v>6</v>
      </c>
      <c r="E339" s="20">
        <v>165</v>
      </c>
      <c r="F339" s="21">
        <f t="shared" si="16"/>
        <v>114.22286374133949</v>
      </c>
      <c r="G339" s="22">
        <v>0.37733576675417402</v>
      </c>
      <c r="H339" s="3">
        <v>1</v>
      </c>
      <c r="I339" s="18">
        <f t="shared" si="17"/>
        <v>0</v>
      </c>
      <c r="J339" s="41">
        <v>43546</v>
      </c>
      <c r="K339" s="36">
        <v>2019</v>
      </c>
      <c r="L339" s="32">
        <f t="shared" si="15"/>
        <v>43549</v>
      </c>
      <c r="M339" s="40">
        <v>0</v>
      </c>
      <c r="N339" s="33">
        <v>79</v>
      </c>
      <c r="O339" s="34">
        <f>AVERAGEIF(L3:L1205,"&lt;2019/3/22",N3:N1205)</f>
        <v>113.71726535341831</v>
      </c>
      <c r="P339" s="54">
        <v>0</v>
      </c>
      <c r="Q339" s="38">
        <f>AVERAGEIF(L3:L1205,"&lt;2019/3/22",P3:P1205)</f>
        <v>0.39049826187717268</v>
      </c>
      <c r="R339" s="38">
        <v>1</v>
      </c>
      <c r="S339" s="38">
        <f>AVERAGEIF(L3:L1205,"&lt;2019/3/22",R3:R1205)</f>
        <v>1.2340672074159906</v>
      </c>
      <c r="T339" s="54">
        <v>3</v>
      </c>
      <c r="U339" s="38">
        <f>AVERAGEIF(L3:L1205,"&lt;2019/3/22",T3:T1205)</f>
        <v>7.4101969872537659</v>
      </c>
      <c r="V339" s="24">
        <v>866</v>
      </c>
      <c r="W339" s="47" t="s">
        <v>4661</v>
      </c>
    </row>
    <row r="340" spans="1:23">
      <c r="A340" s="23">
        <v>4</v>
      </c>
      <c r="B340" s="23">
        <v>29</v>
      </c>
      <c r="C340" s="18">
        <v>4</v>
      </c>
      <c r="D340" s="18">
        <v>6</v>
      </c>
      <c r="E340" s="20">
        <v>111</v>
      </c>
      <c r="F340" s="21">
        <f t="shared" si="16"/>
        <v>114.22658959537573</v>
      </c>
      <c r="G340" s="22">
        <v>0.30991822895194898</v>
      </c>
      <c r="H340" s="18">
        <v>1</v>
      </c>
      <c r="I340" s="18">
        <f t="shared" si="17"/>
        <v>0</v>
      </c>
      <c r="J340" s="45">
        <v>43546</v>
      </c>
      <c r="K340" s="36">
        <v>2019</v>
      </c>
      <c r="L340" s="32">
        <f t="shared" si="15"/>
        <v>43550</v>
      </c>
      <c r="M340" s="42">
        <v>0</v>
      </c>
      <c r="N340" s="33">
        <v>149</v>
      </c>
      <c r="O340" s="34">
        <f>AVERAGEIF(L3:L1205,"&lt;2019/3/22",N3:N1205)</f>
        <v>113.71726535341831</v>
      </c>
      <c r="P340" s="38">
        <v>0</v>
      </c>
      <c r="Q340" s="38">
        <f>AVERAGEIF(L3:L1205,"&lt;2019/3/22",P3:P1205)</f>
        <v>0.39049826187717268</v>
      </c>
      <c r="R340" s="38">
        <v>1</v>
      </c>
      <c r="S340" s="38">
        <f>AVERAGEIF(L3:L1205,"&lt;2019/3/22",R3:R1205)</f>
        <v>1.2340672074159906</v>
      </c>
      <c r="T340" s="38">
        <v>4</v>
      </c>
      <c r="U340" s="38">
        <f>AVERAGEIF(L3:L1205,"&lt;2019/3/22",T3:T1205)</f>
        <v>7.4101969872537659</v>
      </c>
      <c r="V340" s="24">
        <v>865</v>
      </c>
      <c r="W340" s="47" t="s">
        <v>4550</v>
      </c>
    </row>
    <row r="341" spans="1:23">
      <c r="A341" s="23">
        <v>4</v>
      </c>
      <c r="B341" s="23">
        <v>28</v>
      </c>
      <c r="C341" s="18">
        <v>1</v>
      </c>
      <c r="D341" s="18">
        <v>6</v>
      </c>
      <c r="E341" s="20">
        <v>138</v>
      </c>
      <c r="F341" s="21">
        <f t="shared" si="16"/>
        <v>114.19907407407408</v>
      </c>
      <c r="G341" s="22">
        <v>0.85005143929573002</v>
      </c>
      <c r="H341" s="18">
        <v>1</v>
      </c>
      <c r="I341" s="18">
        <f t="shared" si="17"/>
        <v>0</v>
      </c>
      <c r="J341" s="45">
        <v>43545</v>
      </c>
      <c r="K341" s="36">
        <v>2019</v>
      </c>
      <c r="L341" s="32">
        <f t="shared" si="15"/>
        <v>43552</v>
      </c>
      <c r="M341" s="44">
        <v>1</v>
      </c>
      <c r="N341" s="33">
        <v>87</v>
      </c>
      <c r="O341" s="34">
        <f>AVERAGEIF(L3:L1205,"&lt;2019/3/21",N3:N1205)</f>
        <v>113.71726535341831</v>
      </c>
      <c r="P341" s="54">
        <v>0</v>
      </c>
      <c r="Q341" s="38">
        <f>AVERAGEIF(L3:L1205,"&lt;2019/3/21",P3:P1205)</f>
        <v>0.39049826187717268</v>
      </c>
      <c r="R341" s="38">
        <v>1</v>
      </c>
      <c r="S341" s="38">
        <f>AVERAGEIF(L3:L1205,"&lt;2019/3/21",R3:R1205)</f>
        <v>1.2340672074159906</v>
      </c>
      <c r="T341" s="54">
        <v>7</v>
      </c>
      <c r="U341" s="38">
        <f>AVERAGEIF(L3:L1205,"&lt;2019/3/21",T3:T1205)</f>
        <v>7.4101969872537659</v>
      </c>
      <c r="V341" s="24">
        <v>864</v>
      </c>
      <c r="W341" s="47" t="s">
        <v>4785</v>
      </c>
    </row>
    <row r="342" spans="1:23">
      <c r="A342" s="23">
        <v>2</v>
      </c>
      <c r="B342" s="23">
        <v>6</v>
      </c>
      <c r="C342" s="18">
        <v>5</v>
      </c>
      <c r="D342" s="18">
        <v>4</v>
      </c>
      <c r="E342" s="20">
        <v>40</v>
      </c>
      <c r="F342" s="21">
        <f t="shared" si="16"/>
        <v>114.28505214368482</v>
      </c>
      <c r="G342" s="22">
        <v>0.39025056486690701</v>
      </c>
      <c r="H342" s="18">
        <v>1</v>
      </c>
      <c r="I342" s="18">
        <f t="shared" si="17"/>
        <v>0</v>
      </c>
      <c r="J342" s="41">
        <v>43543</v>
      </c>
      <c r="K342" s="36">
        <v>2019</v>
      </c>
      <c r="L342" s="32">
        <f t="shared" si="15"/>
        <v>43544</v>
      </c>
      <c r="M342" s="40">
        <v>1</v>
      </c>
      <c r="N342" s="33">
        <v>48</v>
      </c>
      <c r="O342" s="34">
        <f>AVERAGEIF(L3:L1205,"&lt;2019/3/19",N3:N1205)</f>
        <v>113.92558139534884</v>
      </c>
      <c r="P342" s="40">
        <v>0</v>
      </c>
      <c r="Q342" s="40">
        <f>AVERAGEIF(L3:L1205,"&lt;2019/3/19",P3:P1205)</f>
        <v>0.39186046511627909</v>
      </c>
      <c r="R342" s="40">
        <v>1</v>
      </c>
      <c r="S342" s="40">
        <f>AVERAGEIF(L3:L1205,"&lt;2019/3/19",R3:R1205)</f>
        <v>1.2348837209302326</v>
      </c>
      <c r="T342" s="40">
        <v>1</v>
      </c>
      <c r="U342" s="40">
        <f>AVERAGEIF(L3:L1205,"&lt;2019/3/19",T3:T1205)</f>
        <v>7.4174418604651162</v>
      </c>
      <c r="V342" s="24">
        <v>863</v>
      </c>
      <c r="W342" s="47" t="s">
        <v>4563</v>
      </c>
    </row>
    <row r="343" spans="1:23">
      <c r="A343" s="23">
        <v>2</v>
      </c>
      <c r="B343" s="23">
        <v>7</v>
      </c>
      <c r="C343" s="18">
        <v>4</v>
      </c>
      <c r="D343" s="18">
        <v>4</v>
      </c>
      <c r="E343" s="20">
        <v>80</v>
      </c>
      <c r="F343" s="21">
        <f t="shared" si="16"/>
        <v>114.32482598607889</v>
      </c>
      <c r="G343" s="22">
        <v>0.31016529283292799</v>
      </c>
      <c r="H343" s="18">
        <v>1</v>
      </c>
      <c r="I343" s="18">
        <f t="shared" si="17"/>
        <v>0</v>
      </c>
      <c r="J343" s="41">
        <v>43543</v>
      </c>
      <c r="K343" s="36">
        <v>2019</v>
      </c>
      <c r="L343" s="32">
        <f t="shared" si="15"/>
        <v>43544</v>
      </c>
      <c r="M343" s="40">
        <v>1</v>
      </c>
      <c r="N343" s="33">
        <v>48</v>
      </c>
      <c r="O343" s="34">
        <f>AVERAGEIF(L3:L1205,"&lt;2019/3/19",N3:N1205)</f>
        <v>113.92558139534884</v>
      </c>
      <c r="P343" s="38">
        <v>0</v>
      </c>
      <c r="Q343" s="38">
        <f>AVERAGEIF(L3:L1205,"&lt;2019/3/19",P3:P1205)</f>
        <v>0.39186046511627909</v>
      </c>
      <c r="R343" s="38">
        <v>1</v>
      </c>
      <c r="S343" s="38">
        <f>AVERAGEIF(L3:L1205,"&lt;2019/3/19",R3:R1205)</f>
        <v>1.2348837209302326</v>
      </c>
      <c r="T343" s="38">
        <v>1</v>
      </c>
      <c r="U343" s="38">
        <f>AVERAGEIF(L3:L1205,"&lt;2019/3/19",T3:T1205)</f>
        <v>7.4174418604651162</v>
      </c>
      <c r="V343" s="24">
        <v>862</v>
      </c>
      <c r="W343" s="47" t="s">
        <v>4542</v>
      </c>
    </row>
    <row r="344" spans="1:23">
      <c r="A344" s="23">
        <v>4</v>
      </c>
      <c r="B344" s="23">
        <v>31</v>
      </c>
      <c r="C344" s="18">
        <v>4</v>
      </c>
      <c r="D344" s="18">
        <v>6</v>
      </c>
      <c r="E344" s="20">
        <v>77</v>
      </c>
      <c r="F344" s="21">
        <f t="shared" si="16"/>
        <v>114.36817653890824</v>
      </c>
      <c r="G344" s="22">
        <v>0.37933420205013701</v>
      </c>
      <c r="H344" s="18">
        <v>1</v>
      </c>
      <c r="I344" s="18">
        <f t="shared" si="17"/>
        <v>0</v>
      </c>
      <c r="J344" s="45">
        <v>43537</v>
      </c>
      <c r="K344" s="36">
        <v>2019</v>
      </c>
      <c r="L344" s="32">
        <f t="shared" si="15"/>
        <v>43552</v>
      </c>
      <c r="M344" s="42">
        <v>0</v>
      </c>
      <c r="N344" s="33">
        <v>94</v>
      </c>
      <c r="O344" s="34">
        <f>AVERAGEIF(L3:L1205,"&lt;2019/3/13",N3:N1205)</f>
        <v>113.87032710280374</v>
      </c>
      <c r="P344" s="38">
        <v>1</v>
      </c>
      <c r="Q344" s="38">
        <f>AVERAGEIF(L3:L1205,"&lt;2019/3/13",P3:P1205)</f>
        <v>0.39018691588785048</v>
      </c>
      <c r="R344" s="38">
        <v>1</v>
      </c>
      <c r="S344" s="38">
        <f>AVERAGEIF(L3:L1205,"&lt;2019/3/13",R3:R1205)</f>
        <v>1.2313084112149533</v>
      </c>
      <c r="T344" s="38">
        <v>15</v>
      </c>
      <c r="U344" s="38">
        <f>AVERAGEIF(L3:L1205,"&lt;2019/3/13",T3:T1205)</f>
        <v>7.41588785046729</v>
      </c>
      <c r="V344" s="24">
        <v>861</v>
      </c>
      <c r="W344" s="47" t="s">
        <v>4550</v>
      </c>
    </row>
    <row r="345" spans="1:23">
      <c r="A345" s="23">
        <v>2</v>
      </c>
      <c r="B345" s="23">
        <v>6</v>
      </c>
      <c r="C345" s="18">
        <v>4</v>
      </c>
      <c r="D345" s="18">
        <v>6</v>
      </c>
      <c r="E345" s="20">
        <v>156</v>
      </c>
      <c r="F345" s="21">
        <f t="shared" si="16"/>
        <v>114.31976744186046</v>
      </c>
      <c r="G345" s="22">
        <v>0.50871093098241904</v>
      </c>
      <c r="H345" s="18">
        <v>0</v>
      </c>
      <c r="I345" s="18">
        <f t="shared" si="17"/>
        <v>1</v>
      </c>
      <c r="J345" s="41">
        <v>43533</v>
      </c>
      <c r="K345" s="36">
        <v>2019</v>
      </c>
      <c r="L345" s="32">
        <f t="shared" si="15"/>
        <v>43537</v>
      </c>
      <c r="M345" s="40">
        <v>0</v>
      </c>
      <c r="N345" s="33">
        <v>121</v>
      </c>
      <c r="O345" s="34">
        <f>AVERAGEIF(L3:L1205,"&lt;2019/3/9",N3:N1205)</f>
        <v>113.95906432748538</v>
      </c>
      <c r="P345" s="38">
        <v>1</v>
      </c>
      <c r="Q345" s="38">
        <f>AVERAGEIF(L3:L1205,"&lt;2019/3/9",P3:P1205)</f>
        <v>0.39064327485380118</v>
      </c>
      <c r="R345" s="38">
        <v>2</v>
      </c>
      <c r="S345" s="38">
        <f>AVERAGEIF(L3:L1205,"&lt;2019/3/9",R3:R1205)</f>
        <v>1.2315789473684211</v>
      </c>
      <c r="T345" s="38">
        <v>4</v>
      </c>
      <c r="U345" s="38">
        <f>AVERAGEIF(L3:L1205,"&lt;2019/3/9",T3:T1205)</f>
        <v>7.4187134502923975</v>
      </c>
      <c r="V345" s="24">
        <v>860</v>
      </c>
      <c r="W345" s="47" t="s">
        <v>4661</v>
      </c>
    </row>
    <row r="346" spans="1:23">
      <c r="A346" s="23">
        <v>2</v>
      </c>
      <c r="B346" s="23">
        <v>9</v>
      </c>
      <c r="C346" s="18">
        <v>4</v>
      </c>
      <c r="D346" s="18">
        <v>4</v>
      </c>
      <c r="E346" s="20">
        <v>62</v>
      </c>
      <c r="F346" s="21">
        <f t="shared" si="16"/>
        <v>114.38067520372526</v>
      </c>
      <c r="G346" s="22">
        <v>0.453750008856248</v>
      </c>
      <c r="H346" s="18">
        <v>1</v>
      </c>
      <c r="I346" s="18">
        <f t="shared" si="17"/>
        <v>0</v>
      </c>
      <c r="J346" s="41">
        <v>43533</v>
      </c>
      <c r="K346" s="36">
        <v>2019</v>
      </c>
      <c r="L346" s="32">
        <f t="shared" si="15"/>
        <v>43537</v>
      </c>
      <c r="M346" s="40">
        <v>0</v>
      </c>
      <c r="N346" s="33">
        <v>130</v>
      </c>
      <c r="O346" s="34">
        <f>AVERAGEIF(L3:L1205,"&lt;2019/3/9",N3:N1205)</f>
        <v>113.95906432748538</v>
      </c>
      <c r="P346" s="60">
        <v>1</v>
      </c>
      <c r="Q346" s="37">
        <f>AVERAGEIF(L3:L1205,"&lt;2019/3/9",P3:P1205)</f>
        <v>0.39064327485380118</v>
      </c>
      <c r="R346" s="37">
        <v>2</v>
      </c>
      <c r="S346" s="37">
        <f>AVERAGEIF(L3:L1205,"&lt;2019/3/9",R3:R1205)</f>
        <v>1.2315789473684211</v>
      </c>
      <c r="T346" s="60">
        <v>4</v>
      </c>
      <c r="U346" s="37">
        <f>AVERAGEIF(L3:L1205,"&lt;2019/3/9",T3:T1205)</f>
        <v>7.4187134502923975</v>
      </c>
      <c r="V346" s="24">
        <v>859</v>
      </c>
      <c r="W346" s="47" t="s">
        <v>4558</v>
      </c>
    </row>
    <row r="347" spans="1:23">
      <c r="A347" s="23">
        <v>2</v>
      </c>
      <c r="B347" s="23">
        <v>5</v>
      </c>
      <c r="C347" s="18">
        <v>5</v>
      </c>
      <c r="D347" s="18">
        <v>5</v>
      </c>
      <c r="E347" s="20">
        <v>86</v>
      </c>
      <c r="F347" s="21">
        <f t="shared" si="16"/>
        <v>114.41375291375292</v>
      </c>
      <c r="G347" s="22">
        <v>0.353733388009358</v>
      </c>
      <c r="H347" s="18">
        <v>1</v>
      </c>
      <c r="I347" s="18">
        <f t="shared" si="17"/>
        <v>0</v>
      </c>
      <c r="J347" s="41">
        <v>43530</v>
      </c>
      <c r="K347" s="36">
        <v>2019</v>
      </c>
      <c r="L347" s="32">
        <f t="shared" si="15"/>
        <v>43535</v>
      </c>
      <c r="M347" s="40">
        <v>1</v>
      </c>
      <c r="N347" s="33">
        <v>38</v>
      </c>
      <c r="O347" s="34">
        <f>AVERAGEIF(L3:L1205,"&lt;2019/3/6",N3:N1205)</f>
        <v>113.85345838218053</v>
      </c>
      <c r="P347" s="56">
        <v>0</v>
      </c>
      <c r="Q347" s="40">
        <f>AVERAGEIF(L3:L1205,"&lt;2019/3/6",P3:P1205)</f>
        <v>0.38804220398593198</v>
      </c>
      <c r="R347" s="40">
        <v>1</v>
      </c>
      <c r="S347" s="40">
        <f>AVERAGEIF(L3:L1205,"&lt;2019/3/6",R3:R1205)</f>
        <v>1.2297772567409144</v>
      </c>
      <c r="T347" s="56">
        <v>5</v>
      </c>
      <c r="U347" s="40">
        <f>AVERAGEIF(L3:L1205,"&lt;2019/3/6",T3:T1205)</f>
        <v>7.4150058616647128</v>
      </c>
      <c r="V347" s="24">
        <v>858</v>
      </c>
      <c r="W347" s="47" t="s">
        <v>4529</v>
      </c>
    </row>
    <row r="348" spans="1:23">
      <c r="A348" s="23">
        <v>2</v>
      </c>
      <c r="B348" s="23">
        <v>13</v>
      </c>
      <c r="C348" s="18">
        <v>4</v>
      </c>
      <c r="D348" s="18">
        <v>6</v>
      </c>
      <c r="E348" s="20">
        <v>22</v>
      </c>
      <c r="F348" s="21">
        <f t="shared" si="16"/>
        <v>114.5215869311552</v>
      </c>
      <c r="G348" s="22">
        <v>0.39489754059843901</v>
      </c>
      <c r="H348" s="18">
        <v>1</v>
      </c>
      <c r="I348" s="18">
        <f t="shared" si="17"/>
        <v>0</v>
      </c>
      <c r="J348" s="41">
        <v>43529</v>
      </c>
      <c r="K348" s="36">
        <v>2019</v>
      </c>
      <c r="L348" s="32">
        <f t="shared" si="15"/>
        <v>43543</v>
      </c>
      <c r="M348" s="37">
        <v>1</v>
      </c>
      <c r="N348" s="33">
        <v>66</v>
      </c>
      <c r="O348" s="34">
        <f>AVERAGEIF(L3:L1205,"&lt;2019/3/5",N3:N1205)</f>
        <v>113.73122065727699</v>
      </c>
      <c r="P348" s="40">
        <v>0</v>
      </c>
      <c r="Q348" s="40">
        <f>AVERAGEIF(L3:L1205,"&lt;2019/3/5",P3:P1205)</f>
        <v>0.38849765258215962</v>
      </c>
      <c r="R348" s="40">
        <v>1</v>
      </c>
      <c r="S348" s="40">
        <f>AVERAGEIF(L3:L1205,"&lt;2019/3/5",R3:R1205)</f>
        <v>1.2288732394366197</v>
      </c>
      <c r="T348" s="40">
        <v>14</v>
      </c>
      <c r="U348" s="40">
        <f>AVERAGEIF(L3:L1205,"&lt;2019/3/5",T3:T1205)</f>
        <v>7.407276995305164</v>
      </c>
      <c r="V348" s="24">
        <v>857</v>
      </c>
      <c r="W348" s="47" t="s">
        <v>4529</v>
      </c>
    </row>
    <row r="349" spans="1:23">
      <c r="A349" s="23">
        <v>2</v>
      </c>
      <c r="B349" s="23">
        <v>6</v>
      </c>
      <c r="C349" s="18">
        <v>4</v>
      </c>
      <c r="D349" s="18">
        <v>9</v>
      </c>
      <c r="E349" s="20">
        <v>310</v>
      </c>
      <c r="F349" s="21">
        <f t="shared" si="16"/>
        <v>114.29322429906541</v>
      </c>
      <c r="G349" s="22">
        <v>0.809917340527467</v>
      </c>
      <c r="H349" s="18">
        <v>1</v>
      </c>
      <c r="I349" s="18">
        <f t="shared" si="17"/>
        <v>0</v>
      </c>
      <c r="J349" s="41">
        <v>43528</v>
      </c>
      <c r="K349" s="36">
        <v>2019</v>
      </c>
      <c r="L349" s="32">
        <f t="shared" si="15"/>
        <v>43539</v>
      </c>
      <c r="M349" s="40">
        <v>0</v>
      </c>
      <c r="N349" s="33">
        <v>218</v>
      </c>
      <c r="O349" s="34">
        <f>AVERAGEIF(L3:L1205,"&lt;2019/3/4",N3:N1205)</f>
        <v>113.90330188679245</v>
      </c>
      <c r="P349" s="38">
        <v>1</v>
      </c>
      <c r="Q349" s="38">
        <f>AVERAGEIF(L3:L1205,"&lt;2019/3/4",P3:P1205)</f>
        <v>0.38561320754716982</v>
      </c>
      <c r="R349" s="38">
        <v>3</v>
      </c>
      <c r="S349" s="38">
        <f>AVERAGEIF(L3:L1205,"&lt;2019/3/4",R3:R1205)</f>
        <v>1.2299528301886793</v>
      </c>
      <c r="T349" s="38">
        <v>11</v>
      </c>
      <c r="U349" s="38">
        <f>AVERAGEIF(L3:L1205,"&lt;2019/3/4",T3:T1205)</f>
        <v>7.4257075471698117</v>
      </c>
      <c r="V349" s="24">
        <v>856</v>
      </c>
      <c r="W349" s="47" t="s">
        <v>4652</v>
      </c>
    </row>
    <row r="350" spans="1:23">
      <c r="A350" s="23">
        <v>2</v>
      </c>
      <c r="B350" s="23">
        <v>7</v>
      </c>
      <c r="C350" s="18">
        <v>3</v>
      </c>
      <c r="D350" s="18">
        <v>6</v>
      </c>
      <c r="E350" s="20">
        <v>196</v>
      </c>
      <c r="F350" s="21">
        <f t="shared" si="16"/>
        <v>114.19766081871344</v>
      </c>
      <c r="G350" s="22">
        <v>0.41250056079373598</v>
      </c>
      <c r="H350" s="18">
        <v>1</v>
      </c>
      <c r="I350" s="18">
        <f t="shared" si="17"/>
        <v>0</v>
      </c>
      <c r="J350" s="41">
        <v>43528</v>
      </c>
      <c r="K350" s="36">
        <v>2019</v>
      </c>
      <c r="L350" s="32">
        <f t="shared" si="15"/>
        <v>43531</v>
      </c>
      <c r="M350" s="40">
        <v>0</v>
      </c>
      <c r="N350" s="33">
        <v>159</v>
      </c>
      <c r="O350" s="34">
        <f>AVERAGEIF(L3:L1205,"&lt;2019/3/4",N3:N1205)</f>
        <v>113.90330188679245</v>
      </c>
      <c r="P350" s="56">
        <v>1</v>
      </c>
      <c r="Q350" s="40">
        <f>AVERAGEIF(L3:L1205,"&lt;2019/3/4",P3:P1205)</f>
        <v>0.38561320754716982</v>
      </c>
      <c r="R350" s="40">
        <v>2</v>
      </c>
      <c r="S350" s="40">
        <f>AVERAGEIF(L3:L1205,"&lt;2019/3/4",R3:R1205)</f>
        <v>1.2299528301886793</v>
      </c>
      <c r="T350" s="56">
        <v>3</v>
      </c>
      <c r="U350" s="40">
        <f>AVERAGEIF(L3:L1205,"&lt;2019/3/4",T3:T1205)</f>
        <v>7.4257075471698117</v>
      </c>
      <c r="V350" s="24">
        <v>855</v>
      </c>
      <c r="W350" s="47" t="s">
        <v>4542</v>
      </c>
    </row>
    <row r="351" spans="1:23">
      <c r="A351" s="17">
        <v>1</v>
      </c>
      <c r="B351" s="17">
        <v>1</v>
      </c>
      <c r="C351" s="18">
        <v>4</v>
      </c>
      <c r="D351" s="18">
        <v>6</v>
      </c>
      <c r="E351" s="20">
        <v>153</v>
      </c>
      <c r="F351" s="21">
        <f t="shared" si="16"/>
        <v>114.15222482435597</v>
      </c>
      <c r="G351" s="22">
        <v>0.77324092192151705</v>
      </c>
      <c r="H351" s="18">
        <v>1</v>
      </c>
      <c r="I351" s="18">
        <f t="shared" si="17"/>
        <v>0</v>
      </c>
      <c r="J351" s="41">
        <v>43527</v>
      </c>
      <c r="K351" s="36">
        <v>2019</v>
      </c>
      <c r="L351" s="32">
        <f t="shared" si="15"/>
        <v>43539</v>
      </c>
      <c r="M351" s="40">
        <v>0</v>
      </c>
      <c r="N351" s="33">
        <v>34</v>
      </c>
      <c r="O351" s="34">
        <f>AVERAGEIF(L3:L1205,"&lt;2019/3/3",N3:N1205)</f>
        <v>113.90330188679245</v>
      </c>
      <c r="P351" s="24">
        <v>0</v>
      </c>
      <c r="Q351" s="24">
        <f>AVERAGEIF(L3:L1205,"&lt;2019/3/3",P3:P1205)</f>
        <v>0.38561320754716982</v>
      </c>
      <c r="R351" s="24">
        <v>1</v>
      </c>
      <c r="S351" s="24">
        <f>AVERAGEIF(L3:L1205,"&lt;2019/3/3",R3:R1205)</f>
        <v>1.2299528301886793</v>
      </c>
      <c r="T351" s="24">
        <v>12</v>
      </c>
      <c r="U351" s="24">
        <f>AVERAGEIF(L3:L1205,"&lt;2019/3/3",T3:T1205)</f>
        <v>7.4257075471698117</v>
      </c>
      <c r="V351" s="24">
        <v>854</v>
      </c>
      <c r="W351" s="47" t="s">
        <v>4618</v>
      </c>
    </row>
    <row r="352" spans="1:23">
      <c r="A352" s="23">
        <v>2</v>
      </c>
      <c r="B352" s="23">
        <v>6</v>
      </c>
      <c r="C352" s="18">
        <v>4</v>
      </c>
      <c r="D352" s="18">
        <v>4</v>
      </c>
      <c r="E352" s="20">
        <v>55</v>
      </c>
      <c r="F352" s="21">
        <f t="shared" si="16"/>
        <v>114.22157092614303</v>
      </c>
      <c r="G352" s="22">
        <v>0.84605715588267305</v>
      </c>
      <c r="H352" s="18">
        <v>1</v>
      </c>
      <c r="I352" s="18">
        <f t="shared" si="17"/>
        <v>0</v>
      </c>
      <c r="J352" s="41">
        <v>43525</v>
      </c>
      <c r="K352" s="36">
        <v>2019</v>
      </c>
      <c r="L352" s="32">
        <f t="shared" si="15"/>
        <v>43528</v>
      </c>
      <c r="M352" s="40">
        <v>1</v>
      </c>
      <c r="N352" s="33">
        <v>67</v>
      </c>
      <c r="O352" s="34">
        <f>AVERAGEIF(L3:L1205,"&lt;2019/3/1",N3:N1205)</f>
        <v>113.90330188679245</v>
      </c>
      <c r="P352" s="38">
        <v>2</v>
      </c>
      <c r="Q352" s="38">
        <f>AVERAGEIF(L3:L1205,"&lt;2019/3/1",P3:P1205)</f>
        <v>0.38561320754716982</v>
      </c>
      <c r="R352" s="38">
        <v>1</v>
      </c>
      <c r="S352" s="38">
        <f>AVERAGEIF(L3:L1205,"&lt;2019/3/1",R3:R1205)</f>
        <v>1.2299528301886793</v>
      </c>
      <c r="T352" s="38">
        <v>3</v>
      </c>
      <c r="U352" s="38">
        <f>AVERAGEIF(L3:L1205,"&lt;2019/3/1",T3:T1205)</f>
        <v>7.4257075471698117</v>
      </c>
      <c r="V352" s="24">
        <v>853</v>
      </c>
      <c r="W352" s="47" t="s">
        <v>4550</v>
      </c>
    </row>
    <row r="353" spans="1:23">
      <c r="A353" s="23">
        <v>3</v>
      </c>
      <c r="B353" s="23">
        <v>26</v>
      </c>
      <c r="C353" s="18">
        <v>5</v>
      </c>
      <c r="D353" s="18">
        <v>6</v>
      </c>
      <c r="E353" s="20">
        <v>82</v>
      </c>
      <c r="F353" s="21">
        <f t="shared" si="16"/>
        <v>114.2593896713615</v>
      </c>
      <c r="G353" s="22">
        <v>0.30996526824897702</v>
      </c>
      <c r="H353" s="3">
        <v>1</v>
      </c>
      <c r="I353" s="18">
        <f t="shared" si="17"/>
        <v>0</v>
      </c>
      <c r="J353" s="41">
        <v>43525</v>
      </c>
      <c r="K353" s="36">
        <v>2019</v>
      </c>
      <c r="L353" s="32">
        <f t="shared" si="15"/>
        <v>43528</v>
      </c>
      <c r="M353" s="40">
        <v>0</v>
      </c>
      <c r="N353" s="33">
        <v>130</v>
      </c>
      <c r="O353" s="34">
        <f>AVERAGEIF(L3:L1205,"&lt;2019/3/1",N3:N1205)</f>
        <v>113.90330188679245</v>
      </c>
      <c r="P353" s="38">
        <v>0</v>
      </c>
      <c r="Q353" s="38">
        <f>AVERAGEIF(L3:L1205,"&lt;2019/3/1",P3:P1205)</f>
        <v>0.38561320754716982</v>
      </c>
      <c r="R353" s="38">
        <v>1</v>
      </c>
      <c r="S353" s="38">
        <f>AVERAGEIF(L3:L1205,"&lt;2019/3/1",R3:R1205)</f>
        <v>1.2299528301886793</v>
      </c>
      <c r="T353" s="38">
        <v>3</v>
      </c>
      <c r="U353" s="38">
        <f>AVERAGEIF(L3:L1205,"&lt;2019/3/1",T3:T1205)</f>
        <v>7.4257075471698117</v>
      </c>
      <c r="V353" s="24">
        <v>852</v>
      </c>
      <c r="W353" s="47" t="s">
        <v>4661</v>
      </c>
    </row>
    <row r="354" spans="1:23">
      <c r="A354" s="23">
        <v>2</v>
      </c>
      <c r="B354" s="23">
        <v>5</v>
      </c>
      <c r="C354" s="18">
        <v>1</v>
      </c>
      <c r="D354" s="18">
        <v>5</v>
      </c>
      <c r="E354" s="20">
        <v>121</v>
      </c>
      <c r="F354" s="21">
        <f t="shared" si="16"/>
        <v>114.25146886016451</v>
      </c>
      <c r="G354" s="22">
        <v>0.80979991652849703</v>
      </c>
      <c r="H354" s="18">
        <v>1</v>
      </c>
      <c r="I354" s="18">
        <f t="shared" si="17"/>
        <v>0</v>
      </c>
      <c r="J354" s="41">
        <v>43524</v>
      </c>
      <c r="K354" s="36">
        <v>2019</v>
      </c>
      <c r="L354" s="32">
        <f t="shared" si="15"/>
        <v>43528</v>
      </c>
      <c r="M354" s="40">
        <v>1</v>
      </c>
      <c r="N354" s="33">
        <v>56</v>
      </c>
      <c r="O354" s="34">
        <f>AVERAGEIF(L3:L1205,"&lt;2019/2/28",N3:N1205)</f>
        <v>113.90330188679245</v>
      </c>
      <c r="P354" s="54">
        <v>1</v>
      </c>
      <c r="Q354" s="38">
        <f>AVERAGEIF(L3:L1205,"&lt;2019/2/28",P3:P1205)</f>
        <v>0.38561320754716982</v>
      </c>
      <c r="R354" s="38">
        <v>1</v>
      </c>
      <c r="S354" s="38">
        <f>AVERAGEIF(L3:L1205,"&lt;2019/2/28",R3:R1205)</f>
        <v>1.2299528301886793</v>
      </c>
      <c r="T354" s="54">
        <v>4</v>
      </c>
      <c r="U354" s="38">
        <f>AVERAGEIF(L3:L1205,"&lt;2019/2/28",T3:T1205)</f>
        <v>7.4257075471698117</v>
      </c>
      <c r="V354" s="24">
        <v>851</v>
      </c>
      <c r="W354" s="47" t="s">
        <v>4529</v>
      </c>
    </row>
    <row r="355" spans="1:23">
      <c r="A355" s="23">
        <v>2</v>
      </c>
      <c r="B355" s="23">
        <v>10</v>
      </c>
      <c r="C355" s="18">
        <v>1</v>
      </c>
      <c r="D355" s="18">
        <v>5</v>
      </c>
      <c r="E355" s="20">
        <v>121</v>
      </c>
      <c r="F355" s="21">
        <f t="shared" si="16"/>
        <v>114.24352941176471</v>
      </c>
      <c r="G355" s="22">
        <v>0.80979991652849703</v>
      </c>
      <c r="H355" s="18">
        <v>1</v>
      </c>
      <c r="I355" s="18">
        <f t="shared" si="17"/>
        <v>0</v>
      </c>
      <c r="J355" s="41">
        <v>43524</v>
      </c>
      <c r="K355" s="36">
        <v>2019</v>
      </c>
      <c r="L355" s="32">
        <f t="shared" si="15"/>
        <v>43528</v>
      </c>
      <c r="M355" s="40">
        <v>1</v>
      </c>
      <c r="N355" s="33">
        <v>56</v>
      </c>
      <c r="O355" s="34">
        <f>AVERAGEIF(L3:L1205,"&lt;2019/2/28",N3:N1205)</f>
        <v>113.90330188679245</v>
      </c>
      <c r="P355" s="38">
        <v>1</v>
      </c>
      <c r="Q355" s="38">
        <f>AVERAGEIF(L3:L1205,"&lt;2019/2/28",P3:P1205)</f>
        <v>0.38561320754716982</v>
      </c>
      <c r="R355" s="38">
        <v>1</v>
      </c>
      <c r="S355" s="38">
        <f>AVERAGEIF(L3:L1205,"&lt;2019/2/28",R3:R1205)</f>
        <v>1.2299528301886793</v>
      </c>
      <c r="T355" s="38">
        <v>4</v>
      </c>
      <c r="U355" s="38">
        <f>AVERAGEIF(L3:L1205,"&lt;2019/2/28",T3:T1205)</f>
        <v>7.4257075471698117</v>
      </c>
      <c r="V355" s="24">
        <v>850</v>
      </c>
      <c r="W355" s="47" t="s">
        <v>4529</v>
      </c>
    </row>
    <row r="356" spans="1:23">
      <c r="A356" s="23">
        <v>2</v>
      </c>
      <c r="B356" s="23">
        <v>7</v>
      </c>
      <c r="C356" s="18">
        <v>4</v>
      </c>
      <c r="D356" s="18">
        <v>6</v>
      </c>
      <c r="E356" s="20">
        <v>147</v>
      </c>
      <c r="F356" s="21">
        <f t="shared" si="16"/>
        <v>114.20494699646643</v>
      </c>
      <c r="G356" s="22">
        <v>0.80934650901463701</v>
      </c>
      <c r="H356" s="18">
        <v>1</v>
      </c>
      <c r="I356" s="18">
        <f t="shared" si="17"/>
        <v>0</v>
      </c>
      <c r="J356" s="41">
        <v>43516</v>
      </c>
      <c r="K356" s="36">
        <v>2019</v>
      </c>
      <c r="L356" s="32">
        <f t="shared" si="15"/>
        <v>43531</v>
      </c>
      <c r="M356" s="40">
        <v>0</v>
      </c>
      <c r="N356" s="33">
        <v>159</v>
      </c>
      <c r="O356" s="34">
        <f>AVERAGEIF(L3:L1205,"&lt;2019/2/20",N3:N1205)</f>
        <v>113.90330188679245</v>
      </c>
      <c r="P356" s="38">
        <v>2</v>
      </c>
      <c r="Q356" s="38">
        <f>AVERAGEIF(L3:L1205,"&lt;2019/2/20",P3:P1205)</f>
        <v>0.38561320754716982</v>
      </c>
      <c r="R356" s="38">
        <v>2</v>
      </c>
      <c r="S356" s="38">
        <f>AVERAGEIF(L3:L1205,"&lt;2019/2/20",R3:R1205)</f>
        <v>1.2299528301886793</v>
      </c>
      <c r="T356" s="38">
        <v>15</v>
      </c>
      <c r="U356" s="38">
        <f>AVERAGEIF(L3:L1205,"&lt;2019/2/20",T3:T1205)</f>
        <v>7.4257075471698117</v>
      </c>
      <c r="V356" s="24">
        <v>849</v>
      </c>
      <c r="W356" s="47" t="s">
        <v>4618</v>
      </c>
    </row>
    <row r="357" spans="1:23">
      <c r="A357" s="23">
        <v>2</v>
      </c>
      <c r="B357" s="23">
        <v>6</v>
      </c>
      <c r="C357" s="18">
        <v>4</v>
      </c>
      <c r="D357" s="18">
        <v>6</v>
      </c>
      <c r="E357" s="20">
        <v>46</v>
      </c>
      <c r="F357" s="21">
        <f t="shared" si="16"/>
        <v>114.28537735849056</v>
      </c>
      <c r="G357" s="22">
        <v>0.85322547513431402</v>
      </c>
      <c r="H357" s="18">
        <v>1</v>
      </c>
      <c r="I357" s="18">
        <f t="shared" si="17"/>
        <v>0</v>
      </c>
      <c r="J357" s="41">
        <v>43515</v>
      </c>
      <c r="K357" s="36">
        <v>2019</v>
      </c>
      <c r="L357" s="32">
        <f t="shared" si="15"/>
        <v>43529</v>
      </c>
      <c r="M357" s="40">
        <v>0</v>
      </c>
      <c r="N357" s="33">
        <v>218</v>
      </c>
      <c r="O357" s="34">
        <f>AVERAGEIF(L3:L1205,"&lt;2019/2/19",N3:N1205)</f>
        <v>113.90330188679245</v>
      </c>
      <c r="P357" s="54">
        <v>0</v>
      </c>
      <c r="Q357" s="38">
        <f>AVERAGEIF(L3:L1205,"&lt;2019/2/19",P3:P1205)</f>
        <v>0.38561320754716982</v>
      </c>
      <c r="R357" s="38">
        <v>2</v>
      </c>
      <c r="S357" s="38">
        <f>AVERAGEIF(L3:L1205,"&lt;2019/2/19",R3:R1205)</f>
        <v>1.2299528301886793</v>
      </c>
      <c r="T357" s="54">
        <v>14</v>
      </c>
      <c r="U357" s="38">
        <f>AVERAGEIF(L3:L1205,"&lt;2019/2/19",T3:T1205)</f>
        <v>7.4257075471698117</v>
      </c>
      <c r="V357" s="24">
        <v>848</v>
      </c>
      <c r="W357" s="47" t="s">
        <v>4529</v>
      </c>
    </row>
    <row r="358" spans="1:23">
      <c r="A358" s="23">
        <v>2</v>
      </c>
      <c r="B358" s="23">
        <v>7</v>
      </c>
      <c r="C358" s="18">
        <v>5</v>
      </c>
      <c r="D358" s="18">
        <v>8</v>
      </c>
      <c r="E358" s="20">
        <v>88</v>
      </c>
      <c r="F358" s="21">
        <f t="shared" si="16"/>
        <v>114.31641086186541</v>
      </c>
      <c r="G358" s="22">
        <v>0.27207870309262699</v>
      </c>
      <c r="H358" s="18">
        <v>1</v>
      </c>
      <c r="I358" s="18">
        <f t="shared" si="17"/>
        <v>0</v>
      </c>
      <c r="J358" s="41">
        <v>43494</v>
      </c>
      <c r="K358" s="36">
        <v>2019</v>
      </c>
      <c r="L358" s="32">
        <f t="shared" si="15"/>
        <v>43495</v>
      </c>
      <c r="M358" s="40">
        <v>0</v>
      </c>
      <c r="N358" s="33">
        <v>163</v>
      </c>
      <c r="O358" s="34">
        <f>AVERAGEIF(L3:L1205,"&lt;2019/1/29",N3:N1205)</f>
        <v>114.23361144219308</v>
      </c>
      <c r="P358" s="56">
        <v>0</v>
      </c>
      <c r="Q358" s="40">
        <f>AVERAGEIF(L3:L1205,"&lt;2019/1/29",P3:P1205)</f>
        <v>0.38617401668653156</v>
      </c>
      <c r="R358" s="40">
        <v>1</v>
      </c>
      <c r="S358" s="40">
        <f>AVERAGEIF(L3:L1205,"&lt;2019/1/29",R3:R1205)</f>
        <v>1.231227651966627</v>
      </c>
      <c r="T358" s="56">
        <v>1</v>
      </c>
      <c r="U358" s="40">
        <f>AVERAGEIF(L3:L1205,"&lt;2019/1/29",T3:T1205)</f>
        <v>7.4052443384982123</v>
      </c>
      <c r="V358" s="24">
        <v>847</v>
      </c>
      <c r="W358" s="47" t="s">
        <v>4563</v>
      </c>
    </row>
    <row r="359" spans="1:23">
      <c r="A359" s="23">
        <v>2</v>
      </c>
      <c r="B359" s="23">
        <v>16</v>
      </c>
      <c r="C359" s="18">
        <v>4</v>
      </c>
      <c r="D359" s="18">
        <v>6</v>
      </c>
      <c r="E359" s="20">
        <v>202</v>
      </c>
      <c r="F359" s="21">
        <f t="shared" si="16"/>
        <v>114.21276595744681</v>
      </c>
      <c r="G359" s="22">
        <v>0.64266320158613199</v>
      </c>
      <c r="H359" s="18">
        <v>0</v>
      </c>
      <c r="I359" s="18">
        <f t="shared" si="17"/>
        <v>1</v>
      </c>
      <c r="J359" s="41">
        <v>43493</v>
      </c>
      <c r="K359" s="36">
        <v>2019</v>
      </c>
      <c r="L359" s="32">
        <f t="shared" si="15"/>
        <v>43507</v>
      </c>
      <c r="M359" s="40">
        <v>0</v>
      </c>
      <c r="N359" s="33">
        <v>37</v>
      </c>
      <c r="O359" s="34">
        <f>AVERAGEIF(L3:L1205,"&lt;2019/1/28",N3:N1205)</f>
        <v>114.23361144219308</v>
      </c>
      <c r="P359" s="54">
        <v>0</v>
      </c>
      <c r="Q359" s="38">
        <f>AVERAGEIF(L3:L1205,"&lt;2019/1/28",P3:P1205)</f>
        <v>0.38617401668653156</v>
      </c>
      <c r="R359" s="38">
        <v>2</v>
      </c>
      <c r="S359" s="38">
        <f>AVERAGEIF(L3:L1205,"&lt;2019/1/28",R3:R1205)</f>
        <v>1.231227651966627</v>
      </c>
      <c r="T359" s="54">
        <v>14</v>
      </c>
      <c r="U359" s="38">
        <f>AVERAGEIF(L3:L1205,"&lt;2019/1/28",T3:T1205)</f>
        <v>7.4052443384982123</v>
      </c>
      <c r="V359" s="24">
        <v>846</v>
      </c>
      <c r="W359" s="47" t="s">
        <v>4863</v>
      </c>
    </row>
    <row r="360" spans="1:23">
      <c r="A360" s="23">
        <v>2</v>
      </c>
      <c r="B360" s="23">
        <v>16</v>
      </c>
      <c r="C360" s="18">
        <v>4</v>
      </c>
      <c r="D360" s="18">
        <v>6</v>
      </c>
      <c r="E360" s="20">
        <v>184</v>
      </c>
      <c r="F360" s="21">
        <f t="shared" si="16"/>
        <v>114.1301775147929</v>
      </c>
      <c r="G360" s="22">
        <v>0.37932115128010901</v>
      </c>
      <c r="H360" s="18">
        <v>0</v>
      </c>
      <c r="I360" s="18">
        <f t="shared" si="17"/>
        <v>1</v>
      </c>
      <c r="J360" s="41">
        <v>43493</v>
      </c>
      <c r="K360" s="36">
        <v>2019</v>
      </c>
      <c r="L360" s="32">
        <f t="shared" si="15"/>
        <v>43507</v>
      </c>
      <c r="M360" s="40">
        <v>0</v>
      </c>
      <c r="N360" s="33">
        <v>37</v>
      </c>
      <c r="O360" s="34">
        <f>AVERAGEIF(L3:L1205,"&lt;2019/1/28",N3:N1205)</f>
        <v>114.23361144219308</v>
      </c>
      <c r="P360" s="38">
        <v>1</v>
      </c>
      <c r="Q360" s="38">
        <f>AVERAGEIF(L3:L1205,"&lt;2019/1/28",P3:P1205)</f>
        <v>0.38617401668653156</v>
      </c>
      <c r="R360" s="38">
        <v>1</v>
      </c>
      <c r="S360" s="38">
        <f>AVERAGEIF(L3:L1205,"&lt;2019/1/28",R3:R1205)</f>
        <v>1.231227651966627</v>
      </c>
      <c r="T360" s="38">
        <v>14</v>
      </c>
      <c r="U360" s="38">
        <f>AVERAGEIF(L3:L1205,"&lt;2019/1/28",T3:T1205)</f>
        <v>7.4052443384982123</v>
      </c>
      <c r="V360" s="24">
        <v>845</v>
      </c>
      <c r="W360" s="47" t="s">
        <v>4863</v>
      </c>
    </row>
    <row r="361" spans="1:23">
      <c r="A361" s="23">
        <v>2</v>
      </c>
      <c r="B361" s="23">
        <v>16</v>
      </c>
      <c r="C361" s="18">
        <v>4</v>
      </c>
      <c r="D361" s="18">
        <v>6</v>
      </c>
      <c r="E361" s="20">
        <v>23</v>
      </c>
      <c r="F361" s="21">
        <f t="shared" si="16"/>
        <v>114.23815165876778</v>
      </c>
      <c r="G361" s="22">
        <v>0.890722845885074</v>
      </c>
      <c r="H361" s="18">
        <v>0</v>
      </c>
      <c r="I361" s="18">
        <f t="shared" si="17"/>
        <v>1</v>
      </c>
      <c r="J361" s="41">
        <v>43491</v>
      </c>
      <c r="K361" s="36">
        <v>2019</v>
      </c>
      <c r="L361" s="32">
        <f t="shared" si="15"/>
        <v>43494</v>
      </c>
      <c r="M361" s="38">
        <v>1</v>
      </c>
      <c r="N361" s="33">
        <v>37</v>
      </c>
      <c r="O361" s="34">
        <f>AVERAGEIF(L3:L1205,"&lt;2019/1/26",N3:N1205)</f>
        <v>114.23361144219308</v>
      </c>
      <c r="P361" s="38">
        <v>0</v>
      </c>
      <c r="Q361" s="38">
        <f>AVERAGEIF(L3:L1205,"&lt;2019/1/26",P3:P1205)</f>
        <v>0.38617401668653156</v>
      </c>
      <c r="R361" s="38">
        <v>1</v>
      </c>
      <c r="S361" s="38">
        <f>AVERAGEIF(L3:L1205,"&lt;2019/1/26",R3:R1205)</f>
        <v>1.231227651966627</v>
      </c>
      <c r="T361" s="38">
        <v>3</v>
      </c>
      <c r="U361" s="38">
        <f>AVERAGEIF(L3:L1205,"&lt;2019/1/26",T3:T1205)</f>
        <v>7.4052443384982123</v>
      </c>
      <c r="V361" s="24">
        <v>844</v>
      </c>
      <c r="W361" s="47" t="s">
        <v>4529</v>
      </c>
    </row>
    <row r="362" spans="1:23">
      <c r="A362" s="23">
        <v>2</v>
      </c>
      <c r="B362" s="23">
        <v>16</v>
      </c>
      <c r="C362" s="18">
        <v>4</v>
      </c>
      <c r="D362" s="18">
        <v>6</v>
      </c>
      <c r="E362" s="20">
        <v>53</v>
      </c>
      <c r="F362" s="21">
        <f t="shared" si="16"/>
        <v>114.31079478054566</v>
      </c>
      <c r="G362" s="22">
        <v>0.87898319170032801</v>
      </c>
      <c r="H362" s="18">
        <v>0</v>
      </c>
      <c r="I362" s="18">
        <f t="shared" si="17"/>
        <v>1</v>
      </c>
      <c r="J362" s="41">
        <v>43490</v>
      </c>
      <c r="K362" s="36">
        <v>2019</v>
      </c>
      <c r="L362" s="32">
        <f t="shared" si="15"/>
        <v>43494</v>
      </c>
      <c r="M362" s="40">
        <v>1</v>
      </c>
      <c r="N362" s="33">
        <v>37</v>
      </c>
      <c r="O362" s="34">
        <f>AVERAGEIF(L3:L1205,"&lt;2019/1/25",N3:N1205)</f>
        <v>114.23361144219308</v>
      </c>
      <c r="P362" s="40">
        <v>0</v>
      </c>
      <c r="Q362" s="40">
        <f>AVERAGEIF(L3:L1205,"&lt;2019/1/25",P3:P1205)</f>
        <v>0.38617401668653156</v>
      </c>
      <c r="R362" s="40">
        <v>1</v>
      </c>
      <c r="S362" s="40">
        <f>AVERAGEIF(L3:L1205,"&lt;2019/1/25",R3:R1205)</f>
        <v>1.231227651966627</v>
      </c>
      <c r="T362" s="40">
        <v>4</v>
      </c>
      <c r="U362" s="40">
        <f>AVERAGEIF(L3:L1205,"&lt;2019/1/25",T3:T1205)</f>
        <v>7.4052443384982123</v>
      </c>
      <c r="V362" s="24">
        <v>843</v>
      </c>
      <c r="W362" s="47" t="s">
        <v>4550</v>
      </c>
    </row>
    <row r="363" spans="1:23">
      <c r="A363" s="23">
        <v>2</v>
      </c>
      <c r="B363" s="23">
        <v>16</v>
      </c>
      <c r="C363" s="18">
        <v>4</v>
      </c>
      <c r="D363" s="18">
        <v>6</v>
      </c>
      <c r="E363" s="20">
        <v>47</v>
      </c>
      <c r="F363" s="21">
        <f t="shared" si="16"/>
        <v>114.39073634204276</v>
      </c>
      <c r="G363" s="22">
        <v>0.73263153471434295</v>
      </c>
      <c r="H363" s="18">
        <v>0</v>
      </c>
      <c r="I363" s="18">
        <f t="shared" si="17"/>
        <v>1</v>
      </c>
      <c r="J363" s="41">
        <v>43490</v>
      </c>
      <c r="K363" s="36">
        <v>2019</v>
      </c>
      <c r="L363" s="32">
        <f t="shared" si="15"/>
        <v>43494</v>
      </c>
      <c r="M363" s="40">
        <v>1</v>
      </c>
      <c r="N363" s="33">
        <v>37</v>
      </c>
      <c r="O363" s="34">
        <f>AVERAGEIF(L3:L1205,"&lt;2019/1/25",N3:N1205)</f>
        <v>114.23361144219308</v>
      </c>
      <c r="P363" s="38">
        <v>0</v>
      </c>
      <c r="Q363" s="38">
        <f>AVERAGEIF(L3:L1205,"&lt;2019/1/25",P3:P1205)</f>
        <v>0.38617401668653156</v>
      </c>
      <c r="R363" s="38">
        <v>1</v>
      </c>
      <c r="S363" s="38">
        <f>AVERAGEIF(L3:L1205,"&lt;2019/1/25",R3:R1205)</f>
        <v>1.231227651966627</v>
      </c>
      <c r="T363" s="38">
        <v>4</v>
      </c>
      <c r="U363" s="38">
        <f>AVERAGEIF(L3:L1205,"&lt;2019/1/25",T3:T1205)</f>
        <v>7.4052443384982123</v>
      </c>
      <c r="V363" s="24">
        <v>842</v>
      </c>
      <c r="W363" s="47" t="s">
        <v>4529</v>
      </c>
    </row>
    <row r="364" spans="1:23">
      <c r="A364" s="23">
        <v>5</v>
      </c>
      <c r="B364" s="23">
        <v>38</v>
      </c>
      <c r="C364" s="18">
        <v>4</v>
      </c>
      <c r="D364" s="18">
        <v>6</v>
      </c>
      <c r="E364" s="20">
        <v>118</v>
      </c>
      <c r="F364" s="21">
        <f t="shared" si="16"/>
        <v>114.38644470868014</v>
      </c>
      <c r="G364" s="22">
        <v>0.41954613936268298</v>
      </c>
      <c r="H364" s="18">
        <v>1</v>
      </c>
      <c r="I364" s="18">
        <f t="shared" si="17"/>
        <v>0</v>
      </c>
      <c r="J364" s="41">
        <v>43490</v>
      </c>
      <c r="K364" s="36">
        <v>2019</v>
      </c>
      <c r="L364" s="32">
        <f t="shared" si="15"/>
        <v>43495</v>
      </c>
      <c r="M364" s="40">
        <v>1</v>
      </c>
      <c r="N364" s="33">
        <v>36</v>
      </c>
      <c r="O364" s="34">
        <f>AVERAGEIF(L3:L1205,"&lt;2019/1/25",N3:N1205)</f>
        <v>114.23361144219308</v>
      </c>
      <c r="P364" s="38">
        <v>0</v>
      </c>
      <c r="Q364" s="38">
        <f>AVERAGEIF(L3:L1205,"&lt;2019/1/25",P3:P1205)</f>
        <v>0.38617401668653156</v>
      </c>
      <c r="R364" s="38">
        <v>1</v>
      </c>
      <c r="S364" s="38">
        <f>AVERAGEIF(L3:L1205,"&lt;2019/1/25",R3:R1205)</f>
        <v>1.231227651966627</v>
      </c>
      <c r="T364" s="38">
        <v>5</v>
      </c>
      <c r="U364" s="38">
        <f>AVERAGEIF(L3:L1205,"&lt;2019/1/25",T3:T1205)</f>
        <v>7.4052443384982123</v>
      </c>
      <c r="V364" s="24">
        <v>841</v>
      </c>
      <c r="W364" s="47" t="s">
        <v>4624</v>
      </c>
    </row>
    <row r="365" spans="1:23">
      <c r="A365" s="23">
        <v>2</v>
      </c>
      <c r="B365" s="23">
        <v>7</v>
      </c>
      <c r="C365" s="18">
        <v>4</v>
      </c>
      <c r="D365" s="18">
        <v>8</v>
      </c>
      <c r="E365" s="20">
        <v>778</v>
      </c>
      <c r="F365" s="21">
        <f t="shared" si="16"/>
        <v>113.59642857142858</v>
      </c>
      <c r="G365" s="22">
        <v>9.0886331255521605E-2</v>
      </c>
      <c r="H365" s="18">
        <v>1</v>
      </c>
      <c r="I365" s="18">
        <f t="shared" si="17"/>
        <v>0</v>
      </c>
      <c r="J365" s="41">
        <v>43487</v>
      </c>
      <c r="K365" s="36">
        <v>2019</v>
      </c>
      <c r="L365" s="32">
        <f t="shared" si="15"/>
        <v>43495</v>
      </c>
      <c r="M365" s="40">
        <v>0</v>
      </c>
      <c r="N365" s="33">
        <v>259</v>
      </c>
      <c r="O365" s="34">
        <f>AVERAGEIF(L3:L1205,"&lt;2019/1/22",N3:N1205)</f>
        <v>114.24463007159905</v>
      </c>
      <c r="P365" s="38">
        <v>0</v>
      </c>
      <c r="Q365" s="38">
        <f>AVERAGEIF(L3:L1205,"&lt;2019/1/22",P3:P1205)</f>
        <v>0.38544152744630072</v>
      </c>
      <c r="R365" s="38">
        <v>1</v>
      </c>
      <c r="S365" s="38">
        <f>AVERAGEIF(L3:L1205,"&lt;2019/1/22",R3:R1205)</f>
        <v>1.2315035799522673</v>
      </c>
      <c r="T365" s="38">
        <v>8</v>
      </c>
      <c r="U365" s="38">
        <f>AVERAGEIF(L3:L1205,"&lt;2019/1/22",T3:T1205)</f>
        <v>7.392601431980907</v>
      </c>
      <c r="V365" s="24">
        <v>840</v>
      </c>
      <c r="W365" s="47" t="s">
        <v>4579</v>
      </c>
    </row>
    <row r="366" spans="1:23">
      <c r="A366" s="23">
        <v>2</v>
      </c>
      <c r="B366" s="23">
        <v>6</v>
      </c>
      <c r="C366" s="18">
        <v>4</v>
      </c>
      <c r="D366" s="18">
        <v>4</v>
      </c>
      <c r="E366" s="20">
        <v>49</v>
      </c>
      <c r="F366" s="21">
        <f t="shared" si="16"/>
        <v>113.67342073897497</v>
      </c>
      <c r="G366" s="22">
        <v>0.41843067310588899</v>
      </c>
      <c r="H366" s="18">
        <v>1</v>
      </c>
      <c r="I366" s="18">
        <f t="shared" si="17"/>
        <v>0</v>
      </c>
      <c r="J366" s="41">
        <v>43481</v>
      </c>
      <c r="K366" s="36">
        <v>2019</v>
      </c>
      <c r="L366" s="32">
        <f t="shared" si="15"/>
        <v>43482</v>
      </c>
      <c r="M366" s="40">
        <v>0</v>
      </c>
      <c r="N366" s="33">
        <v>71</v>
      </c>
      <c r="O366" s="34">
        <f>AVERAGEIF(L3:L1205,"&lt;2019/1/16",N3:N1205)</f>
        <v>114.26207729468599</v>
      </c>
      <c r="P366" s="38">
        <v>0</v>
      </c>
      <c r="Q366" s="38">
        <f>AVERAGEIF(L3:L1205,"&lt;2019/1/16",P3:P1205)</f>
        <v>0.38647342995169082</v>
      </c>
      <c r="R366" s="38">
        <v>1</v>
      </c>
      <c r="S366" s="38">
        <f>AVERAGEIF(L3:L1205,"&lt;2019/1/16",R3:R1205)</f>
        <v>1.2330917874396135</v>
      </c>
      <c r="T366" s="38">
        <v>1</v>
      </c>
      <c r="U366" s="38">
        <f>AVERAGEIF(L3:L1205,"&lt;2019/1/16",T3:T1205)</f>
        <v>7.3574879227053138</v>
      </c>
      <c r="V366" s="24">
        <v>839</v>
      </c>
      <c r="W366" s="47" t="s">
        <v>4867</v>
      </c>
    </row>
    <row r="367" spans="1:23">
      <c r="A367" s="23">
        <v>2</v>
      </c>
      <c r="B367" s="23">
        <v>7</v>
      </c>
      <c r="C367" s="18">
        <v>4</v>
      </c>
      <c r="D367" s="18">
        <v>8</v>
      </c>
      <c r="E367" s="20">
        <v>141</v>
      </c>
      <c r="F367" s="21">
        <f t="shared" si="16"/>
        <v>113.64081145584726</v>
      </c>
      <c r="G367" s="22">
        <v>0.174982492839167</v>
      </c>
      <c r="H367" s="18">
        <v>1</v>
      </c>
      <c r="I367" s="18">
        <f t="shared" si="17"/>
        <v>0</v>
      </c>
      <c r="J367" s="41">
        <v>43480</v>
      </c>
      <c r="K367" s="36">
        <v>2019</v>
      </c>
      <c r="L367" s="32">
        <f t="shared" si="15"/>
        <v>43483</v>
      </c>
      <c r="M367" s="40">
        <v>0</v>
      </c>
      <c r="N367" s="33">
        <v>229</v>
      </c>
      <c r="O367" s="34">
        <f>AVERAGEIF(L3:L1205,"&lt;2019/1/15",N3:N1205)</f>
        <v>114.16928657799275</v>
      </c>
      <c r="P367" s="40">
        <v>0</v>
      </c>
      <c r="Q367" s="40">
        <f>AVERAGEIF(L3:L1205,"&lt;2019/1/15",P3:P1205)</f>
        <v>0.38694074969770254</v>
      </c>
      <c r="R367" s="40">
        <v>1</v>
      </c>
      <c r="S367" s="40">
        <f>AVERAGEIF(L3:L1205,"&lt;2019/1/15",R3:R1205)</f>
        <v>1.2333736396614268</v>
      </c>
      <c r="T367" s="40">
        <v>3</v>
      </c>
      <c r="U367" s="40">
        <f>AVERAGEIF(L3:L1205,"&lt;2019/1/15",T3:T1205)</f>
        <v>7.3615477629987911</v>
      </c>
      <c r="V367" s="24">
        <v>838</v>
      </c>
      <c r="W367" s="47" t="s">
        <v>4550</v>
      </c>
    </row>
    <row r="368" spans="1:23">
      <c r="A368" s="23">
        <v>2</v>
      </c>
      <c r="B368" s="23">
        <v>6</v>
      </c>
      <c r="C368" s="18">
        <v>4</v>
      </c>
      <c r="D368" s="18">
        <v>4</v>
      </c>
      <c r="E368" s="20">
        <v>178</v>
      </c>
      <c r="F368" s="21">
        <f t="shared" si="16"/>
        <v>113.56391875746715</v>
      </c>
      <c r="G368" s="22">
        <v>0.80889713993786405</v>
      </c>
      <c r="H368" s="18">
        <v>1</v>
      </c>
      <c r="I368" s="18">
        <f t="shared" si="17"/>
        <v>0</v>
      </c>
      <c r="J368" s="41">
        <v>43476</v>
      </c>
      <c r="K368" s="36">
        <v>2019</v>
      </c>
      <c r="L368" s="32">
        <f t="shared" si="15"/>
        <v>43481</v>
      </c>
      <c r="M368" s="40">
        <v>0</v>
      </c>
      <c r="N368" s="33">
        <v>75</v>
      </c>
      <c r="O368" s="34">
        <f>AVERAGEIF(L3:L1205,"&lt;2019/1/11",N3:N1205)</f>
        <v>114.33657351154314</v>
      </c>
      <c r="P368" s="38">
        <v>0</v>
      </c>
      <c r="Q368" s="38">
        <f>AVERAGEIF(L3:L1205,"&lt;2019/1/11",P3:P1205)</f>
        <v>0.38760631834750914</v>
      </c>
      <c r="R368" s="38">
        <v>1</v>
      </c>
      <c r="S368" s="38">
        <f>AVERAGEIF(L3:L1205,"&lt;2019/1/11",R3:R1205)</f>
        <v>1.2345078979343864</v>
      </c>
      <c r="T368" s="38">
        <v>5</v>
      </c>
      <c r="U368" s="38">
        <f>AVERAGEIF(L3:L1205,"&lt;2019/1/11",T3:T1205)</f>
        <v>7.3669501822600241</v>
      </c>
      <c r="V368" s="24">
        <v>837</v>
      </c>
      <c r="W368" s="47" t="s">
        <v>4805</v>
      </c>
    </row>
    <row r="369" spans="1:23">
      <c r="A369" s="23">
        <v>2</v>
      </c>
      <c r="B369" s="23">
        <v>6</v>
      </c>
      <c r="C369" s="18">
        <v>4</v>
      </c>
      <c r="D369" s="18">
        <v>4</v>
      </c>
      <c r="E369" s="20">
        <v>163</v>
      </c>
      <c r="F369" s="21">
        <f t="shared" si="16"/>
        <v>113.50478468899522</v>
      </c>
      <c r="G369" s="22">
        <v>0.68476598395897603</v>
      </c>
      <c r="H369" s="18">
        <v>1</v>
      </c>
      <c r="I369" s="18">
        <f t="shared" si="17"/>
        <v>0</v>
      </c>
      <c r="J369" s="41">
        <v>43476</v>
      </c>
      <c r="K369" s="36">
        <v>2019</v>
      </c>
      <c r="L369" s="32">
        <f t="shared" si="15"/>
        <v>43480</v>
      </c>
      <c r="M369" s="40">
        <v>0</v>
      </c>
      <c r="N369" s="33">
        <v>191</v>
      </c>
      <c r="O369" s="34">
        <f>AVERAGEIF(L3:L1205,"&lt;2019/1/11",N3:N1205)</f>
        <v>114.33657351154314</v>
      </c>
      <c r="P369" s="38">
        <v>0</v>
      </c>
      <c r="Q369" s="38">
        <f>AVERAGEIF(L3:L1205,"&lt;2019/1/11",P3:P1205)</f>
        <v>0.38760631834750914</v>
      </c>
      <c r="R369" s="38">
        <v>1</v>
      </c>
      <c r="S369" s="38">
        <f>AVERAGEIF(L3:L1205,"&lt;2019/1/11",R3:R1205)</f>
        <v>1.2345078979343864</v>
      </c>
      <c r="T369" s="38">
        <v>4</v>
      </c>
      <c r="U369" s="38">
        <f>AVERAGEIF(L3:L1205,"&lt;2019/1/11",T3:T1205)</f>
        <v>7.3669501822600241</v>
      </c>
      <c r="V369" s="24">
        <v>836</v>
      </c>
      <c r="W369" s="47" t="s">
        <v>4871</v>
      </c>
    </row>
    <row r="370" spans="1:23">
      <c r="A370" s="23">
        <v>2</v>
      </c>
      <c r="B370" s="23">
        <v>6</v>
      </c>
      <c r="C370" s="18">
        <v>4</v>
      </c>
      <c r="D370" s="18">
        <v>4</v>
      </c>
      <c r="E370" s="20">
        <v>112</v>
      </c>
      <c r="F370" s="21">
        <f t="shared" si="16"/>
        <v>113.5065868263473</v>
      </c>
      <c r="G370" s="22">
        <v>0.40161057937799</v>
      </c>
      <c r="H370" s="18">
        <v>1</v>
      </c>
      <c r="I370" s="18">
        <f t="shared" si="17"/>
        <v>0</v>
      </c>
      <c r="J370" s="41">
        <v>43476</v>
      </c>
      <c r="K370" s="36">
        <v>2019</v>
      </c>
      <c r="L370" s="32">
        <f t="shared" si="15"/>
        <v>43481</v>
      </c>
      <c r="M370" s="40">
        <v>0</v>
      </c>
      <c r="N370" s="33">
        <v>142</v>
      </c>
      <c r="O370" s="34">
        <f>AVERAGEIF(L3:L1205,"&lt;2019/1/11",N3:N1205)</f>
        <v>114.33657351154314</v>
      </c>
      <c r="P370" s="38">
        <v>0</v>
      </c>
      <c r="Q370" s="38">
        <f>AVERAGEIF(L3:L1205,"&lt;2019/1/11",P3:P1205)</f>
        <v>0.38760631834750914</v>
      </c>
      <c r="R370" s="38">
        <v>1</v>
      </c>
      <c r="S370" s="38">
        <f>AVERAGEIF(L3:L1205,"&lt;2019/1/11",R3:R1205)</f>
        <v>1.2345078979343864</v>
      </c>
      <c r="T370" s="38">
        <v>5</v>
      </c>
      <c r="U370" s="38">
        <f>AVERAGEIF(L3:L1205,"&lt;2019/1/11",T3:T1205)</f>
        <v>7.3669501822600241</v>
      </c>
      <c r="V370" s="24">
        <v>835</v>
      </c>
      <c r="W370" s="47" t="s">
        <v>4870</v>
      </c>
    </row>
    <row r="371" spans="1:23">
      <c r="A371" s="23">
        <v>2</v>
      </c>
      <c r="B371" s="23">
        <v>6</v>
      </c>
      <c r="C371" s="18">
        <v>4</v>
      </c>
      <c r="D371" s="18">
        <v>4</v>
      </c>
      <c r="E371" s="20">
        <v>103</v>
      </c>
      <c r="F371" s="21">
        <f t="shared" si="16"/>
        <v>113.51918465227818</v>
      </c>
      <c r="G371" s="22">
        <v>0.41307332700321198</v>
      </c>
      <c r="H371" s="18">
        <v>1</v>
      </c>
      <c r="I371" s="18">
        <f t="shared" si="17"/>
        <v>0</v>
      </c>
      <c r="J371" s="41">
        <v>43476</v>
      </c>
      <c r="K371" s="36">
        <v>2019</v>
      </c>
      <c r="L371" s="32">
        <f t="shared" si="15"/>
        <v>43479</v>
      </c>
      <c r="M371" s="40">
        <v>0</v>
      </c>
      <c r="N371" s="33">
        <v>95</v>
      </c>
      <c r="O371" s="34">
        <f>AVERAGEIF(L3:L1205,"&lt;2019/1/11",N3:N1205)</f>
        <v>114.33657351154314</v>
      </c>
      <c r="P371" s="38">
        <v>0</v>
      </c>
      <c r="Q371" s="38">
        <f>AVERAGEIF(L3:L1205,"&lt;2019/1/11",P3:P1205)</f>
        <v>0.38760631834750914</v>
      </c>
      <c r="R371" s="38">
        <v>1</v>
      </c>
      <c r="S371" s="38">
        <f>AVERAGEIF(L3:L1205,"&lt;2019/1/11",R3:R1205)</f>
        <v>1.2345078979343864</v>
      </c>
      <c r="T371" s="38">
        <v>3</v>
      </c>
      <c r="U371" s="38">
        <f>AVERAGEIF(L3:L1205,"&lt;2019/1/11",T3:T1205)</f>
        <v>7.3669501822600241</v>
      </c>
      <c r="V371" s="24">
        <v>834</v>
      </c>
      <c r="W371" s="47" t="s">
        <v>4869</v>
      </c>
    </row>
    <row r="372" spans="1:23">
      <c r="A372" s="23">
        <v>4</v>
      </c>
      <c r="B372" s="23">
        <v>35</v>
      </c>
      <c r="C372" s="18">
        <v>5</v>
      </c>
      <c r="D372" s="18">
        <v>6</v>
      </c>
      <c r="E372" s="20">
        <v>331</v>
      </c>
      <c r="F372" s="21">
        <f t="shared" si="16"/>
        <v>113.25810324129652</v>
      </c>
      <c r="G372" s="22">
        <v>0.412500000223192</v>
      </c>
      <c r="H372" s="18">
        <v>1</v>
      </c>
      <c r="I372" s="18">
        <f t="shared" si="17"/>
        <v>0</v>
      </c>
      <c r="J372" s="45">
        <v>43476</v>
      </c>
      <c r="K372" s="36">
        <v>2019</v>
      </c>
      <c r="L372" s="32">
        <f t="shared" si="15"/>
        <v>43482</v>
      </c>
      <c r="M372" s="24">
        <v>0</v>
      </c>
      <c r="N372" s="33">
        <v>87</v>
      </c>
      <c r="O372" s="34">
        <f>AVERAGEIF(L3:L1205,"&lt;2019/1/11",N3:N1205)</f>
        <v>114.33657351154314</v>
      </c>
      <c r="P372" s="38">
        <v>1</v>
      </c>
      <c r="Q372" s="38">
        <f>AVERAGEIF(L3:L1205,"&lt;2019/1/11",P3:P1205)</f>
        <v>0.38760631834750914</v>
      </c>
      <c r="R372" s="38">
        <v>2</v>
      </c>
      <c r="S372" s="38">
        <f>AVERAGEIF(L3:L1205,"&lt;2019/1/11",R3:R1205)</f>
        <v>1.2345078979343864</v>
      </c>
      <c r="T372" s="38">
        <v>6</v>
      </c>
      <c r="U372" s="38">
        <f>AVERAGEIF(L3:L1205,"&lt;2019/1/11",T3:T1205)</f>
        <v>7.3669501822600241</v>
      </c>
      <c r="V372" s="24">
        <v>833</v>
      </c>
      <c r="W372" s="47" t="s">
        <v>4659</v>
      </c>
    </row>
    <row r="373" spans="1:23">
      <c r="A373" s="23">
        <v>2</v>
      </c>
      <c r="B373" s="23">
        <v>6</v>
      </c>
      <c r="C373" s="18">
        <v>5</v>
      </c>
      <c r="D373" s="18">
        <v>6</v>
      </c>
      <c r="E373" s="20">
        <v>21</v>
      </c>
      <c r="F373" s="21">
        <f t="shared" si="16"/>
        <v>113.36899038461539</v>
      </c>
      <c r="G373" s="22">
        <v>0.87220414090018294</v>
      </c>
      <c r="H373" s="18">
        <v>0</v>
      </c>
      <c r="I373" s="18">
        <f t="shared" si="17"/>
        <v>1</v>
      </c>
      <c r="J373" s="41">
        <v>43475</v>
      </c>
      <c r="K373" s="36">
        <v>2019</v>
      </c>
      <c r="L373" s="32">
        <f t="shared" si="15"/>
        <v>43476</v>
      </c>
      <c r="M373" s="40">
        <v>0</v>
      </c>
      <c r="N373" s="33">
        <v>36</v>
      </c>
      <c r="O373" s="34">
        <f>AVERAGEIF(L3:L1205,"&lt;2019/1/10",N3:N1205)</f>
        <v>114.44160583941606</v>
      </c>
      <c r="P373" s="40">
        <v>0</v>
      </c>
      <c r="Q373" s="40">
        <f>AVERAGEIF(L3:L1205,"&lt;2019/1/10",P3:P1205)</f>
        <v>0.38686131386861317</v>
      </c>
      <c r="R373" s="40">
        <v>1</v>
      </c>
      <c r="S373" s="40">
        <f>AVERAGEIF(L3:L1205,"&lt;2019/1/10",R3:R1205)</f>
        <v>1.2347931873479319</v>
      </c>
      <c r="T373" s="40">
        <v>1</v>
      </c>
      <c r="U373" s="40">
        <f>AVERAGEIF(L3:L1205,"&lt;2019/1/10",T3:T1205)</f>
        <v>7.3710462287104619</v>
      </c>
      <c r="V373" s="24">
        <v>832</v>
      </c>
      <c r="W373" s="47" t="s">
        <v>4563</v>
      </c>
    </row>
    <row r="374" spans="1:23">
      <c r="A374" s="23">
        <v>2</v>
      </c>
      <c r="B374" s="23">
        <v>6</v>
      </c>
      <c r="C374" s="18">
        <v>4</v>
      </c>
      <c r="D374" s="18">
        <v>4</v>
      </c>
      <c r="E374" s="20">
        <v>64</v>
      </c>
      <c r="F374" s="21">
        <f t="shared" si="16"/>
        <v>113.42839951865223</v>
      </c>
      <c r="G374" s="22">
        <v>0.74220534887087797</v>
      </c>
      <c r="H374" s="18">
        <v>1</v>
      </c>
      <c r="I374" s="18">
        <f t="shared" si="17"/>
        <v>0</v>
      </c>
      <c r="J374" s="41">
        <v>43475</v>
      </c>
      <c r="K374" s="36">
        <v>2019</v>
      </c>
      <c r="L374" s="32">
        <f t="shared" si="15"/>
        <v>43479</v>
      </c>
      <c r="M374" s="40">
        <v>0</v>
      </c>
      <c r="N374" s="33">
        <v>77</v>
      </c>
      <c r="O374" s="34">
        <f>AVERAGEIF(L3:L1205,"&lt;2019/1/10",N3:N1205)</f>
        <v>114.44160583941606</v>
      </c>
      <c r="P374" s="38">
        <v>0</v>
      </c>
      <c r="Q374" s="38">
        <f>AVERAGEIF(L3:L1205,"&lt;2019/1/10",P3:P1205)</f>
        <v>0.38686131386861317</v>
      </c>
      <c r="R374" s="38">
        <v>1</v>
      </c>
      <c r="S374" s="38">
        <f>AVERAGEIF(L3:L1205,"&lt;2019/1/10",R3:R1205)</f>
        <v>1.2347931873479319</v>
      </c>
      <c r="T374" s="38">
        <v>4</v>
      </c>
      <c r="U374" s="38">
        <f>AVERAGEIF(L3:L1205,"&lt;2019/1/10",T3:T1205)</f>
        <v>7.3710462287104619</v>
      </c>
      <c r="V374" s="24">
        <v>831</v>
      </c>
      <c r="W374" s="47" t="s">
        <v>4529</v>
      </c>
    </row>
    <row r="375" spans="1:23">
      <c r="A375" s="23">
        <v>2</v>
      </c>
      <c r="B375" s="23">
        <v>13</v>
      </c>
      <c r="C375" s="18">
        <v>4</v>
      </c>
      <c r="D375" s="18">
        <v>6</v>
      </c>
      <c r="E375" s="20">
        <v>68</v>
      </c>
      <c r="F375" s="21">
        <f t="shared" si="16"/>
        <v>113.48313253012049</v>
      </c>
      <c r="G375" s="22">
        <v>0.80461310476057302</v>
      </c>
      <c r="H375" s="18">
        <v>1</v>
      </c>
      <c r="I375" s="18">
        <f t="shared" si="17"/>
        <v>0</v>
      </c>
      <c r="J375" s="41">
        <v>43471</v>
      </c>
      <c r="K375" s="36">
        <v>2019</v>
      </c>
      <c r="L375" s="32">
        <f t="shared" si="15"/>
        <v>43475</v>
      </c>
      <c r="M375" s="24">
        <v>0</v>
      </c>
      <c r="N375" s="33">
        <v>28</v>
      </c>
      <c r="O375" s="34">
        <f>AVERAGEIF(L3:L1205,"&lt;2019/1/6",N3:N1205)</f>
        <v>114.51219512195122</v>
      </c>
      <c r="P375" s="54">
        <v>1</v>
      </c>
      <c r="Q375" s="38">
        <f>AVERAGEIF(L3:L1205,"&lt;2019/1/6",P3:P1205)</f>
        <v>0.38414634146341464</v>
      </c>
      <c r="R375" s="38">
        <v>1</v>
      </c>
      <c r="S375" s="38">
        <f>AVERAGEIF(L3:L1205,"&lt;2019/1/6",R3:R1205)</f>
        <v>1.2341463414634146</v>
      </c>
      <c r="T375" s="54">
        <v>4</v>
      </c>
      <c r="U375" s="38">
        <f>AVERAGEIF(L3:L1205,"&lt;2019/1/6",T3:T1205)</f>
        <v>7.3682926829268292</v>
      </c>
      <c r="V375" s="24">
        <v>830</v>
      </c>
      <c r="W375" s="47" t="s">
        <v>4529</v>
      </c>
    </row>
    <row r="376" spans="1:23">
      <c r="A376" s="23">
        <v>2</v>
      </c>
      <c r="B376" s="23">
        <v>6</v>
      </c>
      <c r="C376" s="18">
        <v>4</v>
      </c>
      <c r="D376" s="18">
        <v>3</v>
      </c>
      <c r="E376" s="20">
        <v>269</v>
      </c>
      <c r="F376" s="21">
        <f t="shared" si="16"/>
        <v>113.29553679131483</v>
      </c>
      <c r="G376" s="22">
        <v>0.37500000044165299</v>
      </c>
      <c r="H376" s="18">
        <v>0</v>
      </c>
      <c r="I376" s="18">
        <f t="shared" si="17"/>
        <v>1</v>
      </c>
      <c r="J376" s="41">
        <v>43470</v>
      </c>
      <c r="K376" s="36">
        <v>2019</v>
      </c>
      <c r="L376" s="32">
        <f t="shared" si="15"/>
        <v>43488</v>
      </c>
      <c r="M376" s="40">
        <v>0</v>
      </c>
      <c r="N376" s="33">
        <v>105</v>
      </c>
      <c r="O376" s="34">
        <f>AVERAGEIF(L3:L1205,"&lt;2019/1/5",N3:N1205)</f>
        <v>114.51219512195122</v>
      </c>
      <c r="P376" s="38">
        <v>1</v>
      </c>
      <c r="Q376" s="38">
        <f>AVERAGEIF(L3:L1205,"&lt;2019/1/5",P3:P1205)</f>
        <v>0.38414634146341464</v>
      </c>
      <c r="R376" s="38">
        <v>1</v>
      </c>
      <c r="S376" s="38">
        <f>AVERAGEIF(L3:L1205,"&lt;2019/1/5",R3:R1205)</f>
        <v>1.2341463414634146</v>
      </c>
      <c r="T376" s="38">
        <v>18</v>
      </c>
      <c r="U376" s="38">
        <f>AVERAGEIF(L3:L1205,"&lt;2019/1/5",T3:T1205)</f>
        <v>7.3682926829268292</v>
      </c>
      <c r="V376" s="24">
        <v>829</v>
      </c>
      <c r="W376" s="47" t="s">
        <v>4624</v>
      </c>
    </row>
    <row r="377" spans="1:23">
      <c r="A377" s="23">
        <v>2</v>
      </c>
      <c r="B377" s="23">
        <v>6</v>
      </c>
      <c r="C377" s="18">
        <v>4</v>
      </c>
      <c r="D377" s="18">
        <v>3</v>
      </c>
      <c r="E377" s="20">
        <v>270</v>
      </c>
      <c r="F377" s="21">
        <f t="shared" si="16"/>
        <v>113.10628019323671</v>
      </c>
      <c r="G377" s="22">
        <v>0.375000000234263</v>
      </c>
      <c r="H377" s="18">
        <v>0</v>
      </c>
      <c r="I377" s="18">
        <f t="shared" si="17"/>
        <v>1</v>
      </c>
      <c r="J377" s="41">
        <v>43468</v>
      </c>
      <c r="K377" s="36">
        <v>2019</v>
      </c>
      <c r="L377" s="32">
        <f t="shared" si="15"/>
        <v>43482</v>
      </c>
      <c r="M377" s="24">
        <v>0</v>
      </c>
      <c r="N377" s="33">
        <v>103</v>
      </c>
      <c r="O377" s="34">
        <f>AVERAGEIF(L3:L1205,"&lt;2019/1/3",N3:N1205)</f>
        <v>114.51219512195122</v>
      </c>
      <c r="P377" s="54">
        <v>0</v>
      </c>
      <c r="Q377" s="38">
        <f>AVERAGEIF(L3:L1205,"&lt;2019/1/3",P3:P1205)</f>
        <v>0.38414634146341464</v>
      </c>
      <c r="R377" s="38">
        <v>1</v>
      </c>
      <c r="S377" s="38">
        <f>AVERAGEIF(L3:L1205,"&lt;2019/1/3",R3:R1205)</f>
        <v>1.2341463414634146</v>
      </c>
      <c r="T377" s="54">
        <v>14</v>
      </c>
      <c r="U377" s="38">
        <f>AVERAGEIF(L3:L1205,"&lt;2019/1/3",T3:T1205)</f>
        <v>7.3682926829268292</v>
      </c>
      <c r="V377" s="24">
        <v>828</v>
      </c>
      <c r="W377" s="47" t="s">
        <v>4624</v>
      </c>
    </row>
    <row r="378" spans="1:23">
      <c r="A378" s="23">
        <v>2</v>
      </c>
      <c r="B378" s="23">
        <v>6</v>
      </c>
      <c r="C378" s="18">
        <v>4</v>
      </c>
      <c r="D378" s="18">
        <v>3</v>
      </c>
      <c r="E378" s="20">
        <v>274</v>
      </c>
      <c r="F378" s="21">
        <f t="shared" si="16"/>
        <v>112.91172914147521</v>
      </c>
      <c r="G378" s="22">
        <v>0.34090909104191902</v>
      </c>
      <c r="H378" s="18">
        <v>0</v>
      </c>
      <c r="I378" s="18">
        <f t="shared" si="17"/>
        <v>1</v>
      </c>
      <c r="J378" s="41">
        <v>43467</v>
      </c>
      <c r="K378" s="36">
        <v>2019</v>
      </c>
      <c r="L378" s="32">
        <f t="shared" si="15"/>
        <v>43483</v>
      </c>
      <c r="M378" s="40">
        <v>0</v>
      </c>
      <c r="N378" s="33">
        <v>103</v>
      </c>
      <c r="O378" s="34">
        <f>AVERAGEIF(L3:L1205,"&lt;2019/1/2",N3:N1205)</f>
        <v>114.84275184275184</v>
      </c>
      <c r="P378" s="38">
        <v>0</v>
      </c>
      <c r="Q378" s="38">
        <f>AVERAGEIF(L3:L1205,"&lt;2019/1/2",P3:P1205)</f>
        <v>0.3832923832923833</v>
      </c>
      <c r="R378" s="38">
        <v>1</v>
      </c>
      <c r="S378" s="38">
        <f>AVERAGEIF(L3:L1205,"&lt;2019/1/2",R3:R1205)</f>
        <v>1.2358722358722358</v>
      </c>
      <c r="T378" s="38">
        <v>16</v>
      </c>
      <c r="U378" s="38">
        <f>AVERAGEIF(L3:L1205,"&lt;2019/1/2",T3:T1205)</f>
        <v>7.3906633906633905</v>
      </c>
      <c r="V378" s="24">
        <v>827</v>
      </c>
      <c r="W378" s="47" t="s">
        <v>4624</v>
      </c>
    </row>
    <row r="379" spans="1:23">
      <c r="A379" s="23">
        <v>2</v>
      </c>
      <c r="B379" s="23">
        <v>6</v>
      </c>
      <c r="C379" s="18">
        <v>4</v>
      </c>
      <c r="D379" s="18">
        <v>3</v>
      </c>
      <c r="E379" s="20">
        <v>262</v>
      </c>
      <c r="F379" s="21">
        <f t="shared" si="16"/>
        <v>112.73123486682809</v>
      </c>
      <c r="G379" s="22">
        <v>0.412500000051372</v>
      </c>
      <c r="H379" s="18">
        <v>0</v>
      </c>
      <c r="I379" s="18">
        <f t="shared" si="17"/>
        <v>1</v>
      </c>
      <c r="J379" s="41">
        <v>43467</v>
      </c>
      <c r="K379" s="36">
        <v>2019</v>
      </c>
      <c r="L379" s="32">
        <f t="shared" si="15"/>
        <v>43473</v>
      </c>
      <c r="M379" s="40">
        <v>0</v>
      </c>
      <c r="N379" s="33">
        <v>64</v>
      </c>
      <c r="O379" s="34">
        <f>AVERAGEIF(L3:L1205,"&lt;2019/1/2",N3:N1205)</f>
        <v>114.84275184275184</v>
      </c>
      <c r="P379" s="38">
        <v>1</v>
      </c>
      <c r="Q379" s="38">
        <f>AVERAGEIF(L3:L1205,"&lt;2019/1/22",P3:P1205)</f>
        <v>0.38544152744630072</v>
      </c>
      <c r="R379" s="38">
        <v>1</v>
      </c>
      <c r="S379" s="38">
        <f>AVERAGEIF(L3:L1205,"&lt;2019/1/2",R3:R1205)</f>
        <v>1.2358722358722358</v>
      </c>
      <c r="T379" s="38">
        <v>6</v>
      </c>
      <c r="U379" s="38">
        <f>AVERAGEIF(L3:L1205,"&lt;2019/1/2",T3:T1205)</f>
        <v>7.3906633906633905</v>
      </c>
      <c r="V379" s="24">
        <v>826</v>
      </c>
      <c r="W379" s="47" t="s">
        <v>4624</v>
      </c>
    </row>
    <row r="380" spans="1:23">
      <c r="A380" s="23">
        <v>2</v>
      </c>
      <c r="B380" s="23">
        <v>6</v>
      </c>
      <c r="C380" s="18">
        <v>4</v>
      </c>
      <c r="D380" s="18">
        <v>3</v>
      </c>
      <c r="E380" s="20">
        <v>408</v>
      </c>
      <c r="F380" s="21">
        <f t="shared" si="16"/>
        <v>112.37333333333333</v>
      </c>
      <c r="G380" s="22">
        <v>0.37820750825852401</v>
      </c>
      <c r="H380" s="18">
        <v>0</v>
      </c>
      <c r="I380" s="18">
        <f t="shared" si="17"/>
        <v>1</v>
      </c>
      <c r="J380" s="41">
        <v>43464</v>
      </c>
      <c r="K380" s="36">
        <v>2018</v>
      </c>
      <c r="L380" s="32">
        <f t="shared" si="15"/>
        <v>43483</v>
      </c>
      <c r="M380" s="40">
        <v>0</v>
      </c>
      <c r="N380" s="33">
        <v>103</v>
      </c>
      <c r="O380" s="34">
        <f>AVERAGEIF(L3:L1205,"&lt;2018/12/30",N3:N1205)</f>
        <v>114.84275184275184</v>
      </c>
      <c r="P380" s="40">
        <v>2</v>
      </c>
      <c r="Q380" s="40">
        <f>AVERAGEIF(L3:L1205,"&lt;2018/12/30",P3:P1205)</f>
        <v>0.3832923832923833</v>
      </c>
      <c r="R380" s="40">
        <v>1</v>
      </c>
      <c r="S380" s="40">
        <f>AVERAGEIF(L3:L1205,"&lt;2018/12/30",R3:R1205)</f>
        <v>1.2358722358722358</v>
      </c>
      <c r="T380" s="40">
        <v>19</v>
      </c>
      <c r="U380" s="40">
        <f>AVERAGEIF(L3:L1205,"&lt;2018/12/30",T3:T1205)</f>
        <v>7.3906633906633905</v>
      </c>
      <c r="V380" s="24">
        <v>825</v>
      </c>
      <c r="W380" s="47" t="s">
        <v>4624</v>
      </c>
    </row>
    <row r="381" spans="1:23">
      <c r="A381" s="23">
        <v>2</v>
      </c>
      <c r="B381" s="23">
        <v>6</v>
      </c>
      <c r="C381" s="18">
        <v>4</v>
      </c>
      <c r="D381" s="18">
        <v>3</v>
      </c>
      <c r="E381" s="20">
        <v>173</v>
      </c>
      <c r="F381" s="21">
        <f t="shared" si="16"/>
        <v>112.2997572815534</v>
      </c>
      <c r="G381" s="22">
        <v>0.37500114618306202</v>
      </c>
      <c r="H381" s="18">
        <v>0</v>
      </c>
      <c r="I381" s="18">
        <f t="shared" si="17"/>
        <v>1</v>
      </c>
      <c r="J381" s="41">
        <v>43464</v>
      </c>
      <c r="K381" s="36">
        <v>2018</v>
      </c>
      <c r="L381" s="32">
        <f t="shared" si="15"/>
        <v>43481</v>
      </c>
      <c r="M381" s="40">
        <v>0</v>
      </c>
      <c r="N381" s="33">
        <v>107</v>
      </c>
      <c r="O381" s="34">
        <f>AVERAGEIF(L3:L1205,"&lt;2018/12/30",N3:N1205)</f>
        <v>114.84275184275184</v>
      </c>
      <c r="P381" s="40">
        <v>0</v>
      </c>
      <c r="Q381" s="40">
        <f>AVERAGEIF(L3:L1205,"&lt;2018/12/30",P3:P1205)</f>
        <v>0.3832923832923833</v>
      </c>
      <c r="R381" s="40">
        <v>1</v>
      </c>
      <c r="S381" s="40">
        <f>AVERAGEIF(L3:L1205,"&lt;2018/12/30",R3:R1205)</f>
        <v>1.2358722358722358</v>
      </c>
      <c r="T381" s="40">
        <v>17</v>
      </c>
      <c r="U381" s="40">
        <f>AVERAGEIF(L3:L1205,"&lt;2018/12/30",T3:T1205)</f>
        <v>7.3906633906633905</v>
      </c>
      <c r="V381" s="24">
        <v>824</v>
      </c>
      <c r="W381" s="47" t="s">
        <v>4523</v>
      </c>
    </row>
    <row r="382" spans="1:23">
      <c r="A382" s="23">
        <v>2</v>
      </c>
      <c r="B382" s="23">
        <v>6</v>
      </c>
      <c r="C382" s="18">
        <v>4</v>
      </c>
      <c r="D382" s="18">
        <v>3</v>
      </c>
      <c r="E382" s="20">
        <v>229</v>
      </c>
      <c r="F382" s="21">
        <f t="shared" si="16"/>
        <v>112.15795868772783</v>
      </c>
      <c r="G382" s="22">
        <v>0.375000000559362</v>
      </c>
      <c r="H382" s="18">
        <v>0</v>
      </c>
      <c r="I382" s="18">
        <f t="shared" si="17"/>
        <v>1</v>
      </c>
      <c r="J382" s="41">
        <v>43464</v>
      </c>
      <c r="K382" s="36">
        <v>2018</v>
      </c>
      <c r="L382" s="32">
        <f t="shared" si="15"/>
        <v>43495</v>
      </c>
      <c r="M382" s="40">
        <v>0</v>
      </c>
      <c r="N382" s="33">
        <v>105</v>
      </c>
      <c r="O382" s="34">
        <f>AVERAGEIF(L3:L1205,"&lt;2018/12/30",N3:N1205)</f>
        <v>114.84275184275184</v>
      </c>
      <c r="P382" s="38">
        <v>2</v>
      </c>
      <c r="Q382" s="38">
        <f>AVERAGEIF(L3:L1205,"&lt;2018/12/30",P3:P1205)</f>
        <v>0.3832923832923833</v>
      </c>
      <c r="R382" s="38">
        <v>1</v>
      </c>
      <c r="S382" s="38">
        <f>AVERAGEIF(L3:L1205,"&lt;2018/12/30",R3:R1205)</f>
        <v>1.2358722358722358</v>
      </c>
      <c r="T382" s="38">
        <v>31</v>
      </c>
      <c r="U382" s="38">
        <f>AVERAGEIF(L3:L1205,"&lt;2018/12/30",T3:T1205)</f>
        <v>7.3906633906633905</v>
      </c>
      <c r="V382" s="24">
        <v>823</v>
      </c>
      <c r="W382" s="47" t="s">
        <v>4521</v>
      </c>
    </row>
    <row r="383" spans="1:23">
      <c r="A383" s="23">
        <v>2</v>
      </c>
      <c r="B383" s="23">
        <v>6</v>
      </c>
      <c r="C383" s="18">
        <v>4</v>
      </c>
      <c r="D383" s="18">
        <v>3</v>
      </c>
      <c r="E383" s="20">
        <v>151</v>
      </c>
      <c r="F383" s="21">
        <f t="shared" si="16"/>
        <v>112.11070559610705</v>
      </c>
      <c r="G383" s="22">
        <v>0.375</v>
      </c>
      <c r="H383" s="18">
        <v>0</v>
      </c>
      <c r="I383" s="18">
        <f t="shared" si="17"/>
        <v>1</v>
      </c>
      <c r="J383" s="41">
        <v>43464</v>
      </c>
      <c r="K383" s="36">
        <v>2018</v>
      </c>
      <c r="L383" s="32">
        <f t="shared" si="15"/>
        <v>43481</v>
      </c>
      <c r="M383" s="40">
        <v>0</v>
      </c>
      <c r="N383" s="33">
        <v>108</v>
      </c>
      <c r="O383" s="34">
        <f>AVERAGEIF(L3:L1205,"&lt;2018/12/30",N3:N1205)</f>
        <v>114.84275184275184</v>
      </c>
      <c r="P383" s="40">
        <v>0</v>
      </c>
      <c r="Q383" s="40">
        <f>AVERAGEIF(L3:L1205,"&lt;2018/12/30",P3:P1205)</f>
        <v>0.3832923832923833</v>
      </c>
      <c r="R383" s="40">
        <v>1</v>
      </c>
      <c r="S383" s="40">
        <f>AVERAGEIF(L3:L1205,"&lt;2018/12/30",R3:R1205)</f>
        <v>1.2358722358722358</v>
      </c>
      <c r="T383" s="40">
        <v>17</v>
      </c>
      <c r="U383" s="40">
        <f>AVERAGEIF(L3:L1205,"&lt;2018/12/30",T3:T1205)</f>
        <v>7.3906633906633905</v>
      </c>
      <c r="V383" s="24">
        <v>822</v>
      </c>
      <c r="W383" s="47" t="s">
        <v>4523</v>
      </c>
    </row>
    <row r="384" spans="1:23">
      <c r="A384" s="23">
        <v>2</v>
      </c>
      <c r="B384" s="23">
        <v>6</v>
      </c>
      <c r="C384" s="18">
        <v>4</v>
      </c>
      <c r="D384" s="18">
        <v>4</v>
      </c>
      <c r="E384" s="20">
        <v>91</v>
      </c>
      <c r="F384" s="21">
        <f t="shared" si="16"/>
        <v>112.13641900121803</v>
      </c>
      <c r="G384" s="22">
        <v>0.87499999528339201</v>
      </c>
      <c r="H384" s="18">
        <v>0</v>
      </c>
      <c r="I384" s="18">
        <f t="shared" si="17"/>
        <v>1</v>
      </c>
      <c r="J384" s="41">
        <v>43463</v>
      </c>
      <c r="K384" s="36">
        <v>2018</v>
      </c>
      <c r="L384" s="32">
        <f t="shared" si="15"/>
        <v>43467</v>
      </c>
      <c r="M384" s="40">
        <v>0</v>
      </c>
      <c r="N384" s="33">
        <v>95</v>
      </c>
      <c r="O384" s="34">
        <f>AVERAGEIF(L3:L1205,"&lt;2018/12/29",N3:N1205)</f>
        <v>114.84275184275184</v>
      </c>
      <c r="P384" s="38">
        <v>0</v>
      </c>
      <c r="Q384" s="38">
        <f>AVERAGEIF(L3:L1205,"&lt;2018/12/29",P3:P1205)</f>
        <v>0.3832923832923833</v>
      </c>
      <c r="R384" s="38">
        <v>1</v>
      </c>
      <c r="S384" s="38">
        <f>AVERAGEIF(L3:L1205,"&lt;2018/12/29",R3:R1205)</f>
        <v>1.2358722358722358</v>
      </c>
      <c r="T384" s="38">
        <v>4</v>
      </c>
      <c r="U384" s="38">
        <f>AVERAGEIF(L3:L1205,"&lt;2018/12/29",T3:T1205)</f>
        <v>7.3906633906633905</v>
      </c>
      <c r="V384" s="24">
        <v>821</v>
      </c>
      <c r="W384" s="47" t="s">
        <v>4873</v>
      </c>
    </row>
    <row r="385" spans="1:23">
      <c r="A385" s="23">
        <v>2</v>
      </c>
      <c r="B385" s="23">
        <v>6</v>
      </c>
      <c r="C385" s="18">
        <v>4</v>
      </c>
      <c r="D385" s="18">
        <v>3</v>
      </c>
      <c r="E385" s="20">
        <v>124</v>
      </c>
      <c r="F385" s="21">
        <f t="shared" si="16"/>
        <v>112.1219512195122</v>
      </c>
      <c r="G385" s="22">
        <v>0.89579283451352498</v>
      </c>
      <c r="H385" s="18">
        <v>0</v>
      </c>
      <c r="I385" s="18">
        <f t="shared" si="17"/>
        <v>1</v>
      </c>
      <c r="J385" s="41">
        <v>43463</v>
      </c>
      <c r="K385" s="36">
        <v>2018</v>
      </c>
      <c r="L385" s="32">
        <f t="shared" si="15"/>
        <v>43467</v>
      </c>
      <c r="M385" s="24">
        <v>0</v>
      </c>
      <c r="N385" s="33">
        <v>49</v>
      </c>
      <c r="O385" s="34">
        <f>AVERAGEIF(L3:L1205,"&lt;2018/12/29",N3:N1205)</f>
        <v>114.84275184275184</v>
      </c>
      <c r="P385" s="38">
        <v>0</v>
      </c>
      <c r="Q385" s="38">
        <f>AVERAGEIF(L3:L1205,"&lt;2018/12/29",P3:P1205)</f>
        <v>0.3832923832923833</v>
      </c>
      <c r="R385" s="38">
        <v>1</v>
      </c>
      <c r="S385" s="38">
        <f>AVERAGEIF(L3:L1205,"&lt;2018/12/29",R3:R1205)</f>
        <v>1.2358722358722358</v>
      </c>
      <c r="T385" s="38">
        <v>4</v>
      </c>
      <c r="U385" s="38">
        <f>AVERAGEIF(L3:L1205,"&lt;2018/12/29",T3:T1205)</f>
        <v>7.3906633906633905</v>
      </c>
      <c r="V385" s="24">
        <v>820</v>
      </c>
      <c r="W385" s="47" t="s">
        <v>4624</v>
      </c>
    </row>
    <row r="386" spans="1:23">
      <c r="A386" s="23">
        <v>2</v>
      </c>
      <c r="B386" s="23">
        <v>6</v>
      </c>
      <c r="C386" s="18">
        <v>4</v>
      </c>
      <c r="D386" s="18">
        <v>3</v>
      </c>
      <c r="E386" s="20">
        <v>237</v>
      </c>
      <c r="F386" s="21">
        <f t="shared" si="16"/>
        <v>111.96947496947497</v>
      </c>
      <c r="G386" s="22">
        <v>0.58889524709861996</v>
      </c>
      <c r="H386" s="18">
        <v>0</v>
      </c>
      <c r="I386" s="18">
        <f t="shared" si="17"/>
        <v>1</v>
      </c>
      <c r="J386" s="41">
        <v>43463</v>
      </c>
      <c r="K386" s="36">
        <v>2018</v>
      </c>
      <c r="L386" s="32">
        <f t="shared" si="15"/>
        <v>43467</v>
      </c>
      <c r="M386" s="24">
        <v>1</v>
      </c>
      <c r="N386" s="33">
        <v>67</v>
      </c>
      <c r="O386" s="34">
        <f>AVERAGEIF(L3:L1205,"&lt;2018/12/29",N3:N1205)</f>
        <v>114.84275184275184</v>
      </c>
      <c r="P386" s="38">
        <v>0</v>
      </c>
      <c r="Q386" s="38">
        <f>AVERAGEIF(L3:L1205,"&lt;2018/12/29",P3:P1205)</f>
        <v>0.3832923832923833</v>
      </c>
      <c r="R386" s="38">
        <v>1</v>
      </c>
      <c r="S386" s="38">
        <f>AVERAGEIF(L3:L1205,"&lt;2018/12/29",R3:R1205)</f>
        <v>1.2358722358722358</v>
      </c>
      <c r="T386" s="38">
        <v>4</v>
      </c>
      <c r="U386" s="38">
        <f>AVERAGEIF(L3:L1205,"&lt;2018/12/29",T3:T1205)</f>
        <v>7.3906633906633905</v>
      </c>
      <c r="V386" s="24">
        <v>819</v>
      </c>
      <c r="W386" s="47" t="s">
        <v>4874</v>
      </c>
    </row>
    <row r="387" spans="1:23">
      <c r="A387" s="23">
        <v>2</v>
      </c>
      <c r="B387" s="23">
        <v>6</v>
      </c>
      <c r="C387" s="18">
        <v>4</v>
      </c>
      <c r="D387" s="18">
        <v>3</v>
      </c>
      <c r="E387" s="20">
        <v>285</v>
      </c>
      <c r="F387" s="21">
        <f t="shared" si="16"/>
        <v>111.75794621026895</v>
      </c>
      <c r="G387" s="22">
        <v>0.35883972191608798</v>
      </c>
      <c r="H387" s="18">
        <v>0</v>
      </c>
      <c r="I387" s="18">
        <f t="shared" si="17"/>
        <v>1</v>
      </c>
      <c r="J387" s="41">
        <v>43463</v>
      </c>
      <c r="K387" s="36">
        <v>2018</v>
      </c>
      <c r="L387" s="32">
        <f t="shared" ref="L387:L450" si="18">J387+T387</f>
        <v>43474</v>
      </c>
      <c r="M387" s="24">
        <v>0</v>
      </c>
      <c r="N387" s="33">
        <v>107</v>
      </c>
      <c r="O387" s="34">
        <f>AVERAGEIF(L3:L1205,"&lt;2018/12/29",N3:N1205)</f>
        <v>114.84275184275184</v>
      </c>
      <c r="P387" s="54">
        <v>2</v>
      </c>
      <c r="Q387" s="38">
        <f>AVERAGEIF(L3:L1205,"&lt;2018/12/29",P3:P1205)</f>
        <v>0.3832923832923833</v>
      </c>
      <c r="R387" s="38">
        <v>2</v>
      </c>
      <c r="S387" s="38">
        <f>AVERAGEIF(L3:L1205,"&lt;2018/12/29",R3:R1205)</f>
        <v>1.2358722358722358</v>
      </c>
      <c r="T387" s="54">
        <v>11</v>
      </c>
      <c r="U387" s="38">
        <f>AVERAGEIF(L3:L1205,"&lt;2018/12/29",T3:T1205)</f>
        <v>7.3906633906633905</v>
      </c>
      <c r="V387" s="24">
        <v>818</v>
      </c>
      <c r="W387" s="47" t="s">
        <v>4523</v>
      </c>
    </row>
    <row r="388" spans="1:23">
      <c r="A388" s="23">
        <v>2</v>
      </c>
      <c r="B388" s="23">
        <v>7</v>
      </c>
      <c r="C388" s="18">
        <v>1</v>
      </c>
      <c r="D388" s="18">
        <v>6</v>
      </c>
      <c r="E388" s="20">
        <v>193</v>
      </c>
      <c r="F388" s="21">
        <f t="shared" ref="F388:F451" si="19">AVERAGE(E389:E1590)</f>
        <v>111.65850673194615</v>
      </c>
      <c r="G388" s="22">
        <v>0.37500000746388601</v>
      </c>
      <c r="H388" s="18">
        <v>1</v>
      </c>
      <c r="I388" s="18">
        <f t="shared" ref="I388:I451" si="20">IF(H388=1,0,1)</f>
        <v>0</v>
      </c>
      <c r="J388" s="41">
        <v>43463</v>
      </c>
      <c r="K388" s="36">
        <v>2018</v>
      </c>
      <c r="L388" s="32">
        <f t="shared" si="18"/>
        <v>43467</v>
      </c>
      <c r="M388" s="40">
        <v>1</v>
      </c>
      <c r="N388" s="33">
        <v>69</v>
      </c>
      <c r="O388" s="34">
        <f>AVERAGEIF(L3:L1205,"&lt;2018/12/29",N3:N1205)</f>
        <v>114.84275184275184</v>
      </c>
      <c r="P388" s="56">
        <v>1</v>
      </c>
      <c r="Q388" s="40">
        <f>AVERAGEIF(L3:L1205,"&lt;2018/12/29",P3:P1205)</f>
        <v>0.3832923832923833</v>
      </c>
      <c r="R388" s="40">
        <v>1</v>
      </c>
      <c r="S388" s="40">
        <f>AVERAGEIF(L3:L1205,"&lt;2018/12/29",R3:R1205)</f>
        <v>1.2358722358722358</v>
      </c>
      <c r="T388" s="56">
        <v>4</v>
      </c>
      <c r="U388" s="40">
        <f>AVERAGEIF(L3:L1205,"&lt;2018/12/29",T3:T1205)</f>
        <v>7.3906633906633905</v>
      </c>
      <c r="V388" s="24">
        <v>817</v>
      </c>
      <c r="W388" s="47" t="s">
        <v>4618</v>
      </c>
    </row>
    <row r="389" spans="1:23">
      <c r="A389" s="23">
        <v>2</v>
      </c>
      <c r="B389" s="23">
        <v>9</v>
      </c>
      <c r="C389" s="18">
        <v>1</v>
      </c>
      <c r="D389" s="18">
        <v>6</v>
      </c>
      <c r="E389" s="20">
        <v>193</v>
      </c>
      <c r="F389" s="21">
        <f t="shared" si="19"/>
        <v>111.55882352941177</v>
      </c>
      <c r="G389" s="22">
        <v>0.34090909090915</v>
      </c>
      <c r="H389" s="18">
        <v>1</v>
      </c>
      <c r="I389" s="18">
        <f t="shared" si="20"/>
        <v>0</v>
      </c>
      <c r="J389" s="41">
        <v>43463</v>
      </c>
      <c r="K389" s="36">
        <v>2018</v>
      </c>
      <c r="L389" s="32">
        <f t="shared" si="18"/>
        <v>43467</v>
      </c>
      <c r="M389" s="40">
        <v>1</v>
      </c>
      <c r="N389" s="33">
        <v>69</v>
      </c>
      <c r="O389" s="34">
        <f>AVERAGEIF(L3:L1205,"&lt;2018/12/29",N3:N1205)</f>
        <v>114.84275184275184</v>
      </c>
      <c r="P389" s="54">
        <v>1</v>
      </c>
      <c r="Q389" s="38">
        <f>AVERAGEIF(L3:L1205,"&lt;2018/12/29",P3:P1205)</f>
        <v>0.3832923832923833</v>
      </c>
      <c r="R389" s="38">
        <v>1</v>
      </c>
      <c r="S389" s="38">
        <f>AVERAGEIF(L3:L1205,"&lt;2018/12/29",R3:R1205)</f>
        <v>1.2358722358722358</v>
      </c>
      <c r="T389" s="54">
        <v>4</v>
      </c>
      <c r="U389" s="38">
        <f>AVERAGEIF(L3:L1205,"&lt;2018/12/29",T3:T1205)</f>
        <v>7.3906633906633905</v>
      </c>
      <c r="V389" s="24">
        <v>816</v>
      </c>
      <c r="W389" s="47" t="s">
        <v>4618</v>
      </c>
    </row>
    <row r="390" spans="1:23">
      <c r="A390" s="23">
        <v>2</v>
      </c>
      <c r="B390" s="23">
        <v>6</v>
      </c>
      <c r="C390" s="18">
        <v>4</v>
      </c>
      <c r="D390" s="18">
        <v>3</v>
      </c>
      <c r="E390" s="20">
        <v>258</v>
      </c>
      <c r="F390" s="21">
        <f t="shared" si="19"/>
        <v>111.37914110429448</v>
      </c>
      <c r="G390" s="22">
        <v>0.84090909080572296</v>
      </c>
      <c r="H390" s="18">
        <v>0</v>
      </c>
      <c r="I390" s="18">
        <f t="shared" si="20"/>
        <v>1</v>
      </c>
      <c r="J390" s="41">
        <v>43462</v>
      </c>
      <c r="K390" s="36">
        <v>2018</v>
      </c>
      <c r="L390" s="32">
        <f t="shared" si="18"/>
        <v>43479</v>
      </c>
      <c r="M390" s="40">
        <v>1</v>
      </c>
      <c r="N390" s="33">
        <v>111</v>
      </c>
      <c r="O390" s="34">
        <f>AVERAGEIF(L3:L1205,"&lt;2018/12/28",N3:N1205)</f>
        <v>114.84275184275184</v>
      </c>
      <c r="P390" s="54">
        <v>1</v>
      </c>
      <c r="Q390" s="38">
        <f>AVERAGEIF(L3:L1205,"&lt;2018/12/28",P3:P1205)</f>
        <v>0.3832923832923833</v>
      </c>
      <c r="R390" s="38">
        <v>1</v>
      </c>
      <c r="S390" s="38">
        <f>AVERAGEIF(L3:L1205,"&lt;2018/12/28",R3:R1205)</f>
        <v>1.2358722358722358</v>
      </c>
      <c r="T390" s="54">
        <v>17</v>
      </c>
      <c r="U390" s="38">
        <f>AVERAGEIF(L3:L1205,"&lt;2018/12/28",T3:T1205)</f>
        <v>7.3906633906633905</v>
      </c>
      <c r="V390" s="24">
        <v>815</v>
      </c>
      <c r="W390" s="47" t="s">
        <v>4877</v>
      </c>
    </row>
    <row r="391" spans="1:23">
      <c r="A391" s="23">
        <v>2</v>
      </c>
      <c r="B391" s="23">
        <v>7</v>
      </c>
      <c r="C391" s="18">
        <v>1</v>
      </c>
      <c r="D391" s="18">
        <v>6</v>
      </c>
      <c r="E391" s="20">
        <v>193</v>
      </c>
      <c r="F391" s="21">
        <f t="shared" si="19"/>
        <v>111.27886977886978</v>
      </c>
      <c r="G391" s="22">
        <v>0.375000000000006</v>
      </c>
      <c r="H391" s="18">
        <v>1</v>
      </c>
      <c r="I391" s="18">
        <f t="shared" si="20"/>
        <v>0</v>
      </c>
      <c r="J391" s="41">
        <v>43461</v>
      </c>
      <c r="K391" s="36">
        <v>2018</v>
      </c>
      <c r="L391" s="32">
        <f t="shared" si="18"/>
        <v>43467</v>
      </c>
      <c r="M391" s="40">
        <v>1</v>
      </c>
      <c r="N391" s="33">
        <v>69</v>
      </c>
      <c r="O391" s="34">
        <f>AVERAGEIF(L3:L1205,"&lt;2018/12/27",N3:N1205)</f>
        <v>114.9089790897909</v>
      </c>
      <c r="P391" s="38">
        <v>1</v>
      </c>
      <c r="Q391" s="38">
        <f>AVERAGEIF(L3:L1205,"&lt;2018/12/27",P3:P1205)</f>
        <v>0.38130381303813038</v>
      </c>
      <c r="R391" s="38">
        <v>1</v>
      </c>
      <c r="S391" s="38">
        <f>AVERAGEIF(L3:L1205,"&lt;2018/12/27",R3:R1205)</f>
        <v>1.2361623616236161</v>
      </c>
      <c r="T391" s="38">
        <v>6</v>
      </c>
      <c r="U391" s="38">
        <f>AVERAGEIF(L3:L1205,"&lt;2018/12/27",T3:T1205)</f>
        <v>7.3972939729397291</v>
      </c>
      <c r="V391" s="24">
        <v>814</v>
      </c>
      <c r="W391" s="47" t="s">
        <v>4618</v>
      </c>
    </row>
    <row r="392" spans="1:23">
      <c r="A392" s="23">
        <v>2</v>
      </c>
      <c r="B392" s="23">
        <v>13</v>
      </c>
      <c r="C392" s="18">
        <v>1</v>
      </c>
      <c r="D392" s="18">
        <v>6</v>
      </c>
      <c r="E392" s="20">
        <v>73</v>
      </c>
      <c r="F392" s="21">
        <f t="shared" si="19"/>
        <v>111.3259532595326</v>
      </c>
      <c r="G392" s="22">
        <v>0.39511233733902901</v>
      </c>
      <c r="H392" s="18">
        <v>1</v>
      </c>
      <c r="I392" s="18">
        <f t="shared" si="20"/>
        <v>0</v>
      </c>
      <c r="J392" s="41">
        <v>43459</v>
      </c>
      <c r="K392" s="36">
        <v>2018</v>
      </c>
      <c r="L392" s="32">
        <f t="shared" si="18"/>
        <v>43461</v>
      </c>
      <c r="M392" s="40">
        <v>1</v>
      </c>
      <c r="N392" s="33">
        <v>61</v>
      </c>
      <c r="O392" s="34">
        <f>AVERAGEIF(L3:L1205,"&lt;2018/12/25",N3:N1205)</f>
        <v>114.94574599260173</v>
      </c>
      <c r="P392" s="38">
        <v>2</v>
      </c>
      <c r="Q392" s="38">
        <f>AVERAGEIF(L3:L1205,"&lt;2018/12/25",P3:P1205)</f>
        <v>0.38101109741060418</v>
      </c>
      <c r="R392" s="38">
        <v>1</v>
      </c>
      <c r="S392" s="38">
        <f>AVERAGEIF(L3:L1205,"&lt;2018/12/25",R3:R1205)</f>
        <v>1.2355117139334155</v>
      </c>
      <c r="T392" s="38">
        <v>2</v>
      </c>
      <c r="U392" s="38">
        <f>AVERAGEIF(L3:L1205,"&lt;2018/12/25",T3:T1205)</f>
        <v>7.4069050554870532</v>
      </c>
      <c r="V392" s="24">
        <v>813</v>
      </c>
      <c r="W392" s="47" t="s">
        <v>4878</v>
      </c>
    </row>
    <row r="393" spans="1:23">
      <c r="A393" s="23">
        <v>2</v>
      </c>
      <c r="B393" s="23">
        <v>4</v>
      </c>
      <c r="C393" s="18">
        <v>4</v>
      </c>
      <c r="D393" s="18">
        <v>6</v>
      </c>
      <c r="E393" s="20">
        <v>25</v>
      </c>
      <c r="F393" s="21">
        <f t="shared" si="19"/>
        <v>111.43226600985221</v>
      </c>
      <c r="G393" s="22">
        <v>0.67494026286204201</v>
      </c>
      <c r="H393" s="18">
        <v>1</v>
      </c>
      <c r="I393" s="18">
        <f t="shared" si="20"/>
        <v>0</v>
      </c>
      <c r="J393" s="41">
        <v>43456</v>
      </c>
      <c r="K393" s="36">
        <v>2018</v>
      </c>
      <c r="L393" s="32">
        <f t="shared" si="18"/>
        <v>43458</v>
      </c>
      <c r="M393" s="24">
        <v>1</v>
      </c>
      <c r="N393" s="33">
        <v>92</v>
      </c>
      <c r="O393" s="34">
        <f>AVERAGEIF(L3:L1205,"&lt;2018/12/22",N3:N1205)</f>
        <v>114.97407407407407</v>
      </c>
      <c r="P393" s="38">
        <v>0</v>
      </c>
      <c r="Q393" s="38">
        <f>AVERAGEIF(L3:L1205,"&lt;2018/12/22",P3:P1205)</f>
        <v>0.38148148148148148</v>
      </c>
      <c r="R393" s="38">
        <v>1</v>
      </c>
      <c r="S393" s="38">
        <f>AVERAGEIF(L3:L1205,"&lt;2018/12/22",R3:R1205)</f>
        <v>1.2358024691358025</v>
      </c>
      <c r="T393" s="38">
        <v>2</v>
      </c>
      <c r="U393" s="38">
        <f>AVERAGEIF(L3:L1205,"&lt;2018/12/22",T3:T1205)</f>
        <v>7.4135802469135799</v>
      </c>
      <c r="V393" s="24">
        <v>812</v>
      </c>
      <c r="W393" s="47" t="s">
        <v>4529</v>
      </c>
    </row>
    <row r="394" spans="1:23">
      <c r="A394" s="23">
        <v>2</v>
      </c>
      <c r="B394" s="23">
        <v>7</v>
      </c>
      <c r="C394" s="18">
        <v>4</v>
      </c>
      <c r="D394" s="18">
        <v>8</v>
      </c>
      <c r="E394" s="20">
        <v>359</v>
      </c>
      <c r="F394" s="21">
        <f t="shared" si="19"/>
        <v>111.12700369913686</v>
      </c>
      <c r="G394" s="22">
        <v>0.87499999528339201</v>
      </c>
      <c r="H394" s="18">
        <v>1</v>
      </c>
      <c r="I394" s="18">
        <f t="shared" si="20"/>
        <v>0</v>
      </c>
      <c r="J394" s="41">
        <v>43456</v>
      </c>
      <c r="K394" s="36">
        <v>2018</v>
      </c>
      <c r="L394" s="32">
        <f t="shared" si="18"/>
        <v>43460</v>
      </c>
      <c r="M394" s="40">
        <v>0</v>
      </c>
      <c r="N394" s="33">
        <v>78</v>
      </c>
      <c r="O394" s="34">
        <f>AVERAGEIF(L3:L1205,"&lt;2018/12/22",N3:N1205)</f>
        <v>114.97407407407407</v>
      </c>
      <c r="P394" s="38">
        <v>0</v>
      </c>
      <c r="Q394" s="38">
        <f>AVERAGEIF(L3:L1205,"&lt;2018/12/22",P3:P1205)</f>
        <v>0.38148148148148148</v>
      </c>
      <c r="R394" s="38">
        <v>1</v>
      </c>
      <c r="S394" s="38">
        <f>AVERAGEIF(L3:L1205,"&lt;2018/12/22",R3:R1205)</f>
        <v>1.2358024691358025</v>
      </c>
      <c r="T394" s="38">
        <v>4</v>
      </c>
      <c r="U394" s="38">
        <f>AVERAGEIF(L3:L1205,"&lt;2018/12/22",T3:T1205)</f>
        <v>7.4135802469135799</v>
      </c>
      <c r="V394" s="24">
        <v>811</v>
      </c>
      <c r="W394" s="47" t="s">
        <v>4626</v>
      </c>
    </row>
    <row r="395" spans="1:23">
      <c r="A395" s="23">
        <v>2</v>
      </c>
      <c r="B395" s="23">
        <v>7</v>
      </c>
      <c r="C395" s="18">
        <v>4</v>
      </c>
      <c r="D395" s="18">
        <v>4</v>
      </c>
      <c r="E395" s="20">
        <v>102</v>
      </c>
      <c r="F395" s="21">
        <f t="shared" si="19"/>
        <v>111.13827160493827</v>
      </c>
      <c r="G395" s="22">
        <v>0.412544164472467</v>
      </c>
      <c r="H395" s="18">
        <v>1</v>
      </c>
      <c r="I395" s="18">
        <f t="shared" si="20"/>
        <v>0</v>
      </c>
      <c r="J395" s="41">
        <v>43456</v>
      </c>
      <c r="K395" s="36">
        <v>2018</v>
      </c>
      <c r="L395" s="32">
        <f t="shared" si="18"/>
        <v>43459</v>
      </c>
      <c r="M395" s="40">
        <v>1</v>
      </c>
      <c r="N395" s="33">
        <v>122</v>
      </c>
      <c r="O395" s="34">
        <f>AVERAGEIF(L3:L1205,"&lt;2018/12/22",N3:N1205)</f>
        <v>114.97407407407407</v>
      </c>
      <c r="P395" s="54">
        <v>1</v>
      </c>
      <c r="Q395" s="38">
        <f>AVERAGEIF(L3:L1205,"&lt;2018/12/22",P3:P1205)</f>
        <v>0.38148148148148148</v>
      </c>
      <c r="R395" s="38">
        <v>2</v>
      </c>
      <c r="S395" s="38">
        <f>AVERAGEIF(L3:L1205,"&lt;2018/12/22",R3:R1205)</f>
        <v>1.2358024691358025</v>
      </c>
      <c r="T395" s="54">
        <v>3</v>
      </c>
      <c r="U395" s="38">
        <f>AVERAGEIF(L3:L1205,"&lt;2018/12/22",T3:T1205)</f>
        <v>7.4135802469135799</v>
      </c>
      <c r="V395" s="24">
        <v>810</v>
      </c>
      <c r="W395" s="47" t="s">
        <v>4742</v>
      </c>
    </row>
    <row r="396" spans="1:23">
      <c r="A396" s="23">
        <v>3</v>
      </c>
      <c r="B396" s="23">
        <v>19</v>
      </c>
      <c r="C396" s="18">
        <v>4</v>
      </c>
      <c r="D396" s="18">
        <v>6</v>
      </c>
      <c r="E396" s="20">
        <v>23</v>
      </c>
      <c r="F396" s="21">
        <f t="shared" si="19"/>
        <v>111.24721878862793</v>
      </c>
      <c r="G396" s="22">
        <v>0.84083113388830699</v>
      </c>
      <c r="H396" s="3">
        <v>1</v>
      </c>
      <c r="I396" s="18">
        <f t="shared" si="20"/>
        <v>0</v>
      </c>
      <c r="J396" s="57">
        <v>43454</v>
      </c>
      <c r="K396" s="36">
        <v>2018</v>
      </c>
      <c r="L396" s="32">
        <f t="shared" si="18"/>
        <v>43455</v>
      </c>
      <c r="M396" s="38">
        <v>0</v>
      </c>
      <c r="N396" s="33">
        <v>87</v>
      </c>
      <c r="O396" s="34">
        <f>AVERAGEIF(L3:L1205,"&lt;2018/12/20",N3:N1205)</f>
        <v>115.17369727047146</v>
      </c>
      <c r="P396" s="38">
        <v>0</v>
      </c>
      <c r="Q396" s="38">
        <f>AVERAGEIF(L3:L1205,"&lt;2018/12/20",P3:P1205)</f>
        <v>0.38089330024813894</v>
      </c>
      <c r="R396" s="38">
        <v>1</v>
      </c>
      <c r="S396" s="38">
        <f>AVERAGEIF(L3:L1205,"&lt;2018/12/20",R3:R1205)</f>
        <v>1.2357320099255582</v>
      </c>
      <c r="T396" s="38">
        <v>1</v>
      </c>
      <c r="U396" s="38">
        <f>AVERAGEIF(L3:L1205,"&lt;2018/12/20",T3:T1205)</f>
        <v>7.435483870967742</v>
      </c>
      <c r="V396" s="24">
        <v>809</v>
      </c>
      <c r="W396" s="47" t="s">
        <v>4529</v>
      </c>
    </row>
    <row r="397" spans="1:23">
      <c r="A397" s="23">
        <v>3</v>
      </c>
      <c r="B397" s="23">
        <v>24</v>
      </c>
      <c r="C397" s="18">
        <v>5</v>
      </c>
      <c r="D397" s="18">
        <v>6</v>
      </c>
      <c r="E397" s="20">
        <v>118</v>
      </c>
      <c r="F397" s="21">
        <f t="shared" si="19"/>
        <v>111.23886138613861</v>
      </c>
      <c r="G397" s="22">
        <v>0.30782058562550502</v>
      </c>
      <c r="H397" s="3">
        <v>1</v>
      </c>
      <c r="I397" s="18">
        <f t="shared" si="20"/>
        <v>0</v>
      </c>
      <c r="J397" s="41">
        <v>43454</v>
      </c>
      <c r="K397" s="36">
        <v>2018</v>
      </c>
      <c r="L397" s="32">
        <f t="shared" si="18"/>
        <v>43455</v>
      </c>
      <c r="M397" s="40">
        <v>1</v>
      </c>
      <c r="N397" s="33">
        <v>58</v>
      </c>
      <c r="O397" s="34">
        <f>AVERAGEIF(L3:L1205,"&lt;2018/12/20",N3:N1205)</f>
        <v>115.17369727047146</v>
      </c>
      <c r="P397" s="38">
        <v>0</v>
      </c>
      <c r="Q397" s="38">
        <f>AVERAGEIF(L3:L1205,"&lt;2018/12/20",P3:P1205)</f>
        <v>0.38089330024813894</v>
      </c>
      <c r="R397" s="38">
        <v>2</v>
      </c>
      <c r="S397" s="38">
        <f>AVERAGEIF(L3:L1205,"&lt;2018/12/20",R3:R1205)</f>
        <v>1.2357320099255582</v>
      </c>
      <c r="T397" s="38">
        <v>1</v>
      </c>
      <c r="U397" s="38">
        <f>AVERAGEIF(L3:L1205,"&lt;2018/12/20",T3:T1205)</f>
        <v>7.435483870967742</v>
      </c>
      <c r="V397" s="24">
        <v>808</v>
      </c>
      <c r="W397" s="47" t="s">
        <v>4529</v>
      </c>
    </row>
    <row r="398" spans="1:23">
      <c r="A398" s="23">
        <v>2</v>
      </c>
      <c r="B398" s="23">
        <v>7</v>
      </c>
      <c r="C398" s="18">
        <v>4</v>
      </c>
      <c r="D398" s="18">
        <v>8</v>
      </c>
      <c r="E398" s="20">
        <v>136</v>
      </c>
      <c r="F398" s="21">
        <f t="shared" si="19"/>
        <v>111.2081784386617</v>
      </c>
      <c r="G398" s="22">
        <v>0.28174305033809099</v>
      </c>
      <c r="H398" s="18">
        <v>1</v>
      </c>
      <c r="I398" s="18">
        <f t="shared" si="20"/>
        <v>0</v>
      </c>
      <c r="J398" s="41">
        <v>43453</v>
      </c>
      <c r="K398" s="36">
        <v>2018</v>
      </c>
      <c r="L398" s="32">
        <f t="shared" si="18"/>
        <v>43455</v>
      </c>
      <c r="M398" s="40">
        <v>0</v>
      </c>
      <c r="N398" s="33">
        <v>111</v>
      </c>
      <c r="O398" s="34">
        <f>AVERAGEIF(L3:L1205,"&lt;2018/12/19",N3:N1205)</f>
        <v>115.39601494396015</v>
      </c>
      <c r="P398" s="56">
        <v>0</v>
      </c>
      <c r="Q398" s="40">
        <f>AVERAGEIF(L3:L1205,"&lt;2018/12/19",P3:P1205)</f>
        <v>0.37858032378580325</v>
      </c>
      <c r="R398" s="40">
        <v>1</v>
      </c>
      <c r="S398" s="40">
        <f>AVERAGEIF(L3:L1205,"&lt;2018/12/19",R3:R1205)</f>
        <v>1.2366127023661271</v>
      </c>
      <c r="T398" s="56">
        <v>2</v>
      </c>
      <c r="U398" s="40">
        <f>AVERAGEIF(L3:L1205,"&lt;2018/12/19",T3:T1205)</f>
        <v>7.4221668742216691</v>
      </c>
      <c r="V398" s="24">
        <v>807</v>
      </c>
      <c r="W398" s="47" t="s">
        <v>4550</v>
      </c>
    </row>
    <row r="399" spans="1:23">
      <c r="A399" s="23">
        <v>4</v>
      </c>
      <c r="B399" s="23">
        <v>30</v>
      </c>
      <c r="C399" s="18">
        <v>5</v>
      </c>
      <c r="D399" s="18">
        <v>4</v>
      </c>
      <c r="E399" s="20">
        <v>52</v>
      </c>
      <c r="F399" s="21">
        <f t="shared" si="19"/>
        <v>111.28163771712158</v>
      </c>
      <c r="G399" s="22">
        <v>0.42222687893489602</v>
      </c>
      <c r="H399" s="18">
        <v>1</v>
      </c>
      <c r="I399" s="18">
        <f t="shared" si="20"/>
        <v>0</v>
      </c>
      <c r="J399" s="45">
        <v>43448</v>
      </c>
      <c r="K399" s="36">
        <v>2018</v>
      </c>
      <c r="L399" s="32">
        <f t="shared" si="18"/>
        <v>43453</v>
      </c>
      <c r="M399" s="42">
        <v>0</v>
      </c>
      <c r="N399" s="33">
        <v>71</v>
      </c>
      <c r="O399" s="34">
        <f>AVERAGEIF(L3:L1205,"&lt;2018/12/14",N3:N1205)</f>
        <v>115.47755610972568</v>
      </c>
      <c r="P399" s="38">
        <v>0</v>
      </c>
      <c r="Q399" s="38">
        <f>AVERAGEIF(L3:L1205,"&lt;2018/12/14",P3:P1205)</f>
        <v>0.37655860349127179</v>
      </c>
      <c r="R399" s="38">
        <v>1</v>
      </c>
      <c r="S399" s="38">
        <f>AVERAGEIF(L3:L1205,"&lt;2018/12/14",R3:R1205)</f>
        <v>1.2369077306733167</v>
      </c>
      <c r="T399" s="38">
        <v>5</v>
      </c>
      <c r="U399" s="38">
        <f>AVERAGEIF(L3:L1205,"&lt;2018/12/14",T3:T1205)</f>
        <v>7.3915211970074814</v>
      </c>
      <c r="V399" s="24">
        <v>806</v>
      </c>
      <c r="W399" s="47" t="s">
        <v>4634</v>
      </c>
    </row>
    <row r="400" spans="1:23">
      <c r="A400" s="23">
        <v>2</v>
      </c>
      <c r="B400" s="23">
        <v>4</v>
      </c>
      <c r="C400" s="18">
        <v>4</v>
      </c>
      <c r="D400" s="18">
        <v>4</v>
      </c>
      <c r="E400" s="20">
        <v>46</v>
      </c>
      <c r="F400" s="21">
        <f t="shared" si="19"/>
        <v>111.36273291925465</v>
      </c>
      <c r="G400" s="22">
        <v>0.87491286383001698</v>
      </c>
      <c r="H400" s="18">
        <v>1</v>
      </c>
      <c r="I400" s="18">
        <f t="shared" si="20"/>
        <v>0</v>
      </c>
      <c r="J400" s="41">
        <v>43447</v>
      </c>
      <c r="K400" s="36">
        <v>2018</v>
      </c>
      <c r="L400" s="32">
        <f t="shared" si="18"/>
        <v>43455</v>
      </c>
      <c r="M400" s="24">
        <v>1</v>
      </c>
      <c r="N400" s="33">
        <v>43</v>
      </c>
      <c r="O400" s="34">
        <f>AVERAGEIF(L3:L1205,"&lt;2018/12/13",N3:N1205)</f>
        <v>115.54681647940075</v>
      </c>
      <c r="P400" s="54">
        <v>2</v>
      </c>
      <c r="Q400" s="38">
        <f>AVERAGEIF(L3:L1205,"&lt;2018/12/13",P3:P1205)</f>
        <v>0.37702871410736577</v>
      </c>
      <c r="R400" s="38">
        <v>1</v>
      </c>
      <c r="S400" s="38">
        <f>AVERAGEIF(L3:L1205,"&lt;2018/12/13",R3:R1205)</f>
        <v>1.2359550561797752</v>
      </c>
      <c r="T400" s="54">
        <v>8</v>
      </c>
      <c r="U400" s="38">
        <f>AVERAGEIF(L3:L1205,"&lt;2018/12/13",T3:T1205)</f>
        <v>7.3707865168539328</v>
      </c>
      <c r="V400" s="24">
        <v>805</v>
      </c>
      <c r="W400" s="47" t="s">
        <v>4550</v>
      </c>
    </row>
    <row r="401" spans="1:23">
      <c r="A401" s="23">
        <v>2</v>
      </c>
      <c r="B401" s="23">
        <v>7</v>
      </c>
      <c r="C401" s="18">
        <v>4</v>
      </c>
      <c r="D401" s="18">
        <v>4</v>
      </c>
      <c r="E401" s="20">
        <v>47</v>
      </c>
      <c r="F401" s="21">
        <f t="shared" si="19"/>
        <v>111.44278606965175</v>
      </c>
      <c r="G401" s="22">
        <v>0.41914338823422698</v>
      </c>
      <c r="H401" s="18">
        <v>1</v>
      </c>
      <c r="I401" s="18">
        <f t="shared" si="20"/>
        <v>0</v>
      </c>
      <c r="J401" s="41">
        <v>43447</v>
      </c>
      <c r="K401" s="36">
        <v>2018</v>
      </c>
      <c r="L401" s="32">
        <f t="shared" si="18"/>
        <v>43453</v>
      </c>
      <c r="M401" s="40">
        <v>0</v>
      </c>
      <c r="N401" s="33">
        <v>77</v>
      </c>
      <c r="O401" s="34">
        <f>AVERAGEIF(L3:L1205,"&lt;2018/12/13",N3:N1205)</f>
        <v>115.54681647940075</v>
      </c>
      <c r="P401" s="40">
        <v>1</v>
      </c>
      <c r="Q401" s="40">
        <f>AVERAGEIF(L3:L1205,"&lt;2018/12/13",P3:P1205)</f>
        <v>0.37702871410736577</v>
      </c>
      <c r="R401" s="40">
        <v>1</v>
      </c>
      <c r="S401" s="40">
        <f>AVERAGEIF(L3:L1205,"&lt;2018/12/13",R3:R1205)</f>
        <v>1.2359550561797752</v>
      </c>
      <c r="T401" s="40">
        <v>6</v>
      </c>
      <c r="U401" s="40">
        <f>AVERAGEIF(L3:L1205,"&lt;2018/12/13",T3:T1205)</f>
        <v>7.3707865168539328</v>
      </c>
      <c r="V401" s="24">
        <v>804</v>
      </c>
      <c r="W401" s="47" t="s">
        <v>4521</v>
      </c>
    </row>
    <row r="402" spans="1:23">
      <c r="A402" s="23">
        <v>2</v>
      </c>
      <c r="B402" s="23">
        <v>7</v>
      </c>
      <c r="C402" s="18">
        <v>4</v>
      </c>
      <c r="D402" s="18">
        <v>6</v>
      </c>
      <c r="E402" s="20">
        <v>950</v>
      </c>
      <c r="F402" s="21">
        <f t="shared" si="19"/>
        <v>110.39850560398506</v>
      </c>
      <c r="G402" s="22">
        <v>0.232845550359669</v>
      </c>
      <c r="H402" s="18">
        <v>0</v>
      </c>
      <c r="I402" s="18">
        <f t="shared" si="20"/>
        <v>1</v>
      </c>
      <c r="J402" s="41">
        <v>43442</v>
      </c>
      <c r="K402" s="36">
        <v>2018</v>
      </c>
      <c r="L402" s="32">
        <f t="shared" si="18"/>
        <v>43446</v>
      </c>
      <c r="M402" s="24">
        <v>0</v>
      </c>
      <c r="N402" s="33">
        <v>116</v>
      </c>
      <c r="O402" s="34">
        <f>AVERAGEIF(L3:L1205,"&lt;2018/12/8",N3:N1205)</f>
        <v>115.34793491864831</v>
      </c>
      <c r="P402" s="38">
        <v>0</v>
      </c>
      <c r="Q402" s="38">
        <f>AVERAGEIF(L3:L1205,"&lt;2018/12/8",P3:P1205)</f>
        <v>0.37797246558197745</v>
      </c>
      <c r="R402" s="38">
        <v>1</v>
      </c>
      <c r="S402" s="38">
        <f>AVERAGEIF(L3:L1205,"&lt;2018/12/8",R3:R1205)</f>
        <v>1.2365456821026284</v>
      </c>
      <c r="T402" s="38">
        <v>4</v>
      </c>
      <c r="U402" s="38">
        <f>AVERAGEIF(L3:L1205,"&lt;2018/12/8",T3:T1205)</f>
        <v>7.3792240300375473</v>
      </c>
      <c r="V402" s="24">
        <v>803</v>
      </c>
      <c r="W402" s="47" t="s">
        <v>4883</v>
      </c>
    </row>
    <row r="403" spans="1:23">
      <c r="A403" s="23">
        <v>4</v>
      </c>
      <c r="B403" s="23">
        <v>33</v>
      </c>
      <c r="C403" s="18">
        <v>4</v>
      </c>
      <c r="D403" s="18">
        <v>4</v>
      </c>
      <c r="E403" s="20">
        <v>106</v>
      </c>
      <c r="F403" s="21">
        <f t="shared" si="19"/>
        <v>110.40399002493766</v>
      </c>
      <c r="G403" s="22">
        <v>0.48261658749605302</v>
      </c>
      <c r="H403" s="18">
        <v>1</v>
      </c>
      <c r="I403" s="18">
        <f t="shared" si="20"/>
        <v>0</v>
      </c>
      <c r="J403" s="45">
        <v>43441</v>
      </c>
      <c r="K403" s="36">
        <v>2018</v>
      </c>
      <c r="L403" s="32">
        <f t="shared" si="18"/>
        <v>43445</v>
      </c>
      <c r="M403" s="42">
        <v>0</v>
      </c>
      <c r="N403" s="33">
        <v>274</v>
      </c>
      <c r="O403" s="34">
        <f>AVERAGEIF(L3:L1205,"&lt;2018/12/7",N3:N1205)</f>
        <v>115.38721804511279</v>
      </c>
      <c r="P403" s="38">
        <v>0</v>
      </c>
      <c r="Q403" s="38">
        <f>AVERAGEIF(L3:L1205,"&lt;2018/12/7",P3:P1205)</f>
        <v>0.37844611528822053</v>
      </c>
      <c r="R403" s="38">
        <v>1</v>
      </c>
      <c r="S403" s="38">
        <f>AVERAGEIF(L3:L1205,"&lt;2018/12/7",R3:R1205)</f>
        <v>1.236842105263158</v>
      </c>
      <c r="T403" s="38">
        <v>4</v>
      </c>
      <c r="U403" s="38">
        <f>AVERAGEIF(L3:L1205,"&lt;2018/12/7",T3:T1205)</f>
        <v>7.3784461152882201</v>
      </c>
      <c r="V403" s="24">
        <v>802</v>
      </c>
      <c r="W403" s="47" t="s">
        <v>4558</v>
      </c>
    </row>
    <row r="404" spans="1:23">
      <c r="A404" s="17">
        <v>1</v>
      </c>
      <c r="B404" s="17">
        <v>1</v>
      </c>
      <c r="C404" s="18">
        <v>5</v>
      </c>
      <c r="D404" s="18">
        <v>6</v>
      </c>
      <c r="E404" s="20">
        <v>132</v>
      </c>
      <c r="F404" s="21">
        <f t="shared" si="19"/>
        <v>110.37702871410737</v>
      </c>
      <c r="G404" s="22">
        <v>0.30991848107380399</v>
      </c>
      <c r="H404" s="18">
        <v>0</v>
      </c>
      <c r="I404" s="18">
        <f t="shared" si="20"/>
        <v>1</v>
      </c>
      <c r="J404" s="41">
        <v>43438</v>
      </c>
      <c r="K404" s="36">
        <v>2018</v>
      </c>
      <c r="L404" s="32">
        <f t="shared" si="18"/>
        <v>43439</v>
      </c>
      <c r="M404" s="24">
        <v>0</v>
      </c>
      <c r="N404" s="33">
        <v>136</v>
      </c>
      <c r="O404" s="34">
        <f>AVERAGEIF(L3:L1205,"&lt;2018/12/4",N3:N1205)</f>
        <v>115.36135508155583</v>
      </c>
      <c r="P404" s="24">
        <v>0</v>
      </c>
      <c r="Q404" s="24">
        <f>AVERAGEIF(L3:L1205,"&lt;2018/12/4",P3:P1205)</f>
        <v>0.37892095357590966</v>
      </c>
      <c r="R404" s="24">
        <v>1</v>
      </c>
      <c r="S404" s="24">
        <f>AVERAGEIF(L3:L1205,"&lt;2018/12/4",R3:R1205)</f>
        <v>1.2371392722710164</v>
      </c>
      <c r="T404" s="24">
        <v>1</v>
      </c>
      <c r="U404" s="24">
        <f>AVERAGEIF(L3:L1205,"&lt;2018/12/4",T3:T1205)</f>
        <v>7.3864491844416564</v>
      </c>
      <c r="V404" s="24">
        <v>801</v>
      </c>
      <c r="W404" s="47" t="s">
        <v>4659</v>
      </c>
    </row>
    <row r="405" spans="1:23">
      <c r="A405" s="23">
        <v>2</v>
      </c>
      <c r="B405" s="23">
        <v>7</v>
      </c>
      <c r="C405" s="18">
        <v>5</v>
      </c>
      <c r="D405" s="18">
        <v>4</v>
      </c>
      <c r="E405" s="20">
        <v>143</v>
      </c>
      <c r="F405" s="21">
        <f t="shared" si="19"/>
        <v>110.33625000000001</v>
      </c>
      <c r="G405" s="22">
        <v>0.34093190110173299</v>
      </c>
      <c r="H405" s="18">
        <v>1</v>
      </c>
      <c r="I405" s="18">
        <f t="shared" si="20"/>
        <v>0</v>
      </c>
      <c r="J405" s="41">
        <v>43433</v>
      </c>
      <c r="K405" s="36">
        <v>2018</v>
      </c>
      <c r="L405" s="32">
        <f t="shared" si="18"/>
        <v>43437</v>
      </c>
      <c r="M405" s="40">
        <v>0</v>
      </c>
      <c r="N405" s="33">
        <v>81</v>
      </c>
      <c r="O405" s="34">
        <f>AVERAGEIF(L3:L1205,"&lt;2018/11/29",N3:N1205)</f>
        <v>115.45157232704402</v>
      </c>
      <c r="P405" s="54">
        <v>0</v>
      </c>
      <c r="Q405" s="38">
        <f>AVERAGEIF(L3:L1205,"&lt;2018/11/29",P3:P1205)</f>
        <v>0.37987421383647801</v>
      </c>
      <c r="R405" s="38">
        <v>1</v>
      </c>
      <c r="S405" s="38">
        <f>AVERAGEIF(L3:L1205,"&lt;2018/11/29",R3:R1205)</f>
        <v>1.2377358490566037</v>
      </c>
      <c r="T405" s="54">
        <v>4</v>
      </c>
      <c r="U405" s="38">
        <f>AVERAGEIF(L3:L1205,"&lt;2018/11/29",T3:T1205)</f>
        <v>7.3823899371069182</v>
      </c>
      <c r="V405" s="24">
        <v>800</v>
      </c>
      <c r="W405" s="47" t="s">
        <v>4885</v>
      </c>
    </row>
    <row r="406" spans="1:23">
      <c r="A406" s="23">
        <v>2</v>
      </c>
      <c r="B406" s="23">
        <v>7</v>
      </c>
      <c r="C406" s="18">
        <v>4</v>
      </c>
      <c r="D406" s="18">
        <v>8</v>
      </c>
      <c r="E406" s="20">
        <v>43</v>
      </c>
      <c r="F406" s="21">
        <f t="shared" si="19"/>
        <v>110.42052565707134</v>
      </c>
      <c r="G406" s="22">
        <v>0.375</v>
      </c>
      <c r="H406" s="18">
        <v>1</v>
      </c>
      <c r="I406" s="18">
        <f t="shared" si="20"/>
        <v>0</v>
      </c>
      <c r="J406" s="41">
        <v>43433</v>
      </c>
      <c r="K406" s="36">
        <v>2018</v>
      </c>
      <c r="L406" s="32">
        <f t="shared" si="18"/>
        <v>43441</v>
      </c>
      <c r="M406" s="40">
        <v>0</v>
      </c>
      <c r="N406" s="33">
        <v>84</v>
      </c>
      <c r="O406" s="34">
        <f>AVERAGEIF(L3:L1205,"&lt;2018/11/29",N3:N1205)</f>
        <v>115.45157232704402</v>
      </c>
      <c r="P406" s="40">
        <v>0</v>
      </c>
      <c r="Q406" s="40">
        <f>AVERAGEIF(L3:L1205,"&lt;2018/11/29",P3:P1205)</f>
        <v>0.37987421383647801</v>
      </c>
      <c r="R406" s="40">
        <v>1</v>
      </c>
      <c r="S406" s="40">
        <f>AVERAGEIF(L3:L1205,"&lt;2018/11/29",R3:R1205)</f>
        <v>1.2377358490566037</v>
      </c>
      <c r="T406" s="40">
        <v>8</v>
      </c>
      <c r="U406" s="40">
        <f>AVERAGEIF(L3:L1205,"&lt;2018/11/29",T3:T1205)</f>
        <v>7.3823899371069182</v>
      </c>
      <c r="V406" s="24">
        <v>799</v>
      </c>
      <c r="W406" s="47" t="s">
        <v>4550</v>
      </c>
    </row>
    <row r="407" spans="1:23">
      <c r="A407" s="23">
        <v>2</v>
      </c>
      <c r="B407" s="23">
        <v>18</v>
      </c>
      <c r="C407" s="18">
        <v>4</v>
      </c>
      <c r="D407" s="18">
        <v>6</v>
      </c>
      <c r="E407" s="20">
        <v>113</v>
      </c>
      <c r="F407" s="21">
        <f t="shared" si="19"/>
        <v>110.4172932330827</v>
      </c>
      <c r="G407" s="22">
        <v>0.31044047156079702</v>
      </c>
      <c r="H407" s="18">
        <v>1</v>
      </c>
      <c r="I407" s="18">
        <f t="shared" si="20"/>
        <v>0</v>
      </c>
      <c r="J407" s="41">
        <v>43431</v>
      </c>
      <c r="K407" s="36">
        <v>2018</v>
      </c>
      <c r="L407" s="32">
        <f t="shared" si="18"/>
        <v>43453</v>
      </c>
      <c r="M407" s="40">
        <v>1</v>
      </c>
      <c r="N407" s="33">
        <v>19</v>
      </c>
      <c r="O407" s="34">
        <f>AVERAGEIF(L3:L1205,"&lt;2018/11/27",N3:N1205)</f>
        <v>115.53904282115869</v>
      </c>
      <c r="P407" s="38">
        <v>2</v>
      </c>
      <c r="Q407" s="38">
        <f>AVERAGEIF(L3:L1205,"&lt;2018/11/27",P3:P1205)</f>
        <v>0.38035264483627201</v>
      </c>
      <c r="R407" s="38">
        <v>1</v>
      </c>
      <c r="S407" s="38">
        <f>AVERAGEIF(L3:L1205,"&lt;2018/11/27",R3:R1205)</f>
        <v>1.2367758186397986</v>
      </c>
      <c r="T407" s="38">
        <v>22</v>
      </c>
      <c r="U407" s="38">
        <f>AVERAGEIF(L3:L1205,"&lt;2018/11/27",T3:T1205)</f>
        <v>7.3891687657430731</v>
      </c>
      <c r="V407" s="24">
        <v>798</v>
      </c>
      <c r="W407" s="47" t="s">
        <v>4618</v>
      </c>
    </row>
    <row r="408" spans="1:23">
      <c r="A408" s="23">
        <v>2</v>
      </c>
      <c r="B408" s="23">
        <v>15</v>
      </c>
      <c r="C408" s="18">
        <v>5</v>
      </c>
      <c r="D408" s="18">
        <v>6</v>
      </c>
      <c r="E408" s="20">
        <v>225</v>
      </c>
      <c r="F408" s="21">
        <f t="shared" si="19"/>
        <v>110.27352572145546</v>
      </c>
      <c r="G408" s="22">
        <v>0.69223083790589901</v>
      </c>
      <c r="H408" s="18">
        <v>1</v>
      </c>
      <c r="I408" s="18">
        <f t="shared" si="20"/>
        <v>0</v>
      </c>
      <c r="J408" s="41">
        <v>43430</v>
      </c>
      <c r="K408" s="36">
        <v>2018</v>
      </c>
      <c r="L408" s="32">
        <f t="shared" si="18"/>
        <v>43432</v>
      </c>
      <c r="M408" s="24">
        <v>0</v>
      </c>
      <c r="N408" s="33">
        <v>46</v>
      </c>
      <c r="O408" s="34">
        <f>AVERAGEIF(L3:L1205,"&lt;2018/11/26",N3:N1205)</f>
        <v>115.59394703656999</v>
      </c>
      <c r="P408" s="40">
        <v>0</v>
      </c>
      <c r="Q408" s="40">
        <f>AVERAGEIF(L3:L1205,"&lt;2018/11/26",P3:P1205)</f>
        <v>0.38083228247162676</v>
      </c>
      <c r="R408" s="40">
        <v>2</v>
      </c>
      <c r="S408" s="40">
        <f>AVERAGEIF(L3:L1205,"&lt;2018/11/26",R3:R1205)</f>
        <v>1.2370744010088273</v>
      </c>
      <c r="T408" s="40">
        <v>2</v>
      </c>
      <c r="U408" s="40">
        <f>AVERAGEIF(L3:L1205,"&lt;2018/11/26",T3:T1205)</f>
        <v>7.3972257250945779</v>
      </c>
      <c r="V408" s="24">
        <v>797</v>
      </c>
      <c r="W408" s="47" t="s">
        <v>4529</v>
      </c>
    </row>
    <row r="409" spans="1:23">
      <c r="A409" s="23">
        <v>2</v>
      </c>
      <c r="B409" s="23">
        <v>6</v>
      </c>
      <c r="C409" s="18">
        <v>4</v>
      </c>
      <c r="D409" s="18">
        <v>6</v>
      </c>
      <c r="E409" s="20">
        <v>180</v>
      </c>
      <c r="F409" s="21">
        <f t="shared" si="19"/>
        <v>110.1859296482412</v>
      </c>
      <c r="G409" s="22">
        <v>0.37500000000157502</v>
      </c>
      <c r="H409" s="18">
        <v>1</v>
      </c>
      <c r="I409" s="18">
        <f t="shared" si="20"/>
        <v>0</v>
      </c>
      <c r="J409" s="41">
        <v>43429</v>
      </c>
      <c r="K409" s="36">
        <v>2018</v>
      </c>
      <c r="L409" s="32">
        <f t="shared" si="18"/>
        <v>43430</v>
      </c>
      <c r="M409" s="40">
        <v>1</v>
      </c>
      <c r="N409" s="33">
        <v>72</v>
      </c>
      <c r="O409" s="34">
        <f>AVERAGEIF(L3:L1205,"&lt;2018/11/25",N3:N1205)</f>
        <v>115.59394703656999</v>
      </c>
      <c r="P409" s="38">
        <v>0</v>
      </c>
      <c r="Q409" s="38">
        <f>AVERAGEIF(L3:L1205,"&lt;2018/11/25",P3:P1205)</f>
        <v>0.38083228247162676</v>
      </c>
      <c r="R409" s="38">
        <v>1</v>
      </c>
      <c r="S409" s="38">
        <f>AVERAGEIF(L3:L1205,"&lt;2018/11/25",R3:R1205)</f>
        <v>1.2370744010088273</v>
      </c>
      <c r="T409" s="38">
        <v>1</v>
      </c>
      <c r="U409" s="38">
        <f>AVERAGEIF(L3:L1205,"&lt;2018/11/25",T3:T1205)</f>
        <v>7.3972257250945779</v>
      </c>
      <c r="V409" s="24">
        <v>796</v>
      </c>
      <c r="W409" s="47" t="s">
        <v>4638</v>
      </c>
    </row>
    <row r="410" spans="1:23">
      <c r="A410" s="23">
        <v>2</v>
      </c>
      <c r="B410" s="23">
        <v>6</v>
      </c>
      <c r="C410" s="18">
        <v>4</v>
      </c>
      <c r="D410" s="18">
        <v>4</v>
      </c>
      <c r="E410" s="20">
        <v>145</v>
      </c>
      <c r="F410" s="21">
        <f t="shared" si="19"/>
        <v>110.14213836477987</v>
      </c>
      <c r="G410" s="22">
        <v>0.494040484018131</v>
      </c>
      <c r="H410" s="18">
        <v>0</v>
      </c>
      <c r="I410" s="18">
        <f t="shared" si="20"/>
        <v>1</v>
      </c>
      <c r="J410" s="41">
        <v>43423</v>
      </c>
      <c r="K410" s="36">
        <v>2018</v>
      </c>
      <c r="L410" s="32">
        <f t="shared" si="18"/>
        <v>43425</v>
      </c>
      <c r="M410" s="40">
        <v>0</v>
      </c>
      <c r="N410" s="33">
        <v>44</v>
      </c>
      <c r="O410" s="34">
        <f>AVERAGEIF(L3:L1205,"&lt;2018/11/19",N3:N1205)</f>
        <v>115.82509505703422</v>
      </c>
      <c r="P410" s="56">
        <v>0</v>
      </c>
      <c r="Q410" s="40">
        <f>AVERAGEIF(L3:L1205,"&lt;2018/11/19",P3:P1205)</f>
        <v>0.38022813688212925</v>
      </c>
      <c r="R410" s="40">
        <v>1</v>
      </c>
      <c r="S410" s="40">
        <f>AVERAGEIF(L3:L1205,"&lt;2018/11/19",R3:R1205)</f>
        <v>1.2382762991128009</v>
      </c>
      <c r="T410" s="56">
        <v>2</v>
      </c>
      <c r="U410" s="40">
        <f>AVERAGEIF(L3:L1205,"&lt;2018/11/19",T3:T1205)</f>
        <v>7.4093789607097591</v>
      </c>
      <c r="V410" s="24">
        <v>795</v>
      </c>
      <c r="W410" s="47" t="s">
        <v>4890</v>
      </c>
    </row>
    <row r="411" spans="1:23">
      <c r="A411" s="23">
        <v>2</v>
      </c>
      <c r="B411" s="23">
        <v>6</v>
      </c>
      <c r="C411" s="18">
        <v>4</v>
      </c>
      <c r="D411" s="18">
        <v>6</v>
      </c>
      <c r="E411" s="20">
        <v>222</v>
      </c>
      <c r="F411" s="21">
        <f t="shared" si="19"/>
        <v>110.00125944584383</v>
      </c>
      <c r="G411" s="22">
        <v>0.37502147622196103</v>
      </c>
      <c r="H411" s="18">
        <v>1</v>
      </c>
      <c r="I411" s="18">
        <f t="shared" si="20"/>
        <v>0</v>
      </c>
      <c r="J411" s="41">
        <v>43423</v>
      </c>
      <c r="K411" s="36">
        <v>2018</v>
      </c>
      <c r="L411" s="32">
        <f t="shared" si="18"/>
        <v>43437</v>
      </c>
      <c r="M411" s="40">
        <v>0</v>
      </c>
      <c r="N411" s="33">
        <v>78</v>
      </c>
      <c r="O411" s="34">
        <f>AVERAGEIF(L3:L1205,"&lt;2018/11/19",N3:N1205)</f>
        <v>115.82509505703422</v>
      </c>
      <c r="P411" s="38">
        <v>0</v>
      </c>
      <c r="Q411" s="38">
        <f>AVERAGEIF(L3:L1205,"&lt;2018/11/19",P3:P1205)</f>
        <v>0.38022813688212925</v>
      </c>
      <c r="R411" s="38">
        <v>1</v>
      </c>
      <c r="S411" s="38">
        <f>AVERAGEIF(L3:L1205,"&lt;2018/11/19",R3:R1205)</f>
        <v>1.2382762991128009</v>
      </c>
      <c r="T411" s="38">
        <v>14</v>
      </c>
      <c r="U411" s="38">
        <f>AVERAGEIF(L3:L1205,"&lt;2018/11/19",T3:T1205)</f>
        <v>7.4093789607097591</v>
      </c>
      <c r="V411" s="24">
        <v>794</v>
      </c>
      <c r="W411" s="47" t="s">
        <v>4624</v>
      </c>
    </row>
    <row r="412" spans="1:23">
      <c r="A412" s="23">
        <v>2</v>
      </c>
      <c r="B412" s="23">
        <v>7</v>
      </c>
      <c r="C412" s="18">
        <v>4</v>
      </c>
      <c r="D412" s="18">
        <v>6</v>
      </c>
      <c r="E412" s="20">
        <v>222</v>
      </c>
      <c r="F412" s="21">
        <f t="shared" si="19"/>
        <v>109.86002522068095</v>
      </c>
      <c r="G412" s="22">
        <v>0.23284556965009601</v>
      </c>
      <c r="H412" s="18">
        <v>1</v>
      </c>
      <c r="I412" s="18">
        <f t="shared" si="20"/>
        <v>0</v>
      </c>
      <c r="J412" s="41">
        <v>43423</v>
      </c>
      <c r="K412" s="36">
        <v>2018</v>
      </c>
      <c r="L412" s="32">
        <f t="shared" si="18"/>
        <v>43447</v>
      </c>
      <c r="M412" s="40">
        <v>0</v>
      </c>
      <c r="N412" s="33">
        <v>60</v>
      </c>
      <c r="O412" s="34">
        <f>AVERAGEIF(L3:L1205,"&lt;2018/11/19",N3:N1205)</f>
        <v>115.82509505703422</v>
      </c>
      <c r="P412" s="38">
        <v>0</v>
      </c>
      <c r="Q412" s="38">
        <f>AVERAGEIF(L3:L1205,"&lt;2018/11/19",P3:P1205)</f>
        <v>0.38022813688212925</v>
      </c>
      <c r="R412" s="38">
        <v>2</v>
      </c>
      <c r="S412" s="38">
        <f>AVERAGEIF(L3:L1205,"&lt;2018/11/19",R3:R1205)</f>
        <v>1.2382762991128009</v>
      </c>
      <c r="T412" s="38">
        <v>24</v>
      </c>
      <c r="U412" s="38">
        <f>AVERAGEIF(L3:L1205,"&lt;2018/11/19",T3:T1205)</f>
        <v>7.4093789607097591</v>
      </c>
      <c r="V412" s="24">
        <v>793</v>
      </c>
      <c r="W412" s="47" t="s">
        <v>4888</v>
      </c>
    </row>
    <row r="413" spans="1:23">
      <c r="A413" s="23">
        <v>2</v>
      </c>
      <c r="B413" s="23">
        <v>7</v>
      </c>
      <c r="C413" s="18">
        <v>4</v>
      </c>
      <c r="D413" s="18">
        <v>8</v>
      </c>
      <c r="E413" s="20">
        <v>89</v>
      </c>
      <c r="F413" s="21">
        <f t="shared" si="19"/>
        <v>109.88636363636364</v>
      </c>
      <c r="G413" s="22">
        <v>0.87497758955431904</v>
      </c>
      <c r="H413" s="18">
        <v>1</v>
      </c>
      <c r="I413" s="18">
        <f t="shared" si="20"/>
        <v>0</v>
      </c>
      <c r="J413" s="41">
        <v>43419</v>
      </c>
      <c r="K413" s="36">
        <v>2018</v>
      </c>
      <c r="L413" s="32">
        <f t="shared" si="18"/>
        <v>43451</v>
      </c>
      <c r="M413" s="40">
        <v>1</v>
      </c>
      <c r="N413" s="33">
        <v>50</v>
      </c>
      <c r="O413" s="34">
        <f>AVERAGEIF(L3:L1205,"&lt;2018/11/15",N3:N1205)</f>
        <v>115.82509505703422</v>
      </c>
      <c r="P413" s="38">
        <v>2</v>
      </c>
      <c r="Q413" s="38">
        <f>AVERAGEIF(L3:L1205,"&lt;2018/11/15",P3:P1205)</f>
        <v>0.38022813688212925</v>
      </c>
      <c r="R413" s="38">
        <v>1</v>
      </c>
      <c r="S413" s="38">
        <f>AVERAGEIF(L3:L1205,"&lt;2018/11/15",R3:R1205)</f>
        <v>1.2382762991128009</v>
      </c>
      <c r="T413" s="38">
        <v>32</v>
      </c>
      <c r="U413" s="38">
        <f>AVERAGEIF(L3:L1205,"&lt;2018/11/15",T3:T1205)</f>
        <v>7.4093789607097591</v>
      </c>
      <c r="V413" s="24">
        <v>792</v>
      </c>
      <c r="W413" s="47" t="s">
        <v>4550</v>
      </c>
    </row>
    <row r="414" spans="1:23">
      <c r="A414" s="23">
        <v>2</v>
      </c>
      <c r="B414" s="23">
        <v>15</v>
      </c>
      <c r="C414" s="18">
        <v>4</v>
      </c>
      <c r="D414" s="18">
        <v>6</v>
      </c>
      <c r="E414" s="20">
        <v>79</v>
      </c>
      <c r="F414" s="21">
        <f t="shared" si="19"/>
        <v>109.92541087231352</v>
      </c>
      <c r="G414" s="22">
        <v>0.59185365750446295</v>
      </c>
      <c r="H414" s="18">
        <v>1</v>
      </c>
      <c r="I414" s="18">
        <f t="shared" si="20"/>
        <v>0</v>
      </c>
      <c r="J414" s="41">
        <v>43419</v>
      </c>
      <c r="K414" s="36">
        <v>2018</v>
      </c>
      <c r="L414" s="32">
        <f t="shared" si="18"/>
        <v>43423</v>
      </c>
      <c r="M414" s="40">
        <v>1</v>
      </c>
      <c r="N414" s="33">
        <v>92</v>
      </c>
      <c r="O414" s="34">
        <f>AVERAGEIF(L3:L1205,"&lt;2018/11/15",N3:N1205)</f>
        <v>115.82509505703422</v>
      </c>
      <c r="P414" s="38">
        <v>0</v>
      </c>
      <c r="Q414" s="38">
        <f>AVERAGEIF(L3:L1205,"&lt;2018/11/15",P3:P1205)</f>
        <v>0.38022813688212925</v>
      </c>
      <c r="R414" s="38">
        <v>1</v>
      </c>
      <c r="S414" s="38">
        <f>AVERAGEIF(L3:L1205,"&lt;2018/11/15",R3:R1205)</f>
        <v>1.2382762991128009</v>
      </c>
      <c r="T414" s="38">
        <v>4</v>
      </c>
      <c r="U414" s="38">
        <f>AVERAGEIF(L3:L1205,"&lt;2018/11/15",T3:T1205)</f>
        <v>7.4093789607097591</v>
      </c>
      <c r="V414" s="24">
        <v>791</v>
      </c>
      <c r="W414" s="47" t="s">
        <v>4618</v>
      </c>
    </row>
    <row r="415" spans="1:23">
      <c r="A415" s="23">
        <v>2</v>
      </c>
      <c r="B415" s="23">
        <v>7</v>
      </c>
      <c r="C415" s="18">
        <v>4</v>
      </c>
      <c r="D415" s="18">
        <v>4</v>
      </c>
      <c r="E415" s="20">
        <v>61</v>
      </c>
      <c r="F415" s="21">
        <f t="shared" si="19"/>
        <v>109.98734177215189</v>
      </c>
      <c r="G415" s="22">
        <v>0.55133858753812404</v>
      </c>
      <c r="H415" s="18">
        <v>1</v>
      </c>
      <c r="I415" s="18">
        <f t="shared" si="20"/>
        <v>0</v>
      </c>
      <c r="J415" s="53">
        <v>43418</v>
      </c>
      <c r="K415" s="36">
        <v>2018</v>
      </c>
      <c r="L415" s="32">
        <f t="shared" si="18"/>
        <v>43423</v>
      </c>
      <c r="M415" s="40">
        <v>0</v>
      </c>
      <c r="N415" s="33">
        <v>64</v>
      </c>
      <c r="O415" s="34">
        <f>AVERAGEIF(L3:L1205,"&lt;2018/11/14",N3:N1205)</f>
        <v>115.82509505703422</v>
      </c>
      <c r="P415" s="54">
        <v>0</v>
      </c>
      <c r="Q415" s="38">
        <f>AVERAGEIF(L3:L1205,"&lt;2018/11/14",P3:P1205)</f>
        <v>0.38022813688212925</v>
      </c>
      <c r="R415" s="38">
        <v>1</v>
      </c>
      <c r="S415" s="38">
        <f>AVERAGEIF(L3:L1205,"&lt;2018/11/14",R3:R1205)</f>
        <v>1.2382762991128009</v>
      </c>
      <c r="T415" s="54">
        <v>5</v>
      </c>
      <c r="U415" s="38">
        <f>AVERAGEIF(L3:L1205,"&lt;2018/11/14",T3:T1205)</f>
        <v>7.4093789607097591</v>
      </c>
      <c r="V415" s="24">
        <v>790</v>
      </c>
      <c r="W415" s="47" t="s">
        <v>4523</v>
      </c>
    </row>
    <row r="416" spans="1:23">
      <c r="A416" s="23">
        <v>2</v>
      </c>
      <c r="B416" s="23">
        <v>7</v>
      </c>
      <c r="C416" s="18">
        <v>4</v>
      </c>
      <c r="D416" s="18">
        <v>4</v>
      </c>
      <c r="E416" s="20">
        <v>57</v>
      </c>
      <c r="F416" s="21">
        <f t="shared" si="19"/>
        <v>110.05449936628644</v>
      </c>
      <c r="G416" s="22">
        <v>0.41250007020799501</v>
      </c>
      <c r="H416" s="18">
        <v>1</v>
      </c>
      <c r="I416" s="18">
        <f t="shared" si="20"/>
        <v>0</v>
      </c>
      <c r="J416" s="41">
        <v>43418</v>
      </c>
      <c r="K416" s="36">
        <v>2018</v>
      </c>
      <c r="L416" s="32">
        <f t="shared" si="18"/>
        <v>43427</v>
      </c>
      <c r="M416" s="40">
        <v>0</v>
      </c>
      <c r="N416" s="33">
        <v>80</v>
      </c>
      <c r="O416" s="34">
        <f>AVERAGEIF(L3:L1205,"&lt;2018/11/14",N3:N1205)</f>
        <v>115.82509505703422</v>
      </c>
      <c r="P416" s="38">
        <v>2</v>
      </c>
      <c r="Q416" s="38">
        <f>AVERAGEIF(L3:L1205,"&lt;2018/11/14",P3:P1205)</f>
        <v>0.38022813688212925</v>
      </c>
      <c r="R416" s="38">
        <v>1</v>
      </c>
      <c r="S416" s="38">
        <f>AVERAGEIF(L3:L1205,"&lt;2018/11/14",R3:R1205)</f>
        <v>1.2382762991128009</v>
      </c>
      <c r="T416" s="38">
        <v>9</v>
      </c>
      <c r="U416" s="38">
        <f>AVERAGEIF(L3:L1205,"&lt;2018/11/14",T3:T1205)</f>
        <v>7.4093789607097591</v>
      </c>
      <c r="V416" s="24">
        <v>789</v>
      </c>
      <c r="W416" s="47" t="s">
        <v>4550</v>
      </c>
    </row>
    <row r="417" spans="1:23">
      <c r="A417" s="23">
        <v>2</v>
      </c>
      <c r="B417" s="23">
        <v>8</v>
      </c>
      <c r="C417" s="18">
        <v>4</v>
      </c>
      <c r="D417" s="18">
        <v>6</v>
      </c>
      <c r="E417" s="20">
        <v>123</v>
      </c>
      <c r="F417" s="21">
        <f t="shared" si="19"/>
        <v>110.03807106598985</v>
      </c>
      <c r="G417" s="22">
        <v>0.34095845786686202</v>
      </c>
      <c r="H417" s="18">
        <v>0</v>
      </c>
      <c r="I417" s="18">
        <f t="shared" si="20"/>
        <v>1</v>
      </c>
      <c r="J417" s="41">
        <v>43413</v>
      </c>
      <c r="K417" s="36">
        <v>2018</v>
      </c>
      <c r="L417" s="32">
        <f t="shared" si="18"/>
        <v>43417</v>
      </c>
      <c r="M417" s="40">
        <v>0</v>
      </c>
      <c r="N417" s="33">
        <v>29</v>
      </c>
      <c r="O417" s="34">
        <f>AVERAGEIF(L3:L1205,"&lt;2018/11/9",N3:N1205)</f>
        <v>116.01016518424396</v>
      </c>
      <c r="P417" s="54">
        <v>0</v>
      </c>
      <c r="Q417" s="38">
        <f>AVERAGEIF(L3:L1205,"&lt;2018/11/9",P3:P1205)</f>
        <v>0.37992376111817028</v>
      </c>
      <c r="R417" s="38">
        <v>1</v>
      </c>
      <c r="S417" s="38">
        <f>AVERAGEIF(L3:L1205,"&lt;2018/11/9",R3:R1205)</f>
        <v>1.2376111817026683</v>
      </c>
      <c r="T417" s="54">
        <v>4</v>
      </c>
      <c r="U417" s="38">
        <f>AVERAGEIF(L3:L1205,"&lt;2018/11/9",T3:T1205)</f>
        <v>7.3951715374841172</v>
      </c>
      <c r="V417" s="24">
        <v>788</v>
      </c>
      <c r="W417" s="47" t="s">
        <v>4550</v>
      </c>
    </row>
    <row r="418" spans="1:23">
      <c r="A418" s="23">
        <v>2</v>
      </c>
      <c r="B418" s="23">
        <v>6</v>
      </c>
      <c r="C418" s="18">
        <v>4</v>
      </c>
      <c r="D418" s="18">
        <v>6</v>
      </c>
      <c r="E418" s="20">
        <v>117</v>
      </c>
      <c r="F418" s="21">
        <f t="shared" si="19"/>
        <v>110.02922490470139</v>
      </c>
      <c r="G418" s="22">
        <v>0.34091171992937003</v>
      </c>
      <c r="H418" s="18">
        <v>1</v>
      </c>
      <c r="I418" s="18">
        <f t="shared" si="20"/>
        <v>0</v>
      </c>
      <c r="J418" s="41">
        <v>43410</v>
      </c>
      <c r="K418" s="36">
        <v>2018</v>
      </c>
      <c r="L418" s="32">
        <f t="shared" si="18"/>
        <v>43412</v>
      </c>
      <c r="M418" s="40">
        <v>1</v>
      </c>
      <c r="N418" s="33">
        <v>225</v>
      </c>
      <c r="O418" s="34">
        <f>AVERAGEIF(L3:L1205,"&lt;2018/11/6",N3:N1205)</f>
        <v>115.79129321382842</v>
      </c>
      <c r="P418" s="56">
        <v>0</v>
      </c>
      <c r="Q418" s="40">
        <f>AVERAGEIF(L3:L1205,"&lt;2018/11/6",P3:P1205)</f>
        <v>0.37772087067861715</v>
      </c>
      <c r="R418" s="40">
        <v>1</v>
      </c>
      <c r="S418" s="40">
        <f>AVERAGEIF(L3:L1205,"&lt;2018/11/6",R3:R1205)</f>
        <v>1.2381562099871959</v>
      </c>
      <c r="T418" s="56">
        <v>2</v>
      </c>
      <c r="U418" s="40">
        <f>AVERAGEIF(L3:L1205,"&lt;2018/11/6",T3:T1205)</f>
        <v>7.4135723431498075</v>
      </c>
      <c r="V418" s="24">
        <v>787</v>
      </c>
      <c r="W418" s="47" t="s">
        <v>4688</v>
      </c>
    </row>
    <row r="419" spans="1:23">
      <c r="A419" s="23">
        <v>2</v>
      </c>
      <c r="B419" s="23">
        <v>7</v>
      </c>
      <c r="C419" s="18">
        <v>4</v>
      </c>
      <c r="D419" s="18">
        <v>4</v>
      </c>
      <c r="E419" s="20">
        <v>49</v>
      </c>
      <c r="F419" s="21">
        <f t="shared" si="19"/>
        <v>110.10687022900764</v>
      </c>
      <c r="G419" s="22">
        <v>0.37550668519799901</v>
      </c>
      <c r="H419" s="18">
        <v>1</v>
      </c>
      <c r="I419" s="18">
        <f t="shared" si="20"/>
        <v>0</v>
      </c>
      <c r="J419" s="41">
        <v>43409</v>
      </c>
      <c r="K419" s="36">
        <v>2018</v>
      </c>
      <c r="L419" s="32">
        <f t="shared" si="18"/>
        <v>43412</v>
      </c>
      <c r="M419" s="40">
        <v>0</v>
      </c>
      <c r="N419" s="33">
        <v>95</v>
      </c>
      <c r="O419" s="34">
        <f>AVERAGEIF(L3:L1205,"&lt;2018/11/5",N3:N1205)</f>
        <v>115.58536585365853</v>
      </c>
      <c r="P419" s="40">
        <v>0</v>
      </c>
      <c r="Q419" s="40">
        <f>AVERAGEIF(L3:L1205,"&lt;2018/11/5",P3:P1205)</f>
        <v>0.3774069319640565</v>
      </c>
      <c r="R419" s="40">
        <v>1</v>
      </c>
      <c r="S419" s="40">
        <f>AVERAGEIF(L3:L1205,"&lt;2018/11/5",R3:R1205)</f>
        <v>1.238767650834403</v>
      </c>
      <c r="T419" s="40">
        <v>3</v>
      </c>
      <c r="U419" s="40">
        <f>AVERAGEIF(L3:L1205,"&lt;2018/11/5",T3:T1205)</f>
        <v>7.4172015404364569</v>
      </c>
      <c r="V419" s="24">
        <v>786</v>
      </c>
      <c r="W419" s="47" t="s">
        <v>4553</v>
      </c>
    </row>
    <row r="420" spans="1:23">
      <c r="A420" s="23">
        <v>2</v>
      </c>
      <c r="B420" s="23">
        <v>12</v>
      </c>
      <c r="C420" s="18">
        <v>4</v>
      </c>
      <c r="D420" s="18">
        <v>1</v>
      </c>
      <c r="E420" s="20">
        <v>488</v>
      </c>
      <c r="F420" s="21">
        <f t="shared" si="19"/>
        <v>109.62547770700637</v>
      </c>
      <c r="G420" s="22">
        <v>0.131435245318164</v>
      </c>
      <c r="H420" s="18">
        <v>1</v>
      </c>
      <c r="I420" s="18">
        <f t="shared" si="20"/>
        <v>0</v>
      </c>
      <c r="J420" s="41">
        <v>43409</v>
      </c>
      <c r="K420" s="36">
        <v>2018</v>
      </c>
      <c r="L420" s="32">
        <f t="shared" si="18"/>
        <v>43410</v>
      </c>
      <c r="M420" s="40">
        <v>0</v>
      </c>
      <c r="N420" s="33">
        <v>195</v>
      </c>
      <c r="O420" s="34">
        <f>AVERAGEIF(L3:L1205,"&lt;2018/11/5",N3:N1205)</f>
        <v>115.58536585365853</v>
      </c>
      <c r="P420" s="54">
        <v>1</v>
      </c>
      <c r="Q420" s="38">
        <f>AVERAGEIF(L3:L1205,"&lt;2018/11/5",P3:P1205)</f>
        <v>0.3774069319640565</v>
      </c>
      <c r="R420" s="38">
        <v>1</v>
      </c>
      <c r="S420" s="38">
        <f>AVERAGEIF(L3:L1205,"&lt;2018/11/5",R3:R1205)</f>
        <v>1.238767650834403</v>
      </c>
      <c r="T420" s="54">
        <v>1</v>
      </c>
      <c r="U420" s="38">
        <f>AVERAGEIF(L3:L1205,"&lt;2018/11/5",T3:T1205)</f>
        <v>7.4172015404364569</v>
      </c>
      <c r="V420" s="24">
        <v>785</v>
      </c>
      <c r="W420" s="47" t="s">
        <v>4523</v>
      </c>
    </row>
    <row r="421" spans="1:23">
      <c r="A421" s="23">
        <v>4</v>
      </c>
      <c r="B421" s="23">
        <v>34</v>
      </c>
      <c r="C421" s="18">
        <v>4</v>
      </c>
      <c r="D421" s="18">
        <v>4</v>
      </c>
      <c r="E421" s="20">
        <v>46</v>
      </c>
      <c r="F421" s="21">
        <f t="shared" si="19"/>
        <v>109.70663265306122</v>
      </c>
      <c r="G421" s="22">
        <v>0.42661000156864098</v>
      </c>
      <c r="H421" s="18">
        <v>1</v>
      </c>
      <c r="I421" s="18">
        <f t="shared" si="20"/>
        <v>0</v>
      </c>
      <c r="J421" s="45">
        <v>43408</v>
      </c>
      <c r="K421" s="36">
        <v>2018</v>
      </c>
      <c r="L421" s="32">
        <f t="shared" si="18"/>
        <v>43411</v>
      </c>
      <c r="M421" s="42">
        <v>0</v>
      </c>
      <c r="N421" s="33">
        <v>126</v>
      </c>
      <c r="O421" s="34">
        <f>AVERAGEIF(L3:L1205,"&lt;2018/11/4",N3:N1205)</f>
        <v>115.58536585365853</v>
      </c>
      <c r="P421" s="38">
        <v>0</v>
      </c>
      <c r="Q421" s="38">
        <f>AVERAGEIF(L3:L1205,"&lt;2018/11/4",P3:P1205)</f>
        <v>0.3774069319640565</v>
      </c>
      <c r="R421" s="38">
        <v>1</v>
      </c>
      <c r="S421" s="38">
        <f>AVERAGEIF(L3:L1205,"&lt;2018/11/4",R3:R1205)</f>
        <v>1.238767650834403</v>
      </c>
      <c r="T421" s="38">
        <v>3</v>
      </c>
      <c r="U421" s="38">
        <f>AVERAGEIF(L3:L1205,"&lt;2018/11/4",T3:T1205)</f>
        <v>7.4172015404364569</v>
      </c>
      <c r="V421" s="24">
        <v>784</v>
      </c>
      <c r="W421" s="47" t="s">
        <v>4521</v>
      </c>
    </row>
    <row r="422" spans="1:23">
      <c r="A422" s="23">
        <v>2</v>
      </c>
      <c r="B422" s="23">
        <v>5</v>
      </c>
      <c r="C422" s="18">
        <v>1</v>
      </c>
      <c r="D422" s="18">
        <v>6</v>
      </c>
      <c r="E422" s="20">
        <v>329</v>
      </c>
      <c r="F422" s="21">
        <f t="shared" si="19"/>
        <v>109.42656449553002</v>
      </c>
      <c r="G422" s="22">
        <v>0.84090909090909105</v>
      </c>
      <c r="H422" s="18">
        <v>1</v>
      </c>
      <c r="I422" s="18">
        <f t="shared" si="20"/>
        <v>0</v>
      </c>
      <c r="J422" s="41">
        <v>43405</v>
      </c>
      <c r="K422" s="36">
        <v>2018</v>
      </c>
      <c r="L422" s="32">
        <f t="shared" si="18"/>
        <v>43412</v>
      </c>
      <c r="M422" s="24">
        <v>1</v>
      </c>
      <c r="N422" s="33">
        <v>77</v>
      </c>
      <c r="O422" s="34">
        <f>AVERAGEIF(L3:L1205,"&lt;2018/11/1",N3:N1205)</f>
        <v>115.44170984455958</v>
      </c>
      <c r="P422" s="38">
        <v>2</v>
      </c>
      <c r="Q422" s="38">
        <f>AVERAGEIF(L3:L1205,"&lt;2018/11/1",P3:P1205)</f>
        <v>0.37694300518134716</v>
      </c>
      <c r="R422" s="38">
        <v>1</v>
      </c>
      <c r="S422" s="38">
        <f>AVERAGEIF(L3:L1205,"&lt;2018/11/1",R3:R1205)</f>
        <v>1.2409326424870466</v>
      </c>
      <c r="T422" s="38">
        <v>7</v>
      </c>
      <c r="U422" s="38">
        <f>AVERAGEIF(L3:L1205,"&lt;2018/11/1",T3:T1205)</f>
        <v>7.4248704663212433</v>
      </c>
      <c r="V422" s="24">
        <v>783</v>
      </c>
      <c r="W422" s="47" t="s">
        <v>4742</v>
      </c>
    </row>
    <row r="423" spans="1:23">
      <c r="A423" s="23">
        <v>2</v>
      </c>
      <c r="B423" s="23">
        <v>12</v>
      </c>
      <c r="C423" s="18">
        <v>4</v>
      </c>
      <c r="D423" s="18">
        <v>6</v>
      </c>
      <c r="E423" s="20">
        <v>210</v>
      </c>
      <c r="F423" s="21">
        <f t="shared" si="19"/>
        <v>109.29795396419438</v>
      </c>
      <c r="G423" s="22">
        <v>0.63941147664617304</v>
      </c>
      <c r="H423" s="18">
        <v>0</v>
      </c>
      <c r="I423" s="18">
        <f t="shared" si="20"/>
        <v>1</v>
      </c>
      <c r="J423" s="41">
        <v>43405</v>
      </c>
      <c r="K423" s="36">
        <v>2018</v>
      </c>
      <c r="L423" s="32">
        <f t="shared" si="18"/>
        <v>43406</v>
      </c>
      <c r="M423" s="24">
        <v>0</v>
      </c>
      <c r="N423" s="33">
        <v>195</v>
      </c>
      <c r="O423" s="34">
        <f>AVERAGEIF(L3:L1205,"&lt;2018/11/1",N3:N1205)</f>
        <v>115.44170984455958</v>
      </c>
      <c r="P423" s="54">
        <v>0</v>
      </c>
      <c r="Q423" s="38">
        <f>AVERAGEIF(L3:L1205,"&lt;2018/11/1",P3:P1205)</f>
        <v>0.37694300518134716</v>
      </c>
      <c r="R423" s="38">
        <v>1</v>
      </c>
      <c r="S423" s="38">
        <f>AVERAGEIF(L3:L1205,"&lt;2018/11/1",R3:R1205)</f>
        <v>1.2409326424870466</v>
      </c>
      <c r="T423" s="54">
        <v>1</v>
      </c>
      <c r="U423" s="38">
        <f>AVERAGEIF(L3:L1205,"&lt;2018/11/1",T3:T1205)</f>
        <v>7.4248704663212433</v>
      </c>
      <c r="V423" s="24">
        <v>782</v>
      </c>
      <c r="W423" s="47" t="s">
        <v>4624</v>
      </c>
    </row>
    <row r="424" spans="1:23">
      <c r="A424" s="23">
        <v>2</v>
      </c>
      <c r="B424" s="23">
        <v>12</v>
      </c>
      <c r="C424" s="18">
        <v>4</v>
      </c>
      <c r="D424" s="18">
        <v>6</v>
      </c>
      <c r="E424" s="20">
        <v>421</v>
      </c>
      <c r="F424" s="21">
        <f t="shared" si="19"/>
        <v>108.89884763124199</v>
      </c>
      <c r="G424" s="22">
        <v>0.37554145553048202</v>
      </c>
      <c r="H424" s="18">
        <v>0</v>
      </c>
      <c r="I424" s="18">
        <f t="shared" si="20"/>
        <v>1</v>
      </c>
      <c r="J424" s="41">
        <v>43405</v>
      </c>
      <c r="K424" s="36">
        <v>2018</v>
      </c>
      <c r="L424" s="32">
        <f t="shared" si="18"/>
        <v>43406</v>
      </c>
      <c r="M424" s="24">
        <v>0</v>
      </c>
      <c r="N424" s="33">
        <v>195</v>
      </c>
      <c r="O424" s="34">
        <f>AVERAGEIF(L3:L1205,"&lt;2018/11/1",N3:N1205)</f>
        <v>115.44170984455958</v>
      </c>
      <c r="P424" s="38">
        <v>0</v>
      </c>
      <c r="Q424" s="38">
        <f>AVERAGEIF(L3:L1205,"&lt;2018/11/1",P3:P1205)</f>
        <v>0.37694300518134716</v>
      </c>
      <c r="R424" s="38">
        <v>1</v>
      </c>
      <c r="S424" s="38">
        <f>AVERAGEIF(L3:L1205,"&lt;2018/11/1",R3:R1205)</f>
        <v>1.2409326424870466</v>
      </c>
      <c r="T424" s="38">
        <v>1</v>
      </c>
      <c r="U424" s="38">
        <f>AVERAGEIF(L3:L1205,"&lt;2018/11/1",T3:T1205)</f>
        <v>7.4248704663212433</v>
      </c>
      <c r="V424" s="24">
        <v>781</v>
      </c>
      <c r="W424" s="47" t="s">
        <v>4523</v>
      </c>
    </row>
    <row r="425" spans="1:23">
      <c r="A425" s="23">
        <v>4</v>
      </c>
      <c r="B425" s="23">
        <v>29</v>
      </c>
      <c r="C425" s="18">
        <v>4</v>
      </c>
      <c r="D425" s="18">
        <v>4</v>
      </c>
      <c r="E425" s="20">
        <v>40</v>
      </c>
      <c r="F425" s="21">
        <f t="shared" si="19"/>
        <v>108.98717948717949</v>
      </c>
      <c r="G425" s="22">
        <v>0.59761230827976397</v>
      </c>
      <c r="H425" s="18">
        <v>1</v>
      </c>
      <c r="I425" s="18">
        <f t="shared" si="20"/>
        <v>0</v>
      </c>
      <c r="J425" s="45">
        <v>43404</v>
      </c>
      <c r="K425" s="36">
        <v>2018</v>
      </c>
      <c r="L425" s="32">
        <f t="shared" si="18"/>
        <v>43406</v>
      </c>
      <c r="M425" s="42">
        <v>0</v>
      </c>
      <c r="N425" s="33">
        <v>116</v>
      </c>
      <c r="O425" s="34">
        <f>AVERAGEIF(L3:L1205,"&lt;2018/10/31",N3:N1205)</f>
        <v>115.65104166666667</v>
      </c>
      <c r="P425" s="38">
        <v>0</v>
      </c>
      <c r="Q425" s="38">
        <f>AVERAGEIF(L3:L1205,"&lt;2018/10/31",P3:P1205)</f>
        <v>0.37760416666666669</v>
      </c>
      <c r="R425" s="38">
        <v>1</v>
      </c>
      <c r="S425" s="38">
        <f>AVERAGEIF(L3:L1205,"&lt;2018/10/31",R3:R1205)</f>
        <v>1.2421875</v>
      </c>
      <c r="T425" s="38">
        <v>2</v>
      </c>
      <c r="U425" s="38">
        <f>AVERAGEIF(L3:L1205,"&lt;2018/10/31",T3:T1205)</f>
        <v>7.442708333333333</v>
      </c>
      <c r="V425" s="24">
        <v>780</v>
      </c>
      <c r="W425" s="47" t="s">
        <v>4557</v>
      </c>
    </row>
    <row r="426" spans="1:23">
      <c r="A426" s="23">
        <v>2</v>
      </c>
      <c r="B426" s="23">
        <v>6</v>
      </c>
      <c r="C426" s="18">
        <v>4</v>
      </c>
      <c r="D426" s="18">
        <v>6</v>
      </c>
      <c r="E426" s="20">
        <v>122</v>
      </c>
      <c r="F426" s="21">
        <f t="shared" si="19"/>
        <v>108.97047496790758</v>
      </c>
      <c r="G426" s="22">
        <v>0.46820563819115102</v>
      </c>
      <c r="H426" s="18">
        <v>1</v>
      </c>
      <c r="I426" s="18">
        <f t="shared" si="20"/>
        <v>0</v>
      </c>
      <c r="J426" s="41">
        <v>43403</v>
      </c>
      <c r="K426" s="36">
        <v>2018</v>
      </c>
      <c r="L426" s="32">
        <f t="shared" si="18"/>
        <v>43409</v>
      </c>
      <c r="M426" s="24">
        <v>1</v>
      </c>
      <c r="N426" s="33">
        <v>323</v>
      </c>
      <c r="O426" s="34">
        <f>AVERAGEIF(L3:L1205,"&lt;2018/10/30",N3:N1205)</f>
        <v>115.77574967405477</v>
      </c>
      <c r="P426" s="38">
        <v>1</v>
      </c>
      <c r="Q426" s="38">
        <f>AVERAGEIF(L3:L1205,"&lt;2018/10/30",P3:P1205)</f>
        <v>0.37679269882659711</v>
      </c>
      <c r="R426" s="38">
        <v>1</v>
      </c>
      <c r="S426" s="38">
        <f>AVERAGEIF(L3:L1205,"&lt;2018/10/30",R3:R1205)</f>
        <v>1.2398956975228161</v>
      </c>
      <c r="T426" s="38">
        <v>6</v>
      </c>
      <c r="U426" s="38">
        <f>AVERAGEIF(L3:L1205,"&lt;2018/10/30",T3:T1205)</f>
        <v>7.4419817470664924</v>
      </c>
      <c r="V426" s="24">
        <v>779</v>
      </c>
      <c r="W426" s="47" t="s">
        <v>4529</v>
      </c>
    </row>
    <row r="427" spans="1:23">
      <c r="A427" s="23">
        <v>2</v>
      </c>
      <c r="B427" s="23">
        <v>6</v>
      </c>
      <c r="C427" s="18">
        <v>4</v>
      </c>
      <c r="D427" s="18">
        <v>6</v>
      </c>
      <c r="E427" s="20">
        <v>348</v>
      </c>
      <c r="F427" s="21">
        <f t="shared" si="19"/>
        <v>108.66323907455013</v>
      </c>
      <c r="G427" s="22">
        <v>0.45119538291997402</v>
      </c>
      <c r="H427" s="18">
        <v>1</v>
      </c>
      <c r="I427" s="18">
        <f t="shared" si="20"/>
        <v>0</v>
      </c>
      <c r="J427" s="41">
        <v>43403</v>
      </c>
      <c r="K427" s="36">
        <v>2018</v>
      </c>
      <c r="L427" s="32">
        <f t="shared" si="18"/>
        <v>43405</v>
      </c>
      <c r="M427" s="40">
        <v>1</v>
      </c>
      <c r="N427" s="33">
        <v>132</v>
      </c>
      <c r="O427" s="34">
        <f>AVERAGEIF(L3:L1205,"&lt;2018/10/30",N3:N1205)</f>
        <v>115.77574967405477</v>
      </c>
      <c r="P427" s="38">
        <v>0</v>
      </c>
      <c r="Q427" s="38">
        <f>AVERAGEIF(L3:L1205,"&lt;2018/10/30",P3:P1205)</f>
        <v>0.37679269882659711</v>
      </c>
      <c r="R427" s="38">
        <v>1</v>
      </c>
      <c r="S427" s="38">
        <f>AVERAGEIF(L3:L1205,"&lt;2018/10/30",R3:R1205)</f>
        <v>1.2398956975228161</v>
      </c>
      <c r="T427" s="38">
        <v>2</v>
      </c>
      <c r="U427" s="38">
        <f>AVERAGEIF(L3:L1205,"&lt;2018/10/30",T3:T1205)</f>
        <v>7.4419817470664924</v>
      </c>
      <c r="V427" s="24">
        <v>778</v>
      </c>
      <c r="W427" s="47" t="s">
        <v>4893</v>
      </c>
    </row>
    <row r="428" spans="1:23">
      <c r="A428" s="23">
        <v>4</v>
      </c>
      <c r="B428" s="23">
        <v>34</v>
      </c>
      <c r="C428" s="18">
        <v>4</v>
      </c>
      <c r="D428" s="18">
        <v>6</v>
      </c>
      <c r="E428" s="20">
        <v>59</v>
      </c>
      <c r="F428" s="21">
        <f t="shared" si="19"/>
        <v>108.72715572715573</v>
      </c>
      <c r="G428" s="22">
        <v>0.32100479690738698</v>
      </c>
      <c r="H428" s="18">
        <v>1</v>
      </c>
      <c r="I428" s="18">
        <f t="shared" si="20"/>
        <v>0</v>
      </c>
      <c r="J428" s="45">
        <v>43403</v>
      </c>
      <c r="K428" s="36">
        <v>2018</v>
      </c>
      <c r="L428" s="32">
        <f t="shared" si="18"/>
        <v>43409</v>
      </c>
      <c r="M428" s="42">
        <v>0</v>
      </c>
      <c r="N428" s="33">
        <v>69</v>
      </c>
      <c r="O428" s="34">
        <f>AVERAGEIF(L3:L1205,"&lt;2018/10/30",N3:N1205)</f>
        <v>115.77574967405477</v>
      </c>
      <c r="P428" s="38">
        <v>0</v>
      </c>
      <c r="Q428" s="38">
        <f>AVERAGEIF(L3:L1205,"&lt;2018/10/30",P3:P1205)</f>
        <v>0.37679269882659711</v>
      </c>
      <c r="R428" s="38">
        <v>1</v>
      </c>
      <c r="S428" s="38">
        <f>AVERAGEIF(L3:L1205,"&lt;2018/10/30",R3:R1205)</f>
        <v>1.2398956975228161</v>
      </c>
      <c r="T428" s="38">
        <v>6</v>
      </c>
      <c r="U428" s="38">
        <f>AVERAGEIF(L3:L1205,"&lt;2018/10/30",T3:T1205)</f>
        <v>7.4419817470664924</v>
      </c>
      <c r="V428" s="24">
        <v>777</v>
      </c>
      <c r="W428" s="47" t="s">
        <v>4659</v>
      </c>
    </row>
    <row r="429" spans="1:23">
      <c r="A429" s="23">
        <v>2</v>
      </c>
      <c r="B429" s="23">
        <v>12</v>
      </c>
      <c r="C429" s="18">
        <v>4</v>
      </c>
      <c r="D429" s="18">
        <v>6</v>
      </c>
      <c r="E429" s="20">
        <v>383</v>
      </c>
      <c r="F429" s="21">
        <f t="shared" si="19"/>
        <v>108.37371134020619</v>
      </c>
      <c r="G429" s="22">
        <v>0.57728367261078595</v>
      </c>
      <c r="H429" s="18">
        <v>1</v>
      </c>
      <c r="I429" s="18">
        <f t="shared" si="20"/>
        <v>0</v>
      </c>
      <c r="J429" s="41">
        <v>43402</v>
      </c>
      <c r="K429" s="36">
        <v>2018</v>
      </c>
      <c r="L429" s="32">
        <f t="shared" si="18"/>
        <v>43404</v>
      </c>
      <c r="M429" s="24">
        <v>0</v>
      </c>
      <c r="N429" s="33">
        <v>145</v>
      </c>
      <c r="O429" s="34">
        <f>AVERAGEIF(L3:L1205,"&lt;2018/10/29",N3:N1205)</f>
        <v>115.81201044386422</v>
      </c>
      <c r="P429" s="38">
        <v>0</v>
      </c>
      <c r="Q429" s="38">
        <f>AVERAGEIF(L3:L1205,"&lt;2018/10/29",P3:P1205)</f>
        <v>0.37467362924281983</v>
      </c>
      <c r="R429" s="38">
        <v>1</v>
      </c>
      <c r="S429" s="38">
        <f>AVERAGEIF(L3:L1205,"&lt;2018/10/29",R3:R1205)</f>
        <v>1.2402088772845954</v>
      </c>
      <c r="T429" s="38">
        <v>2</v>
      </c>
      <c r="U429" s="38">
        <f>AVERAGEIF(L3:L1205,"&lt;2018/10/29",T3:T1205)</f>
        <v>7.4412532637075719</v>
      </c>
      <c r="V429" s="24">
        <v>776</v>
      </c>
      <c r="W429" s="47" t="s">
        <v>4529</v>
      </c>
    </row>
    <row r="430" spans="1:23">
      <c r="A430" s="23">
        <v>4</v>
      </c>
      <c r="B430" s="23">
        <v>30</v>
      </c>
      <c r="C430" s="18">
        <v>5</v>
      </c>
      <c r="D430" s="18">
        <v>1</v>
      </c>
      <c r="E430" s="20">
        <v>20</v>
      </c>
      <c r="F430" s="21">
        <f t="shared" si="19"/>
        <v>108.48774193548387</v>
      </c>
      <c r="G430" s="22">
        <v>0.41250000133887998</v>
      </c>
      <c r="H430" s="18">
        <v>1</v>
      </c>
      <c r="I430" s="18">
        <f t="shared" si="20"/>
        <v>0</v>
      </c>
      <c r="J430" s="45">
        <v>43402</v>
      </c>
      <c r="K430" s="36">
        <v>2018</v>
      </c>
      <c r="L430" s="32">
        <f t="shared" si="18"/>
        <v>43404</v>
      </c>
      <c r="M430" s="51">
        <v>0</v>
      </c>
      <c r="N430" s="33">
        <v>28</v>
      </c>
      <c r="O430" s="34">
        <f>AVERAGEIF(L3:L1205,"&lt;2018/10/29",N3:N1205)</f>
        <v>115.81201044386422</v>
      </c>
      <c r="P430" s="54">
        <v>0</v>
      </c>
      <c r="Q430" s="38">
        <f>AVERAGEIF(L3:L1205,"&lt;2018/10/29",P3:P1205)</f>
        <v>0.37467362924281983</v>
      </c>
      <c r="R430" s="38">
        <v>1</v>
      </c>
      <c r="S430" s="38">
        <f>AVERAGEIF(L3:L1205,"&lt;2018/10/29",R3:R1205)</f>
        <v>1.2402088772845954</v>
      </c>
      <c r="T430" s="54">
        <v>2</v>
      </c>
      <c r="U430" s="38">
        <f>AVERAGEIF(L3:L1205,"&lt;2018/10/29",T3:T1205)</f>
        <v>7.4412532637075719</v>
      </c>
      <c r="V430" s="24">
        <v>775</v>
      </c>
      <c r="W430" s="47" t="s">
        <v>4563</v>
      </c>
    </row>
    <row r="431" spans="1:23">
      <c r="A431" s="23">
        <v>3</v>
      </c>
      <c r="B431" s="23">
        <v>21</v>
      </c>
      <c r="C431" s="18">
        <v>4</v>
      </c>
      <c r="D431" s="18">
        <v>6</v>
      </c>
      <c r="E431" s="20">
        <v>71</v>
      </c>
      <c r="F431" s="21">
        <f t="shared" si="19"/>
        <v>108.53617571059432</v>
      </c>
      <c r="G431" s="22">
        <v>0.74289273740816997</v>
      </c>
      <c r="H431" s="3">
        <v>1</v>
      </c>
      <c r="I431" s="18">
        <f t="shared" si="20"/>
        <v>0</v>
      </c>
      <c r="J431" s="41">
        <v>43400</v>
      </c>
      <c r="K431" s="36">
        <v>2018</v>
      </c>
      <c r="L431" s="32">
        <f t="shared" si="18"/>
        <v>43406</v>
      </c>
      <c r="M431" s="40">
        <v>0</v>
      </c>
      <c r="N431" s="33">
        <v>99</v>
      </c>
      <c r="O431" s="34">
        <f>AVERAGEIF(L3:L1205,"&lt;2018/10/27",N3:N1205)</f>
        <v>115.74117647058823</v>
      </c>
      <c r="P431" s="54">
        <v>1</v>
      </c>
      <c r="Q431" s="38">
        <f>AVERAGEIF(L3:L1205,"&lt;2018/10/27",P3:P1205)</f>
        <v>0.37254901960784315</v>
      </c>
      <c r="R431" s="38">
        <v>1</v>
      </c>
      <c r="S431" s="38">
        <f>AVERAGEIF(L3:L1205,"&lt;2018/10/27",R3:R1205)</f>
        <v>1.2405228758169935</v>
      </c>
      <c r="T431" s="54">
        <v>6</v>
      </c>
      <c r="U431" s="38">
        <f>AVERAGEIF(L3:L1205,"&lt;2018/10/27",T3:T1205)</f>
        <v>7.43921568627451</v>
      </c>
      <c r="V431" s="24">
        <v>774</v>
      </c>
      <c r="W431" s="47" t="s">
        <v>4529</v>
      </c>
    </row>
    <row r="432" spans="1:23">
      <c r="A432" s="23">
        <v>2</v>
      </c>
      <c r="B432" s="23">
        <v>8</v>
      </c>
      <c r="C432" s="18">
        <v>4</v>
      </c>
      <c r="D432" s="18">
        <v>4</v>
      </c>
      <c r="E432" s="20">
        <v>75</v>
      </c>
      <c r="F432" s="21">
        <f t="shared" si="19"/>
        <v>108.57956015523932</v>
      </c>
      <c r="G432" s="22">
        <v>0.34152581030673801</v>
      </c>
      <c r="H432" s="18">
        <v>0</v>
      </c>
      <c r="I432" s="18">
        <f t="shared" si="20"/>
        <v>1</v>
      </c>
      <c r="J432" s="41">
        <v>43399</v>
      </c>
      <c r="K432" s="36">
        <v>2018</v>
      </c>
      <c r="L432" s="32">
        <f t="shared" si="18"/>
        <v>43404</v>
      </c>
      <c r="M432" s="40">
        <v>0</v>
      </c>
      <c r="N432" s="33">
        <v>33</v>
      </c>
      <c r="O432" s="34">
        <f>AVERAGEIF(L3:L1205,"&lt;2018/10/26",N3:N1205)</f>
        <v>115.95275590551181</v>
      </c>
      <c r="P432" s="40">
        <v>1</v>
      </c>
      <c r="Q432" s="40">
        <f>AVERAGEIF(L3:L1205,"&lt;2018/10/26",P3:P1205)</f>
        <v>0.36876640419947504</v>
      </c>
      <c r="R432" s="40">
        <v>1</v>
      </c>
      <c r="S432" s="40">
        <f>AVERAGEIF(L3:L1205,"&lt;2018/10/26",R3:R1205)</f>
        <v>1.2401574803149606</v>
      </c>
      <c r="T432" s="40">
        <v>5</v>
      </c>
      <c r="U432" s="40">
        <f>AVERAGEIF(L3:L1205,"&lt;2018/10/26",T3:T1205)</f>
        <v>7.4120734908136479</v>
      </c>
      <c r="V432" s="24">
        <v>773</v>
      </c>
      <c r="W432" s="47" t="s">
        <v>4563</v>
      </c>
    </row>
    <row r="433" spans="1:23">
      <c r="A433" s="23">
        <v>3</v>
      </c>
      <c r="B433" s="23">
        <v>19</v>
      </c>
      <c r="C433" s="18">
        <v>4</v>
      </c>
      <c r="D433" s="18">
        <v>6</v>
      </c>
      <c r="E433" s="20">
        <v>64</v>
      </c>
      <c r="F433" s="21">
        <f t="shared" si="19"/>
        <v>108.63730569948187</v>
      </c>
      <c r="G433" s="22">
        <v>0.40352353631996002</v>
      </c>
      <c r="H433" s="3">
        <v>0</v>
      </c>
      <c r="I433" s="18">
        <f t="shared" si="20"/>
        <v>1</v>
      </c>
      <c r="J433" s="41">
        <v>43397</v>
      </c>
      <c r="K433" s="36">
        <v>2018</v>
      </c>
      <c r="L433" s="32">
        <f t="shared" si="18"/>
        <v>43404</v>
      </c>
      <c r="M433" s="24">
        <v>0</v>
      </c>
      <c r="N433" s="33">
        <v>95</v>
      </c>
      <c r="O433" s="34">
        <f>AVERAGEIF(L3:L1205,"&lt;2018/10/24",N3:N1205)</f>
        <v>116.13438735177866</v>
      </c>
      <c r="P433" s="38">
        <v>0</v>
      </c>
      <c r="Q433" s="38">
        <f>AVERAGEIF(L3:L1205,"&lt;2018/10/24",P3:P1205)</f>
        <v>0.3675889328063241</v>
      </c>
      <c r="R433" s="38">
        <v>1</v>
      </c>
      <c r="S433" s="38">
        <f>AVERAGEIF(L3:L1205,"&lt;2018/10/24",R3:R1205)</f>
        <v>1.238471673254282</v>
      </c>
      <c r="T433" s="38">
        <v>7</v>
      </c>
      <c r="U433" s="38">
        <f>AVERAGEIF(L3:L1205,"&lt;2018/10/24",T3:T1205)</f>
        <v>7.4202898550724639</v>
      </c>
      <c r="V433" s="24">
        <v>772</v>
      </c>
      <c r="W433" s="47" t="s">
        <v>4742</v>
      </c>
    </row>
    <row r="434" spans="1:23">
      <c r="A434" s="23">
        <v>3</v>
      </c>
      <c r="B434" s="23">
        <v>24</v>
      </c>
      <c r="C434" s="18">
        <v>4</v>
      </c>
      <c r="D434" s="18">
        <v>6</v>
      </c>
      <c r="E434" s="20">
        <v>266</v>
      </c>
      <c r="F434" s="21">
        <f t="shared" si="19"/>
        <v>108.43320363164722</v>
      </c>
      <c r="G434" s="22">
        <v>0.41250166499832502</v>
      </c>
      <c r="H434" s="3">
        <v>1</v>
      </c>
      <c r="I434" s="18">
        <f t="shared" si="20"/>
        <v>0</v>
      </c>
      <c r="J434" s="41">
        <v>43396</v>
      </c>
      <c r="K434" s="36">
        <v>2018</v>
      </c>
      <c r="L434" s="32">
        <f t="shared" si="18"/>
        <v>43410</v>
      </c>
      <c r="M434" s="40">
        <v>0</v>
      </c>
      <c r="N434" s="33">
        <v>149</v>
      </c>
      <c r="O434" s="34">
        <f>AVERAGEIF(L3:L1205,"&lt;2018/10/23",N3:N1205)</f>
        <v>116.19286657859973</v>
      </c>
      <c r="P434" s="38">
        <v>1</v>
      </c>
      <c r="Q434" s="38">
        <f>AVERAGEIF(L3:L1205,"&lt;2018/10/23",P3:P1205)</f>
        <v>0.36723910171730517</v>
      </c>
      <c r="R434" s="38">
        <v>2</v>
      </c>
      <c r="S434" s="38">
        <f>AVERAGEIF(L3:L1205,"&lt;2018/10/23",R3:R1205)</f>
        <v>1.2377807133421401</v>
      </c>
      <c r="T434" s="38">
        <v>14</v>
      </c>
      <c r="U434" s="38">
        <f>AVERAGEIF(L3:L1205,"&lt;2018/10/23",T3:T1205)</f>
        <v>7.4227212681638042</v>
      </c>
      <c r="V434" s="24">
        <v>771</v>
      </c>
      <c r="W434" s="47" t="s">
        <v>4626</v>
      </c>
    </row>
    <row r="435" spans="1:23">
      <c r="A435" s="23">
        <v>2</v>
      </c>
      <c r="B435" s="23">
        <v>8</v>
      </c>
      <c r="C435" s="18">
        <v>5</v>
      </c>
      <c r="D435" s="18">
        <v>6</v>
      </c>
      <c r="E435" s="20">
        <v>389</v>
      </c>
      <c r="F435" s="21">
        <f t="shared" si="19"/>
        <v>108.06883116883117</v>
      </c>
      <c r="G435" s="22">
        <v>0.11948812496025001</v>
      </c>
      <c r="H435" s="18">
        <v>1</v>
      </c>
      <c r="I435" s="18">
        <f t="shared" si="20"/>
        <v>0</v>
      </c>
      <c r="J435" s="41">
        <v>43395</v>
      </c>
      <c r="K435" s="36">
        <v>2018</v>
      </c>
      <c r="L435" s="32">
        <f t="shared" si="18"/>
        <v>43403</v>
      </c>
      <c r="M435" s="40">
        <v>0</v>
      </c>
      <c r="N435" s="33">
        <v>20</v>
      </c>
      <c r="O435" s="34">
        <f>AVERAGEIF(L3:L1205,"&lt;2018/10/22",N3:N1205)</f>
        <v>116.12533333333333</v>
      </c>
      <c r="P435" s="38">
        <v>1</v>
      </c>
      <c r="Q435" s="38">
        <f>AVERAGEIF(L3:L1205,"&lt;2018/10/22",P3:P1205)</f>
        <v>0.36533333333333334</v>
      </c>
      <c r="R435" s="38">
        <v>3</v>
      </c>
      <c r="S435" s="38">
        <f>AVERAGEIF(L3:L1205,"&lt;2018/10/22",R3:R1205)</f>
        <v>1.2346666666666666</v>
      </c>
      <c r="T435" s="38">
        <v>8</v>
      </c>
      <c r="U435" s="38">
        <f>AVERAGEIF(L3:L1205,"&lt;2018/10/22",T3:T1205)</f>
        <v>7.4306666666666663</v>
      </c>
      <c r="V435" s="24">
        <v>770</v>
      </c>
      <c r="W435" s="47" t="s">
        <v>4897</v>
      </c>
    </row>
    <row r="436" spans="1:23">
      <c r="A436" s="23">
        <v>2</v>
      </c>
      <c r="B436" s="23">
        <v>7</v>
      </c>
      <c r="C436" s="18">
        <v>4</v>
      </c>
      <c r="D436" s="18">
        <v>6</v>
      </c>
      <c r="E436" s="20">
        <v>422</v>
      </c>
      <c r="F436" s="21">
        <f t="shared" si="19"/>
        <v>107.66059817945384</v>
      </c>
      <c r="G436" s="22">
        <v>0.41297372499736301</v>
      </c>
      <c r="H436" s="18">
        <v>0</v>
      </c>
      <c r="I436" s="18">
        <f t="shared" si="20"/>
        <v>1</v>
      </c>
      <c r="J436" s="41">
        <v>43394</v>
      </c>
      <c r="K436" s="36">
        <v>2018</v>
      </c>
      <c r="L436" s="32">
        <f t="shared" si="18"/>
        <v>43402</v>
      </c>
      <c r="M436" s="24">
        <v>0</v>
      </c>
      <c r="N436" s="33">
        <v>88</v>
      </c>
      <c r="O436" s="34">
        <f>AVERAGEIF(L3:L1205,"&lt;2018/10/21",N3:N1205)</f>
        <v>116.12533333333333</v>
      </c>
      <c r="P436" s="38">
        <v>2</v>
      </c>
      <c r="Q436" s="38">
        <f>AVERAGEIF(L3:L1205,"&lt;2018/10/21",P3:P1205)</f>
        <v>0.36533333333333334</v>
      </c>
      <c r="R436" s="38">
        <v>1</v>
      </c>
      <c r="S436" s="38">
        <f>AVERAGEIF(L3:L1205,"&lt;2018/10/21",R3:R1205)</f>
        <v>1.2346666666666666</v>
      </c>
      <c r="T436" s="38">
        <v>8</v>
      </c>
      <c r="U436" s="38">
        <f>AVERAGEIF(L3:L1205,"&lt;2018/10/21",T3:T1205)</f>
        <v>7.4306666666666663</v>
      </c>
      <c r="V436" s="24">
        <v>769</v>
      </c>
      <c r="W436" s="47" t="s">
        <v>4899</v>
      </c>
    </row>
    <row r="437" spans="1:23">
      <c r="A437" s="23">
        <v>4</v>
      </c>
      <c r="B437" s="23">
        <v>29</v>
      </c>
      <c r="C437" s="18">
        <v>4</v>
      </c>
      <c r="D437" s="18">
        <v>4</v>
      </c>
      <c r="E437" s="20">
        <v>108</v>
      </c>
      <c r="F437" s="21">
        <f t="shared" si="19"/>
        <v>107.66015625</v>
      </c>
      <c r="G437" s="22">
        <v>0.28193608770252698</v>
      </c>
      <c r="H437" s="18">
        <v>1</v>
      </c>
      <c r="I437" s="18">
        <f t="shared" si="20"/>
        <v>0</v>
      </c>
      <c r="J437" s="45">
        <v>43394</v>
      </c>
      <c r="K437" s="36">
        <v>2018</v>
      </c>
      <c r="L437" s="32">
        <f t="shared" si="18"/>
        <v>43397</v>
      </c>
      <c r="M437" s="42">
        <v>0</v>
      </c>
      <c r="N437" s="33">
        <v>70</v>
      </c>
      <c r="O437" s="34">
        <f>AVERAGEIF(L3:L1205,"&lt;2018/10/21",N3:N1205)</f>
        <v>116.12533333333333</v>
      </c>
      <c r="P437" s="38">
        <v>0</v>
      </c>
      <c r="Q437" s="38">
        <f>AVERAGEIF(L3:L1205,"&lt;2018/10/21",P3:P1205)</f>
        <v>0.36533333333333334</v>
      </c>
      <c r="R437" s="38">
        <v>1</v>
      </c>
      <c r="S437" s="38">
        <f>AVERAGEIF(L3:L1205,"&lt;2018/10/21",R3:R1205)</f>
        <v>1.2346666666666666</v>
      </c>
      <c r="T437" s="38">
        <v>3</v>
      </c>
      <c r="U437" s="38">
        <f>AVERAGEIF(L3:L1205,"&lt;2018/10/21",T3:T1205)</f>
        <v>7.4306666666666663</v>
      </c>
      <c r="V437" s="24">
        <v>768</v>
      </c>
      <c r="W437" s="47" t="s">
        <v>4523</v>
      </c>
    </row>
    <row r="438" spans="1:23">
      <c r="A438" s="23">
        <v>2</v>
      </c>
      <c r="B438" s="23">
        <v>7</v>
      </c>
      <c r="C438" s="18">
        <v>4</v>
      </c>
      <c r="D438" s="18">
        <v>4</v>
      </c>
      <c r="E438" s="20">
        <v>124</v>
      </c>
      <c r="F438" s="21">
        <f t="shared" si="19"/>
        <v>107.63885267275097</v>
      </c>
      <c r="G438" s="22">
        <v>0.413087607431671</v>
      </c>
      <c r="H438" s="18">
        <v>1</v>
      </c>
      <c r="I438" s="18">
        <f t="shared" si="20"/>
        <v>0</v>
      </c>
      <c r="J438" s="41">
        <v>43392</v>
      </c>
      <c r="K438" s="36">
        <v>2018</v>
      </c>
      <c r="L438" s="32">
        <f t="shared" si="18"/>
        <v>43401</v>
      </c>
      <c r="M438" s="40">
        <v>0</v>
      </c>
      <c r="N438" s="33">
        <v>170</v>
      </c>
      <c r="O438" s="34">
        <f>AVERAGEIF(L3:L1205,"&lt;2018/10/19",N3:N1205)</f>
        <v>116.18449197860963</v>
      </c>
      <c r="P438" s="38">
        <v>2</v>
      </c>
      <c r="Q438" s="38">
        <f>AVERAGEIF(L3:L1205,"&lt;2018/10/19",P3:P1205)</f>
        <v>0.36631016042780751</v>
      </c>
      <c r="R438" s="38">
        <v>1</v>
      </c>
      <c r="S438" s="38">
        <f>AVERAGEIF(L3:L1205,"&lt;2018/10/19",R3:R1205)</f>
        <v>1.2352941176470589</v>
      </c>
      <c r="T438" s="38">
        <v>9</v>
      </c>
      <c r="U438" s="38">
        <f>AVERAGEIF(L3:L1205,"&lt;2018/10/19",T3:T1205)</f>
        <v>7.4465240641711228</v>
      </c>
      <c r="V438" s="24">
        <v>767</v>
      </c>
      <c r="W438" s="47" t="s">
        <v>4521</v>
      </c>
    </row>
    <row r="439" spans="1:23">
      <c r="A439" s="23">
        <v>2</v>
      </c>
      <c r="B439" s="23">
        <v>6</v>
      </c>
      <c r="C439" s="18">
        <v>4</v>
      </c>
      <c r="D439" s="18">
        <v>6</v>
      </c>
      <c r="E439" s="20">
        <v>161</v>
      </c>
      <c r="F439" s="21">
        <f t="shared" si="19"/>
        <v>107.56919060052219</v>
      </c>
      <c r="G439" s="22">
        <v>0.37505811102526199</v>
      </c>
      <c r="H439" s="18">
        <v>1</v>
      </c>
      <c r="I439" s="18">
        <f t="shared" si="20"/>
        <v>0</v>
      </c>
      <c r="J439" s="41">
        <v>43391</v>
      </c>
      <c r="K439" s="36">
        <v>2018</v>
      </c>
      <c r="L439" s="32">
        <f t="shared" si="18"/>
        <v>43391</v>
      </c>
      <c r="M439" s="40">
        <v>0</v>
      </c>
      <c r="N439" s="33">
        <v>118</v>
      </c>
      <c r="O439" s="34">
        <f>AVERAGEIF(L3:L1205,"&lt;2018/10/18",N3:N1205)</f>
        <v>116.28456375838927</v>
      </c>
      <c r="P439" s="38">
        <v>0</v>
      </c>
      <c r="Q439" s="38">
        <f>AVERAGEIF(L3:L1205,"&lt;2018/10/18",P3:P1205)</f>
        <v>0.36375838926174497</v>
      </c>
      <c r="R439" s="38">
        <v>1</v>
      </c>
      <c r="S439" s="38">
        <f>AVERAGEIF(L3:L1205,"&lt;2018/10/18",R3:R1205)</f>
        <v>1.2335570469798658</v>
      </c>
      <c r="T439" s="38">
        <v>0</v>
      </c>
      <c r="U439" s="38">
        <f>AVERAGEIF(L3:L1205,"&lt;2018/10/18",T3:T1205)</f>
        <v>7.4483221476510071</v>
      </c>
      <c r="V439" s="24">
        <v>766</v>
      </c>
      <c r="W439" s="47" t="s">
        <v>4817</v>
      </c>
    </row>
    <row r="440" spans="1:23">
      <c r="A440" s="23">
        <v>2</v>
      </c>
      <c r="B440" s="23">
        <v>6</v>
      </c>
      <c r="C440" s="18">
        <v>4</v>
      </c>
      <c r="D440" s="18">
        <v>6</v>
      </c>
      <c r="E440" s="20">
        <v>114</v>
      </c>
      <c r="F440" s="21">
        <f t="shared" si="19"/>
        <v>107.56078431372549</v>
      </c>
      <c r="G440" s="22">
        <v>0.41254887960242798</v>
      </c>
      <c r="H440" s="18">
        <v>0</v>
      </c>
      <c r="I440" s="18">
        <f t="shared" si="20"/>
        <v>1</v>
      </c>
      <c r="J440" s="41">
        <v>43391</v>
      </c>
      <c r="K440" s="36">
        <v>2018</v>
      </c>
      <c r="L440" s="32">
        <f t="shared" si="18"/>
        <v>43392</v>
      </c>
      <c r="M440" s="40">
        <v>0</v>
      </c>
      <c r="N440" s="33">
        <v>65</v>
      </c>
      <c r="O440" s="34">
        <f>AVERAGEIF(L3:L1205,"&lt;2018/10/18",N3:N1205)</f>
        <v>116.28456375838927</v>
      </c>
      <c r="P440" s="40">
        <v>0</v>
      </c>
      <c r="Q440" s="40">
        <f>AVERAGEIF(L3:L1205,"&lt;2018/10/18",P3:P1205)</f>
        <v>0.36375838926174497</v>
      </c>
      <c r="R440" s="40">
        <v>1</v>
      </c>
      <c r="S440" s="40">
        <f>AVERAGEIF(L3:L1205,"&lt;2018/10/18",R3:R1205)</f>
        <v>1.2335570469798658</v>
      </c>
      <c r="T440" s="40">
        <v>1</v>
      </c>
      <c r="U440" s="40">
        <f>AVERAGEIF(L3:L1205,"&lt;2018/10/18",T3:T1205)</f>
        <v>7.4483221476510071</v>
      </c>
      <c r="V440" s="24">
        <v>765</v>
      </c>
      <c r="W440" s="47" t="s">
        <v>4817</v>
      </c>
    </row>
    <row r="441" spans="1:23">
      <c r="A441" s="23">
        <v>2</v>
      </c>
      <c r="B441" s="23">
        <v>7</v>
      </c>
      <c r="C441" s="18">
        <v>4</v>
      </c>
      <c r="D441" s="18">
        <v>4</v>
      </c>
      <c r="E441" s="20">
        <v>76</v>
      </c>
      <c r="F441" s="21">
        <f t="shared" si="19"/>
        <v>107.6020942408377</v>
      </c>
      <c r="G441" s="22">
        <v>0.25617323578026302</v>
      </c>
      <c r="H441" s="18">
        <v>1</v>
      </c>
      <c r="I441" s="18">
        <f t="shared" si="20"/>
        <v>0</v>
      </c>
      <c r="J441" s="41">
        <v>43391</v>
      </c>
      <c r="K441" s="36">
        <v>2018</v>
      </c>
      <c r="L441" s="32">
        <f t="shared" si="18"/>
        <v>43396</v>
      </c>
      <c r="M441" s="40">
        <v>0</v>
      </c>
      <c r="N441" s="33">
        <v>64</v>
      </c>
      <c r="O441" s="34">
        <f>AVERAGEIF(L3:L1205,"&lt;2018/10/18",N3:N1205)</f>
        <v>116.28456375838927</v>
      </c>
      <c r="P441" s="38">
        <v>0</v>
      </c>
      <c r="Q441" s="38">
        <f>AVERAGEIF(L3:L1205,"&lt;2018/10/18",P3:P1205)</f>
        <v>0.36375838926174497</v>
      </c>
      <c r="R441" s="38">
        <v>1</v>
      </c>
      <c r="S441" s="38">
        <f>AVERAGEIF(L3:L1205,"&lt;2018/10/18",R3:R1205)</f>
        <v>1.2335570469798658</v>
      </c>
      <c r="T441" s="38">
        <v>5</v>
      </c>
      <c r="U441" s="38">
        <f>AVERAGEIF(L3:L1205,"&lt;2018/10/18",T3:T1205)</f>
        <v>7.4483221476510071</v>
      </c>
      <c r="V441" s="24">
        <v>764</v>
      </c>
      <c r="W441" s="47" t="s">
        <v>4621</v>
      </c>
    </row>
    <row r="442" spans="1:23">
      <c r="A442" s="23">
        <v>2</v>
      </c>
      <c r="B442" s="23">
        <v>7</v>
      </c>
      <c r="C442" s="18">
        <v>4</v>
      </c>
      <c r="D442" s="18">
        <v>4</v>
      </c>
      <c r="E442" s="20">
        <v>65</v>
      </c>
      <c r="F442" s="21">
        <f t="shared" si="19"/>
        <v>107.65792922673657</v>
      </c>
      <c r="G442" s="22">
        <v>0.37500194082694099</v>
      </c>
      <c r="H442" s="18">
        <v>1</v>
      </c>
      <c r="I442" s="18">
        <f t="shared" si="20"/>
        <v>0</v>
      </c>
      <c r="J442" s="48">
        <v>43391</v>
      </c>
      <c r="K442" s="36">
        <v>2018</v>
      </c>
      <c r="L442" s="32">
        <f t="shared" si="18"/>
        <v>43413</v>
      </c>
      <c r="M442" s="40">
        <v>0</v>
      </c>
      <c r="N442" s="33">
        <v>57</v>
      </c>
      <c r="O442" s="34">
        <f>AVERAGEIF(L3:L1205,"&lt;2018/10/18",N3:N1205)</f>
        <v>116.28456375838927</v>
      </c>
      <c r="P442" s="54">
        <v>1</v>
      </c>
      <c r="Q442" s="38">
        <f>AVERAGEIF(L3:L1205,"&lt;2018/10/18",P3:P1205)</f>
        <v>0.36375838926174497</v>
      </c>
      <c r="R442" s="38">
        <v>2</v>
      </c>
      <c r="S442" s="38">
        <f>AVERAGEIF(L3:L1205,"&lt;2018/10/18",R3:R1205)</f>
        <v>1.2335570469798658</v>
      </c>
      <c r="T442" s="54">
        <v>22</v>
      </c>
      <c r="U442" s="38">
        <f>AVERAGEIF(L3:L1205,"&lt;2018/10/18",T3:T1205)</f>
        <v>7.4483221476510071</v>
      </c>
      <c r="V442" s="24">
        <v>763</v>
      </c>
      <c r="W442" s="47" t="s">
        <v>4523</v>
      </c>
    </row>
    <row r="443" spans="1:23">
      <c r="A443" s="23">
        <v>2</v>
      </c>
      <c r="B443" s="23">
        <v>7</v>
      </c>
      <c r="C443" s="18">
        <v>4</v>
      </c>
      <c r="D443" s="18">
        <v>4</v>
      </c>
      <c r="E443" s="20">
        <v>52</v>
      </c>
      <c r="F443" s="21">
        <f t="shared" si="19"/>
        <v>107.73097112860893</v>
      </c>
      <c r="G443" s="22">
        <v>0.37500018599174301</v>
      </c>
      <c r="H443" s="18">
        <v>1</v>
      </c>
      <c r="I443" s="18">
        <f t="shared" si="20"/>
        <v>0</v>
      </c>
      <c r="J443" s="41">
        <v>43391</v>
      </c>
      <c r="K443" s="36">
        <v>2018</v>
      </c>
      <c r="L443" s="32">
        <f t="shared" si="18"/>
        <v>43397</v>
      </c>
      <c r="M443" s="40">
        <v>0</v>
      </c>
      <c r="N443" s="33">
        <v>57</v>
      </c>
      <c r="O443" s="34">
        <f>AVERAGEIF(L3:L1205,"&lt;2018/10/18",N3:N1205)</f>
        <v>116.28456375838927</v>
      </c>
      <c r="P443" s="38">
        <v>1</v>
      </c>
      <c r="Q443" s="38">
        <f>AVERAGEIF(L3:L1205,"&lt;2018/10/18",P3:P1205)</f>
        <v>0.36375838926174497</v>
      </c>
      <c r="R443" s="38">
        <v>2</v>
      </c>
      <c r="S443" s="38">
        <f>AVERAGEIF(L3:L1205,"&lt;2018/10/18",R3:R1205)</f>
        <v>1.2335570469798658</v>
      </c>
      <c r="T443" s="38">
        <v>6</v>
      </c>
      <c r="U443" s="38">
        <f>AVERAGEIF(L3:L1205,"&lt;2018/10/18",T3:T1205)</f>
        <v>7.4483221476510071</v>
      </c>
      <c r="V443" s="24">
        <v>762</v>
      </c>
      <c r="W443" s="47" t="s">
        <v>4521</v>
      </c>
    </row>
    <row r="444" spans="1:23">
      <c r="A444" s="23">
        <v>2</v>
      </c>
      <c r="B444" s="23">
        <v>17</v>
      </c>
      <c r="C444" s="18">
        <v>4</v>
      </c>
      <c r="D444" s="18">
        <v>6</v>
      </c>
      <c r="E444" s="20">
        <v>410</v>
      </c>
      <c r="F444" s="21">
        <f t="shared" si="19"/>
        <v>107.33377135348226</v>
      </c>
      <c r="G444" s="22">
        <v>0.41249999999999998</v>
      </c>
      <c r="H444" s="18">
        <v>1</v>
      </c>
      <c r="I444" s="18">
        <f t="shared" si="20"/>
        <v>0</v>
      </c>
      <c r="J444" s="41">
        <v>43391</v>
      </c>
      <c r="K444" s="36">
        <v>2018</v>
      </c>
      <c r="L444" s="32">
        <f t="shared" si="18"/>
        <v>43395</v>
      </c>
      <c r="M444" s="40">
        <v>0</v>
      </c>
      <c r="N444" s="33">
        <v>113</v>
      </c>
      <c r="O444" s="34">
        <f>AVERAGEIF(L3:L1205,"&lt;2018/10/18",N3:N1205)</f>
        <v>116.28456375838927</v>
      </c>
      <c r="P444" s="54">
        <v>0</v>
      </c>
      <c r="Q444" s="38">
        <f>AVERAGEIF(L3:L1205,"&lt;2018/10/18",P3:P1205)</f>
        <v>0.36375838926174497</v>
      </c>
      <c r="R444" s="38">
        <v>1</v>
      </c>
      <c r="S444" s="38">
        <f>AVERAGEIF(L3:L1205,"&lt;2018/10/18",R3:R1205)</f>
        <v>1.2335570469798658</v>
      </c>
      <c r="T444" s="54">
        <v>4</v>
      </c>
      <c r="U444" s="38">
        <f>AVERAGEIF(L3:L1205,"&lt;2018/10/18",T3:T1205)</f>
        <v>7.4483221476510071</v>
      </c>
      <c r="V444" s="24">
        <v>761</v>
      </c>
      <c r="W444" s="47" t="s">
        <v>4903</v>
      </c>
    </row>
    <row r="445" spans="1:23">
      <c r="A445" s="23">
        <v>2</v>
      </c>
      <c r="B445" s="23">
        <v>6</v>
      </c>
      <c r="C445" s="18">
        <v>4</v>
      </c>
      <c r="D445" s="18">
        <v>6</v>
      </c>
      <c r="E445" s="20">
        <v>60</v>
      </c>
      <c r="F445" s="21">
        <f t="shared" si="19"/>
        <v>107.39605263157895</v>
      </c>
      <c r="G445" s="22">
        <v>0.83828910221323805</v>
      </c>
      <c r="H445" s="18">
        <v>0</v>
      </c>
      <c r="I445" s="18">
        <f t="shared" si="20"/>
        <v>1</v>
      </c>
      <c r="J445" s="41">
        <v>43390</v>
      </c>
      <c r="K445" s="36">
        <v>2018</v>
      </c>
      <c r="L445" s="32">
        <f t="shared" si="18"/>
        <v>43395</v>
      </c>
      <c r="M445" s="40">
        <v>0</v>
      </c>
      <c r="N445" s="33">
        <v>87</v>
      </c>
      <c r="O445" s="34">
        <f>AVERAGEIF(L3:L1205,"&lt;2018/10/17",N3:N1205)</f>
        <v>116.42740841248303</v>
      </c>
      <c r="P445" s="38">
        <v>0</v>
      </c>
      <c r="Q445" s="38">
        <f>AVERAGEIF(L3:L1205,"&lt;2018/10/17",P3:P1205)</f>
        <v>0.36092265943012214</v>
      </c>
      <c r="R445" s="38">
        <v>1</v>
      </c>
      <c r="S445" s="38">
        <f>AVERAGEIF(L3:L1205,"&lt;2018/10/17",R3:R1205)</f>
        <v>1.2279511533242877</v>
      </c>
      <c r="T445" s="38">
        <v>5</v>
      </c>
      <c r="U445" s="38">
        <f>AVERAGEIF(L3:L1205,"&lt;2018/10/17",T3:T1205)</f>
        <v>7.4246947082767978</v>
      </c>
      <c r="V445" s="24">
        <v>760</v>
      </c>
      <c r="W445" s="47" t="s">
        <v>4624</v>
      </c>
    </row>
    <row r="446" spans="1:23">
      <c r="A446" s="23">
        <v>2</v>
      </c>
      <c r="B446" s="23">
        <v>6</v>
      </c>
      <c r="C446" s="18">
        <v>4</v>
      </c>
      <c r="D446" s="18">
        <v>4</v>
      </c>
      <c r="E446" s="20">
        <v>92</v>
      </c>
      <c r="F446" s="21">
        <f t="shared" si="19"/>
        <v>107.4163372859025</v>
      </c>
      <c r="G446" s="22">
        <v>0.38236872217794499</v>
      </c>
      <c r="H446" s="18">
        <v>1</v>
      </c>
      <c r="I446" s="18">
        <f t="shared" si="20"/>
        <v>0</v>
      </c>
      <c r="J446" s="41">
        <v>43390</v>
      </c>
      <c r="K446" s="36">
        <v>2018</v>
      </c>
      <c r="L446" s="32">
        <f t="shared" si="18"/>
        <v>43392</v>
      </c>
      <c r="M446" s="40">
        <v>0</v>
      </c>
      <c r="N446" s="33">
        <v>123</v>
      </c>
      <c r="O446" s="34">
        <f>AVERAGEIF(L3:L1205,"&lt;2018/10/17",N3:N1205)</f>
        <v>116.42740841248303</v>
      </c>
      <c r="P446" s="40">
        <v>0</v>
      </c>
      <c r="Q446" s="40">
        <f>AVERAGEIF(L3:L1205,"&lt;2018/10/17",P3:P1205)</f>
        <v>0.36092265943012214</v>
      </c>
      <c r="R446" s="40">
        <v>1</v>
      </c>
      <c r="S446" s="40">
        <f>AVERAGEIF(L3:L1205,"&lt;2018/10/17",R3:R1205)</f>
        <v>1.2279511533242877</v>
      </c>
      <c r="T446" s="40">
        <v>2</v>
      </c>
      <c r="U446" s="40">
        <f>AVERAGEIF(L3:L1205,"&lt;2018/10/17",T3:T1205)</f>
        <v>7.4246947082767978</v>
      </c>
      <c r="V446" s="24">
        <v>759</v>
      </c>
      <c r="W446" s="47" t="s">
        <v>4621</v>
      </c>
    </row>
    <row r="447" spans="1:23">
      <c r="A447" s="23">
        <v>2</v>
      </c>
      <c r="B447" s="23">
        <v>7</v>
      </c>
      <c r="C447" s="18">
        <v>4</v>
      </c>
      <c r="D447" s="18">
        <v>4</v>
      </c>
      <c r="E447" s="20">
        <v>67</v>
      </c>
      <c r="F447" s="21">
        <f t="shared" si="19"/>
        <v>107.46965699208444</v>
      </c>
      <c r="G447" s="22">
        <v>0.41455730373947303</v>
      </c>
      <c r="H447" s="18">
        <v>1</v>
      </c>
      <c r="I447" s="18">
        <f t="shared" si="20"/>
        <v>0</v>
      </c>
      <c r="J447" s="41">
        <v>43390</v>
      </c>
      <c r="K447" s="36">
        <v>2018</v>
      </c>
      <c r="L447" s="32">
        <f t="shared" si="18"/>
        <v>43397</v>
      </c>
      <c r="M447" s="40">
        <v>0</v>
      </c>
      <c r="N447" s="33">
        <v>83</v>
      </c>
      <c r="O447" s="34">
        <f>AVERAGEIF(L3:L1205,"&lt;2018/10/17",N3:N1205)</f>
        <v>116.42740841248303</v>
      </c>
      <c r="P447" s="38">
        <v>1</v>
      </c>
      <c r="Q447" s="38">
        <f>AVERAGEIF(L3:L1205,"&lt;2018/10/17",P3:P1205)</f>
        <v>0.36092265943012214</v>
      </c>
      <c r="R447" s="38">
        <v>2</v>
      </c>
      <c r="S447" s="38">
        <f>AVERAGEIF(L3:L1205,"&lt;2018/10/17",R3:R1205)</f>
        <v>1.2279511533242877</v>
      </c>
      <c r="T447" s="38">
        <v>7</v>
      </c>
      <c r="U447" s="38">
        <f>AVERAGEIF(L3:L1205,"&lt;2018/10/17",T3:T1205)</f>
        <v>7.4246947082767978</v>
      </c>
      <c r="V447" s="24">
        <v>758</v>
      </c>
      <c r="W447" s="47" t="s">
        <v>4521</v>
      </c>
    </row>
    <row r="448" spans="1:23">
      <c r="A448" s="23">
        <v>2</v>
      </c>
      <c r="B448" s="23">
        <v>13</v>
      </c>
      <c r="C448" s="18">
        <v>5</v>
      </c>
      <c r="D448" s="18">
        <v>6</v>
      </c>
      <c r="E448" s="20">
        <v>59</v>
      </c>
      <c r="F448" s="21">
        <f t="shared" si="19"/>
        <v>107.5336856010568</v>
      </c>
      <c r="G448" s="22">
        <v>0.37621839664569001</v>
      </c>
      <c r="H448" s="18">
        <v>1</v>
      </c>
      <c r="I448" s="18">
        <f t="shared" si="20"/>
        <v>0</v>
      </c>
      <c r="J448" s="41">
        <v>43390</v>
      </c>
      <c r="K448" s="36">
        <v>2018</v>
      </c>
      <c r="L448" s="32">
        <f t="shared" si="18"/>
        <v>43390</v>
      </c>
      <c r="M448" s="40">
        <v>1</v>
      </c>
      <c r="N448" s="33">
        <v>55</v>
      </c>
      <c r="O448" s="34">
        <f>AVERAGEIF(L3:L1205,"&lt;2018/10/17",N3:N1205)</f>
        <v>116.42740841248303</v>
      </c>
      <c r="P448" s="38">
        <v>0</v>
      </c>
      <c r="Q448" s="38">
        <f>AVERAGEIF(L3:L1205,"&lt;2018/10/17",P3:P1205)</f>
        <v>0.36092265943012214</v>
      </c>
      <c r="R448" s="38">
        <v>1</v>
      </c>
      <c r="S448" s="38">
        <f>AVERAGEIF(L3:L1205,"&lt;2018/10/17",R3:R1205)</f>
        <v>1.2279511533242877</v>
      </c>
      <c r="T448" s="38">
        <v>0</v>
      </c>
      <c r="U448" s="38">
        <f>AVERAGEIF(L3:L1205,"&lt;2018/10/17",T3:T1205)</f>
        <v>7.4246947082767978</v>
      </c>
      <c r="V448" s="24">
        <v>757</v>
      </c>
      <c r="W448" s="47" t="s">
        <v>4564</v>
      </c>
    </row>
    <row r="449" spans="1:23">
      <c r="A449" s="23">
        <v>2</v>
      </c>
      <c r="B449" s="23">
        <v>6</v>
      </c>
      <c r="C449" s="18">
        <v>4</v>
      </c>
      <c r="D449" s="18">
        <v>4</v>
      </c>
      <c r="E449" s="20">
        <v>74</v>
      </c>
      <c r="F449" s="21">
        <f t="shared" si="19"/>
        <v>107.57804232804233</v>
      </c>
      <c r="G449" s="22">
        <v>0.412501252777498</v>
      </c>
      <c r="H449" s="18">
        <v>1</v>
      </c>
      <c r="I449" s="18">
        <f t="shared" si="20"/>
        <v>0</v>
      </c>
      <c r="J449" s="41">
        <v>43389</v>
      </c>
      <c r="K449" s="36">
        <v>2018</v>
      </c>
      <c r="L449" s="32">
        <f t="shared" si="18"/>
        <v>43395</v>
      </c>
      <c r="M449" s="40">
        <v>0</v>
      </c>
      <c r="N449" s="33">
        <v>244</v>
      </c>
      <c r="O449" s="34">
        <f>AVERAGEIF(L3:L1205,"&lt;2018/10/16",N3:N1205)</f>
        <v>116.4008152173913</v>
      </c>
      <c r="P449" s="40">
        <v>0</v>
      </c>
      <c r="Q449" s="40">
        <f>AVERAGEIF(L3:L1205,"&lt;2018/10/16",P3:P1205)</f>
        <v>0.36141304347826086</v>
      </c>
      <c r="R449" s="40">
        <v>1</v>
      </c>
      <c r="S449" s="40">
        <f>AVERAGEIF(L3:L1205,"&lt;2018/10/16",R3:R1205)</f>
        <v>1.2282608695652173</v>
      </c>
      <c r="T449" s="40">
        <v>6</v>
      </c>
      <c r="U449" s="40">
        <f>AVERAGEIF(L3:L1205,"&lt;2018/10/16",T3:T1205)</f>
        <v>7.4239130434782608</v>
      </c>
      <c r="V449" s="24">
        <v>756</v>
      </c>
      <c r="W449" s="47" t="s">
        <v>4621</v>
      </c>
    </row>
    <row r="450" spans="1:23">
      <c r="A450" s="23">
        <v>2</v>
      </c>
      <c r="B450" s="23">
        <v>7</v>
      </c>
      <c r="C450" s="18">
        <v>4</v>
      </c>
      <c r="D450" s="18">
        <v>4</v>
      </c>
      <c r="E450" s="20">
        <v>43</v>
      </c>
      <c r="F450" s="21">
        <f t="shared" si="19"/>
        <v>107.6635761589404</v>
      </c>
      <c r="G450" s="22">
        <v>0.47523828819080499</v>
      </c>
      <c r="H450" s="18">
        <v>1</v>
      </c>
      <c r="I450" s="18">
        <f t="shared" si="20"/>
        <v>0</v>
      </c>
      <c r="J450" s="41">
        <v>43388</v>
      </c>
      <c r="K450" s="36">
        <v>2018</v>
      </c>
      <c r="L450" s="32">
        <f t="shared" si="18"/>
        <v>43395</v>
      </c>
      <c r="M450" s="40">
        <v>0</v>
      </c>
      <c r="N450" s="33">
        <v>56</v>
      </c>
      <c r="O450" s="34">
        <f>AVERAGEIF(L3:L1205,"&lt;2018/10/15",N3:N1205)</f>
        <v>116.46122448979592</v>
      </c>
      <c r="P450" s="54">
        <v>1</v>
      </c>
      <c r="Q450" s="38">
        <f>AVERAGEIF(L3:L1205,"&lt;2018/10/15",P3:P1205)</f>
        <v>0.35918367346938773</v>
      </c>
      <c r="R450" s="38">
        <v>2</v>
      </c>
      <c r="S450" s="38">
        <f>AVERAGEIF(L3:L1205,"&lt;2018/10/15",R3:R1205)</f>
        <v>1.2285714285714286</v>
      </c>
      <c r="T450" s="54">
        <v>7</v>
      </c>
      <c r="U450" s="38">
        <f>AVERAGEIF(L3:L1205,"&lt;2018/10/15",T3:T1205)</f>
        <v>7.4068027210884351</v>
      </c>
      <c r="V450" s="24">
        <v>755</v>
      </c>
      <c r="W450" s="47" t="s">
        <v>4523</v>
      </c>
    </row>
    <row r="451" spans="1:23">
      <c r="A451" s="23">
        <v>2</v>
      </c>
      <c r="B451" s="23">
        <v>7</v>
      </c>
      <c r="C451" s="18">
        <v>4</v>
      </c>
      <c r="D451" s="18">
        <v>4</v>
      </c>
      <c r="E451" s="20">
        <v>76</v>
      </c>
      <c r="F451" s="21">
        <f t="shared" si="19"/>
        <v>107.70557029177719</v>
      </c>
      <c r="G451" s="22">
        <v>0.44106706222511699</v>
      </c>
      <c r="H451" s="18">
        <v>1</v>
      </c>
      <c r="I451" s="18">
        <f t="shared" si="20"/>
        <v>0</v>
      </c>
      <c r="J451" s="41">
        <v>43388</v>
      </c>
      <c r="K451" s="36">
        <v>2018</v>
      </c>
      <c r="L451" s="32">
        <f t="shared" ref="L451:L514" si="21">J451+T451</f>
        <v>43395</v>
      </c>
      <c r="M451" s="40">
        <v>0</v>
      </c>
      <c r="N451" s="33">
        <v>82</v>
      </c>
      <c r="O451" s="34">
        <f>AVERAGEIF(L3:L1205,"&lt;2018/10/15",N3:N1205)</f>
        <v>116.46122448979592</v>
      </c>
      <c r="P451" s="38">
        <v>1</v>
      </c>
      <c r="Q451" s="38">
        <f>AVERAGEIF(L3:L1205,"&lt;2018/10/15",P3:P1205)</f>
        <v>0.35918367346938773</v>
      </c>
      <c r="R451" s="38">
        <v>2</v>
      </c>
      <c r="S451" s="38">
        <f>AVERAGEIF(L3:L1205,"&lt;2018/10/15",R3:R1205)</f>
        <v>1.2285714285714286</v>
      </c>
      <c r="T451" s="38">
        <v>7</v>
      </c>
      <c r="U451" s="38">
        <f>AVERAGEIF(L3:L1205,"&lt;2018/10/15",T3:T1205)</f>
        <v>7.4068027210884351</v>
      </c>
      <c r="V451" s="24">
        <v>754</v>
      </c>
      <c r="W451" s="47" t="s">
        <v>4521</v>
      </c>
    </row>
    <row r="452" spans="1:23">
      <c r="A452" s="23">
        <v>2</v>
      </c>
      <c r="B452" s="23">
        <v>7</v>
      </c>
      <c r="C452" s="18">
        <v>4</v>
      </c>
      <c r="D452" s="18">
        <v>4</v>
      </c>
      <c r="E452" s="20">
        <v>54</v>
      </c>
      <c r="F452" s="21">
        <f t="shared" ref="F452:F515" si="22">AVERAGE(E453:E1654)</f>
        <v>107.77689243027888</v>
      </c>
      <c r="G452" s="22">
        <v>0.42956287871201199</v>
      </c>
      <c r="H452" s="18">
        <v>1</v>
      </c>
      <c r="I452" s="18">
        <f t="shared" ref="I452:I515" si="23">IF(H452=1,0,1)</f>
        <v>0</v>
      </c>
      <c r="J452" s="41">
        <v>43388</v>
      </c>
      <c r="K452" s="36">
        <v>2018</v>
      </c>
      <c r="L452" s="32">
        <f t="shared" si="21"/>
        <v>43399</v>
      </c>
      <c r="M452" s="40">
        <v>0</v>
      </c>
      <c r="N452" s="33">
        <v>124</v>
      </c>
      <c r="O452" s="34">
        <f>AVERAGEIF(L3:L1205,"&lt;2018/10/15",N3:N1205)</f>
        <v>116.46122448979592</v>
      </c>
      <c r="P452" s="38">
        <v>2</v>
      </c>
      <c r="Q452" s="38">
        <f>AVERAGEIF(L3:L1205,"&lt;2018/10/15",P3:P1205)</f>
        <v>0.35918367346938773</v>
      </c>
      <c r="R452" s="38">
        <v>2</v>
      </c>
      <c r="S452" s="38">
        <f>AVERAGEIF(L3:L1205,"&lt;2018/10/15",R3:R1205)</f>
        <v>1.2285714285714286</v>
      </c>
      <c r="T452" s="38">
        <v>11</v>
      </c>
      <c r="U452" s="38">
        <f>AVERAGEIF(L3:L1205,"&lt;2018/10/15",T3:T1205)</f>
        <v>7.4068027210884351</v>
      </c>
      <c r="V452" s="24">
        <v>753</v>
      </c>
      <c r="W452" s="47" t="s">
        <v>4521</v>
      </c>
    </row>
    <row r="453" spans="1:23">
      <c r="A453" s="23">
        <v>2</v>
      </c>
      <c r="B453" s="23">
        <v>7</v>
      </c>
      <c r="C453" s="18">
        <v>4</v>
      </c>
      <c r="D453" s="18">
        <v>4</v>
      </c>
      <c r="E453" s="20">
        <v>70</v>
      </c>
      <c r="F453" s="21">
        <f t="shared" si="22"/>
        <v>107.82712765957447</v>
      </c>
      <c r="G453" s="22">
        <v>0.211728173078605</v>
      </c>
      <c r="H453" s="18">
        <v>1</v>
      </c>
      <c r="I453" s="18">
        <f t="shared" si="23"/>
        <v>0</v>
      </c>
      <c r="J453" s="41">
        <v>43388</v>
      </c>
      <c r="K453" s="36">
        <v>2018</v>
      </c>
      <c r="L453" s="32">
        <f t="shared" si="21"/>
        <v>43405</v>
      </c>
      <c r="M453" s="40">
        <v>0</v>
      </c>
      <c r="N453" s="33">
        <v>89</v>
      </c>
      <c r="O453" s="34">
        <f>AVERAGEIF(L3:L1205,"&lt;2018/10/15",N3:N1205)</f>
        <v>116.46122448979592</v>
      </c>
      <c r="P453" s="54">
        <v>1</v>
      </c>
      <c r="Q453" s="38">
        <f>AVERAGEIF(L3:L1205,"&lt;2018/10/15",P3:P1205)</f>
        <v>0.35918367346938773</v>
      </c>
      <c r="R453" s="38">
        <v>1</v>
      </c>
      <c r="S453" s="38">
        <f>AVERAGEIF(L3:L1205,"&lt;2018/10/15",R3:R1205)</f>
        <v>1.2285714285714286</v>
      </c>
      <c r="T453" s="54">
        <v>17</v>
      </c>
      <c r="U453" s="38">
        <f>AVERAGEIF(L3:L1205,"&lt;2018/10/15",T3:T1205)</f>
        <v>7.4068027210884351</v>
      </c>
      <c r="V453" s="24">
        <v>752</v>
      </c>
      <c r="W453" s="47" t="s">
        <v>4550</v>
      </c>
    </row>
    <row r="454" spans="1:23">
      <c r="A454" s="23">
        <v>2</v>
      </c>
      <c r="B454" s="23">
        <v>7</v>
      </c>
      <c r="C454" s="18">
        <v>4</v>
      </c>
      <c r="D454" s="18">
        <v>4</v>
      </c>
      <c r="E454" s="20">
        <v>64</v>
      </c>
      <c r="F454" s="21">
        <f t="shared" si="22"/>
        <v>107.88548601864181</v>
      </c>
      <c r="G454" s="22">
        <v>0.41254246604212302</v>
      </c>
      <c r="H454" s="18">
        <v>1</v>
      </c>
      <c r="I454" s="18">
        <f t="shared" si="23"/>
        <v>0</v>
      </c>
      <c r="J454" s="41">
        <v>43388</v>
      </c>
      <c r="K454" s="36">
        <v>2018</v>
      </c>
      <c r="L454" s="32">
        <f t="shared" si="21"/>
        <v>43396</v>
      </c>
      <c r="M454" s="40">
        <v>0</v>
      </c>
      <c r="N454" s="33">
        <v>124</v>
      </c>
      <c r="O454" s="34">
        <f>AVERAGEIF(L3:L1205,"&lt;2018/10/15",N3:N1205)</f>
        <v>116.46122448979592</v>
      </c>
      <c r="P454" s="38">
        <v>1</v>
      </c>
      <c r="Q454" s="38">
        <f>AVERAGEIF(L3:L1205,"&lt;2018/10/15",P3:P1205)</f>
        <v>0.35918367346938773</v>
      </c>
      <c r="R454" s="38">
        <v>2</v>
      </c>
      <c r="S454" s="38">
        <f>AVERAGEIF(L3:L1205,"&lt;2018/10/15",R3:R1205)</f>
        <v>1.2285714285714286</v>
      </c>
      <c r="T454" s="38">
        <v>8</v>
      </c>
      <c r="U454" s="38">
        <f>AVERAGEIF(L3:L1205,"&lt;2018/10/15",T3:T1205)</f>
        <v>7.4068027210884351</v>
      </c>
      <c r="V454" s="24">
        <v>751</v>
      </c>
      <c r="W454" s="47" t="s">
        <v>4903</v>
      </c>
    </row>
    <row r="455" spans="1:23">
      <c r="A455" s="23">
        <v>2</v>
      </c>
      <c r="B455" s="23">
        <v>7</v>
      </c>
      <c r="C455" s="18">
        <v>4</v>
      </c>
      <c r="D455" s="18">
        <v>4</v>
      </c>
      <c r="E455" s="20">
        <v>49</v>
      </c>
      <c r="F455" s="21">
        <f t="shared" si="22"/>
        <v>107.964</v>
      </c>
      <c r="G455" s="22">
        <v>0.30995406139112203</v>
      </c>
      <c r="H455" s="18">
        <v>1</v>
      </c>
      <c r="I455" s="18">
        <f t="shared" si="23"/>
        <v>0</v>
      </c>
      <c r="J455" s="41">
        <v>43388</v>
      </c>
      <c r="K455" s="36">
        <v>2018</v>
      </c>
      <c r="L455" s="32">
        <f t="shared" si="21"/>
        <v>43395</v>
      </c>
      <c r="M455" s="40">
        <v>0</v>
      </c>
      <c r="N455" s="33">
        <v>205</v>
      </c>
      <c r="O455" s="34">
        <f>AVERAGEIF(L3:L1205,"&lt;2018/10/15",N3:N1205)</f>
        <v>116.46122448979592</v>
      </c>
      <c r="P455" s="40">
        <v>2</v>
      </c>
      <c r="Q455" s="40">
        <f>AVERAGEIF(L3:L1205,"&lt;2018/10/15",P3:P1205)</f>
        <v>0.35918367346938773</v>
      </c>
      <c r="R455" s="40">
        <v>2</v>
      </c>
      <c r="S455" s="40">
        <f>AVERAGEIF(L3:L1205,"&lt;2018/10/15",R3:R1205)</f>
        <v>1.2285714285714286</v>
      </c>
      <c r="T455" s="40">
        <v>7</v>
      </c>
      <c r="U455" s="40">
        <f>AVERAGEIF(L3:L1205,"&lt;2018/10/15",T3:T1205)</f>
        <v>7.4068027210884351</v>
      </c>
      <c r="V455" s="24">
        <v>750</v>
      </c>
      <c r="W455" s="47" t="s">
        <v>4550</v>
      </c>
    </row>
    <row r="456" spans="1:23">
      <c r="A456" s="23">
        <v>2</v>
      </c>
      <c r="B456" s="23">
        <v>7</v>
      </c>
      <c r="C456" s="18">
        <v>4</v>
      </c>
      <c r="D456" s="18">
        <v>6</v>
      </c>
      <c r="E456" s="20">
        <v>449</v>
      </c>
      <c r="F456" s="21">
        <f t="shared" si="22"/>
        <v>107.5086782376502</v>
      </c>
      <c r="G456" s="22">
        <v>0.41250013748810599</v>
      </c>
      <c r="H456" s="18">
        <v>1</v>
      </c>
      <c r="I456" s="18">
        <f t="shared" si="23"/>
        <v>0</v>
      </c>
      <c r="J456" s="41">
        <v>43388</v>
      </c>
      <c r="K456" s="36">
        <v>2018</v>
      </c>
      <c r="L456" s="32">
        <f t="shared" si="21"/>
        <v>43405</v>
      </c>
      <c r="M456" s="24">
        <v>0</v>
      </c>
      <c r="N456" s="33">
        <v>94</v>
      </c>
      <c r="O456" s="34">
        <f>AVERAGEIF(L3:L1205,"&lt;2018/10/15",N3:N1205)</f>
        <v>116.46122448979592</v>
      </c>
      <c r="P456" s="54">
        <v>1</v>
      </c>
      <c r="Q456" s="38">
        <f>AVERAGEIF(L3:L1205,"&lt;2018/10/15",P3:P1205)</f>
        <v>0.35918367346938773</v>
      </c>
      <c r="R456" s="38">
        <v>1</v>
      </c>
      <c r="S456" s="38">
        <f>AVERAGEIF(L3:L1205,"&lt;2018/10/15",R3:R1205)</f>
        <v>1.2285714285714286</v>
      </c>
      <c r="T456" s="54">
        <v>17</v>
      </c>
      <c r="U456" s="38">
        <f>AVERAGEIF(L3:L1205,"&lt;2018/10/15",T3:T1205)</f>
        <v>7.4068027210884351</v>
      </c>
      <c r="V456" s="24">
        <v>749</v>
      </c>
      <c r="W456" s="47" t="s">
        <v>4911</v>
      </c>
    </row>
    <row r="457" spans="1:23">
      <c r="A457" s="23">
        <v>3</v>
      </c>
      <c r="B457" s="23">
        <v>26</v>
      </c>
      <c r="C457" s="18">
        <v>4</v>
      </c>
      <c r="D457" s="18">
        <v>6</v>
      </c>
      <c r="E457" s="20">
        <v>76</v>
      </c>
      <c r="F457" s="21">
        <f t="shared" si="22"/>
        <v>107.55080213903743</v>
      </c>
      <c r="G457" s="22">
        <v>0.41250011385639601</v>
      </c>
      <c r="H457" s="3">
        <v>1</v>
      </c>
      <c r="I457" s="18">
        <f t="shared" si="23"/>
        <v>0</v>
      </c>
      <c r="J457" s="41">
        <v>43388</v>
      </c>
      <c r="K457" s="36">
        <v>2018</v>
      </c>
      <c r="L457" s="32">
        <f t="shared" si="21"/>
        <v>43390</v>
      </c>
      <c r="M457" s="40">
        <v>0</v>
      </c>
      <c r="N457" s="33">
        <v>198</v>
      </c>
      <c r="O457" s="34">
        <f>AVERAGEIF(L3:L1205,"&lt;2018/10/15",N3:N1205)</f>
        <v>116.46122448979592</v>
      </c>
      <c r="P457" s="38">
        <v>0</v>
      </c>
      <c r="Q457" s="38">
        <f>AVERAGEIF(L3:L1205,"&lt;2018/10/15",P3:P1205)</f>
        <v>0.35918367346938773</v>
      </c>
      <c r="R457" s="38">
        <v>1</v>
      </c>
      <c r="S457" s="38">
        <f>AVERAGEIF(L3:L1205,"&lt;2018/10/15",R3:R1205)</f>
        <v>1.2285714285714286</v>
      </c>
      <c r="T457" s="38">
        <v>2</v>
      </c>
      <c r="U457" s="38">
        <f>AVERAGEIF(L3:L1205,"&lt;2018/10/15",T3:T1205)</f>
        <v>7.4068027210884351</v>
      </c>
      <c r="V457" s="24">
        <v>748</v>
      </c>
      <c r="W457" s="47" t="s">
        <v>4626</v>
      </c>
    </row>
    <row r="458" spans="1:23">
      <c r="A458" s="23">
        <v>4</v>
      </c>
      <c r="B458" s="23">
        <v>30</v>
      </c>
      <c r="C458" s="18">
        <v>4</v>
      </c>
      <c r="D458" s="18">
        <v>4</v>
      </c>
      <c r="E458" s="20">
        <v>53</v>
      </c>
      <c r="F458" s="21">
        <f t="shared" si="22"/>
        <v>107.62382864792504</v>
      </c>
      <c r="G458" s="22">
        <v>0.41250001341180498</v>
      </c>
      <c r="H458" s="18">
        <v>1</v>
      </c>
      <c r="I458" s="18">
        <f t="shared" si="23"/>
        <v>0</v>
      </c>
      <c r="J458" s="45">
        <v>43388</v>
      </c>
      <c r="K458" s="36">
        <v>2018</v>
      </c>
      <c r="L458" s="32">
        <f t="shared" si="21"/>
        <v>43390</v>
      </c>
      <c r="M458" s="42">
        <v>0</v>
      </c>
      <c r="N458" s="33">
        <v>115</v>
      </c>
      <c r="O458" s="34">
        <f>AVERAGEIF(L3:L1205,"&lt;2018/10/15",N3:N1205)</f>
        <v>116.46122448979592</v>
      </c>
      <c r="P458" s="38">
        <v>0</v>
      </c>
      <c r="Q458" s="38">
        <f>AVERAGEIF(L3:L1205,"&lt;2018/10/15",P3:P1205)</f>
        <v>0.35918367346938773</v>
      </c>
      <c r="R458" s="38">
        <v>1</v>
      </c>
      <c r="S458" s="38">
        <f>AVERAGEIF(L3:L1205,"&lt;2018/10/15",R3:R1205)</f>
        <v>1.2285714285714286</v>
      </c>
      <c r="T458" s="38">
        <v>2</v>
      </c>
      <c r="U458" s="38">
        <f>AVERAGEIF(L3:L1205,"&lt;2018/10/15",T3:T1205)</f>
        <v>7.4068027210884351</v>
      </c>
      <c r="V458" s="24">
        <v>747</v>
      </c>
      <c r="W458" s="47" t="s">
        <v>4523</v>
      </c>
    </row>
    <row r="459" spans="1:23">
      <c r="A459" s="23">
        <v>2</v>
      </c>
      <c r="B459" s="23">
        <v>6</v>
      </c>
      <c r="C459" s="18">
        <v>4</v>
      </c>
      <c r="D459" s="18">
        <v>4</v>
      </c>
      <c r="E459" s="20">
        <v>68</v>
      </c>
      <c r="F459" s="21">
        <f t="shared" si="22"/>
        <v>107.67694369973191</v>
      </c>
      <c r="G459" s="22">
        <v>0.28176637703345297</v>
      </c>
      <c r="H459" s="18">
        <v>1</v>
      </c>
      <c r="I459" s="18">
        <f t="shared" si="23"/>
        <v>0</v>
      </c>
      <c r="J459" s="41">
        <v>43387</v>
      </c>
      <c r="K459" s="36">
        <v>2018</v>
      </c>
      <c r="L459" s="32">
        <f t="shared" si="21"/>
        <v>43390</v>
      </c>
      <c r="M459" s="40">
        <v>0</v>
      </c>
      <c r="N459" s="33">
        <v>54</v>
      </c>
      <c r="O459" s="34">
        <f>AVERAGEIF(L3:L1205,"&lt;2018/10/14",N3:N1205)</f>
        <v>116.46122448979592</v>
      </c>
      <c r="P459" s="38">
        <v>0</v>
      </c>
      <c r="Q459" s="38">
        <f>AVERAGEIF(L3:L1205,"&lt;2018/10/14",P3:P1205)</f>
        <v>0.35918367346938773</v>
      </c>
      <c r="R459" s="38">
        <v>1</v>
      </c>
      <c r="S459" s="38">
        <f>AVERAGEIF(L3:L1205,"&lt;2018/10/14",R3:R1205)</f>
        <v>1.2285714285714286</v>
      </c>
      <c r="T459" s="38">
        <v>3</v>
      </c>
      <c r="U459" s="38">
        <f>AVERAGEIF(L3:L1205,"&lt;2018/10/14",T3:T1205)</f>
        <v>7.4068027210884351</v>
      </c>
      <c r="V459" s="24">
        <v>746</v>
      </c>
      <c r="W459" s="47" t="s">
        <v>4550</v>
      </c>
    </row>
    <row r="460" spans="1:23">
      <c r="A460" s="23">
        <v>2</v>
      </c>
      <c r="B460" s="23">
        <v>7</v>
      </c>
      <c r="C460" s="18">
        <v>4</v>
      </c>
      <c r="D460" s="18">
        <v>4</v>
      </c>
      <c r="E460" s="20">
        <v>62</v>
      </c>
      <c r="F460" s="21">
        <f t="shared" si="22"/>
        <v>107.73825503355705</v>
      </c>
      <c r="G460" s="22">
        <v>0.81427588719495603</v>
      </c>
      <c r="H460" s="18">
        <v>1</v>
      </c>
      <c r="I460" s="18">
        <f t="shared" si="23"/>
        <v>0</v>
      </c>
      <c r="J460" s="41">
        <v>43386</v>
      </c>
      <c r="K460" s="36">
        <v>2018</v>
      </c>
      <c r="L460" s="32">
        <f t="shared" si="21"/>
        <v>43391</v>
      </c>
      <c r="M460" s="40">
        <v>0</v>
      </c>
      <c r="N460" s="33">
        <v>122</v>
      </c>
      <c r="O460" s="34">
        <f>AVERAGEIF(L3:L1205,"&lt;2018/10/13",N3:N1205)</f>
        <v>116.46122448979592</v>
      </c>
      <c r="P460" s="38">
        <v>1</v>
      </c>
      <c r="Q460" s="38">
        <f>AVERAGEIF(L3:L1205,"&lt;2018/10/13",P3:P1205)</f>
        <v>0.35918367346938773</v>
      </c>
      <c r="R460" s="38">
        <v>2</v>
      </c>
      <c r="S460" s="38">
        <f>AVERAGEIF(L3:L1205,"&lt;2018/10/13",R3:R1205)</f>
        <v>1.2285714285714286</v>
      </c>
      <c r="T460" s="38">
        <v>5</v>
      </c>
      <c r="U460" s="38">
        <f>AVERAGEIF(L3:L1205,"&lt;2018/10/13",T3:T1205)</f>
        <v>7.4068027210884351</v>
      </c>
      <c r="V460" s="24">
        <v>745</v>
      </c>
      <c r="W460" s="47" t="s">
        <v>4521</v>
      </c>
    </row>
    <row r="461" spans="1:23">
      <c r="A461" s="23">
        <v>2</v>
      </c>
      <c r="B461" s="23">
        <v>7</v>
      </c>
      <c r="C461" s="18">
        <v>4</v>
      </c>
      <c r="D461" s="18">
        <v>4</v>
      </c>
      <c r="E461" s="20">
        <v>75</v>
      </c>
      <c r="F461" s="21">
        <f t="shared" si="22"/>
        <v>107.78225806451613</v>
      </c>
      <c r="G461" s="22">
        <v>0.413108454056345</v>
      </c>
      <c r="H461" s="18">
        <v>1</v>
      </c>
      <c r="I461" s="18">
        <f t="shared" si="23"/>
        <v>0</v>
      </c>
      <c r="J461" s="41">
        <v>43385</v>
      </c>
      <c r="K461" s="36">
        <v>2018</v>
      </c>
      <c r="L461" s="32">
        <f t="shared" si="21"/>
        <v>43390</v>
      </c>
      <c r="M461" s="40">
        <v>0</v>
      </c>
      <c r="N461" s="33">
        <v>122</v>
      </c>
      <c r="O461" s="34">
        <f>AVERAGEIF(L3:L1205,"&lt;2018/10/12",N3:N1205)</f>
        <v>116.46122448979592</v>
      </c>
      <c r="P461" s="54">
        <v>1</v>
      </c>
      <c r="Q461" s="38">
        <f>AVERAGEIF(L3:L1205,"&lt;2018/10/12",P3:P1205)</f>
        <v>0.35918367346938773</v>
      </c>
      <c r="R461" s="38">
        <v>2</v>
      </c>
      <c r="S461" s="38">
        <f>AVERAGEIF(L3:L1205,"&lt;2018/10/12",R3:R1205)</f>
        <v>1.2285714285714286</v>
      </c>
      <c r="T461" s="54">
        <v>5</v>
      </c>
      <c r="U461" s="38">
        <f>AVERAGEIF(L3:L1205,"&lt;2018/10/12",T3:T1205)</f>
        <v>7.4068027210884351</v>
      </c>
      <c r="V461" s="24">
        <v>744</v>
      </c>
      <c r="W461" s="47" t="s">
        <v>4521</v>
      </c>
    </row>
    <row r="462" spans="1:23">
      <c r="A462" s="23">
        <v>2</v>
      </c>
      <c r="B462" s="23">
        <v>7</v>
      </c>
      <c r="C462" s="18">
        <v>4</v>
      </c>
      <c r="D462" s="18">
        <v>6</v>
      </c>
      <c r="E462" s="20">
        <v>204</v>
      </c>
      <c r="F462" s="21">
        <f t="shared" si="22"/>
        <v>107.65275908479138</v>
      </c>
      <c r="G462" s="22">
        <v>0.41249999999999998</v>
      </c>
      <c r="H462" s="18">
        <v>1</v>
      </c>
      <c r="I462" s="18">
        <f t="shared" si="23"/>
        <v>0</v>
      </c>
      <c r="J462" s="41">
        <v>43385</v>
      </c>
      <c r="K462" s="36">
        <v>2018</v>
      </c>
      <c r="L462" s="32">
        <f t="shared" si="21"/>
        <v>43395</v>
      </c>
      <c r="M462" s="24">
        <v>0</v>
      </c>
      <c r="N462" s="33">
        <v>77</v>
      </c>
      <c r="O462" s="34">
        <f>AVERAGEIF(L3:L1205,"&lt;2018/10/12",N3:N1205)</f>
        <v>116.46122448979592</v>
      </c>
      <c r="P462" s="38">
        <v>0</v>
      </c>
      <c r="Q462" s="38">
        <f>AVERAGEIF(L3:L1205,"&lt;2018/10/11",P3:P1205)</f>
        <v>0.35928961748633881</v>
      </c>
      <c r="R462" s="38">
        <v>2</v>
      </c>
      <c r="S462" s="38">
        <f>AVERAGEIF(L3:L1205,"&lt;2018/10/12",R3:R1205)</f>
        <v>1.2285714285714286</v>
      </c>
      <c r="T462" s="38">
        <v>10</v>
      </c>
      <c r="U462" s="38">
        <f>AVERAGEIF(L3:L1205,"&lt;2018/10/12",T3:T1205)</f>
        <v>7.4068027210884351</v>
      </c>
      <c r="V462" s="24">
        <v>743</v>
      </c>
      <c r="W462" s="47" t="s">
        <v>4915</v>
      </c>
    </row>
    <row r="463" spans="1:23">
      <c r="A463" s="23">
        <v>2</v>
      </c>
      <c r="B463" s="23">
        <v>6</v>
      </c>
      <c r="C463" s="18">
        <v>4</v>
      </c>
      <c r="D463" s="18">
        <v>4</v>
      </c>
      <c r="E463" s="20">
        <v>47</v>
      </c>
      <c r="F463" s="21">
        <f t="shared" si="22"/>
        <v>107.7345013477089</v>
      </c>
      <c r="G463" s="22">
        <v>0.40163432789833298</v>
      </c>
      <c r="H463" s="18">
        <v>1</v>
      </c>
      <c r="I463" s="18">
        <f t="shared" si="23"/>
        <v>0</v>
      </c>
      <c r="J463" s="41">
        <v>43384</v>
      </c>
      <c r="K463" s="36">
        <v>2018</v>
      </c>
      <c r="L463" s="32">
        <f t="shared" si="21"/>
        <v>43390</v>
      </c>
      <c r="M463" s="40">
        <v>0</v>
      </c>
      <c r="N463" s="33">
        <v>48</v>
      </c>
      <c r="O463" s="34">
        <f>AVERAGEIF(L3:L1205,"&lt;2018/10/11",N3:N1205)</f>
        <v>116.58879781420765</v>
      </c>
      <c r="P463" s="38">
        <v>0</v>
      </c>
      <c r="Q463" s="38">
        <f>AVERAGEIF(L3:L1205,"&lt;2018/10/11",P3:P1205)</f>
        <v>0.35928961748633881</v>
      </c>
      <c r="R463" s="38">
        <v>2</v>
      </c>
      <c r="S463" s="38">
        <f>AVERAGEIF(L3:L1205,"&lt;2018/10/11",R3:R1205)</f>
        <v>1.2295081967213115</v>
      </c>
      <c r="T463" s="38">
        <v>6</v>
      </c>
      <c r="U463" s="38">
        <f>AVERAGEIF(L3:L1205,"&lt;2018/10/11",T3:T1205)</f>
        <v>7.4030054644808745</v>
      </c>
      <c r="V463" s="24">
        <v>742</v>
      </c>
      <c r="W463" s="47" t="s">
        <v>4610</v>
      </c>
    </row>
    <row r="464" spans="1:23">
      <c r="A464" s="17">
        <v>1</v>
      </c>
      <c r="B464" s="17">
        <v>1</v>
      </c>
      <c r="C464" s="18">
        <v>4</v>
      </c>
      <c r="D464" s="18">
        <v>6</v>
      </c>
      <c r="E464" s="20">
        <v>366</v>
      </c>
      <c r="F464" s="21">
        <f t="shared" si="22"/>
        <v>107.3859649122807</v>
      </c>
      <c r="G464" s="22">
        <v>0.85804495014586901</v>
      </c>
      <c r="H464" s="18">
        <v>0</v>
      </c>
      <c r="I464" s="18">
        <f t="shared" si="23"/>
        <v>1</v>
      </c>
      <c r="J464" s="41">
        <v>43383</v>
      </c>
      <c r="K464" s="36">
        <v>2018</v>
      </c>
      <c r="L464" s="32">
        <f t="shared" si="21"/>
        <v>43399</v>
      </c>
      <c r="M464" s="24">
        <v>1</v>
      </c>
      <c r="N464" s="33">
        <v>34</v>
      </c>
      <c r="O464" s="34">
        <f>AVERAGEIF(L3:L1205,"&lt;2018/10/10",N3:N1205)</f>
        <v>116.72565157750343</v>
      </c>
      <c r="P464" s="24">
        <v>1</v>
      </c>
      <c r="Q464" s="24">
        <f>AVERAGEIF(L3:L1205,"&lt;2018/10/10",P3:P1205)</f>
        <v>0.35802469135802467</v>
      </c>
      <c r="R464" s="24">
        <v>1</v>
      </c>
      <c r="S464" s="24">
        <f>AVERAGEIF(L3:L1205,"&lt;2018/10/10",R3:R1205)</f>
        <v>1.2304526748971194</v>
      </c>
      <c r="T464" s="24">
        <v>16</v>
      </c>
      <c r="U464" s="24">
        <f>AVERAGEIF(L3:L1205,"&lt;2018/10/10",T3:T1205)</f>
        <v>7.4224965706447188</v>
      </c>
      <c r="V464" s="24">
        <v>741</v>
      </c>
      <c r="W464" s="47" t="s">
        <v>4550</v>
      </c>
    </row>
    <row r="465" spans="1:23">
      <c r="A465" s="23">
        <v>4</v>
      </c>
      <c r="B465" s="23">
        <v>29</v>
      </c>
      <c r="C465" s="18">
        <v>4</v>
      </c>
      <c r="D465" s="18">
        <v>4</v>
      </c>
      <c r="E465" s="20">
        <v>77</v>
      </c>
      <c r="F465" s="21">
        <f t="shared" si="22"/>
        <v>107.42702702702702</v>
      </c>
      <c r="G465" s="22">
        <v>0.34329095840583301</v>
      </c>
      <c r="H465" s="18">
        <v>1</v>
      </c>
      <c r="I465" s="18">
        <f t="shared" si="23"/>
        <v>0</v>
      </c>
      <c r="J465" s="45">
        <v>43383</v>
      </c>
      <c r="K465" s="36">
        <v>2018</v>
      </c>
      <c r="L465" s="32">
        <f t="shared" si="21"/>
        <v>43399</v>
      </c>
      <c r="M465" s="42">
        <v>0</v>
      </c>
      <c r="N465" s="33">
        <v>28</v>
      </c>
      <c r="O465" s="34">
        <f>AVERAGEIF(L3:L1205,"&lt;2018/10/10",N3:N1205)</f>
        <v>116.72565157750343</v>
      </c>
      <c r="P465" s="38">
        <v>1</v>
      </c>
      <c r="Q465" s="38">
        <f>AVERAGEIF(L3:L1205,"&lt;2018/10/10",P3:P1205)</f>
        <v>0.35802469135802467</v>
      </c>
      <c r="R465" s="38">
        <v>1</v>
      </c>
      <c r="S465" s="38">
        <f>AVERAGEIF(L3:L1205,"&lt;2018/10/10",R3:R1205)</f>
        <v>1.2304526748971194</v>
      </c>
      <c r="T465" s="38">
        <v>16</v>
      </c>
      <c r="U465" s="38">
        <f>AVERAGEIF(L3:L1205,"&lt;2018/10/10",T3:T1205)</f>
        <v>7.4224965706447188</v>
      </c>
      <c r="V465" s="24">
        <v>740</v>
      </c>
      <c r="W465" s="47" t="s">
        <v>4521</v>
      </c>
    </row>
    <row r="466" spans="1:23">
      <c r="A466" s="23">
        <v>2</v>
      </c>
      <c r="B466" s="23">
        <v>5</v>
      </c>
      <c r="C466" s="18">
        <v>1</v>
      </c>
      <c r="D466" s="18">
        <v>6</v>
      </c>
      <c r="E466" s="20">
        <v>53</v>
      </c>
      <c r="F466" s="21">
        <f t="shared" si="22"/>
        <v>107.50067658998647</v>
      </c>
      <c r="G466" s="22">
        <v>0.56774486975858196</v>
      </c>
      <c r="H466" s="18">
        <v>1</v>
      </c>
      <c r="I466" s="18">
        <f t="shared" si="23"/>
        <v>0</v>
      </c>
      <c r="J466" s="41">
        <v>43382</v>
      </c>
      <c r="K466" s="36">
        <v>2018</v>
      </c>
      <c r="L466" s="32">
        <f t="shared" si="21"/>
        <v>43384</v>
      </c>
      <c r="M466" s="40">
        <v>1</v>
      </c>
      <c r="N466" s="33">
        <v>61</v>
      </c>
      <c r="O466" s="34">
        <f>AVERAGEIF(L3:L1205,"&lt;2018/10/9",N3:N1205)</f>
        <v>117.05939226519337</v>
      </c>
      <c r="P466" s="38">
        <v>1</v>
      </c>
      <c r="Q466" s="38">
        <f>AVERAGEIF(L3:L1205,"&lt;2018/10/9",P3:P1205)</f>
        <v>0.35911602209944754</v>
      </c>
      <c r="R466" s="38">
        <v>1</v>
      </c>
      <c r="S466" s="38">
        <f>AVERAGEIF(L3:L1205,"&lt;2018/10/9",R3:R1205)</f>
        <v>1.229281767955801</v>
      </c>
      <c r="T466" s="38">
        <v>2</v>
      </c>
      <c r="U466" s="38">
        <f>AVERAGEIF(L3:L1205,"&lt;2018/10/9",T3:T1205)</f>
        <v>7.4102209944751385</v>
      </c>
      <c r="V466" s="24">
        <v>739</v>
      </c>
      <c r="W466" s="47" t="s">
        <v>4785</v>
      </c>
    </row>
    <row r="467" spans="1:23">
      <c r="A467" s="23">
        <v>2</v>
      </c>
      <c r="B467" s="23">
        <v>5</v>
      </c>
      <c r="C467" s="18">
        <v>4</v>
      </c>
      <c r="D467" s="18">
        <v>6</v>
      </c>
      <c r="E467" s="20">
        <v>42</v>
      </c>
      <c r="F467" s="21">
        <f t="shared" si="22"/>
        <v>107.58943089430895</v>
      </c>
      <c r="G467" s="22">
        <v>0.51203353434144205</v>
      </c>
      <c r="H467" s="18">
        <v>1</v>
      </c>
      <c r="I467" s="18">
        <f t="shared" si="23"/>
        <v>0</v>
      </c>
      <c r="J467" s="41">
        <v>43382</v>
      </c>
      <c r="K467" s="36">
        <v>2018</v>
      </c>
      <c r="L467" s="32">
        <f t="shared" si="21"/>
        <v>43383</v>
      </c>
      <c r="M467" s="40">
        <v>1</v>
      </c>
      <c r="N467" s="33">
        <v>61</v>
      </c>
      <c r="O467" s="34">
        <f>AVERAGEIF(L3:L1205,"&lt;2018/10/9",N3:N1205)</f>
        <v>117.05939226519337</v>
      </c>
      <c r="P467" s="54">
        <v>1</v>
      </c>
      <c r="Q467" s="38">
        <f>AVERAGEIF(L3:L1205,"&lt;2018/10/9",P3:P1205)</f>
        <v>0.35911602209944754</v>
      </c>
      <c r="R467" s="38">
        <v>1</v>
      </c>
      <c r="S467" s="38">
        <f>AVERAGEIF(L3:L1205,"&lt;2018/10/9",R3:R1205)</f>
        <v>1.229281767955801</v>
      </c>
      <c r="T467" s="54">
        <v>1</v>
      </c>
      <c r="U467" s="38">
        <f>AVERAGEIF(L3:L1205,"&lt;2018/10/9",T3:T1205)</f>
        <v>7.4102209944751385</v>
      </c>
      <c r="V467" s="24">
        <v>738</v>
      </c>
      <c r="W467" s="47" t="s">
        <v>4523</v>
      </c>
    </row>
    <row r="468" spans="1:23">
      <c r="A468" s="23">
        <v>2</v>
      </c>
      <c r="B468" s="23">
        <v>7</v>
      </c>
      <c r="C468" s="18">
        <v>4</v>
      </c>
      <c r="D468" s="18">
        <v>4</v>
      </c>
      <c r="E468" s="20">
        <v>54</v>
      </c>
      <c r="F468" s="21">
        <f t="shared" si="22"/>
        <v>107.66214382632293</v>
      </c>
      <c r="G468" s="22">
        <v>0.42290509720089298</v>
      </c>
      <c r="H468" s="18">
        <v>1</v>
      </c>
      <c r="I468" s="18">
        <f t="shared" si="23"/>
        <v>0</v>
      </c>
      <c r="J468" s="53">
        <v>43382</v>
      </c>
      <c r="K468" s="36">
        <v>2018</v>
      </c>
      <c r="L468" s="32">
        <f t="shared" si="21"/>
        <v>43384</v>
      </c>
      <c r="M468" s="40">
        <v>0</v>
      </c>
      <c r="N468" s="33">
        <v>95</v>
      </c>
      <c r="O468" s="34">
        <f>AVERAGEIF(L3:L1205,"&lt;2018/10/9",N3:N1205)</f>
        <v>117.05939226519337</v>
      </c>
      <c r="P468" s="38">
        <v>0</v>
      </c>
      <c r="Q468" s="38">
        <f>AVERAGEIF(L3:L1205,"&lt;2018/10/9",P3:P1205)</f>
        <v>0.35911602209944754</v>
      </c>
      <c r="R468" s="38">
        <v>1</v>
      </c>
      <c r="S468" s="38">
        <f>AVERAGEIF(L3:L1205,"&lt;2018/10/9",R3:R1205)</f>
        <v>1.229281767955801</v>
      </c>
      <c r="T468" s="38">
        <v>2</v>
      </c>
      <c r="U468" s="38">
        <f>AVERAGEIF(L3:L1205,"&lt;2018/10/9",T3:T1205)</f>
        <v>7.4102209944751385</v>
      </c>
      <c r="V468" s="24">
        <v>737</v>
      </c>
      <c r="W468" s="47" t="s">
        <v>4523</v>
      </c>
    </row>
    <row r="469" spans="1:23">
      <c r="A469" s="23">
        <v>4</v>
      </c>
      <c r="B469" s="23">
        <v>36</v>
      </c>
      <c r="C469" s="18">
        <v>4</v>
      </c>
      <c r="D469" s="18">
        <v>6</v>
      </c>
      <c r="E469" s="20">
        <v>69</v>
      </c>
      <c r="F469" s="21">
        <f t="shared" si="22"/>
        <v>107.71467391304348</v>
      </c>
      <c r="G469" s="22">
        <v>0.375120703899467</v>
      </c>
      <c r="H469" s="18">
        <v>1</v>
      </c>
      <c r="I469" s="18">
        <f t="shared" si="23"/>
        <v>0</v>
      </c>
      <c r="J469" s="45">
        <v>43382</v>
      </c>
      <c r="K469" s="36">
        <v>2018</v>
      </c>
      <c r="L469" s="32">
        <f t="shared" si="21"/>
        <v>43383</v>
      </c>
      <c r="M469" s="42">
        <v>0</v>
      </c>
      <c r="N469" s="33">
        <v>45</v>
      </c>
      <c r="O469" s="34">
        <f>AVERAGEIF(L3:L1205,"&lt;2018/10/9",N3:N1205)</f>
        <v>117.05939226519337</v>
      </c>
      <c r="P469" s="38">
        <v>0</v>
      </c>
      <c r="Q469" s="38">
        <f>AVERAGEIF(L3:L1205,"&lt;2018/10/9",P3:P1205)</f>
        <v>0.35911602209944754</v>
      </c>
      <c r="R469" s="38">
        <v>1</v>
      </c>
      <c r="S469" s="38">
        <f>AVERAGEIF(L3:L1205,"&lt;2018/10/9",R3:R1205)</f>
        <v>1.229281767955801</v>
      </c>
      <c r="T469" s="38">
        <v>1</v>
      </c>
      <c r="U469" s="38">
        <f>AVERAGEIF(L3:L1205,"&lt;2018/10/9",T3:T1205)</f>
        <v>7.4102209944751385</v>
      </c>
      <c r="V469" s="24">
        <v>736</v>
      </c>
      <c r="W469" s="47" t="s">
        <v>4558</v>
      </c>
    </row>
    <row r="470" spans="1:23">
      <c r="A470" s="17">
        <v>1</v>
      </c>
      <c r="B470" s="17">
        <v>1</v>
      </c>
      <c r="C470" s="18">
        <v>4</v>
      </c>
      <c r="D470" s="18">
        <v>6</v>
      </c>
      <c r="E470" s="20">
        <v>222</v>
      </c>
      <c r="F470" s="21">
        <f t="shared" si="22"/>
        <v>107.55918367346939</v>
      </c>
      <c r="G470" s="22">
        <v>0.43100705552664897</v>
      </c>
      <c r="H470" s="18">
        <v>1</v>
      </c>
      <c r="I470" s="18">
        <f t="shared" si="23"/>
        <v>0</v>
      </c>
      <c r="J470" s="41">
        <v>43381</v>
      </c>
      <c r="K470" s="36">
        <v>2018</v>
      </c>
      <c r="L470" s="32">
        <f t="shared" si="21"/>
        <v>43382</v>
      </c>
      <c r="M470" s="24">
        <v>0</v>
      </c>
      <c r="N470" s="33">
        <v>121</v>
      </c>
      <c r="O470" s="34">
        <f>AVERAGEIF(L3:L1205,"&lt;2018/10/8",N3:N1205)</f>
        <v>117.14958448753463</v>
      </c>
      <c r="P470" s="24">
        <v>0</v>
      </c>
      <c r="Q470" s="24">
        <f>AVERAGEIF(L3:L1205,"&lt;2018/10/8",P3:P1205)</f>
        <v>0.3587257617728532</v>
      </c>
      <c r="R470" s="24">
        <v>1</v>
      </c>
      <c r="S470" s="24">
        <f>AVERAGEIF(L3:L1205,"&lt;2018/10/8",R3:R1205)</f>
        <v>1.2285318559556786</v>
      </c>
      <c r="T470" s="24">
        <v>1</v>
      </c>
      <c r="U470" s="24">
        <f>AVERAGEIF(L3:L1205,"&lt;2018/10/8",T3:T1205)</f>
        <v>7.3545706371191137</v>
      </c>
      <c r="V470" s="24">
        <v>735</v>
      </c>
      <c r="W470" s="47" t="s">
        <v>4550</v>
      </c>
    </row>
    <row r="471" spans="1:23">
      <c r="A471" s="23">
        <v>4</v>
      </c>
      <c r="B471" s="23">
        <v>37</v>
      </c>
      <c r="C471" s="18">
        <v>4</v>
      </c>
      <c r="D471" s="18">
        <v>6</v>
      </c>
      <c r="E471" s="20">
        <v>40</v>
      </c>
      <c r="F471" s="21">
        <f t="shared" si="22"/>
        <v>107.65122615803814</v>
      </c>
      <c r="G471" s="22">
        <v>0.16113405875890499</v>
      </c>
      <c r="H471" s="18">
        <v>0</v>
      </c>
      <c r="I471" s="18">
        <f t="shared" si="23"/>
        <v>1</v>
      </c>
      <c r="J471" s="59">
        <v>43381</v>
      </c>
      <c r="K471" s="36">
        <v>2018</v>
      </c>
      <c r="L471" s="32">
        <f t="shared" si="21"/>
        <v>43389</v>
      </c>
      <c r="M471" s="42">
        <v>0</v>
      </c>
      <c r="N471" s="33">
        <v>136</v>
      </c>
      <c r="O471" s="34">
        <f>AVERAGEIF(L3:L1205,"&lt;2018/10/8",N3:N1205)</f>
        <v>117.14958448753463</v>
      </c>
      <c r="P471" s="38">
        <v>0</v>
      </c>
      <c r="Q471" s="38">
        <f>AVERAGEIF(L3:L1205,"&lt;2018/10/8",P3:P1205)</f>
        <v>0.3587257617728532</v>
      </c>
      <c r="R471" s="38">
        <v>1</v>
      </c>
      <c r="S471" s="38">
        <f>AVERAGEIF(L3:L1205,"&lt;2018/10/8",R3:R1205)</f>
        <v>1.2285318559556786</v>
      </c>
      <c r="T471" s="38">
        <v>8</v>
      </c>
      <c r="U471" s="38">
        <f>AVERAGEIF(L3:L1205,"&lt;2018/10/8",T3:T1205)</f>
        <v>7.3545706371191137</v>
      </c>
      <c r="V471" s="24">
        <v>734</v>
      </c>
      <c r="W471" s="47" t="s">
        <v>4618</v>
      </c>
    </row>
    <row r="472" spans="1:23">
      <c r="A472" s="23">
        <v>2</v>
      </c>
      <c r="B472" s="23">
        <v>12</v>
      </c>
      <c r="C472" s="18">
        <v>4</v>
      </c>
      <c r="D472" s="18">
        <v>4</v>
      </c>
      <c r="E472" s="20">
        <v>54</v>
      </c>
      <c r="F472" s="21">
        <f t="shared" si="22"/>
        <v>107.7244201909959</v>
      </c>
      <c r="G472" s="22">
        <v>0.56595457500817803</v>
      </c>
      <c r="H472" s="18">
        <v>1</v>
      </c>
      <c r="I472" s="18">
        <f t="shared" si="23"/>
        <v>0</v>
      </c>
      <c r="J472" s="41">
        <v>43377</v>
      </c>
      <c r="K472" s="36">
        <v>2018</v>
      </c>
      <c r="L472" s="32">
        <f t="shared" si="21"/>
        <v>43383</v>
      </c>
      <c r="M472" s="40">
        <v>0</v>
      </c>
      <c r="N472" s="33">
        <v>144</v>
      </c>
      <c r="O472" s="34">
        <f>AVERAGEIF(L3:L1205,"&lt;2018/10/4",N3:N1205)</f>
        <v>117.14958448753463</v>
      </c>
      <c r="P472" s="38">
        <v>1</v>
      </c>
      <c r="Q472" s="38">
        <f>AVERAGEIF(L3:L1205,"&lt;2018/10/4",P3:P1205)</f>
        <v>0.3587257617728532</v>
      </c>
      <c r="R472" s="38">
        <v>1</v>
      </c>
      <c r="S472" s="38">
        <f>AVERAGEIF(L3:L1205,"&lt;2018/10/4",R3:R1205)</f>
        <v>1.2285318559556786</v>
      </c>
      <c r="T472" s="38">
        <v>6</v>
      </c>
      <c r="U472" s="38">
        <f>AVERAGEIF(L3:L1205,"&lt;2018/10/4",T3:T1205)</f>
        <v>7.3545706371191137</v>
      </c>
      <c r="V472" s="24">
        <v>733</v>
      </c>
      <c r="W472" s="47" t="s">
        <v>4523</v>
      </c>
    </row>
    <row r="473" spans="1:23">
      <c r="A473" s="23">
        <v>2</v>
      </c>
      <c r="B473" s="23">
        <v>5</v>
      </c>
      <c r="C473" s="18">
        <v>4</v>
      </c>
      <c r="D473" s="18">
        <v>6</v>
      </c>
      <c r="E473" s="20">
        <v>54</v>
      </c>
      <c r="F473" s="21">
        <f t="shared" si="22"/>
        <v>107.79781420765028</v>
      </c>
      <c r="G473" s="22">
        <v>0.70621314135750501</v>
      </c>
      <c r="H473" s="18">
        <v>1</v>
      </c>
      <c r="I473" s="18">
        <f t="shared" si="23"/>
        <v>0</v>
      </c>
      <c r="J473" s="41">
        <v>43375</v>
      </c>
      <c r="K473" s="36">
        <v>2018</v>
      </c>
      <c r="L473" s="32">
        <f t="shared" si="21"/>
        <v>43391</v>
      </c>
      <c r="M473" s="40">
        <v>1</v>
      </c>
      <c r="N473" s="33">
        <v>34</v>
      </c>
      <c r="O473" s="34">
        <f>AVERAGEIF(L3:L1205,"&lt;2018/10/2",N3:N1205)</f>
        <v>117.14958448753463</v>
      </c>
      <c r="P473" s="56">
        <v>2</v>
      </c>
      <c r="Q473" s="40">
        <f>AVERAGEIF(L3:L1205,"&lt;2018/10/2",P3:P1205)</f>
        <v>0.3587257617728532</v>
      </c>
      <c r="R473" s="40">
        <v>2</v>
      </c>
      <c r="S473" s="40">
        <f>AVERAGEIF(L3:L1205,"&lt;2018/10/2",R3:R1205)</f>
        <v>1.2285318559556786</v>
      </c>
      <c r="T473" s="56">
        <v>16</v>
      </c>
      <c r="U473" s="40">
        <f>AVERAGEIF(L3:L1205,"&lt;2018/10/2",T3:T1205)</f>
        <v>7.3545706371191137</v>
      </c>
      <c r="V473" s="24">
        <v>732</v>
      </c>
      <c r="W473" s="47" t="s">
        <v>4618</v>
      </c>
    </row>
    <row r="474" spans="1:23">
      <c r="A474" s="23">
        <v>2</v>
      </c>
      <c r="B474" s="23">
        <v>12</v>
      </c>
      <c r="C474" s="18">
        <v>4</v>
      </c>
      <c r="D474" s="18">
        <v>6</v>
      </c>
      <c r="E474" s="20">
        <v>121</v>
      </c>
      <c r="F474" s="21">
        <f t="shared" si="22"/>
        <v>107.7797537619699</v>
      </c>
      <c r="G474" s="22">
        <v>0.55950605406168796</v>
      </c>
      <c r="H474" s="18">
        <v>1</v>
      </c>
      <c r="I474" s="18">
        <f t="shared" si="23"/>
        <v>0</v>
      </c>
      <c r="J474" s="41">
        <v>43375</v>
      </c>
      <c r="K474" s="36">
        <v>2018</v>
      </c>
      <c r="L474" s="32">
        <f t="shared" si="21"/>
        <v>43382</v>
      </c>
      <c r="M474" s="40">
        <v>1</v>
      </c>
      <c r="N474" s="33">
        <v>39</v>
      </c>
      <c r="O474" s="34">
        <f>AVERAGEIF(L3:L1205,"&lt;2018/10/2",N3:N1205)</f>
        <v>117.14958448753463</v>
      </c>
      <c r="P474" s="38">
        <v>0</v>
      </c>
      <c r="Q474" s="38">
        <f>AVERAGEIF(L3:L1205,"&lt;2018/10/2",P3:P1205)</f>
        <v>0.3587257617728532</v>
      </c>
      <c r="R474" s="38">
        <v>1</v>
      </c>
      <c r="S474" s="38">
        <f>AVERAGEIF(L3:L1205,"&lt;2018/10/2",R3:R1205)</f>
        <v>1.2285318559556786</v>
      </c>
      <c r="T474" s="38">
        <v>7</v>
      </c>
      <c r="U474" s="38">
        <f>AVERAGEIF(L3:L1205,"&lt;2018/10/2",T3:T1205)</f>
        <v>7.3545706371191137</v>
      </c>
      <c r="V474" s="24">
        <v>731</v>
      </c>
      <c r="W474" s="47" t="s">
        <v>4626</v>
      </c>
    </row>
    <row r="475" spans="1:23">
      <c r="A475" s="23">
        <v>2</v>
      </c>
      <c r="B475" s="23">
        <v>6</v>
      </c>
      <c r="C475" s="18">
        <v>4</v>
      </c>
      <c r="D475" s="18">
        <v>4</v>
      </c>
      <c r="E475" s="20">
        <v>59</v>
      </c>
      <c r="F475" s="21">
        <f t="shared" si="22"/>
        <v>107.84657534246575</v>
      </c>
      <c r="G475" s="22">
        <v>0.34116982322996098</v>
      </c>
      <c r="H475" s="18">
        <v>1</v>
      </c>
      <c r="I475" s="18">
        <f t="shared" si="23"/>
        <v>0</v>
      </c>
      <c r="J475" s="41">
        <v>43373</v>
      </c>
      <c r="K475" s="36">
        <v>2018</v>
      </c>
      <c r="L475" s="32">
        <f t="shared" si="21"/>
        <v>43382</v>
      </c>
      <c r="M475" s="56">
        <v>0</v>
      </c>
      <c r="N475" s="33">
        <v>54</v>
      </c>
      <c r="O475" s="34">
        <f>AVERAGEIF(L3:L1205,"&lt;2018/9/30",N3:N1205)</f>
        <v>117.34770514603616</v>
      </c>
      <c r="P475" s="54">
        <v>0</v>
      </c>
      <c r="Q475" s="38">
        <f>AVERAGEIF(L3:L1205,"&lt;2018/9/30",P3:P1205)</f>
        <v>0.35744089012517383</v>
      </c>
      <c r="R475" s="38">
        <v>1</v>
      </c>
      <c r="S475" s="38">
        <f>AVERAGEIF(L3:L1205,"&lt;2018/9/30",R3:R1205)</f>
        <v>1.2294853963838666</v>
      </c>
      <c r="T475" s="54">
        <v>9</v>
      </c>
      <c r="U475" s="38">
        <f>AVERAGEIF(L3:L1205,"&lt;2018/9/30",T3:T1205)</f>
        <v>7.3616133518776081</v>
      </c>
      <c r="V475" s="24">
        <v>730</v>
      </c>
      <c r="W475" s="47" t="s">
        <v>4550</v>
      </c>
    </row>
    <row r="476" spans="1:23">
      <c r="A476" s="23">
        <v>2</v>
      </c>
      <c r="B476" s="23">
        <v>6</v>
      </c>
      <c r="C476" s="18">
        <v>4</v>
      </c>
      <c r="D476" s="18">
        <v>4</v>
      </c>
      <c r="E476" s="20">
        <v>182</v>
      </c>
      <c r="F476" s="21">
        <f t="shared" si="22"/>
        <v>107.74485596707819</v>
      </c>
      <c r="G476" s="22">
        <v>0.364030044482819</v>
      </c>
      <c r="H476" s="18">
        <v>1</v>
      </c>
      <c r="I476" s="18">
        <f t="shared" si="23"/>
        <v>0</v>
      </c>
      <c r="J476" s="41">
        <v>43371</v>
      </c>
      <c r="K476" s="36">
        <v>2018</v>
      </c>
      <c r="L476" s="32">
        <f t="shared" si="21"/>
        <v>43381</v>
      </c>
      <c r="M476" s="40">
        <v>0</v>
      </c>
      <c r="N476" s="33">
        <v>124</v>
      </c>
      <c r="O476" s="34">
        <f>AVERAGEIF(L3:L1205,"&lt;2018/9/28",N3:N1205)</f>
        <v>117.30222841225627</v>
      </c>
      <c r="P476" s="38">
        <v>0</v>
      </c>
      <c r="Q476" s="38">
        <f>AVERAGEIF(L3:L1205,"&lt;2018/9/28",P3:P1205)</f>
        <v>0.35515320334261841</v>
      </c>
      <c r="R476" s="38">
        <v>1</v>
      </c>
      <c r="S476" s="38">
        <f>AVERAGEIF(L3:L1205,"&lt;2018/9/28",R3:R1205)</f>
        <v>1.2298050139275767</v>
      </c>
      <c r="T476" s="38">
        <v>10</v>
      </c>
      <c r="U476" s="38">
        <f>AVERAGEIF(L3:L1205,"&lt;2018/9/28",T3:T1205)</f>
        <v>7.3551532033426188</v>
      </c>
      <c r="V476" s="24">
        <v>729</v>
      </c>
      <c r="W476" s="47" t="s">
        <v>4550</v>
      </c>
    </row>
    <row r="477" spans="1:23">
      <c r="A477" s="23">
        <v>2</v>
      </c>
      <c r="B477" s="23">
        <v>6</v>
      </c>
      <c r="C477" s="18">
        <v>5</v>
      </c>
      <c r="D477" s="18">
        <v>6</v>
      </c>
      <c r="E477" s="20">
        <v>104</v>
      </c>
      <c r="F477" s="21">
        <f t="shared" si="22"/>
        <v>107.75</v>
      </c>
      <c r="G477" s="22">
        <v>0.84089825426863696</v>
      </c>
      <c r="H477" s="18">
        <v>1</v>
      </c>
      <c r="I477" s="18">
        <f t="shared" si="23"/>
        <v>0</v>
      </c>
      <c r="J477" s="41">
        <v>43370</v>
      </c>
      <c r="K477" s="36">
        <v>2018</v>
      </c>
      <c r="L477" s="32">
        <f t="shared" si="21"/>
        <v>43382</v>
      </c>
      <c r="M477" s="55">
        <v>0</v>
      </c>
      <c r="N477" s="33">
        <v>85</v>
      </c>
      <c r="O477" s="34">
        <f>AVERAGEIF(L3:L1205,"&lt;2018/9/27",N3:N1205)</f>
        <v>117.20641562064156</v>
      </c>
      <c r="P477" s="54">
        <v>0</v>
      </c>
      <c r="Q477" s="38">
        <f>AVERAGEIF(L3:L1205,"&lt;2018/9/27",P3:P1205)</f>
        <v>0.35425383542538352</v>
      </c>
      <c r="R477" s="38">
        <v>2</v>
      </c>
      <c r="S477" s="38">
        <f>AVERAGEIF(L3:L1205,"&lt;2018/9/27",R3:R1205)</f>
        <v>1.2301255230125523</v>
      </c>
      <c r="T477" s="54">
        <v>12</v>
      </c>
      <c r="U477" s="38">
        <f>AVERAGEIF(L3:L1205,"&lt;2018/9/27",T3:T1205)</f>
        <v>7.3626220362622039</v>
      </c>
      <c r="V477" s="24">
        <v>728</v>
      </c>
      <c r="W477" s="47" t="s">
        <v>4563</v>
      </c>
    </row>
    <row r="478" spans="1:23">
      <c r="A478" s="23">
        <v>2</v>
      </c>
      <c r="B478" s="23">
        <v>11</v>
      </c>
      <c r="C478" s="18">
        <v>4</v>
      </c>
      <c r="D478" s="18">
        <v>4</v>
      </c>
      <c r="E478" s="20">
        <v>83</v>
      </c>
      <c r="F478" s="21">
        <f t="shared" si="22"/>
        <v>107.78404401650619</v>
      </c>
      <c r="G478" s="22">
        <v>0.59248390623268099</v>
      </c>
      <c r="H478" s="18">
        <v>1</v>
      </c>
      <c r="I478" s="18">
        <f t="shared" si="23"/>
        <v>0</v>
      </c>
      <c r="J478" s="52">
        <v>43370</v>
      </c>
      <c r="K478" s="36">
        <v>2018</v>
      </c>
      <c r="L478" s="32">
        <f t="shared" si="21"/>
        <v>43373</v>
      </c>
      <c r="M478" s="40">
        <v>0</v>
      </c>
      <c r="N478" s="33">
        <v>43</v>
      </c>
      <c r="O478" s="34">
        <f>AVERAGEIF(L3:L1205,"&lt;2018/9/27",N3:N1205)</f>
        <v>117.20641562064156</v>
      </c>
      <c r="P478" s="56">
        <v>0</v>
      </c>
      <c r="Q478" s="40">
        <f>AVERAGEIF(L3:L1205,"&lt;2018/9/27",P3:P1205)</f>
        <v>0.35425383542538352</v>
      </c>
      <c r="R478" s="40">
        <v>1</v>
      </c>
      <c r="S478" s="40">
        <f>AVERAGEIF(L3:L1205,"&lt;2018/9/27",R3:R1205)</f>
        <v>1.2301255230125523</v>
      </c>
      <c r="T478" s="56">
        <v>3</v>
      </c>
      <c r="U478" s="40">
        <f>AVERAGEIF(L3:L1205,"&lt;2018/9/27",T3:T1205)</f>
        <v>7.3626220362622039</v>
      </c>
      <c r="V478" s="24">
        <v>727</v>
      </c>
      <c r="W478" s="47" t="s">
        <v>4558</v>
      </c>
    </row>
    <row r="479" spans="1:23">
      <c r="A479" s="17">
        <v>1</v>
      </c>
      <c r="B479" s="17">
        <v>1</v>
      </c>
      <c r="C479" s="18">
        <v>5</v>
      </c>
      <c r="D479" s="18">
        <v>6</v>
      </c>
      <c r="E479" s="20">
        <v>314</v>
      </c>
      <c r="F479" s="21">
        <f t="shared" si="22"/>
        <v>107.5</v>
      </c>
      <c r="G479" s="22">
        <v>0.375</v>
      </c>
      <c r="H479" s="18">
        <v>1</v>
      </c>
      <c r="I479" s="18">
        <f t="shared" si="23"/>
        <v>0</v>
      </c>
      <c r="J479" s="41">
        <v>43369</v>
      </c>
      <c r="K479" s="36">
        <v>2018</v>
      </c>
      <c r="L479" s="32">
        <f t="shared" si="21"/>
        <v>43369</v>
      </c>
      <c r="M479" s="24">
        <v>0</v>
      </c>
      <c r="N479" s="33">
        <v>87</v>
      </c>
      <c r="O479" s="34">
        <f>AVERAGEIF(L3:L1205,"&lt;2018/9/26",N3:N1205)</f>
        <v>117.24860335195531</v>
      </c>
      <c r="P479" s="24">
        <v>0</v>
      </c>
      <c r="Q479" s="24">
        <f>AVERAGEIF(L3:L1205,"&lt;2018/9/26",P3:P1205)</f>
        <v>0.35474860335195529</v>
      </c>
      <c r="R479" s="24">
        <v>1</v>
      </c>
      <c r="S479" s="24">
        <f>AVERAGEIF(L3:L1205,"&lt;2018/9/26",R3:R1205)</f>
        <v>1.2304469273743017</v>
      </c>
      <c r="T479" s="24">
        <v>0</v>
      </c>
      <c r="U479" s="24">
        <f>AVERAGEIF(L3:L1205,"&lt;2018/9/26",T3:T1205)</f>
        <v>7.3729050279329611</v>
      </c>
      <c r="V479" s="24">
        <v>726</v>
      </c>
      <c r="W479" s="47" t="s">
        <v>4863</v>
      </c>
    </row>
    <row r="480" spans="1:23">
      <c r="A480" s="23">
        <v>2</v>
      </c>
      <c r="B480" s="23">
        <v>6</v>
      </c>
      <c r="C480" s="18">
        <v>4</v>
      </c>
      <c r="D480" s="18">
        <v>6</v>
      </c>
      <c r="E480" s="20">
        <v>143</v>
      </c>
      <c r="F480" s="21">
        <f t="shared" si="22"/>
        <v>107.45103448275862</v>
      </c>
      <c r="G480" s="22">
        <v>0.41307279845079198</v>
      </c>
      <c r="H480" s="18">
        <v>1</v>
      </c>
      <c r="I480" s="18">
        <f t="shared" si="23"/>
        <v>0</v>
      </c>
      <c r="J480" s="41">
        <v>43368</v>
      </c>
      <c r="K480" s="36">
        <v>2018</v>
      </c>
      <c r="L480" s="32">
        <f t="shared" si="21"/>
        <v>43370</v>
      </c>
      <c r="M480" s="40">
        <v>1</v>
      </c>
      <c r="N480" s="33">
        <v>186</v>
      </c>
      <c r="O480" s="34">
        <f>AVERAGEIF(L3:L1205,"&lt;2018/9/25",N3:N1205)</f>
        <v>117.33706293706294</v>
      </c>
      <c r="P480" s="38">
        <v>1</v>
      </c>
      <c r="Q480" s="38">
        <f>AVERAGEIF(L3:L1205,"&lt;2018/9/25",P3:P1205)</f>
        <v>0.35384615384615387</v>
      </c>
      <c r="R480" s="38">
        <v>1</v>
      </c>
      <c r="S480" s="38">
        <f>AVERAGEIF(L3:L1205,"&lt;2018/9/25",R3:R1205)</f>
        <v>1.2307692307692308</v>
      </c>
      <c r="T480" s="38">
        <v>2</v>
      </c>
      <c r="U480" s="38">
        <f>AVERAGEIF(L3:L1205,"&lt;2018/9/25",T3:T1205)</f>
        <v>7.3748251748251752</v>
      </c>
      <c r="V480" s="24">
        <v>725</v>
      </c>
      <c r="W480" s="47" t="s">
        <v>4558</v>
      </c>
    </row>
    <row r="481" spans="1:23">
      <c r="A481" s="23">
        <v>4</v>
      </c>
      <c r="B481" s="23">
        <v>33</v>
      </c>
      <c r="C481" s="18">
        <v>4</v>
      </c>
      <c r="D481" s="18">
        <v>4</v>
      </c>
      <c r="E481" s="20">
        <v>66</v>
      </c>
      <c r="F481" s="21">
        <f t="shared" si="22"/>
        <v>107.50828729281768</v>
      </c>
      <c r="G481" s="22">
        <v>0.28190164855261801</v>
      </c>
      <c r="H481" s="18">
        <v>1</v>
      </c>
      <c r="I481" s="18">
        <f t="shared" si="23"/>
        <v>0</v>
      </c>
      <c r="J481" s="45">
        <v>43368</v>
      </c>
      <c r="K481" s="36">
        <v>2018</v>
      </c>
      <c r="L481" s="32">
        <f t="shared" si="21"/>
        <v>43388</v>
      </c>
      <c r="M481" s="42">
        <v>0</v>
      </c>
      <c r="N481" s="33">
        <v>72</v>
      </c>
      <c r="O481" s="34">
        <f>AVERAGEIF(L3:L1205,"&lt;2018/9/25",N3:N1205)</f>
        <v>117.33706293706294</v>
      </c>
      <c r="P481" s="38">
        <v>2</v>
      </c>
      <c r="Q481" s="38">
        <f>AVERAGEIF(L3:L1205,"&lt;2018/9/25",P3:P1205)</f>
        <v>0.35384615384615387</v>
      </c>
      <c r="R481" s="38">
        <v>1</v>
      </c>
      <c r="S481" s="38">
        <f>AVERAGEIF(L3:L1205,"&lt;2018/9/25",R3:R1205)</f>
        <v>1.2307692307692308</v>
      </c>
      <c r="T481" s="38">
        <v>20</v>
      </c>
      <c r="U481" s="38">
        <f>AVERAGEIF(L3:L1205,"&lt;2018/9/25",T3:T1205)</f>
        <v>7.3748251748251752</v>
      </c>
      <c r="V481" s="24">
        <v>724</v>
      </c>
      <c r="W481" s="47" t="s">
        <v>4550</v>
      </c>
    </row>
    <row r="482" spans="1:23">
      <c r="A482" s="23">
        <v>2</v>
      </c>
      <c r="B482" s="23">
        <v>5</v>
      </c>
      <c r="C482" s="18">
        <v>4</v>
      </c>
      <c r="D482" s="18">
        <v>6</v>
      </c>
      <c r="E482" s="20">
        <v>38</v>
      </c>
      <c r="F482" s="21">
        <f t="shared" si="22"/>
        <v>107.60442600276625</v>
      </c>
      <c r="G482" s="22">
        <v>0.73555734452141697</v>
      </c>
      <c r="H482" s="18">
        <v>1</v>
      </c>
      <c r="I482" s="18">
        <f t="shared" si="23"/>
        <v>0</v>
      </c>
      <c r="J482" s="41">
        <v>43367</v>
      </c>
      <c r="K482" s="36">
        <v>2018</v>
      </c>
      <c r="L482" s="32">
        <f t="shared" si="21"/>
        <v>43373</v>
      </c>
      <c r="M482" s="40">
        <v>1</v>
      </c>
      <c r="N482" s="33">
        <v>76</v>
      </c>
      <c r="O482" s="34">
        <f>AVERAGEIF(L3:L1205,"&lt;2018/9/24",N3:N1205)</f>
        <v>117.33706293706294</v>
      </c>
      <c r="P482" s="56">
        <v>1</v>
      </c>
      <c r="Q482" s="40">
        <f>AVERAGEIF(L3:L1205,"&lt;2018/9/24",P3:P1205)</f>
        <v>0.35384615384615387</v>
      </c>
      <c r="R482" s="40">
        <v>1</v>
      </c>
      <c r="S482" s="40">
        <f>AVERAGEIF(L3:L1205,"&lt;2018/9/24",R3:R1205)</f>
        <v>1.2307692307692308</v>
      </c>
      <c r="T482" s="56">
        <v>6</v>
      </c>
      <c r="U482" s="40">
        <f>AVERAGEIF(L3:L1205,"&lt;2018/9/24",T3:T1205)</f>
        <v>7.3748251748251752</v>
      </c>
      <c r="V482" s="24">
        <v>723</v>
      </c>
      <c r="W482" s="47" t="s">
        <v>4529</v>
      </c>
    </row>
    <row r="483" spans="1:23">
      <c r="A483" s="23">
        <v>2</v>
      </c>
      <c r="B483" s="23">
        <v>6</v>
      </c>
      <c r="C483" s="18">
        <v>4</v>
      </c>
      <c r="D483" s="18">
        <v>4</v>
      </c>
      <c r="E483" s="20">
        <v>74</v>
      </c>
      <c r="F483" s="21">
        <f t="shared" si="22"/>
        <v>107.65096952908587</v>
      </c>
      <c r="G483" s="22">
        <v>0.41946589695545</v>
      </c>
      <c r="H483" s="18">
        <v>1</v>
      </c>
      <c r="I483" s="18">
        <f t="shared" si="23"/>
        <v>0</v>
      </c>
      <c r="J483" s="41">
        <v>43365</v>
      </c>
      <c r="K483" s="36">
        <v>2018</v>
      </c>
      <c r="L483" s="32">
        <f t="shared" si="21"/>
        <v>43382</v>
      </c>
      <c r="M483" s="40">
        <v>0</v>
      </c>
      <c r="N483" s="33">
        <v>43</v>
      </c>
      <c r="O483" s="34">
        <f>AVERAGEIF(L3:L1205,"&lt;2018/9/22",N3:N1205)</f>
        <v>117.33706293706294</v>
      </c>
      <c r="P483" s="54">
        <v>1</v>
      </c>
      <c r="Q483" s="38">
        <f>AVERAGEIF(L3:L1205,"&lt;2018/9/22",P3:P1205)</f>
        <v>0.35384615384615387</v>
      </c>
      <c r="R483" s="38">
        <v>2</v>
      </c>
      <c r="S483" s="38">
        <f>AVERAGEIF(L3:L1205,"&lt;2018/9/22",R3:R1205)</f>
        <v>1.2307692307692308</v>
      </c>
      <c r="T483" s="54">
        <v>17</v>
      </c>
      <c r="U483" s="38">
        <f>AVERAGEIF(L3:L1205,"&lt;2018/9/22",T3:T1205)</f>
        <v>7.3748251748251752</v>
      </c>
      <c r="V483" s="24">
        <v>722</v>
      </c>
      <c r="W483" s="47" t="s">
        <v>4521</v>
      </c>
    </row>
    <row r="484" spans="1:23">
      <c r="A484" s="23">
        <v>2</v>
      </c>
      <c r="B484" s="23">
        <v>6</v>
      </c>
      <c r="C484" s="18">
        <v>4</v>
      </c>
      <c r="D484" s="18">
        <v>4</v>
      </c>
      <c r="E484" s="20">
        <v>41</v>
      </c>
      <c r="F484" s="21">
        <f t="shared" si="22"/>
        <v>107.74341192787794</v>
      </c>
      <c r="G484" s="22">
        <v>0.41257285983832398</v>
      </c>
      <c r="H484" s="18">
        <v>1</v>
      </c>
      <c r="I484" s="18">
        <f t="shared" si="23"/>
        <v>0</v>
      </c>
      <c r="J484" s="41">
        <v>43365</v>
      </c>
      <c r="K484" s="36">
        <v>2018</v>
      </c>
      <c r="L484" s="32">
        <f t="shared" si="21"/>
        <v>43373</v>
      </c>
      <c r="M484" s="40">
        <v>0</v>
      </c>
      <c r="N484" s="33">
        <v>90</v>
      </c>
      <c r="O484" s="34">
        <f>AVERAGEIF(L3:L1205,"&lt;2018/9/22",N3:N1205)</f>
        <v>117.33706293706294</v>
      </c>
      <c r="P484" s="38">
        <v>1</v>
      </c>
      <c r="Q484" s="38">
        <f>AVERAGEIF(L3:L1205,"&lt;2018/9/22",P3:P1205)</f>
        <v>0.35384615384615387</v>
      </c>
      <c r="R484" s="38">
        <v>1</v>
      </c>
      <c r="S484" s="38">
        <f>AVERAGEIF(L3:L1205,"&lt;2018/9/22",R3:R1205)</f>
        <v>1.2307692307692308</v>
      </c>
      <c r="T484" s="38">
        <v>8</v>
      </c>
      <c r="U484" s="38">
        <f>AVERAGEIF(L3:L1205,"&lt;2018/9/22",T3:T1205)</f>
        <v>7.3748251748251752</v>
      </c>
      <c r="V484" s="24">
        <v>721</v>
      </c>
      <c r="W484" s="47" t="s">
        <v>4529</v>
      </c>
    </row>
    <row r="485" spans="1:23">
      <c r="A485" s="23">
        <v>3</v>
      </c>
      <c r="B485" s="23">
        <v>24</v>
      </c>
      <c r="C485" s="18">
        <v>4</v>
      </c>
      <c r="D485" s="18">
        <v>6</v>
      </c>
      <c r="E485" s="20">
        <v>392</v>
      </c>
      <c r="F485" s="21">
        <f t="shared" si="22"/>
        <v>107.34861111111111</v>
      </c>
      <c r="G485" s="22">
        <v>0.25879483593543501</v>
      </c>
      <c r="H485" s="3">
        <v>1</v>
      </c>
      <c r="I485" s="18">
        <f t="shared" si="23"/>
        <v>0</v>
      </c>
      <c r="J485" s="41">
        <v>43364</v>
      </c>
      <c r="K485" s="36">
        <v>2018</v>
      </c>
      <c r="L485" s="32">
        <f t="shared" si="21"/>
        <v>43390</v>
      </c>
      <c r="M485" s="40">
        <v>1</v>
      </c>
      <c r="N485" s="33">
        <v>126</v>
      </c>
      <c r="O485" s="34">
        <f>AVERAGEIF(L3:L1205,"&lt;2018/9/21",N3:N1205)</f>
        <v>117.38235294117646</v>
      </c>
      <c r="P485" s="38">
        <v>1</v>
      </c>
      <c r="Q485" s="38">
        <f>AVERAGEIF(L3:L1205,"&lt;2018/9/21",P3:P1205)</f>
        <v>0.35434173669467789</v>
      </c>
      <c r="R485" s="38">
        <v>4</v>
      </c>
      <c r="S485" s="38">
        <f>AVERAGEIF(L3:L1205,"&lt;2018/9/21",R3:R1205)</f>
        <v>1.23109243697479</v>
      </c>
      <c r="T485" s="38">
        <v>26</v>
      </c>
      <c r="U485" s="38">
        <f>AVERAGEIF(L3:L1205,"&lt;2018/9/21",T3:T1205)</f>
        <v>7.3697478991596634</v>
      </c>
      <c r="V485" s="24">
        <v>720</v>
      </c>
      <c r="W485" s="47" t="s">
        <v>4529</v>
      </c>
    </row>
    <row r="486" spans="1:23">
      <c r="A486" s="23">
        <v>3</v>
      </c>
      <c r="B486" s="23">
        <v>19</v>
      </c>
      <c r="C486" s="18">
        <v>4</v>
      </c>
      <c r="D486" s="18">
        <v>6</v>
      </c>
      <c r="E486" s="20">
        <v>37</v>
      </c>
      <c r="F486" s="21">
        <f t="shared" si="22"/>
        <v>107.44645340751043</v>
      </c>
      <c r="G486" s="22">
        <v>0.87426135076450295</v>
      </c>
      <c r="H486" s="3">
        <v>0</v>
      </c>
      <c r="I486" s="18">
        <f t="shared" si="23"/>
        <v>1</v>
      </c>
      <c r="J486" s="41">
        <v>43363</v>
      </c>
      <c r="K486" s="36">
        <v>2018</v>
      </c>
      <c r="L486" s="32">
        <f t="shared" si="21"/>
        <v>43384</v>
      </c>
      <c r="M486" s="24">
        <v>0</v>
      </c>
      <c r="N486" s="33">
        <v>100</v>
      </c>
      <c r="O486" s="34">
        <f>AVERAGEIF(L3:L1205,"&lt;2018/9/20",N3:N1205)</f>
        <v>117.45301542776998</v>
      </c>
      <c r="P486" s="54">
        <v>0</v>
      </c>
      <c r="Q486" s="38">
        <f>AVERAGEIF(L3:L1205,"&lt;2018/9/20",P3:P1205)</f>
        <v>0.35483870967741937</v>
      </c>
      <c r="R486" s="38">
        <v>1</v>
      </c>
      <c r="S486" s="38">
        <f>AVERAGEIF(L3:L1205,"&lt;2018/9/20",R3:R1205)</f>
        <v>1.2314165497896212</v>
      </c>
      <c r="T486" s="54">
        <v>21</v>
      </c>
      <c r="U486" s="38">
        <f>AVERAGEIF(L3:L1205,"&lt;2018/9/20",T3:T1205)</f>
        <v>7.3772791023842919</v>
      </c>
      <c r="V486" s="24">
        <v>719</v>
      </c>
      <c r="W486" s="47" t="s">
        <v>4550</v>
      </c>
    </row>
    <row r="487" spans="1:23">
      <c r="A487" s="23">
        <v>2</v>
      </c>
      <c r="B487" s="23">
        <v>6</v>
      </c>
      <c r="C487" s="18">
        <v>4</v>
      </c>
      <c r="D487" s="18">
        <v>4</v>
      </c>
      <c r="E487" s="20">
        <v>44</v>
      </c>
      <c r="F487" s="21">
        <f t="shared" si="22"/>
        <v>107.53481894150418</v>
      </c>
      <c r="G487" s="22">
        <v>0.43402324701318901</v>
      </c>
      <c r="H487" s="18">
        <v>1</v>
      </c>
      <c r="I487" s="18">
        <f t="shared" si="23"/>
        <v>0</v>
      </c>
      <c r="J487" s="41">
        <v>43362</v>
      </c>
      <c r="K487" s="36">
        <v>2018</v>
      </c>
      <c r="L487" s="32">
        <f t="shared" si="21"/>
        <v>43368</v>
      </c>
      <c r="M487" s="40">
        <v>0</v>
      </c>
      <c r="N487" s="33">
        <v>54</v>
      </c>
      <c r="O487" s="34">
        <f>AVERAGEIF(L3:L1205,"&lt;2018/9/19",N3:N1205)</f>
        <v>117.46769662921348</v>
      </c>
      <c r="P487" s="40">
        <v>1</v>
      </c>
      <c r="Q487" s="40">
        <f>AVERAGEIF(L3:L1205,"&lt;2018/9/19",P3:P1205)</f>
        <v>0.3539325842696629</v>
      </c>
      <c r="R487" s="40">
        <v>1</v>
      </c>
      <c r="S487" s="40">
        <f>AVERAGEIF(L3:L1205,"&lt;2018/9/19",R3:R1205)</f>
        <v>1.2303370786516854</v>
      </c>
      <c r="T487" s="40">
        <v>6</v>
      </c>
      <c r="U487" s="40">
        <f>AVERAGEIF(L3:L1205,"&lt;2018/9/19",T3:T1205)</f>
        <v>7.3778089887640448</v>
      </c>
      <c r="V487" s="24">
        <v>718</v>
      </c>
      <c r="W487" s="47" t="s">
        <v>4624</v>
      </c>
    </row>
    <row r="488" spans="1:23">
      <c r="A488" s="23">
        <v>2</v>
      </c>
      <c r="B488" s="23">
        <v>6</v>
      </c>
      <c r="C488" s="18">
        <v>4</v>
      </c>
      <c r="D488" s="18">
        <v>6</v>
      </c>
      <c r="E488" s="20">
        <v>50</v>
      </c>
      <c r="F488" s="21">
        <f t="shared" si="22"/>
        <v>107.61506276150628</v>
      </c>
      <c r="G488" s="22">
        <v>0.341050927674664</v>
      </c>
      <c r="H488" s="18">
        <v>1</v>
      </c>
      <c r="I488" s="18">
        <f t="shared" si="23"/>
        <v>0</v>
      </c>
      <c r="J488" s="41">
        <v>43361</v>
      </c>
      <c r="K488" s="36">
        <v>2018</v>
      </c>
      <c r="L488" s="32">
        <f t="shared" si="21"/>
        <v>43363</v>
      </c>
      <c r="M488" s="40">
        <v>0</v>
      </c>
      <c r="N488" s="33">
        <v>67</v>
      </c>
      <c r="O488" s="34">
        <f>AVERAGEIF(L3:L1205,"&lt;2018/9/18",N3:N1205)</f>
        <v>117.46769662921348</v>
      </c>
      <c r="P488" s="40">
        <v>0</v>
      </c>
      <c r="Q488" s="40">
        <f>AVERAGEIF(L3:L1205,"&lt;2018/9/18",P3:P1205)</f>
        <v>0.3539325842696629</v>
      </c>
      <c r="R488" s="40">
        <v>1</v>
      </c>
      <c r="S488" s="40">
        <f>AVERAGEIF(L3:L1205,"&lt;2018/9/18",R3:R1205)</f>
        <v>1.2303370786516854</v>
      </c>
      <c r="T488" s="40">
        <v>2</v>
      </c>
      <c r="U488" s="40">
        <f>AVERAGEIF(L3:L1205,"&lt;2018/9/18",T3:T1205)</f>
        <v>7.3778089887640448</v>
      </c>
      <c r="V488" s="24">
        <v>717</v>
      </c>
      <c r="W488" s="47" t="s">
        <v>4630</v>
      </c>
    </row>
    <row r="489" spans="1:23">
      <c r="A489" s="23">
        <v>4</v>
      </c>
      <c r="B489" s="23">
        <v>33</v>
      </c>
      <c r="C489" s="18">
        <v>4</v>
      </c>
      <c r="D489" s="18">
        <v>4</v>
      </c>
      <c r="E489" s="20">
        <v>71</v>
      </c>
      <c r="F489" s="21">
        <f t="shared" si="22"/>
        <v>107.66620111731844</v>
      </c>
      <c r="G489" s="22">
        <v>0.38670638596658802</v>
      </c>
      <c r="H489" s="18">
        <v>1</v>
      </c>
      <c r="I489" s="18">
        <f t="shared" si="23"/>
        <v>0</v>
      </c>
      <c r="J489" s="45">
        <v>43359</v>
      </c>
      <c r="K489" s="36">
        <v>2018</v>
      </c>
      <c r="L489" s="32">
        <f t="shared" si="21"/>
        <v>43371</v>
      </c>
      <c r="M489" s="42">
        <v>0</v>
      </c>
      <c r="N489" s="33">
        <v>150</v>
      </c>
      <c r="O489" s="34">
        <f>AVERAGEIF(L3:L1205,"&lt;2018/9/16",N3:N1205)</f>
        <v>117.61181434599156</v>
      </c>
      <c r="P489" s="38">
        <v>2</v>
      </c>
      <c r="Q489" s="38">
        <f>AVERAGEIF(L3:L1205,"&lt;2018/9/16",P3:P1205)</f>
        <v>0.35443037974683544</v>
      </c>
      <c r="R489" s="38">
        <v>1</v>
      </c>
      <c r="S489" s="38">
        <f>AVERAGEIF(L3:L1205,"&lt;2018/9/16",R3:R1205)</f>
        <v>1.2306610407876231</v>
      </c>
      <c r="T489" s="38">
        <v>12</v>
      </c>
      <c r="U489" s="38">
        <f>AVERAGEIF(L3:L1205,"&lt;2018/9/16",T3:T1205)</f>
        <v>7.3839662447257384</v>
      </c>
      <c r="V489" s="24">
        <v>716</v>
      </c>
      <c r="W489" s="47" t="s">
        <v>4621</v>
      </c>
    </row>
    <row r="490" spans="1:23">
      <c r="A490" s="23">
        <v>2</v>
      </c>
      <c r="B490" s="23">
        <v>7</v>
      </c>
      <c r="C490" s="18">
        <v>4</v>
      </c>
      <c r="D490" s="18">
        <v>4</v>
      </c>
      <c r="E490" s="20">
        <v>93</v>
      </c>
      <c r="F490" s="21">
        <f t="shared" si="22"/>
        <v>107.68671328671329</v>
      </c>
      <c r="G490" s="22">
        <v>0.41020720840831498</v>
      </c>
      <c r="H490" s="18">
        <v>1</v>
      </c>
      <c r="I490" s="18">
        <f t="shared" si="23"/>
        <v>0</v>
      </c>
      <c r="J490" s="41">
        <v>43357</v>
      </c>
      <c r="K490" s="36">
        <v>2018</v>
      </c>
      <c r="L490" s="32">
        <f t="shared" si="21"/>
        <v>43360</v>
      </c>
      <c r="M490" s="40">
        <v>0</v>
      </c>
      <c r="N490" s="33">
        <v>15</v>
      </c>
      <c r="O490" s="34">
        <f>AVERAGEIF(L3:L1205,"&lt;2018/9/14",N3:N1205)</f>
        <v>117.91525423728814</v>
      </c>
      <c r="P490" s="38">
        <v>0</v>
      </c>
      <c r="Q490" s="38">
        <f>AVERAGEIF(L3:L1205,"&lt;2018/9/14",P3:P1205)</f>
        <v>0.35451977401129942</v>
      </c>
      <c r="R490" s="38">
        <v>1</v>
      </c>
      <c r="S490" s="38">
        <f>AVERAGEIF(L3:L1205,"&lt;2018/9/14",R3:R1205)</f>
        <v>1.2302259887005649</v>
      </c>
      <c r="T490" s="38">
        <v>3</v>
      </c>
      <c r="U490" s="38">
        <f>AVERAGEIF(L3:L1205,"&lt;2018/9/14",T3:T1205)</f>
        <v>7.3672316384180787</v>
      </c>
      <c r="V490" s="24">
        <v>715</v>
      </c>
      <c r="W490" s="47" t="s">
        <v>4550</v>
      </c>
    </row>
    <row r="491" spans="1:23">
      <c r="A491" s="23">
        <v>3</v>
      </c>
      <c r="B491" s="23">
        <v>24</v>
      </c>
      <c r="C491" s="18">
        <v>4</v>
      </c>
      <c r="D491" s="18">
        <v>6</v>
      </c>
      <c r="E491" s="20">
        <v>149</v>
      </c>
      <c r="F491" s="21">
        <f t="shared" si="22"/>
        <v>107.62885154061625</v>
      </c>
      <c r="G491" s="22">
        <v>0.41250002535498598</v>
      </c>
      <c r="H491" s="3">
        <v>1</v>
      </c>
      <c r="I491" s="18">
        <f t="shared" si="23"/>
        <v>0</v>
      </c>
      <c r="J491" s="41">
        <v>43357</v>
      </c>
      <c r="K491" s="36">
        <v>2018</v>
      </c>
      <c r="L491" s="32">
        <f t="shared" si="21"/>
        <v>43390</v>
      </c>
      <c r="M491" s="40">
        <v>0</v>
      </c>
      <c r="N491" s="33">
        <v>107</v>
      </c>
      <c r="O491" s="34">
        <f>AVERAGEIF(L3:L1205,"&lt;2018/9/14",N3:N1205)</f>
        <v>117.91525423728814</v>
      </c>
      <c r="P491" s="54">
        <v>3</v>
      </c>
      <c r="Q491" s="38">
        <f>AVERAGEIF(L3:L1205,"&lt;2018/9/14",P3:P1205)</f>
        <v>0.35451977401129942</v>
      </c>
      <c r="R491" s="38">
        <v>2</v>
      </c>
      <c r="S491" s="38">
        <f>AVERAGEIF(L3:L1205,"&lt;2018/9/14",R3:R1205)</f>
        <v>1.2302259887005649</v>
      </c>
      <c r="T491" s="54">
        <v>33</v>
      </c>
      <c r="U491" s="38">
        <f>AVERAGEIF(L3:L1205,"&lt;2018/9/14",T3:T1205)</f>
        <v>7.3672316384180787</v>
      </c>
      <c r="V491" s="24">
        <v>714</v>
      </c>
      <c r="W491" s="47" t="s">
        <v>4688</v>
      </c>
    </row>
    <row r="492" spans="1:23">
      <c r="A492" s="23">
        <v>2</v>
      </c>
      <c r="B492" s="23">
        <v>6</v>
      </c>
      <c r="C492" s="18">
        <v>4</v>
      </c>
      <c r="D492" s="18">
        <v>4</v>
      </c>
      <c r="E492" s="20">
        <v>79</v>
      </c>
      <c r="F492" s="21">
        <f t="shared" si="22"/>
        <v>107.66900420757364</v>
      </c>
      <c r="G492" s="22">
        <v>0.41272439354061502</v>
      </c>
      <c r="H492" s="18">
        <v>1</v>
      </c>
      <c r="I492" s="18">
        <f t="shared" si="23"/>
        <v>0</v>
      </c>
      <c r="J492" s="41">
        <v>43355</v>
      </c>
      <c r="K492" s="36">
        <v>2018</v>
      </c>
      <c r="L492" s="32">
        <f t="shared" si="21"/>
        <v>43362</v>
      </c>
      <c r="M492" s="40">
        <v>0</v>
      </c>
      <c r="N492" s="33">
        <v>107</v>
      </c>
      <c r="O492" s="34">
        <f>AVERAGEIF(L3:L1205,"&lt;2018/9/12",N3:N1205)</f>
        <v>118.04964539007092</v>
      </c>
      <c r="P492" s="38">
        <v>1</v>
      </c>
      <c r="Q492" s="38">
        <f>AVERAGEIF(L3:L1205,"&lt;2018/9/12",P3:P1205)</f>
        <v>0.35602836879432626</v>
      </c>
      <c r="R492" s="38">
        <v>2</v>
      </c>
      <c r="S492" s="38">
        <f>AVERAGEIF(L3:L1205,"&lt;2018/9/12",R3:R1205)</f>
        <v>1.2312056737588652</v>
      </c>
      <c r="T492" s="38">
        <v>7</v>
      </c>
      <c r="U492" s="38">
        <f>AVERAGEIF(L3:L1205,"&lt;2018/9/12",T3:T1205)</f>
        <v>7.3801418439716313</v>
      </c>
      <c r="V492" s="24">
        <v>713</v>
      </c>
      <c r="W492" s="47" t="s">
        <v>4550</v>
      </c>
    </row>
    <row r="493" spans="1:23">
      <c r="A493" s="23">
        <v>2</v>
      </c>
      <c r="B493" s="23">
        <v>6</v>
      </c>
      <c r="C493" s="18">
        <v>4</v>
      </c>
      <c r="D493" s="18">
        <v>4</v>
      </c>
      <c r="E493" s="20">
        <v>46</v>
      </c>
      <c r="F493" s="21">
        <f t="shared" si="22"/>
        <v>107.75561797752809</v>
      </c>
      <c r="G493" s="22">
        <v>0.41355170646873501</v>
      </c>
      <c r="H493" s="18">
        <v>1</v>
      </c>
      <c r="I493" s="18">
        <f t="shared" si="23"/>
        <v>0</v>
      </c>
      <c r="J493" s="41">
        <v>43354</v>
      </c>
      <c r="K493" s="36">
        <v>2018</v>
      </c>
      <c r="L493" s="32">
        <f t="shared" si="21"/>
        <v>43357</v>
      </c>
      <c r="M493" s="40">
        <v>0</v>
      </c>
      <c r="N493" s="33">
        <v>54</v>
      </c>
      <c r="O493" s="34">
        <f>AVERAGEIF(L3:L1205,"&lt;2018/9/11",N3:N1205)</f>
        <v>117.98579545454545</v>
      </c>
      <c r="P493" s="40">
        <v>0</v>
      </c>
      <c r="Q493" s="40">
        <f>AVERAGEIF(L3:L1205,"&lt;2018/9/11",P3:P1205)</f>
        <v>0.35653409090909088</v>
      </c>
      <c r="R493" s="40">
        <v>1</v>
      </c>
      <c r="S493" s="40">
        <f>AVERAGEIF(L3:L1205,"&lt;2018/9/11",R3:R1205)</f>
        <v>1.2315340909090908</v>
      </c>
      <c r="T493" s="40">
        <v>3</v>
      </c>
      <c r="U493" s="40">
        <f>AVERAGEIF(L3:L1205,"&lt;2018/9/11",T3:T1205)</f>
        <v>7.3892045454545459</v>
      </c>
      <c r="V493" s="24">
        <v>712</v>
      </c>
      <c r="W493" s="47" t="s">
        <v>4521</v>
      </c>
    </row>
    <row r="494" spans="1:23">
      <c r="A494" s="23">
        <v>3</v>
      </c>
      <c r="B494" s="23">
        <v>24</v>
      </c>
      <c r="C494" s="18">
        <v>5</v>
      </c>
      <c r="D494" s="18">
        <v>6</v>
      </c>
      <c r="E494" s="20">
        <v>83</v>
      </c>
      <c r="F494" s="21">
        <f t="shared" si="22"/>
        <v>107.79043600562588</v>
      </c>
      <c r="G494" s="22">
        <v>0.375001363416199</v>
      </c>
      <c r="H494" s="3">
        <v>1</v>
      </c>
      <c r="I494" s="18">
        <f t="shared" si="23"/>
        <v>0</v>
      </c>
      <c r="J494" s="41">
        <v>43354</v>
      </c>
      <c r="K494" s="36">
        <v>2018</v>
      </c>
      <c r="L494" s="32">
        <f t="shared" si="21"/>
        <v>43356</v>
      </c>
      <c r="M494" s="40">
        <v>0</v>
      </c>
      <c r="N494" s="33">
        <v>75</v>
      </c>
      <c r="O494" s="34">
        <f>AVERAGEIF(L3:L1205,"&lt;2018/9/11",N3:N1205)</f>
        <v>117.98579545454545</v>
      </c>
      <c r="P494" s="38">
        <v>0</v>
      </c>
      <c r="Q494" s="38">
        <f>AVERAGEIF(L3:L1205,"&lt;2018/9/11",P3:P1205)</f>
        <v>0.35653409090909088</v>
      </c>
      <c r="R494" s="38">
        <v>1</v>
      </c>
      <c r="S494" s="38">
        <f>AVERAGEIF(L3:L1205,"&lt;2018/9/11",R3:R1205)</f>
        <v>1.2315340909090908</v>
      </c>
      <c r="T494" s="38">
        <v>2</v>
      </c>
      <c r="U494" s="38">
        <f>AVERAGEIF(L3:L1205,"&lt;2018/9/11",T3:T1205)</f>
        <v>7.3892045454545459</v>
      </c>
      <c r="V494" s="24">
        <v>711</v>
      </c>
      <c r="W494" s="47" t="s">
        <v>4742</v>
      </c>
    </row>
    <row r="495" spans="1:23">
      <c r="A495" s="23">
        <v>2</v>
      </c>
      <c r="B495" s="23">
        <v>4</v>
      </c>
      <c r="C495" s="18">
        <v>5</v>
      </c>
      <c r="D495" s="18">
        <v>6</v>
      </c>
      <c r="E495" s="20">
        <v>91</v>
      </c>
      <c r="F495" s="21">
        <f t="shared" si="22"/>
        <v>107.81408450704225</v>
      </c>
      <c r="G495" s="22">
        <v>0.71166307805640905</v>
      </c>
      <c r="H495" s="18">
        <v>1</v>
      </c>
      <c r="I495" s="18">
        <f t="shared" si="23"/>
        <v>0</v>
      </c>
      <c r="J495" s="41">
        <v>43353</v>
      </c>
      <c r="K495" s="36">
        <v>2018</v>
      </c>
      <c r="L495" s="32">
        <f t="shared" si="21"/>
        <v>43353</v>
      </c>
      <c r="M495" s="40">
        <v>0</v>
      </c>
      <c r="N495" s="33">
        <v>129</v>
      </c>
      <c r="O495" s="34">
        <f>AVERAGEIF(L3:L1205,"&lt;2018/9/10",N3:N1205)</f>
        <v>118.05848787446504</v>
      </c>
      <c r="P495" s="38">
        <v>0</v>
      </c>
      <c r="Q495" s="38">
        <f>AVERAGEIF(L3:L1205,"&lt;2018/9/10",P3:P1205)</f>
        <v>0.35805991440798857</v>
      </c>
      <c r="R495" s="38">
        <v>1</v>
      </c>
      <c r="S495" s="38">
        <f>AVERAGEIF(L3:L1205,"&lt;2018/9/10",R3:R1205)</f>
        <v>1.2325249643366618</v>
      </c>
      <c r="T495" s="38">
        <v>0</v>
      </c>
      <c r="U495" s="38">
        <f>AVERAGEIF(L3:L1205,"&lt;2018/9/10",T3:T1205)</f>
        <v>7.4122681883024253</v>
      </c>
      <c r="V495" s="24">
        <v>710</v>
      </c>
      <c r="W495" s="47" t="s">
        <v>4563</v>
      </c>
    </row>
    <row r="496" spans="1:23">
      <c r="A496" s="23">
        <v>2</v>
      </c>
      <c r="B496" s="23">
        <v>6</v>
      </c>
      <c r="C496" s="18">
        <v>4</v>
      </c>
      <c r="D496" s="18">
        <v>4</v>
      </c>
      <c r="E496" s="20">
        <v>162</v>
      </c>
      <c r="F496" s="21">
        <f t="shared" si="22"/>
        <v>107.73765867418899</v>
      </c>
      <c r="G496" s="22">
        <v>0.304388983230925</v>
      </c>
      <c r="H496" s="18">
        <v>1</v>
      </c>
      <c r="I496" s="18">
        <f t="shared" si="23"/>
        <v>0</v>
      </c>
      <c r="J496" s="41">
        <v>43353</v>
      </c>
      <c r="K496" s="36">
        <v>2018</v>
      </c>
      <c r="L496" s="32">
        <f t="shared" si="21"/>
        <v>43354</v>
      </c>
      <c r="M496" s="40">
        <v>0</v>
      </c>
      <c r="N496" s="33">
        <v>163</v>
      </c>
      <c r="O496" s="34">
        <f>AVERAGEIF(L3:L1205,"&lt;2018/9/10",N3:N1205)</f>
        <v>118.05848787446504</v>
      </c>
      <c r="P496" s="38">
        <v>0</v>
      </c>
      <c r="Q496" s="38">
        <f>AVERAGEIF(L3:L1205,"&lt;2018/9/10",P3:P1205)</f>
        <v>0.35805991440798857</v>
      </c>
      <c r="R496" s="38">
        <v>1</v>
      </c>
      <c r="S496" s="38">
        <f>AVERAGEIF(L3:L1205,"&lt;2018/9/10",R3:R1205)</f>
        <v>1.2325249643366618</v>
      </c>
      <c r="T496" s="38">
        <v>1</v>
      </c>
      <c r="U496" s="38">
        <f>AVERAGEIF(L3:L1205,"&lt;2018/9/10",T3:T1205)</f>
        <v>7.4122681883024253</v>
      </c>
      <c r="V496" s="24">
        <v>709</v>
      </c>
      <c r="W496" s="47" t="s">
        <v>4661</v>
      </c>
    </row>
    <row r="497" spans="1:23">
      <c r="A497" s="23">
        <v>4</v>
      </c>
      <c r="B497" s="23">
        <v>28</v>
      </c>
      <c r="C497" s="18">
        <v>4</v>
      </c>
      <c r="D497" s="18">
        <v>6</v>
      </c>
      <c r="E497" s="20">
        <v>384</v>
      </c>
      <c r="F497" s="21">
        <f t="shared" si="22"/>
        <v>107.34745762711864</v>
      </c>
      <c r="G497" s="22">
        <v>0.37500000599450001</v>
      </c>
      <c r="H497" s="18">
        <v>1</v>
      </c>
      <c r="I497" s="18">
        <f t="shared" si="23"/>
        <v>0</v>
      </c>
      <c r="J497" s="45">
        <v>43353</v>
      </c>
      <c r="K497" s="36">
        <v>2018</v>
      </c>
      <c r="L497" s="32">
        <f t="shared" si="21"/>
        <v>43364</v>
      </c>
      <c r="M497" s="20">
        <v>0</v>
      </c>
      <c r="N497" s="33">
        <v>85</v>
      </c>
      <c r="O497" s="34">
        <f>AVERAGEIF(L3:L1205,"&lt;2018/9/10",N3:N1205)</f>
        <v>118.05848787446504</v>
      </c>
      <c r="P497" s="38">
        <v>0</v>
      </c>
      <c r="Q497" s="38">
        <f>AVERAGEIF(L3:L1205,"&lt;2018/9/10",P3:P1205)</f>
        <v>0.35805991440798857</v>
      </c>
      <c r="R497" s="38">
        <v>1</v>
      </c>
      <c r="S497" s="38">
        <f>AVERAGEIF(L3:L1205,"&lt;2018/9/10",R3:R1205)</f>
        <v>1.2325249643366618</v>
      </c>
      <c r="T497" s="38">
        <v>11</v>
      </c>
      <c r="U497" s="38">
        <f>AVERAGEIF(L3:L1205,"&lt;2018/9/10",T3:T1205)</f>
        <v>7.4122681883024253</v>
      </c>
      <c r="V497" s="24">
        <v>708</v>
      </c>
      <c r="W497" s="47" t="s">
        <v>4688</v>
      </c>
    </row>
    <row r="498" spans="1:23">
      <c r="A498" s="23">
        <v>2</v>
      </c>
      <c r="B498" s="23">
        <v>7</v>
      </c>
      <c r="C498" s="18">
        <v>4</v>
      </c>
      <c r="D498" s="18">
        <v>4</v>
      </c>
      <c r="E498" s="20">
        <v>50</v>
      </c>
      <c r="F498" s="21">
        <f t="shared" si="22"/>
        <v>107.42857142857143</v>
      </c>
      <c r="G498" s="22">
        <v>0.41278192734201302</v>
      </c>
      <c r="H498" s="18">
        <v>1</v>
      </c>
      <c r="I498" s="18">
        <f t="shared" si="23"/>
        <v>0</v>
      </c>
      <c r="J498" s="41">
        <v>43351</v>
      </c>
      <c r="K498" s="36">
        <v>2018</v>
      </c>
      <c r="L498" s="32">
        <f t="shared" si="21"/>
        <v>43357</v>
      </c>
      <c r="M498" s="40">
        <v>0</v>
      </c>
      <c r="N498" s="33">
        <v>42</v>
      </c>
      <c r="O498" s="34">
        <f>AVERAGEIF(L3:L1205,"&lt;2018/9/8",N3:N1205)</f>
        <v>118.05848787446504</v>
      </c>
      <c r="P498" s="40">
        <v>0</v>
      </c>
      <c r="Q498" s="40">
        <f>AVERAGEIF(L3:L1205,"&lt;2018/9/8",P3:P1205)</f>
        <v>0.35805991440798857</v>
      </c>
      <c r="R498" s="40">
        <v>1</v>
      </c>
      <c r="S498" s="40">
        <f>AVERAGEIF(L3:L1205,"&lt;2018/9/8",R3:R1205)</f>
        <v>1.2325249643366618</v>
      </c>
      <c r="T498" s="40">
        <v>6</v>
      </c>
      <c r="U498" s="40">
        <f>AVERAGEIF(L3:L1205,"&lt;2018/9/8",T3:T1205)</f>
        <v>7.4122681883024253</v>
      </c>
      <c r="V498" s="24">
        <v>707</v>
      </c>
      <c r="W498" s="47" t="s">
        <v>4521</v>
      </c>
    </row>
    <row r="499" spans="1:23">
      <c r="A499" s="23">
        <v>4</v>
      </c>
      <c r="B499" s="23">
        <v>34</v>
      </c>
      <c r="C499" s="18">
        <v>4</v>
      </c>
      <c r="D499" s="18">
        <v>6</v>
      </c>
      <c r="E499" s="20">
        <v>125</v>
      </c>
      <c r="F499" s="21">
        <f t="shared" si="22"/>
        <v>107.40368271954674</v>
      </c>
      <c r="G499" s="22">
        <v>0.41253690078121702</v>
      </c>
      <c r="H499" s="18">
        <v>1</v>
      </c>
      <c r="I499" s="18">
        <f t="shared" si="23"/>
        <v>0</v>
      </c>
      <c r="J499" s="45">
        <v>43351</v>
      </c>
      <c r="K499" s="36">
        <v>2018</v>
      </c>
      <c r="L499" s="32">
        <f t="shared" si="21"/>
        <v>43353</v>
      </c>
      <c r="M499" s="24">
        <v>0</v>
      </c>
      <c r="N499" s="33">
        <v>64</v>
      </c>
      <c r="O499" s="34">
        <f>AVERAGEIF(L3:L1205,"&lt;2018/9/8",N3:N1205)</f>
        <v>118.05848787446504</v>
      </c>
      <c r="P499" s="38">
        <v>0</v>
      </c>
      <c r="Q499" s="38">
        <f>AVERAGEIF(L3:L1205,"&lt;2018/9/8",P3:P1205)</f>
        <v>0.35805991440798857</v>
      </c>
      <c r="R499" s="38">
        <v>1</v>
      </c>
      <c r="S499" s="38">
        <f>AVERAGEIF(L3:L1205,"&lt;2018/9/8",R3:R1205)</f>
        <v>1.2325249643366618</v>
      </c>
      <c r="T499" s="38">
        <v>2</v>
      </c>
      <c r="U499" s="38">
        <f>AVERAGEIF(L3:L1205,"&lt;2018/9/8",T3:T1205)</f>
        <v>7.4122681883024253</v>
      </c>
      <c r="V499" s="24">
        <v>706</v>
      </c>
      <c r="W499" s="47" t="s">
        <v>4634</v>
      </c>
    </row>
    <row r="500" spans="1:23">
      <c r="A500" s="23">
        <v>3</v>
      </c>
      <c r="B500" s="23">
        <v>24</v>
      </c>
      <c r="C500" s="18">
        <v>4</v>
      </c>
      <c r="D500" s="18">
        <v>6</v>
      </c>
      <c r="E500" s="20">
        <v>73</v>
      </c>
      <c r="F500" s="21">
        <f t="shared" si="22"/>
        <v>107.45248226950355</v>
      </c>
      <c r="G500" s="22">
        <v>0.41508409969019899</v>
      </c>
      <c r="H500" s="3">
        <v>1</v>
      </c>
      <c r="I500" s="18">
        <f t="shared" si="23"/>
        <v>0</v>
      </c>
      <c r="J500" s="41">
        <v>43350</v>
      </c>
      <c r="K500" s="36">
        <v>2018</v>
      </c>
      <c r="L500" s="32">
        <f t="shared" si="21"/>
        <v>43355</v>
      </c>
      <c r="M500" s="40">
        <v>0</v>
      </c>
      <c r="N500" s="33">
        <v>63</v>
      </c>
      <c r="O500" s="34">
        <f>AVERAGEIF(L3:L1205,"&lt;2018/9/7",N3:N1205)</f>
        <v>118.09885386819484</v>
      </c>
      <c r="P500" s="38">
        <v>0</v>
      </c>
      <c r="Q500" s="38">
        <f>AVERAGEIF(L3:L1205,"&lt;2018/9/7",P3:P1205)</f>
        <v>0.3524355300859599</v>
      </c>
      <c r="R500" s="38">
        <v>1</v>
      </c>
      <c r="S500" s="38">
        <f>AVERAGEIF(L3:L1205,"&lt;2018/9/7",R3:R1205)</f>
        <v>1.2335243553008597</v>
      </c>
      <c r="T500" s="38">
        <v>5</v>
      </c>
      <c r="U500" s="38">
        <f>AVERAGEIF(L3:L1205,"&lt;2018/9/7",T3:T1205)</f>
        <v>7.4154727793696278</v>
      </c>
      <c r="V500" s="24">
        <v>705</v>
      </c>
      <c r="W500" s="47" t="s">
        <v>4529</v>
      </c>
    </row>
    <row r="501" spans="1:23">
      <c r="A501" s="23">
        <v>2</v>
      </c>
      <c r="B501" s="23">
        <v>6</v>
      </c>
      <c r="C501" s="18">
        <v>4</v>
      </c>
      <c r="D501" s="18">
        <v>6</v>
      </c>
      <c r="E501" s="20">
        <v>543</v>
      </c>
      <c r="F501" s="21">
        <f t="shared" si="22"/>
        <v>106.83380681818181</v>
      </c>
      <c r="G501" s="22">
        <v>0.64457576933079097</v>
      </c>
      <c r="H501" s="18">
        <v>0</v>
      </c>
      <c r="I501" s="18">
        <f t="shared" si="23"/>
        <v>1</v>
      </c>
      <c r="J501" s="41">
        <v>43349</v>
      </c>
      <c r="K501" s="36">
        <v>2018</v>
      </c>
      <c r="L501" s="32">
        <f t="shared" si="21"/>
        <v>43355</v>
      </c>
      <c r="M501" s="40">
        <v>0</v>
      </c>
      <c r="N501" s="33">
        <v>121</v>
      </c>
      <c r="O501" s="34">
        <f>AVERAGEIF(L3:L1205,"&lt;2018/9/6",N3:N1205)</f>
        <v>118.19655667144907</v>
      </c>
      <c r="P501" s="38">
        <v>0</v>
      </c>
      <c r="Q501" s="38">
        <f>AVERAGEIF(L3:L1205,"&lt;2018/9/6",P3:P1205)</f>
        <v>0.35150645624103299</v>
      </c>
      <c r="R501" s="38">
        <v>1</v>
      </c>
      <c r="S501" s="38">
        <f>AVERAGEIF(L3:L1205,"&lt;2018/9/6",R3:R1205)</f>
        <v>1.2338593974175036</v>
      </c>
      <c r="T501" s="38">
        <v>6</v>
      </c>
      <c r="U501" s="38">
        <f>AVERAGEIF(L3:L1205,"&lt;2018/9/6",T3:T1205)</f>
        <v>7.4218077474892397</v>
      </c>
      <c r="V501" s="24">
        <v>704</v>
      </c>
      <c r="W501" s="47" t="s">
        <v>4926</v>
      </c>
    </row>
    <row r="502" spans="1:23">
      <c r="A502" s="23">
        <v>4</v>
      </c>
      <c r="B502" s="23">
        <v>29</v>
      </c>
      <c r="C502" s="18">
        <v>4</v>
      </c>
      <c r="D502" s="18">
        <v>4</v>
      </c>
      <c r="E502" s="20">
        <v>95</v>
      </c>
      <c r="F502" s="21">
        <f t="shared" si="22"/>
        <v>106.85064011379801</v>
      </c>
      <c r="G502" s="22">
        <v>0.41296093208779</v>
      </c>
      <c r="H502" s="18">
        <v>1</v>
      </c>
      <c r="I502" s="18">
        <f t="shared" si="23"/>
        <v>0</v>
      </c>
      <c r="J502" s="45">
        <v>43349</v>
      </c>
      <c r="K502" s="36">
        <v>2018</v>
      </c>
      <c r="L502" s="32">
        <f t="shared" si="21"/>
        <v>43353</v>
      </c>
      <c r="M502" s="42">
        <v>0</v>
      </c>
      <c r="N502" s="33">
        <v>110</v>
      </c>
      <c r="O502" s="34">
        <f>AVERAGEIF(L3:L1205,"&lt;2018/9/6",N3:N1205)</f>
        <v>118.19655667144907</v>
      </c>
      <c r="P502" s="38">
        <v>0</v>
      </c>
      <c r="Q502" s="38">
        <f>AVERAGEIF(L3:L1205,"&lt;2018/9/6",P3:P1205)</f>
        <v>0.35150645624103299</v>
      </c>
      <c r="R502" s="38">
        <v>1</v>
      </c>
      <c r="S502" s="38">
        <f>AVERAGEIF(L3:L1205,"&lt;2018/9/6",R3:R1205)</f>
        <v>1.2338593974175036</v>
      </c>
      <c r="T502" s="38">
        <v>4</v>
      </c>
      <c r="U502" s="38">
        <f>AVERAGEIF(L3:L1205,"&lt;2018/9/6",T3:T1205)</f>
        <v>7.4218077474892397</v>
      </c>
      <c r="V502" s="24">
        <v>703</v>
      </c>
      <c r="W502" s="47" t="s">
        <v>4521</v>
      </c>
    </row>
    <row r="503" spans="1:23">
      <c r="A503" s="23">
        <v>4</v>
      </c>
      <c r="B503" s="23">
        <v>34</v>
      </c>
      <c r="C503" s="18">
        <v>4</v>
      </c>
      <c r="D503" s="18">
        <v>4</v>
      </c>
      <c r="E503" s="20">
        <v>78</v>
      </c>
      <c r="F503" s="21">
        <f t="shared" si="22"/>
        <v>106.89173789173789</v>
      </c>
      <c r="G503" s="22">
        <v>0.34363728465575699</v>
      </c>
      <c r="H503" s="18">
        <v>1</v>
      </c>
      <c r="I503" s="18">
        <f t="shared" si="23"/>
        <v>0</v>
      </c>
      <c r="J503" s="59">
        <v>43348</v>
      </c>
      <c r="K503" s="36">
        <v>2018</v>
      </c>
      <c r="L503" s="32">
        <f t="shared" si="21"/>
        <v>43350</v>
      </c>
      <c r="M503" s="42">
        <v>0</v>
      </c>
      <c r="N503" s="33">
        <v>54</v>
      </c>
      <c r="O503" s="34">
        <f>AVERAGEIF(L3:L1205,"&lt;2018/9/5",N3:N1205)</f>
        <v>118.19655667144907</v>
      </c>
      <c r="P503" s="54">
        <v>0</v>
      </c>
      <c r="Q503" s="38">
        <f>AVERAGEIF(L3:L1205,"&lt;2018/9/5",P3:P1205)</f>
        <v>0.35150645624103299</v>
      </c>
      <c r="R503" s="38">
        <v>1</v>
      </c>
      <c r="S503" s="38">
        <f>AVERAGEIF(L3:L1205,"&lt;2018/9/5",R3:R1205)</f>
        <v>1.2338593974175036</v>
      </c>
      <c r="T503" s="54">
        <v>2</v>
      </c>
      <c r="U503" s="38">
        <f>AVERAGEIF(L3:L1205,"&lt;2018/9/5",T3:T1205)</f>
        <v>7.4218077474892397</v>
      </c>
      <c r="V503" s="24">
        <v>702</v>
      </c>
      <c r="W503" s="47" t="s">
        <v>4550</v>
      </c>
    </row>
    <row r="504" spans="1:23">
      <c r="A504" s="23">
        <v>2</v>
      </c>
      <c r="B504" s="23">
        <v>6</v>
      </c>
      <c r="C504" s="18">
        <v>4</v>
      </c>
      <c r="D504" s="18">
        <v>4</v>
      </c>
      <c r="E504" s="20">
        <v>136</v>
      </c>
      <c r="F504" s="21">
        <f t="shared" si="22"/>
        <v>106.85021398002853</v>
      </c>
      <c r="G504" s="22">
        <v>0.37526365827660402</v>
      </c>
      <c r="H504" s="18">
        <v>0</v>
      </c>
      <c r="I504" s="18">
        <f t="shared" si="23"/>
        <v>1</v>
      </c>
      <c r="J504" s="41">
        <v>43346</v>
      </c>
      <c r="K504" s="36">
        <v>2018</v>
      </c>
      <c r="L504" s="32">
        <f t="shared" si="21"/>
        <v>43347</v>
      </c>
      <c r="M504" s="40">
        <v>1</v>
      </c>
      <c r="N504" s="33">
        <v>98</v>
      </c>
      <c r="O504" s="34">
        <f>AVERAGEIF(L3:L1205,"&lt;2018/9/3",N3:N1205)</f>
        <v>118.32517985611511</v>
      </c>
      <c r="P504" s="40">
        <v>0</v>
      </c>
      <c r="Q504" s="40">
        <f>AVERAGEIF(L3:L1205,"&lt;2018/9/3",P3:P1205)</f>
        <v>0.35251798561151076</v>
      </c>
      <c r="R504" s="40">
        <v>1</v>
      </c>
      <c r="S504" s="40">
        <f>AVERAGEIF(L3:L1205,"&lt;2018/9/3",R3:R1205)</f>
        <v>1.2345323741007195</v>
      </c>
      <c r="T504" s="40">
        <v>1</v>
      </c>
      <c r="U504" s="40">
        <f>AVERAGEIF(L3:L1205,"&lt;2018/9/3",T3:T1205)</f>
        <v>7.4258992805755399</v>
      </c>
      <c r="V504" s="24">
        <v>701</v>
      </c>
      <c r="W504" s="47" t="s">
        <v>4550</v>
      </c>
    </row>
    <row r="505" spans="1:23">
      <c r="A505" s="23">
        <v>2</v>
      </c>
      <c r="B505" s="23">
        <v>11</v>
      </c>
      <c r="C505" s="18">
        <v>4</v>
      </c>
      <c r="D505" s="18">
        <v>4</v>
      </c>
      <c r="E505" s="20">
        <v>41</v>
      </c>
      <c r="F505" s="21">
        <f t="shared" si="22"/>
        <v>106.94428571428571</v>
      </c>
      <c r="G505" s="22">
        <v>0.37500000711859399</v>
      </c>
      <c r="H505" s="18">
        <v>1</v>
      </c>
      <c r="I505" s="18">
        <f t="shared" si="23"/>
        <v>0</v>
      </c>
      <c r="J505" s="41">
        <v>43346</v>
      </c>
      <c r="K505" s="36">
        <v>2018</v>
      </c>
      <c r="L505" s="32">
        <f t="shared" si="21"/>
        <v>43349</v>
      </c>
      <c r="M505" s="40">
        <v>1</v>
      </c>
      <c r="N505" s="33">
        <v>50</v>
      </c>
      <c r="O505" s="34">
        <f>AVERAGEIF(L3:L1205,"&lt;2018/9/3",N3:N1205)</f>
        <v>118.32517985611511</v>
      </c>
      <c r="P505" s="38">
        <v>1</v>
      </c>
      <c r="Q505" s="38">
        <f>AVERAGEIF(L3:L1205,"&lt;2018/9/3",P3:P1205)</f>
        <v>0.35251798561151076</v>
      </c>
      <c r="R505" s="38">
        <v>1</v>
      </c>
      <c r="S505" s="38">
        <f>AVERAGEIF(L3:L1205,"&lt;2018/9/3",R3:R1205)</f>
        <v>1.2345323741007195</v>
      </c>
      <c r="T505" s="38">
        <v>3</v>
      </c>
      <c r="U505" s="38">
        <f>AVERAGEIF(L3:L1205,"&lt;2018/9/3",T3:T1205)</f>
        <v>7.4258992805755399</v>
      </c>
      <c r="V505" s="24">
        <v>700</v>
      </c>
      <c r="W505" s="47" t="s">
        <v>4563</v>
      </c>
    </row>
    <row r="506" spans="1:23">
      <c r="A506" s="23">
        <v>2</v>
      </c>
      <c r="B506" s="23">
        <v>6</v>
      </c>
      <c r="C506" s="18">
        <v>4</v>
      </c>
      <c r="D506" s="18">
        <v>6</v>
      </c>
      <c r="E506" s="20">
        <v>304</v>
      </c>
      <c r="F506" s="21">
        <f t="shared" si="22"/>
        <v>106.6623748211731</v>
      </c>
      <c r="G506" s="22">
        <v>0.30991735537368198</v>
      </c>
      <c r="H506" s="18">
        <v>1</v>
      </c>
      <c r="I506" s="18">
        <f t="shared" si="23"/>
        <v>0</v>
      </c>
      <c r="J506" s="41">
        <v>43342</v>
      </c>
      <c r="K506" s="36">
        <v>2018</v>
      </c>
      <c r="L506" s="32">
        <f t="shared" si="21"/>
        <v>43350</v>
      </c>
      <c r="M506" s="40">
        <v>1</v>
      </c>
      <c r="N506" s="33">
        <v>136</v>
      </c>
      <c r="O506" s="34">
        <f>AVERAGEIF(L3:L1205,"&lt;2018/8/30",N3:N1205)</f>
        <v>118.43227665706051</v>
      </c>
      <c r="P506" s="38">
        <v>2</v>
      </c>
      <c r="Q506" s="38">
        <f>AVERAGEIF(L3:L1205,"&lt;2018/8/30",P3:P1205)</f>
        <v>0.35302593659942361</v>
      </c>
      <c r="R506" s="38">
        <v>1</v>
      </c>
      <c r="S506" s="38">
        <f>AVERAGEIF(L3:L1205,"&lt;2018/8/30",R3:R1205)</f>
        <v>1.2348703170028819</v>
      </c>
      <c r="T506" s="38">
        <v>8</v>
      </c>
      <c r="U506" s="38">
        <f>AVERAGEIF(L3:L1205,"&lt;2018/8/30",T3:T1205)</f>
        <v>7.4351585014409221</v>
      </c>
      <c r="V506" s="24">
        <v>699</v>
      </c>
      <c r="W506" s="47" t="s">
        <v>4929</v>
      </c>
    </row>
    <row r="507" spans="1:23">
      <c r="A507" s="23">
        <v>3</v>
      </c>
      <c r="B507" s="23">
        <v>19</v>
      </c>
      <c r="C507" s="18">
        <v>4</v>
      </c>
      <c r="D507" s="18">
        <v>4</v>
      </c>
      <c r="E507" s="20">
        <v>45</v>
      </c>
      <c r="F507" s="21">
        <f t="shared" si="22"/>
        <v>106.75071633237822</v>
      </c>
      <c r="G507" s="22">
        <v>0.62164451947709398</v>
      </c>
      <c r="H507" s="3">
        <v>1</v>
      </c>
      <c r="I507" s="18">
        <f t="shared" si="23"/>
        <v>0</v>
      </c>
      <c r="J507" s="41">
        <v>43341</v>
      </c>
      <c r="K507" s="36">
        <v>2018</v>
      </c>
      <c r="L507" s="32">
        <f t="shared" si="21"/>
        <v>43342</v>
      </c>
      <c r="M507" s="24">
        <v>1</v>
      </c>
      <c r="N507" s="33">
        <v>44</v>
      </c>
      <c r="O507" s="34">
        <f>AVERAGEIF(L3:L1205,"&lt;2018/8/29",N3:N1205)</f>
        <v>118.67919075144509</v>
      </c>
      <c r="P507" s="38">
        <v>0</v>
      </c>
      <c r="Q507" s="38">
        <f>AVERAGEIF(L3:L1205,"&lt;2018/8/29",P3:P1205)</f>
        <v>0.35404624277456648</v>
      </c>
      <c r="R507" s="38">
        <v>1</v>
      </c>
      <c r="S507" s="38">
        <f>AVERAGEIF(L3:L1205,"&lt;2018/8/29",R3:R1205)</f>
        <v>1.2355491329479769</v>
      </c>
      <c r="T507" s="38">
        <v>1</v>
      </c>
      <c r="U507" s="38">
        <f>AVERAGEIF(L3:L1205,"&lt;2018/8/29",T3:T1205)</f>
        <v>7.4479768786127165</v>
      </c>
      <c r="V507" s="24">
        <v>698</v>
      </c>
      <c r="W507" s="47" t="s">
        <v>4550</v>
      </c>
    </row>
    <row r="508" spans="1:23">
      <c r="A508" s="23">
        <v>2</v>
      </c>
      <c r="B508" s="23">
        <v>6</v>
      </c>
      <c r="C508" s="18">
        <v>4</v>
      </c>
      <c r="D508" s="18">
        <v>6</v>
      </c>
      <c r="E508" s="20">
        <v>257</v>
      </c>
      <c r="F508" s="21">
        <f t="shared" si="22"/>
        <v>106.5351506456241</v>
      </c>
      <c r="G508" s="22">
        <v>0.30991735572953599</v>
      </c>
      <c r="H508" s="18">
        <v>1</v>
      </c>
      <c r="I508" s="18">
        <f t="shared" si="23"/>
        <v>0</v>
      </c>
      <c r="J508" s="41">
        <v>43340</v>
      </c>
      <c r="K508" s="36">
        <v>2018</v>
      </c>
      <c r="L508" s="32">
        <f t="shared" si="21"/>
        <v>43350</v>
      </c>
      <c r="M508" s="40">
        <v>1</v>
      </c>
      <c r="N508" s="33">
        <v>136</v>
      </c>
      <c r="O508" s="34">
        <f>AVERAGEIF(L3:L1205,"&lt;2018/8/28",N3:N1205)</f>
        <v>119.28093158660845</v>
      </c>
      <c r="P508" s="38">
        <v>3</v>
      </c>
      <c r="Q508" s="38">
        <f>AVERAGEIF(L3:L1205,"&lt;2018/8/28",P3:P1205)</f>
        <v>0.34934497816593885</v>
      </c>
      <c r="R508" s="38">
        <v>1</v>
      </c>
      <c r="S508" s="38">
        <f>AVERAGEIF(L3:L1205,"&lt;2018/8/28",R3:R1205)</f>
        <v>1.2358078602620088</v>
      </c>
      <c r="T508" s="38">
        <v>10</v>
      </c>
      <c r="U508" s="38">
        <f>AVERAGEIF(L3:L1205,"&lt;2018/8/28",T3:T1205)</f>
        <v>7.4497816593886466</v>
      </c>
      <c r="V508" s="24">
        <v>697</v>
      </c>
      <c r="W508" s="47" t="s">
        <v>4929</v>
      </c>
    </row>
    <row r="509" spans="1:23">
      <c r="A509" s="23">
        <v>2</v>
      </c>
      <c r="B509" s="23">
        <v>5</v>
      </c>
      <c r="C509" s="18">
        <v>4</v>
      </c>
      <c r="D509" s="18">
        <v>6</v>
      </c>
      <c r="E509" s="20">
        <v>67</v>
      </c>
      <c r="F509" s="21">
        <f t="shared" si="22"/>
        <v>106.5919540229885</v>
      </c>
      <c r="G509" s="22">
        <v>0.75598202247016899</v>
      </c>
      <c r="H509" s="18">
        <v>1</v>
      </c>
      <c r="I509" s="18">
        <f t="shared" si="23"/>
        <v>0</v>
      </c>
      <c r="J509" s="41">
        <v>43338</v>
      </c>
      <c r="K509" s="36">
        <v>2018</v>
      </c>
      <c r="L509" s="32">
        <f t="shared" si="21"/>
        <v>43341</v>
      </c>
      <c r="M509" s="40">
        <v>1</v>
      </c>
      <c r="N509" s="33">
        <v>33</v>
      </c>
      <c r="O509" s="34">
        <f>AVERAGEIF(L3:L1205,"&lt;2018/8/26",N3:N1205)</f>
        <v>119.28134110787173</v>
      </c>
      <c r="P509" s="40">
        <v>0</v>
      </c>
      <c r="Q509" s="40">
        <f>AVERAGEIF(L3:L1205,"&lt;2018/8/26",P3:P1205)</f>
        <v>0.3498542274052478</v>
      </c>
      <c r="R509" s="40">
        <v>1</v>
      </c>
      <c r="S509" s="40">
        <f>AVERAGEIF(L3:L1205,"&lt;2018/8/26",R3:R1205)</f>
        <v>1.2361516034985423</v>
      </c>
      <c r="T509" s="40">
        <v>3</v>
      </c>
      <c r="U509" s="40">
        <f>AVERAGEIF(L3:L1205,"&lt;2018/8/26",T3:T1205)</f>
        <v>7.4577259475218662</v>
      </c>
      <c r="V509" s="24">
        <v>696</v>
      </c>
      <c r="W509" s="47" t="s">
        <v>4742</v>
      </c>
    </row>
    <row r="510" spans="1:23">
      <c r="A510" s="23">
        <v>2</v>
      </c>
      <c r="B510" s="23">
        <v>10</v>
      </c>
      <c r="C510" s="18">
        <v>4</v>
      </c>
      <c r="D510" s="18">
        <v>6</v>
      </c>
      <c r="E510" s="20">
        <v>67</v>
      </c>
      <c r="F510" s="21">
        <f t="shared" si="22"/>
        <v>106.64892086330936</v>
      </c>
      <c r="G510" s="22">
        <v>0.75598202247016899</v>
      </c>
      <c r="H510" s="18">
        <v>1</v>
      </c>
      <c r="I510" s="18">
        <f t="shared" si="23"/>
        <v>0</v>
      </c>
      <c r="J510" s="41">
        <v>43338</v>
      </c>
      <c r="K510" s="36">
        <v>2018</v>
      </c>
      <c r="L510" s="32">
        <f t="shared" si="21"/>
        <v>43341</v>
      </c>
      <c r="M510" s="40">
        <v>1</v>
      </c>
      <c r="N510" s="33">
        <v>33</v>
      </c>
      <c r="O510" s="34">
        <f>AVERAGEIF(L3:L1205,"&lt;2018/8/26",N3:N1205)</f>
        <v>119.28134110787173</v>
      </c>
      <c r="P510" s="56">
        <v>0</v>
      </c>
      <c r="Q510" s="40">
        <f>AVERAGEIF(L3:L1205,"&lt;2018/8/26",P3:P1205)</f>
        <v>0.3498542274052478</v>
      </c>
      <c r="R510" s="40">
        <v>1</v>
      </c>
      <c r="S510" s="40">
        <f>AVERAGEIF(L3:L1205,"&lt;2018/8/26",R3:R1205)</f>
        <v>1.2361516034985423</v>
      </c>
      <c r="T510" s="56">
        <v>3</v>
      </c>
      <c r="U510" s="40">
        <f>AVERAGEIF(L3:L1205,"&lt;2018/8/26",T3:T1205)</f>
        <v>7.4577259475218662</v>
      </c>
      <c r="V510" s="24">
        <v>695</v>
      </c>
      <c r="W510" s="47" t="s">
        <v>4742</v>
      </c>
    </row>
    <row r="511" spans="1:23">
      <c r="A511" s="23">
        <v>3</v>
      </c>
      <c r="B511" s="23">
        <v>19</v>
      </c>
      <c r="C511" s="18">
        <v>4</v>
      </c>
      <c r="D511" s="18">
        <v>4</v>
      </c>
      <c r="E511" s="20">
        <v>35</v>
      </c>
      <c r="F511" s="21">
        <f t="shared" si="22"/>
        <v>106.7521613832853</v>
      </c>
      <c r="G511" s="22">
        <v>0.28770068225211398</v>
      </c>
      <c r="H511" s="3">
        <v>0</v>
      </c>
      <c r="I511" s="18">
        <f t="shared" si="23"/>
        <v>1</v>
      </c>
      <c r="J511" s="41">
        <v>43338</v>
      </c>
      <c r="K511" s="36">
        <v>2018</v>
      </c>
      <c r="L511" s="32">
        <f t="shared" si="21"/>
        <v>43340</v>
      </c>
      <c r="M511" s="38">
        <v>1</v>
      </c>
      <c r="N511" s="33">
        <v>39</v>
      </c>
      <c r="O511" s="34">
        <f>AVERAGEIF(L3:L1205,"&lt;2018/8/26",N3:N1205)</f>
        <v>119.28134110787173</v>
      </c>
      <c r="P511" s="54">
        <v>0</v>
      </c>
      <c r="Q511" s="38">
        <f>AVERAGEIF(L3:L1205,"&lt;2018/8/26",P3:P1205)</f>
        <v>0.3498542274052478</v>
      </c>
      <c r="R511" s="38">
        <v>1</v>
      </c>
      <c r="S511" s="38">
        <f>AVERAGEIF(L3:L1205,"&lt;2018/8/26",R3:R1205)</f>
        <v>1.2361516034985423</v>
      </c>
      <c r="T511" s="54">
        <v>2</v>
      </c>
      <c r="U511" s="38">
        <f>AVERAGEIF(L3:L1205,"&lt;2018/8/26",T3:T1205)</f>
        <v>7.4577259475218662</v>
      </c>
      <c r="V511" s="24">
        <v>694</v>
      </c>
      <c r="W511" s="47" t="s">
        <v>4529</v>
      </c>
    </row>
    <row r="512" spans="1:23">
      <c r="A512" s="23">
        <v>2</v>
      </c>
      <c r="B512" s="23">
        <v>7</v>
      </c>
      <c r="C512" s="18">
        <v>4</v>
      </c>
      <c r="D512" s="18">
        <v>8</v>
      </c>
      <c r="E512" s="20">
        <v>198</v>
      </c>
      <c r="F512" s="21">
        <f t="shared" si="22"/>
        <v>106.62049062049061</v>
      </c>
      <c r="G512" s="22">
        <v>0.60312025758080001</v>
      </c>
      <c r="H512" s="18">
        <v>1</v>
      </c>
      <c r="I512" s="18">
        <f t="shared" si="23"/>
        <v>0</v>
      </c>
      <c r="J512" s="41">
        <v>43337</v>
      </c>
      <c r="K512" s="36">
        <v>2018</v>
      </c>
      <c r="L512" s="32">
        <f t="shared" si="21"/>
        <v>43339</v>
      </c>
      <c r="M512" s="40">
        <v>0</v>
      </c>
      <c r="N512" s="33">
        <v>119</v>
      </c>
      <c r="O512" s="34">
        <f>AVERAGEIF(L3:L1205,"&lt;2018/8/25",N3:N1205)</f>
        <v>119.28134110787173</v>
      </c>
      <c r="P512" s="40">
        <v>0</v>
      </c>
      <c r="Q512" s="40">
        <f>AVERAGEIF(L3:L1205,"&lt;2018/8/25",P3:P1205)</f>
        <v>0.3498542274052478</v>
      </c>
      <c r="R512" s="40">
        <v>1</v>
      </c>
      <c r="S512" s="40">
        <f>AVERAGEIF(L3:L1205,"&lt;2018/8/25",R3:R1205)</f>
        <v>1.2361516034985423</v>
      </c>
      <c r="T512" s="40">
        <v>2</v>
      </c>
      <c r="U512" s="40">
        <f>AVERAGEIF(L3:L1205,"&lt;2018/8/25",T3:T1205)</f>
        <v>7.4577259475218662</v>
      </c>
      <c r="V512" s="24">
        <v>693</v>
      </c>
      <c r="W512" s="47" t="s">
        <v>4521</v>
      </c>
    </row>
    <row r="513" spans="1:23">
      <c r="A513" s="23">
        <v>2</v>
      </c>
      <c r="B513" s="23">
        <v>13</v>
      </c>
      <c r="C513" s="18">
        <v>4</v>
      </c>
      <c r="D513" s="18">
        <v>6</v>
      </c>
      <c r="E513" s="20">
        <v>140</v>
      </c>
      <c r="F513" s="21">
        <f t="shared" si="22"/>
        <v>106.57225433526011</v>
      </c>
      <c r="G513" s="22">
        <v>0.82544905636824295</v>
      </c>
      <c r="H513" s="18">
        <v>0</v>
      </c>
      <c r="I513" s="18">
        <f t="shared" si="23"/>
        <v>1</v>
      </c>
      <c r="J513" s="41">
        <v>43336</v>
      </c>
      <c r="K513" s="36">
        <v>2018</v>
      </c>
      <c r="L513" s="32">
        <f t="shared" si="21"/>
        <v>43381</v>
      </c>
      <c r="M513" s="24">
        <v>1</v>
      </c>
      <c r="N513" s="33">
        <v>45</v>
      </c>
      <c r="O513" s="34">
        <f>AVERAGEIF(L3:L1205,"&lt;2018/8/24",N3:N1205)</f>
        <v>119.45374449339207</v>
      </c>
      <c r="P513" s="54">
        <v>1</v>
      </c>
      <c r="Q513" s="38">
        <f>AVERAGEIF(L3:L1205,"&lt;2018/8/24",P3:P1205)</f>
        <v>0.34361233480176212</v>
      </c>
      <c r="R513" s="38">
        <v>2</v>
      </c>
      <c r="S513" s="38">
        <f>AVERAGEIF(L3:L1205,"&lt;2018/8/24",R3:R1205)</f>
        <v>1.236417033773862</v>
      </c>
      <c r="T513" s="54">
        <v>45</v>
      </c>
      <c r="U513" s="38">
        <f>AVERAGEIF(L3:L1205,"&lt;2018/8/24",T3:T1205)</f>
        <v>7.4654919236417037</v>
      </c>
      <c r="V513" s="24">
        <v>692</v>
      </c>
      <c r="W513" s="47" t="s">
        <v>4550</v>
      </c>
    </row>
    <row r="514" spans="1:23">
      <c r="A514" s="23">
        <v>4</v>
      </c>
      <c r="B514" s="23">
        <v>28</v>
      </c>
      <c r="C514" s="18">
        <v>4</v>
      </c>
      <c r="D514" s="18">
        <v>6</v>
      </c>
      <c r="E514" s="20">
        <v>312</v>
      </c>
      <c r="F514" s="21">
        <f t="shared" si="22"/>
        <v>106.27496382054993</v>
      </c>
      <c r="G514" s="22">
        <v>0.83541069996587003</v>
      </c>
      <c r="H514" s="18">
        <v>1</v>
      </c>
      <c r="I514" s="18">
        <f t="shared" si="23"/>
        <v>0</v>
      </c>
      <c r="J514" s="45">
        <v>43335</v>
      </c>
      <c r="K514" s="36">
        <v>2018</v>
      </c>
      <c r="L514" s="32">
        <f t="shared" si="21"/>
        <v>43346</v>
      </c>
      <c r="M514" s="20">
        <v>0</v>
      </c>
      <c r="N514" s="33">
        <v>49</v>
      </c>
      <c r="O514" s="34">
        <f>AVERAGEIF(L3:L1205,"&lt;2018/8/23",N3:N1205)</f>
        <v>119.45374449339207</v>
      </c>
      <c r="P514" s="54">
        <v>0</v>
      </c>
      <c r="Q514" s="38">
        <f>AVERAGEIF(L3:L1205,"&lt;2018/8/23",P3:P1205)</f>
        <v>0.34361233480176212</v>
      </c>
      <c r="R514" s="38">
        <v>1</v>
      </c>
      <c r="S514" s="38">
        <f>AVERAGEIF(L3:L1205,"&lt;2018/8/23",R3:R1205)</f>
        <v>1.236417033773862</v>
      </c>
      <c r="T514" s="54">
        <v>11</v>
      </c>
      <c r="U514" s="38">
        <f>AVERAGEIF(L3:L1205,"&lt;2018/8/23",T3:T1205)</f>
        <v>7.4654919236417037</v>
      </c>
      <c r="V514" s="24">
        <v>691</v>
      </c>
      <c r="W514" s="47" t="s">
        <v>4529</v>
      </c>
    </row>
    <row r="515" spans="1:23">
      <c r="A515" s="23">
        <v>3</v>
      </c>
      <c r="B515" s="23">
        <v>19</v>
      </c>
      <c r="C515" s="18">
        <v>4</v>
      </c>
      <c r="D515" s="18">
        <v>4</v>
      </c>
      <c r="E515" s="20">
        <v>114</v>
      </c>
      <c r="F515" s="21">
        <f t="shared" si="22"/>
        <v>106.26376811594203</v>
      </c>
      <c r="G515" s="22">
        <v>0.41531368271747099</v>
      </c>
      <c r="H515" s="3">
        <v>1</v>
      </c>
      <c r="I515" s="18">
        <f t="shared" si="23"/>
        <v>0</v>
      </c>
      <c r="J515" s="57">
        <v>43334</v>
      </c>
      <c r="K515" s="36">
        <v>2018</v>
      </c>
      <c r="L515" s="32">
        <f t="shared" ref="L515:L578" si="24">J515+T515</f>
        <v>43336</v>
      </c>
      <c r="M515" s="24">
        <v>0</v>
      </c>
      <c r="N515" s="33">
        <v>192</v>
      </c>
      <c r="O515" s="34">
        <f>AVERAGEIF(L3:L1205,"&lt;2018/8/22",N3:N1205)</f>
        <v>119.27941176470588</v>
      </c>
      <c r="P515" s="54">
        <v>0</v>
      </c>
      <c r="Q515" s="38">
        <f>AVERAGEIF(L3:L1205,"&lt;2018/8/22",P3:P1205)</f>
        <v>0.34264705882352942</v>
      </c>
      <c r="R515" s="38">
        <v>1</v>
      </c>
      <c r="S515" s="38">
        <f>AVERAGEIF(L3:L1205,"&lt;2018/8/22",R3:R1205)</f>
        <v>1.236764705882353</v>
      </c>
      <c r="T515" s="54">
        <v>2</v>
      </c>
      <c r="U515" s="38">
        <f>AVERAGEIF(L3:L1205,"&lt;2018/8/22",T3:T1205)</f>
        <v>7.4720588235294114</v>
      </c>
      <c r="V515" s="24">
        <v>690</v>
      </c>
      <c r="W515" s="47" t="s">
        <v>4624</v>
      </c>
    </row>
    <row r="516" spans="1:23">
      <c r="A516" s="23">
        <v>2</v>
      </c>
      <c r="B516" s="23">
        <v>6</v>
      </c>
      <c r="C516" s="18">
        <v>4</v>
      </c>
      <c r="D516" s="18">
        <v>4</v>
      </c>
      <c r="E516" s="20">
        <v>54</v>
      </c>
      <c r="F516" s="21">
        <f t="shared" ref="F516:F579" si="25">AVERAGE(E517:E1718)</f>
        <v>106.33962264150944</v>
      </c>
      <c r="G516" s="22">
        <v>0.63483107047121701</v>
      </c>
      <c r="H516" s="18">
        <v>1</v>
      </c>
      <c r="I516" s="18">
        <f t="shared" ref="I516:I579" si="26">IF(H516=1,0,1)</f>
        <v>0</v>
      </c>
      <c r="J516" s="41">
        <v>43333</v>
      </c>
      <c r="K516" s="36">
        <v>2018</v>
      </c>
      <c r="L516" s="32">
        <f t="shared" si="24"/>
        <v>43340</v>
      </c>
      <c r="M516" s="40">
        <v>0</v>
      </c>
      <c r="N516" s="33">
        <v>36</v>
      </c>
      <c r="O516" s="34">
        <f>AVERAGEIF(L3:L1205,"&lt;2018/8/21",N3:N1205)</f>
        <v>119.30486008836525</v>
      </c>
      <c r="P516" s="38">
        <v>1</v>
      </c>
      <c r="Q516" s="38">
        <f>AVERAGEIF(L3:L1205,"&lt;2018/8/21",P3:P1205)</f>
        <v>0.34315169366715759</v>
      </c>
      <c r="R516" s="38">
        <v>1</v>
      </c>
      <c r="S516" s="38">
        <f>AVERAGEIF(L3:L1205,"&lt;2018/8/21",R3:R1205)</f>
        <v>1.2356406480117821</v>
      </c>
      <c r="T516" s="38">
        <v>7</v>
      </c>
      <c r="U516" s="38">
        <f>AVERAGEIF(L3:L1205,"&lt;2018/8/21",T3:T1205)</f>
        <v>7.4742268041237114</v>
      </c>
      <c r="V516" s="24">
        <v>689</v>
      </c>
      <c r="W516" s="47" t="s">
        <v>4521</v>
      </c>
    </row>
    <row r="517" spans="1:23">
      <c r="A517" s="23">
        <v>2</v>
      </c>
      <c r="B517" s="23">
        <v>6</v>
      </c>
      <c r="C517" s="18">
        <v>4</v>
      </c>
      <c r="D517" s="18">
        <v>4</v>
      </c>
      <c r="E517" s="20">
        <v>99</v>
      </c>
      <c r="F517" s="21">
        <f t="shared" si="25"/>
        <v>106.35029069767442</v>
      </c>
      <c r="G517" s="22">
        <v>0.413278594319471</v>
      </c>
      <c r="H517" s="18">
        <v>1</v>
      </c>
      <c r="I517" s="18">
        <f t="shared" si="26"/>
        <v>0</v>
      </c>
      <c r="J517" s="41">
        <v>43333</v>
      </c>
      <c r="K517" s="36">
        <v>2018</v>
      </c>
      <c r="L517" s="32">
        <f t="shared" si="24"/>
        <v>43340</v>
      </c>
      <c r="M517" s="40">
        <v>0</v>
      </c>
      <c r="N517" s="33">
        <v>36</v>
      </c>
      <c r="O517" s="34">
        <f>AVERAGEIF(L3:L1205,"&lt;2018/8/21",N3:N1205)</f>
        <v>119.30486008836525</v>
      </c>
      <c r="P517" s="38">
        <v>1</v>
      </c>
      <c r="Q517" s="38">
        <f>AVERAGEIF(L3:L1205,"&lt;2018/8/21",P3:P1205)</f>
        <v>0.34315169366715759</v>
      </c>
      <c r="R517" s="38">
        <v>1</v>
      </c>
      <c r="S517" s="38">
        <f>AVERAGEIF(L3:L1205,"&lt;2018/8/21",R3:R1205)</f>
        <v>1.2356406480117821</v>
      </c>
      <c r="T517" s="38">
        <v>7</v>
      </c>
      <c r="U517" s="38">
        <f>AVERAGEIF(L3:L1205,"&lt;2018/8/21",T3:T1205)</f>
        <v>7.4742268041237114</v>
      </c>
      <c r="V517" s="24">
        <v>688</v>
      </c>
      <c r="W517" s="47" t="s">
        <v>4523</v>
      </c>
    </row>
    <row r="518" spans="1:23">
      <c r="A518" s="23">
        <v>2</v>
      </c>
      <c r="B518" s="23">
        <v>6</v>
      </c>
      <c r="C518" s="18">
        <v>4</v>
      </c>
      <c r="D518" s="18">
        <v>4</v>
      </c>
      <c r="E518" s="20">
        <v>79</v>
      </c>
      <c r="F518" s="21">
        <f t="shared" si="25"/>
        <v>106.3901018922853</v>
      </c>
      <c r="G518" s="22">
        <v>0.375388150347715</v>
      </c>
      <c r="H518" s="18">
        <v>1</v>
      </c>
      <c r="I518" s="18">
        <f t="shared" si="26"/>
        <v>0</v>
      </c>
      <c r="J518" s="41">
        <v>43333</v>
      </c>
      <c r="K518" s="36">
        <v>2018</v>
      </c>
      <c r="L518" s="32">
        <f t="shared" si="24"/>
        <v>43340</v>
      </c>
      <c r="M518" s="40">
        <v>0</v>
      </c>
      <c r="N518" s="33">
        <v>36</v>
      </c>
      <c r="O518" s="34">
        <f>AVERAGEIF(L3:L1205,"&lt;2018/8/21",N3:N1205)</f>
        <v>119.30486008836525</v>
      </c>
      <c r="P518" s="38">
        <v>1</v>
      </c>
      <c r="Q518" s="38">
        <f>AVERAGEIF(L3:L1205,"&lt;2018/8/21",P3:P1205)</f>
        <v>0.34315169366715759</v>
      </c>
      <c r="R518" s="38">
        <v>1</v>
      </c>
      <c r="S518" s="38">
        <f>AVERAGEIF(L3:L1205,"&lt;2018/8/21",R3:R1205)</f>
        <v>1.2356406480117821</v>
      </c>
      <c r="T518" s="38">
        <v>7</v>
      </c>
      <c r="U518" s="38">
        <f>AVERAGEIF(L3:L1205,"&lt;2018/8/21",T3:T1205)</f>
        <v>7.4742268041237114</v>
      </c>
      <c r="V518" s="24">
        <v>687</v>
      </c>
      <c r="W518" s="47" t="s">
        <v>4621</v>
      </c>
    </row>
    <row r="519" spans="1:23">
      <c r="A519" s="23">
        <v>2</v>
      </c>
      <c r="B519" s="23">
        <v>13</v>
      </c>
      <c r="C519" s="18">
        <v>4</v>
      </c>
      <c r="D519" s="18">
        <v>6</v>
      </c>
      <c r="E519" s="20">
        <v>47</v>
      </c>
      <c r="F519" s="21">
        <f t="shared" si="25"/>
        <v>106.47667638483965</v>
      </c>
      <c r="G519" s="22">
        <v>0.68892639419905599</v>
      </c>
      <c r="H519" s="18">
        <v>0</v>
      </c>
      <c r="I519" s="18">
        <f t="shared" si="26"/>
        <v>1</v>
      </c>
      <c r="J519" s="41">
        <v>43332</v>
      </c>
      <c r="K519" s="36">
        <v>2018</v>
      </c>
      <c r="L519" s="32">
        <f t="shared" si="24"/>
        <v>43336</v>
      </c>
      <c r="M519" s="40">
        <v>1</v>
      </c>
      <c r="N519" s="33">
        <v>66</v>
      </c>
      <c r="O519" s="34">
        <f>AVERAGEIF(L3:L1205,"&lt;2018/8/20",N3:N1205)</f>
        <v>119.30486008836525</v>
      </c>
      <c r="P519" s="38">
        <v>0</v>
      </c>
      <c r="Q519" s="38">
        <f>AVERAGEIF(L3:L1205,"&lt;2018/8/20",P3:P1205)</f>
        <v>0.34315169366715759</v>
      </c>
      <c r="R519" s="38">
        <v>1</v>
      </c>
      <c r="S519" s="38">
        <f>AVERAGEIF(L3:L1205,"&lt;2018/8/20",R3:R1205)</f>
        <v>1.2356406480117821</v>
      </c>
      <c r="T519" s="38">
        <v>4</v>
      </c>
      <c r="U519" s="38">
        <f>AVERAGEIF(L3:L1205,"&lt;2018/8/20",T3:T1205)</f>
        <v>7.4742268041237114</v>
      </c>
      <c r="V519" s="24">
        <v>686</v>
      </c>
      <c r="W519" s="47" t="s">
        <v>4529</v>
      </c>
    </row>
    <row r="520" spans="1:23">
      <c r="A520" s="23">
        <v>2</v>
      </c>
      <c r="B520" s="23">
        <v>13</v>
      </c>
      <c r="C520" s="18">
        <v>4</v>
      </c>
      <c r="D520" s="18">
        <v>6</v>
      </c>
      <c r="E520" s="20">
        <v>50</v>
      </c>
      <c r="F520" s="21">
        <f t="shared" si="25"/>
        <v>106.55912408759124</v>
      </c>
      <c r="G520" s="22">
        <v>0.47206729656164298</v>
      </c>
      <c r="H520" s="18">
        <v>0</v>
      </c>
      <c r="I520" s="18">
        <f t="shared" si="26"/>
        <v>1</v>
      </c>
      <c r="J520" s="41">
        <v>43332</v>
      </c>
      <c r="K520" s="36">
        <v>2018</v>
      </c>
      <c r="L520" s="32">
        <f t="shared" si="24"/>
        <v>43357</v>
      </c>
      <c r="M520" s="40">
        <v>1</v>
      </c>
      <c r="N520" s="33">
        <v>42</v>
      </c>
      <c r="O520" s="34">
        <f>AVERAGEIF(L3:L1205,"&lt;2018/8/20",N3:N1205)</f>
        <v>119.30486008836525</v>
      </c>
      <c r="P520" s="54">
        <v>1</v>
      </c>
      <c r="Q520" s="38">
        <f>AVERAGEIF(L3:L1205,"&lt;2018/8/20",P3:P1205)</f>
        <v>0.34315169366715759</v>
      </c>
      <c r="R520" s="38">
        <v>2</v>
      </c>
      <c r="S520" s="38">
        <f>AVERAGEIF(L3:L1205,"&lt;2018/8/20",R3:R1205)</f>
        <v>1.2356406480117821</v>
      </c>
      <c r="T520" s="54">
        <v>25</v>
      </c>
      <c r="U520" s="38">
        <f>AVERAGEIF(L3:L1205,"&lt;2018/8/20",T3:T1205)</f>
        <v>7.4742268041237114</v>
      </c>
      <c r="V520" s="24">
        <v>685</v>
      </c>
      <c r="W520" s="47" t="s">
        <v>4529</v>
      </c>
    </row>
    <row r="521" spans="1:23">
      <c r="A521" s="23">
        <v>2</v>
      </c>
      <c r="B521" s="23">
        <v>4</v>
      </c>
      <c r="C521" s="18">
        <v>5</v>
      </c>
      <c r="D521" s="18">
        <v>6</v>
      </c>
      <c r="E521" s="20">
        <v>263</v>
      </c>
      <c r="F521" s="21">
        <f t="shared" si="25"/>
        <v>106.33040935672514</v>
      </c>
      <c r="G521" s="22">
        <v>0.340909862752309</v>
      </c>
      <c r="H521" s="18">
        <v>1</v>
      </c>
      <c r="I521" s="18">
        <f t="shared" si="26"/>
        <v>0</v>
      </c>
      <c r="J521" s="41">
        <v>43331</v>
      </c>
      <c r="K521" s="36">
        <v>2018</v>
      </c>
      <c r="L521" s="32">
        <f t="shared" si="24"/>
        <v>43334</v>
      </c>
      <c r="M521" s="40">
        <v>0</v>
      </c>
      <c r="N521" s="33">
        <v>238</v>
      </c>
      <c r="O521" s="34">
        <f>AVERAGEIF(L3:L1205,"&lt;2018/8/19",N3:N1205)</f>
        <v>119.30486008836525</v>
      </c>
      <c r="P521" s="38">
        <v>1</v>
      </c>
      <c r="Q521" s="38">
        <f>AVERAGEIF(L3:L1205,"&lt;2018/8/19",P3:P1205)</f>
        <v>0.34315169366715759</v>
      </c>
      <c r="R521" s="38">
        <v>1</v>
      </c>
      <c r="S521" s="38">
        <f>AVERAGEIF(L3:L1205,"&lt;2018/8/19",R3:R1205)</f>
        <v>1.2356406480117821</v>
      </c>
      <c r="T521" s="38">
        <v>3</v>
      </c>
      <c r="U521" s="38">
        <f>AVERAGEIF(L3:L1205,"&lt;2018/8/19",T3:T1205)</f>
        <v>7.4742268041237114</v>
      </c>
      <c r="V521" s="24">
        <v>684</v>
      </c>
      <c r="W521" s="47" t="s">
        <v>4897</v>
      </c>
    </row>
    <row r="522" spans="1:23">
      <c r="A522" s="23">
        <v>2</v>
      </c>
      <c r="B522" s="23">
        <v>14</v>
      </c>
      <c r="C522" s="18">
        <v>4</v>
      </c>
      <c r="D522" s="18">
        <v>4</v>
      </c>
      <c r="E522" s="20">
        <v>113</v>
      </c>
      <c r="F522" s="21">
        <f t="shared" si="25"/>
        <v>106.32064421669106</v>
      </c>
      <c r="G522" s="22">
        <v>0.41250000761442501</v>
      </c>
      <c r="H522" s="18">
        <v>1</v>
      </c>
      <c r="I522" s="18">
        <f t="shared" si="26"/>
        <v>0</v>
      </c>
      <c r="J522" s="41">
        <v>43331</v>
      </c>
      <c r="K522" s="36">
        <v>2018</v>
      </c>
      <c r="L522" s="32">
        <f t="shared" si="24"/>
        <v>43336</v>
      </c>
      <c r="M522" s="40">
        <v>0</v>
      </c>
      <c r="N522" s="33">
        <v>73</v>
      </c>
      <c r="O522" s="34">
        <f>AVERAGEIF(L3:L1205,"&lt;2018/8/19",N3:N1205)</f>
        <v>119.30486008836525</v>
      </c>
      <c r="P522" s="56">
        <v>2</v>
      </c>
      <c r="Q522" s="40">
        <f>AVERAGEIF(L3:L1205,"&lt;2018/8/19",P3:P1205)</f>
        <v>0.34315169366715759</v>
      </c>
      <c r="R522" s="40">
        <v>1</v>
      </c>
      <c r="S522" s="40">
        <f>AVERAGEIF(L3:L1205,"&lt;2018/8/19",R3:R1205)</f>
        <v>1.2356406480117821</v>
      </c>
      <c r="T522" s="56">
        <v>5</v>
      </c>
      <c r="U522" s="40">
        <f>AVERAGEIF(L3:L1205,"&lt;2018/8/19",T3:T1205)</f>
        <v>7.4742268041237114</v>
      </c>
      <c r="V522" s="24">
        <v>683</v>
      </c>
      <c r="W522" s="47" t="s">
        <v>4621</v>
      </c>
    </row>
    <row r="523" spans="1:23">
      <c r="A523" s="23">
        <v>2</v>
      </c>
      <c r="B523" s="23">
        <v>6</v>
      </c>
      <c r="C523" s="18">
        <v>4</v>
      </c>
      <c r="D523" s="18">
        <v>4</v>
      </c>
      <c r="E523" s="20">
        <v>68</v>
      </c>
      <c r="F523" s="21">
        <f t="shared" si="25"/>
        <v>106.37683284457478</v>
      </c>
      <c r="G523" s="22">
        <v>0.41252682183640299</v>
      </c>
      <c r="H523" s="18">
        <v>1</v>
      </c>
      <c r="I523" s="18">
        <f t="shared" si="26"/>
        <v>0</v>
      </c>
      <c r="J523" s="41">
        <v>43330</v>
      </c>
      <c r="K523" s="36">
        <v>2018</v>
      </c>
      <c r="L523" s="32">
        <f t="shared" si="24"/>
        <v>43336</v>
      </c>
      <c r="M523" s="40">
        <v>0</v>
      </c>
      <c r="N523" s="33">
        <v>53</v>
      </c>
      <c r="O523" s="34">
        <f>AVERAGEIF(L3:L1205,"&lt;2018/8/18",N3:N1205)</f>
        <v>119.30486008836525</v>
      </c>
      <c r="P523" s="54">
        <v>2</v>
      </c>
      <c r="Q523" s="38">
        <f>AVERAGEIF(L3:L1205,"&lt;2018/8/18",P3:P1205)</f>
        <v>0.34315169366715759</v>
      </c>
      <c r="R523" s="38">
        <v>1</v>
      </c>
      <c r="S523" s="38">
        <f>AVERAGEIF(L3:L1205,"&lt;2018/8/18",R3:R1205)</f>
        <v>1.2356406480117821</v>
      </c>
      <c r="T523" s="54">
        <v>6</v>
      </c>
      <c r="U523" s="38">
        <f>AVERAGEIF(L3:L1205,"&lt;2018/8/18",T3:T1205)</f>
        <v>7.4742268041237114</v>
      </c>
      <c r="V523" s="24">
        <v>682</v>
      </c>
      <c r="W523" s="47" t="s">
        <v>4523</v>
      </c>
    </row>
    <row r="524" spans="1:23">
      <c r="A524" s="23">
        <v>2</v>
      </c>
      <c r="B524" s="23">
        <v>7</v>
      </c>
      <c r="C524" s="18">
        <v>4</v>
      </c>
      <c r="D524" s="18">
        <v>4</v>
      </c>
      <c r="E524" s="20">
        <v>46</v>
      </c>
      <c r="F524" s="21">
        <f t="shared" si="25"/>
        <v>106.46549192364171</v>
      </c>
      <c r="G524" s="22">
        <v>0.85788623711129197</v>
      </c>
      <c r="H524" s="18">
        <v>1</v>
      </c>
      <c r="I524" s="18">
        <f t="shared" si="26"/>
        <v>0</v>
      </c>
      <c r="J524" s="41">
        <v>43327</v>
      </c>
      <c r="K524" s="36">
        <v>2018</v>
      </c>
      <c r="L524" s="32">
        <f t="shared" si="24"/>
        <v>43333</v>
      </c>
      <c r="M524" s="40">
        <v>0</v>
      </c>
      <c r="N524" s="33">
        <v>102</v>
      </c>
      <c r="O524" s="34">
        <f>AVERAGEIF(L3:L1205,"&lt;2018/8/15",N3:N1205)</f>
        <v>119.64740740740741</v>
      </c>
      <c r="P524" s="38">
        <v>0</v>
      </c>
      <c r="Q524" s="38">
        <f>AVERAGEIF(L3:L1205,"&lt;2018/8/15",P3:P1205)</f>
        <v>0.34222222222222221</v>
      </c>
      <c r="R524" s="38">
        <v>2</v>
      </c>
      <c r="S524" s="38">
        <f>AVERAGEIF(L3:L1205,"&lt;2018/8/15",R3:R1205)</f>
        <v>1.2370370370370369</v>
      </c>
      <c r="T524" s="38">
        <v>6</v>
      </c>
      <c r="U524" s="38">
        <f>AVERAGEIF(L3:L1205,"&lt;2018/8/15",T3:T1205)</f>
        <v>7.4755555555555553</v>
      </c>
      <c r="V524" s="24">
        <v>681</v>
      </c>
      <c r="W524" s="47" t="s">
        <v>4550</v>
      </c>
    </row>
    <row r="525" spans="1:23">
      <c r="A525" s="23">
        <v>2</v>
      </c>
      <c r="B525" s="23">
        <v>16</v>
      </c>
      <c r="C525" s="18">
        <v>4</v>
      </c>
      <c r="D525" s="18">
        <v>4</v>
      </c>
      <c r="E525" s="20">
        <v>48</v>
      </c>
      <c r="F525" s="21">
        <f t="shared" si="25"/>
        <v>106.55147058823529</v>
      </c>
      <c r="G525" s="22">
        <v>0.38597109608005797</v>
      </c>
      <c r="H525" s="18">
        <v>0</v>
      </c>
      <c r="I525" s="18">
        <f t="shared" si="26"/>
        <v>1</v>
      </c>
      <c r="J525" s="41">
        <v>43327</v>
      </c>
      <c r="K525" s="36">
        <v>2018</v>
      </c>
      <c r="L525" s="32">
        <f t="shared" si="24"/>
        <v>43340</v>
      </c>
      <c r="M525" s="40">
        <v>0</v>
      </c>
      <c r="N525" s="33">
        <v>33</v>
      </c>
      <c r="O525" s="34">
        <f>AVERAGEIF(L3:L1205,"&lt;2018/8/15",N3:N1205)</f>
        <v>119.64740740740741</v>
      </c>
      <c r="P525" s="40">
        <v>2</v>
      </c>
      <c r="Q525" s="40">
        <f>AVERAGEIF(L3:L1205,"&lt;2018/8/15",P3:P1205)</f>
        <v>0.34222222222222221</v>
      </c>
      <c r="R525" s="40">
        <v>2</v>
      </c>
      <c r="S525" s="40">
        <f>AVERAGEIF(L3:L1205,"&lt;2018/8/15",R3:R1205)</f>
        <v>1.2370370370370369</v>
      </c>
      <c r="T525" s="40">
        <v>13</v>
      </c>
      <c r="U525" s="40">
        <f>AVERAGEIF(L3:L1205,"&lt;2018/8/15",T3:T1205)</f>
        <v>7.4755555555555553</v>
      </c>
      <c r="V525" s="24">
        <v>680</v>
      </c>
      <c r="W525" s="47" t="s">
        <v>4618</v>
      </c>
    </row>
    <row r="526" spans="1:23">
      <c r="A526" s="23">
        <v>2</v>
      </c>
      <c r="B526" s="23">
        <v>7</v>
      </c>
      <c r="C526" s="18">
        <v>4</v>
      </c>
      <c r="D526" s="18">
        <v>4</v>
      </c>
      <c r="E526" s="20">
        <v>98</v>
      </c>
      <c r="F526" s="21">
        <f t="shared" si="25"/>
        <v>106.5640648011782</v>
      </c>
      <c r="G526" s="22">
        <v>0.37500021830032298</v>
      </c>
      <c r="H526" s="18">
        <v>1</v>
      </c>
      <c r="I526" s="18">
        <f t="shared" si="26"/>
        <v>0</v>
      </c>
      <c r="J526" s="41">
        <v>43325</v>
      </c>
      <c r="K526" s="36">
        <v>2018</v>
      </c>
      <c r="L526" s="32">
        <f t="shared" si="24"/>
        <v>43327</v>
      </c>
      <c r="M526" s="40">
        <v>0</v>
      </c>
      <c r="N526" s="33">
        <v>31</v>
      </c>
      <c r="O526" s="34">
        <f>AVERAGEIF(L3:L1205,"&lt;2018/8/13",N3:N1205)</f>
        <v>119.6860119047619</v>
      </c>
      <c r="P526" s="40">
        <v>0</v>
      </c>
      <c r="Q526" s="40">
        <f>AVERAGEIF(L3:L1205,"&lt;2018/8/13",P3:P1205)</f>
        <v>0.34226190476190477</v>
      </c>
      <c r="R526" s="40">
        <v>1</v>
      </c>
      <c r="S526" s="40">
        <f>AVERAGEIF(L3:L1205,"&lt;2018/8/13",R3:R1205)</f>
        <v>1.2380952380952381</v>
      </c>
      <c r="T526" s="40">
        <v>2</v>
      </c>
      <c r="U526" s="40">
        <f>AVERAGEIF(L3:L1205,"&lt;2018/8/13",T3:T1205)</f>
        <v>7.4747023809523814</v>
      </c>
      <c r="V526" s="24">
        <v>679</v>
      </c>
      <c r="W526" s="47" t="s">
        <v>4550</v>
      </c>
    </row>
    <row r="527" spans="1:23">
      <c r="A527" s="23">
        <v>2</v>
      </c>
      <c r="B527" s="23">
        <v>6</v>
      </c>
      <c r="C527" s="18">
        <v>4</v>
      </c>
      <c r="D527" s="18">
        <v>4</v>
      </c>
      <c r="E527" s="20">
        <v>55</v>
      </c>
      <c r="F527" s="21">
        <f t="shared" si="25"/>
        <v>106.64011799410029</v>
      </c>
      <c r="G527" s="22">
        <v>0.42045855890255801</v>
      </c>
      <c r="H527" s="18">
        <v>1</v>
      </c>
      <c r="I527" s="18">
        <f t="shared" si="26"/>
        <v>0</v>
      </c>
      <c r="J527" s="41">
        <v>43323</v>
      </c>
      <c r="K527" s="36">
        <v>2018</v>
      </c>
      <c r="L527" s="32">
        <f t="shared" si="24"/>
        <v>43327</v>
      </c>
      <c r="M527" s="40">
        <v>0</v>
      </c>
      <c r="N527" s="33">
        <v>47</v>
      </c>
      <c r="O527" s="34">
        <f>AVERAGEIF(L3:L1205,"&lt;2018/8/11",N3:N1205)</f>
        <v>119.6860119047619</v>
      </c>
      <c r="P527" s="56">
        <v>0</v>
      </c>
      <c r="Q527" s="40">
        <f>AVERAGEIF(L3:L1205,"&lt;2018/8/11",P3:P1205)</f>
        <v>0.34226190476190477</v>
      </c>
      <c r="R527" s="40">
        <v>1</v>
      </c>
      <c r="S527" s="40">
        <f>AVERAGEIF(L3:L1205,"&lt;2018/8/11",R3:R1205)</f>
        <v>1.2380952380952381</v>
      </c>
      <c r="T527" s="56">
        <v>4</v>
      </c>
      <c r="U527" s="40">
        <f>AVERAGEIF(L3:L1205,"&lt;2018/8/11",T3:T1205)</f>
        <v>7.4747023809523814</v>
      </c>
      <c r="V527" s="24">
        <v>678</v>
      </c>
      <c r="W527" s="47" t="s">
        <v>4553</v>
      </c>
    </row>
    <row r="528" spans="1:23">
      <c r="A528" s="23">
        <v>2</v>
      </c>
      <c r="B528" s="23">
        <v>6</v>
      </c>
      <c r="C528" s="18">
        <v>4</v>
      </c>
      <c r="D528" s="18">
        <v>4</v>
      </c>
      <c r="E528" s="20">
        <v>53</v>
      </c>
      <c r="F528" s="21">
        <f t="shared" si="25"/>
        <v>106.71935007385524</v>
      </c>
      <c r="G528" s="22">
        <v>0.43463586571180801</v>
      </c>
      <c r="H528" s="18">
        <v>1</v>
      </c>
      <c r="I528" s="18">
        <f t="shared" si="26"/>
        <v>0</v>
      </c>
      <c r="J528" s="41">
        <v>43321</v>
      </c>
      <c r="K528" s="36">
        <v>2018</v>
      </c>
      <c r="L528" s="32">
        <f t="shared" si="24"/>
        <v>43325</v>
      </c>
      <c r="M528" s="40">
        <v>0</v>
      </c>
      <c r="N528" s="33">
        <v>140</v>
      </c>
      <c r="O528" s="34">
        <f>AVERAGEIF(L3:L1205,"&lt;2018/8/9",N3:N1205)</f>
        <v>119.71492537313434</v>
      </c>
      <c r="P528" s="54">
        <v>0</v>
      </c>
      <c r="Q528" s="38">
        <f>AVERAGEIF(L3:L1205,"&lt;2018/8/9",P3:P1205)</f>
        <v>0.34179104477611938</v>
      </c>
      <c r="R528" s="38">
        <v>1</v>
      </c>
      <c r="S528" s="38">
        <f>AVERAGEIF(L3:L1205,"&lt;2018/8/9",R3:R1205)</f>
        <v>1.2388059701492538</v>
      </c>
      <c r="T528" s="54">
        <v>4</v>
      </c>
      <c r="U528" s="38">
        <f>AVERAGEIF(L3:L1205,"&lt;2018/8/9",T3:T1205)</f>
        <v>7.4850746268656714</v>
      </c>
      <c r="V528" s="24">
        <v>677</v>
      </c>
      <c r="W528" s="47" t="s">
        <v>4553</v>
      </c>
    </row>
    <row r="529" spans="1:23">
      <c r="A529" s="23">
        <v>2</v>
      </c>
      <c r="B529" s="23">
        <v>7</v>
      </c>
      <c r="C529" s="18">
        <v>4</v>
      </c>
      <c r="D529" s="18">
        <v>4</v>
      </c>
      <c r="E529" s="20">
        <v>59</v>
      </c>
      <c r="F529" s="21">
        <f t="shared" si="25"/>
        <v>106.78994082840237</v>
      </c>
      <c r="G529" s="22">
        <v>0.425362082432309</v>
      </c>
      <c r="H529" s="18">
        <v>1</v>
      </c>
      <c r="I529" s="18">
        <f t="shared" si="26"/>
        <v>0</v>
      </c>
      <c r="J529" s="41">
        <v>43321</v>
      </c>
      <c r="K529" s="36">
        <v>2018</v>
      </c>
      <c r="L529" s="32">
        <f t="shared" si="24"/>
        <v>43336</v>
      </c>
      <c r="M529" s="40">
        <v>0</v>
      </c>
      <c r="N529" s="33">
        <v>95</v>
      </c>
      <c r="O529" s="34">
        <f>AVERAGEIF(L3:L1205,"&lt;2018/8/9",N3:N1205)</f>
        <v>119.71492537313434</v>
      </c>
      <c r="P529" s="40">
        <v>2</v>
      </c>
      <c r="Q529" s="40">
        <f>AVERAGEIF(L3:L1205,"&lt;2018/8/9",P3:P1205)</f>
        <v>0.34179104477611938</v>
      </c>
      <c r="R529" s="40">
        <v>2</v>
      </c>
      <c r="S529" s="40">
        <f>AVERAGEIF(L3:L1205,"&lt;2018/8/9",R3:R1205)</f>
        <v>1.2388059701492538</v>
      </c>
      <c r="T529" s="40">
        <v>15</v>
      </c>
      <c r="U529" s="40">
        <f>AVERAGEIF(L3:L1205,"&lt;2018/8/9",T3:T1205)</f>
        <v>7.4850746268656714</v>
      </c>
      <c r="V529" s="24">
        <v>676</v>
      </c>
      <c r="W529" s="47" t="s">
        <v>4523</v>
      </c>
    </row>
    <row r="530" spans="1:23">
      <c r="A530" s="17">
        <v>1</v>
      </c>
      <c r="B530" s="17">
        <v>3</v>
      </c>
      <c r="C530" s="18">
        <v>4</v>
      </c>
      <c r="D530" s="18">
        <v>6</v>
      </c>
      <c r="E530" s="20">
        <v>98</v>
      </c>
      <c r="F530" s="21">
        <f t="shared" si="25"/>
        <v>106.80296296296297</v>
      </c>
      <c r="G530" s="22">
        <v>0.91160984348855201</v>
      </c>
      <c r="H530" s="18">
        <v>1</v>
      </c>
      <c r="I530" s="18">
        <f t="shared" si="26"/>
        <v>0</v>
      </c>
      <c r="J530" s="41">
        <v>43319</v>
      </c>
      <c r="K530" s="36">
        <v>2018</v>
      </c>
      <c r="L530" s="32">
        <f t="shared" si="24"/>
        <v>43328</v>
      </c>
      <c r="M530" s="24">
        <v>1</v>
      </c>
      <c r="N530" s="33">
        <v>104</v>
      </c>
      <c r="O530" s="34">
        <f>AVERAGEIF(L3:L1205,"&lt;2018/8/7",N3:N1205)</f>
        <v>119.75150602409639</v>
      </c>
      <c r="P530" s="55">
        <v>1</v>
      </c>
      <c r="Q530" s="24">
        <f>AVERAGEIF(L3:L1205,"&lt;2018/8/7",P3:P1205)</f>
        <v>0.34337349397590361</v>
      </c>
      <c r="R530" s="24">
        <v>1</v>
      </c>
      <c r="S530" s="24">
        <f>AVERAGEIF(L3:L1205,"&lt;2018/8/7",R3:R1205)</f>
        <v>1.2409638554216869</v>
      </c>
      <c r="T530" s="55">
        <v>9</v>
      </c>
      <c r="U530" s="24">
        <f>AVERAGEIF(L3:L1205,"&lt;2018/8/7",T3:T1205)</f>
        <v>7.5</v>
      </c>
      <c r="V530" s="24">
        <v>675</v>
      </c>
      <c r="W530" s="47" t="s">
        <v>4742</v>
      </c>
    </row>
    <row r="531" spans="1:23">
      <c r="A531" s="23">
        <v>4</v>
      </c>
      <c r="B531" s="23">
        <v>37</v>
      </c>
      <c r="C531" s="18">
        <v>4</v>
      </c>
      <c r="D531" s="18">
        <v>4</v>
      </c>
      <c r="E531" s="20">
        <v>65</v>
      </c>
      <c r="F531" s="21">
        <f t="shared" si="25"/>
        <v>106.86498516320475</v>
      </c>
      <c r="G531" s="22">
        <v>0.37500014486559202</v>
      </c>
      <c r="H531" s="18">
        <v>1</v>
      </c>
      <c r="I531" s="18">
        <f t="shared" si="26"/>
        <v>0</v>
      </c>
      <c r="J531" s="45">
        <v>43319</v>
      </c>
      <c r="K531" s="36">
        <v>2018</v>
      </c>
      <c r="L531" s="32">
        <f t="shared" si="24"/>
        <v>43326</v>
      </c>
      <c r="M531" s="42">
        <v>0</v>
      </c>
      <c r="N531" s="33">
        <v>33</v>
      </c>
      <c r="O531" s="34">
        <f>AVERAGEIF(L3:L1205,"&lt;2018/8/7",N3:N1205)</f>
        <v>119.75150602409639</v>
      </c>
      <c r="P531" s="54">
        <v>1</v>
      </c>
      <c r="Q531" s="38">
        <f>AVERAGEIF(L3:L1205,"&lt;2018/8/7",P3:P1205)</f>
        <v>0.34337349397590361</v>
      </c>
      <c r="R531" s="38">
        <v>1</v>
      </c>
      <c r="S531" s="38">
        <f>AVERAGEIF(L3:L1205,"&lt;2018/8/7",R3:R1205)</f>
        <v>1.2409638554216869</v>
      </c>
      <c r="T531" s="54">
        <v>7</v>
      </c>
      <c r="U531" s="38">
        <f>AVERAGEIF(L3:L1205,"&lt;2018/8/7",T3:T1205)</f>
        <v>7.5</v>
      </c>
      <c r="V531" s="24">
        <v>674</v>
      </c>
      <c r="W531" s="47" t="s">
        <v>4630</v>
      </c>
    </row>
    <row r="532" spans="1:23">
      <c r="A532" s="23">
        <v>2</v>
      </c>
      <c r="B532" s="23">
        <v>6</v>
      </c>
      <c r="C532" s="18">
        <v>4</v>
      </c>
      <c r="D532" s="18">
        <v>4</v>
      </c>
      <c r="E532" s="20">
        <v>68</v>
      </c>
      <c r="F532" s="21">
        <f t="shared" si="25"/>
        <v>106.92273402674591</v>
      </c>
      <c r="G532" s="22">
        <v>0.43517844209350498</v>
      </c>
      <c r="H532" s="18">
        <v>1</v>
      </c>
      <c r="I532" s="18">
        <f t="shared" si="26"/>
        <v>0</v>
      </c>
      <c r="J532" s="41">
        <v>43318</v>
      </c>
      <c r="K532" s="36">
        <v>2018</v>
      </c>
      <c r="L532" s="32">
        <f t="shared" si="24"/>
        <v>43320</v>
      </c>
      <c r="M532" s="40">
        <v>0</v>
      </c>
      <c r="N532" s="33">
        <v>114</v>
      </c>
      <c r="O532" s="34">
        <f>AVERAGEIF(L3:L1205,"&lt;2018/8/6",N3:N1205)</f>
        <v>119.75150602409639</v>
      </c>
      <c r="P532" s="56">
        <v>0</v>
      </c>
      <c r="Q532" s="40">
        <f>AVERAGEIF(L3:L1205,"&lt;2018/8/6",P3:P1205)</f>
        <v>0.34337349397590361</v>
      </c>
      <c r="R532" s="40">
        <v>1</v>
      </c>
      <c r="S532" s="40">
        <f>AVERAGEIF(L3:L1205,"&lt;2018/8/6",R3:R1205)</f>
        <v>1.2409638554216869</v>
      </c>
      <c r="T532" s="56">
        <v>2</v>
      </c>
      <c r="U532" s="40">
        <f>AVERAGEIF(L3:L1205,"&lt;2018/8/6",T3:T1205)</f>
        <v>7.5</v>
      </c>
      <c r="V532" s="24">
        <v>673</v>
      </c>
      <c r="W532" s="47" t="s">
        <v>4558</v>
      </c>
    </row>
    <row r="533" spans="1:23">
      <c r="A533" s="23">
        <v>2</v>
      </c>
      <c r="B533" s="23">
        <v>4</v>
      </c>
      <c r="C533" s="18">
        <v>4</v>
      </c>
      <c r="D533" s="18">
        <v>6</v>
      </c>
      <c r="E533" s="20">
        <v>87</v>
      </c>
      <c r="F533" s="21">
        <f t="shared" si="25"/>
        <v>106.95238095238095</v>
      </c>
      <c r="G533" s="22">
        <v>0.41279961438129298</v>
      </c>
      <c r="H533" s="18">
        <v>0</v>
      </c>
      <c r="I533" s="18">
        <f t="shared" si="26"/>
        <v>1</v>
      </c>
      <c r="J533" s="41">
        <v>43317</v>
      </c>
      <c r="K533" s="36">
        <v>2018</v>
      </c>
      <c r="L533" s="32">
        <f t="shared" si="24"/>
        <v>43319</v>
      </c>
      <c r="M533" s="40">
        <v>1</v>
      </c>
      <c r="N533" s="33">
        <v>68</v>
      </c>
      <c r="O533" s="34">
        <f>AVERAGEIF(L3:L1205,"&lt;2018/8/5",N3:N1205)</f>
        <v>119.75150602409639</v>
      </c>
      <c r="P533" s="54">
        <v>0</v>
      </c>
      <c r="Q533" s="38">
        <f>AVERAGEIF(L3:L1205,"&lt;2018/8/5",P3:P1205)</f>
        <v>0.34337349397590361</v>
      </c>
      <c r="R533" s="38">
        <v>1</v>
      </c>
      <c r="S533" s="38">
        <f>AVERAGEIF(L3:L1205,"&lt;2018/8/5",R3:R1205)</f>
        <v>1.2409638554216869</v>
      </c>
      <c r="T533" s="54">
        <v>2</v>
      </c>
      <c r="U533" s="38">
        <f>AVERAGEIF(L3:L1205,"&lt;2018/8/5",T3:T1205)</f>
        <v>7.5</v>
      </c>
      <c r="V533" s="24">
        <v>672</v>
      </c>
      <c r="W533" s="47" t="s">
        <v>4529</v>
      </c>
    </row>
    <row r="534" spans="1:23">
      <c r="A534" s="23">
        <v>2</v>
      </c>
      <c r="B534" s="23">
        <v>4</v>
      </c>
      <c r="C534" s="18">
        <v>4</v>
      </c>
      <c r="D534" s="18">
        <v>4</v>
      </c>
      <c r="E534" s="20">
        <v>119</v>
      </c>
      <c r="F534" s="21">
        <f t="shared" si="25"/>
        <v>106.93442622950819</v>
      </c>
      <c r="G534" s="22">
        <v>0.37509482450700798</v>
      </c>
      <c r="H534" s="18">
        <v>1</v>
      </c>
      <c r="I534" s="18">
        <f t="shared" si="26"/>
        <v>0</v>
      </c>
      <c r="J534" s="41">
        <v>43317</v>
      </c>
      <c r="K534" s="36">
        <v>2018</v>
      </c>
      <c r="L534" s="32">
        <f t="shared" si="24"/>
        <v>43321</v>
      </c>
      <c r="M534" s="40">
        <v>0</v>
      </c>
      <c r="N534" s="33">
        <v>51</v>
      </c>
      <c r="O534" s="34">
        <f>AVERAGEIF(L3:L1205,"&lt;2018/8/5",N3:N1205)</f>
        <v>119.75150602409639</v>
      </c>
      <c r="P534" s="40">
        <v>0</v>
      </c>
      <c r="Q534" s="40">
        <f>AVERAGEIF(L3:L1205,"&lt;2018/8/5",P3:P1205)</f>
        <v>0.34337349397590361</v>
      </c>
      <c r="R534" s="40">
        <v>1</v>
      </c>
      <c r="S534" s="40">
        <f>AVERAGEIF(L3:L1205,"&lt;2018/8/5",R3:R1205)</f>
        <v>1.2409638554216869</v>
      </c>
      <c r="T534" s="40">
        <v>4</v>
      </c>
      <c r="U534" s="40">
        <f>AVERAGEIF(L3:L1205,"&lt;2018/8/5",T3:T1205)</f>
        <v>7.5</v>
      </c>
      <c r="V534" s="24">
        <v>671</v>
      </c>
      <c r="W534" s="47" t="s">
        <v>4626</v>
      </c>
    </row>
    <row r="535" spans="1:23">
      <c r="A535" s="23">
        <v>2</v>
      </c>
      <c r="B535" s="23">
        <v>9</v>
      </c>
      <c r="C535" s="18">
        <v>4</v>
      </c>
      <c r="D535" s="18">
        <v>6</v>
      </c>
      <c r="E535" s="20">
        <v>68</v>
      </c>
      <c r="F535" s="21">
        <f t="shared" si="25"/>
        <v>106.99253731343283</v>
      </c>
      <c r="G535" s="22">
        <v>0.30991735537195803</v>
      </c>
      <c r="H535" s="18">
        <v>0</v>
      </c>
      <c r="I535" s="18">
        <f t="shared" si="26"/>
        <v>1</v>
      </c>
      <c r="J535" s="41">
        <v>43317</v>
      </c>
      <c r="K535" s="36">
        <v>2018</v>
      </c>
      <c r="L535" s="32">
        <f t="shared" si="24"/>
        <v>43321</v>
      </c>
      <c r="M535" s="40">
        <v>0</v>
      </c>
      <c r="N535" s="33">
        <v>169</v>
      </c>
      <c r="O535" s="34">
        <f>AVERAGEIF(L3:L1205,"&lt;2018/8/5",N3:N1205)</f>
        <v>119.75150602409639</v>
      </c>
      <c r="P535" s="38">
        <v>1</v>
      </c>
      <c r="Q535" s="38">
        <f>AVERAGEIF(L3:L1205,"&lt;2018/8/5",P3:P1205)</f>
        <v>0.34337349397590361</v>
      </c>
      <c r="R535" s="38">
        <v>1</v>
      </c>
      <c r="S535" s="38">
        <f>AVERAGEIF(L3:L1205,"&lt;2018/8/5",R3:R1205)</f>
        <v>1.2409638554216869</v>
      </c>
      <c r="T535" s="38">
        <v>4</v>
      </c>
      <c r="U535" s="38">
        <f>AVERAGEIF(L3:L1205,"&lt;2018/8/5",T3:T1205)</f>
        <v>7.5</v>
      </c>
      <c r="V535" s="24">
        <v>670</v>
      </c>
      <c r="W535" s="47" t="s">
        <v>4529</v>
      </c>
    </row>
    <row r="536" spans="1:23">
      <c r="A536" s="23">
        <v>5</v>
      </c>
      <c r="B536" s="23">
        <v>38</v>
      </c>
      <c r="C536" s="18">
        <v>4</v>
      </c>
      <c r="D536" s="18">
        <v>4</v>
      </c>
      <c r="E536" s="20">
        <v>61</v>
      </c>
      <c r="F536" s="21">
        <f t="shared" si="25"/>
        <v>107.06128550074739</v>
      </c>
      <c r="G536" s="22">
        <v>0.50671135433998604</v>
      </c>
      <c r="H536" s="18">
        <v>1</v>
      </c>
      <c r="I536" s="18">
        <f t="shared" si="26"/>
        <v>0</v>
      </c>
      <c r="J536" s="41">
        <v>43316</v>
      </c>
      <c r="K536" s="36">
        <v>2018</v>
      </c>
      <c r="L536" s="32">
        <f t="shared" si="24"/>
        <v>43320</v>
      </c>
      <c r="M536" s="40">
        <v>0</v>
      </c>
      <c r="N536" s="33">
        <v>251</v>
      </c>
      <c r="O536" s="34">
        <f>AVERAGEIF(L3:L1205,"&lt;2018/8/4",N3:N1205)</f>
        <v>119.75150602409639</v>
      </c>
      <c r="P536" s="38">
        <v>0</v>
      </c>
      <c r="Q536" s="38">
        <f>AVERAGEIF(L3:L1205,"&lt;2018/8/4",P3:P1205)</f>
        <v>0.34337349397590361</v>
      </c>
      <c r="R536" s="38">
        <v>1</v>
      </c>
      <c r="S536" s="38">
        <f>AVERAGEIF(L3:L1205,"&lt;2018/8/4",R3:R1205)</f>
        <v>1.2409638554216869</v>
      </c>
      <c r="T536" s="38">
        <v>4</v>
      </c>
      <c r="U536" s="38">
        <f>AVERAGEIF(L3:L1205,"&lt;2018/8/4",T3:T1205)</f>
        <v>7.5</v>
      </c>
      <c r="V536" s="24">
        <v>669</v>
      </c>
      <c r="W536" s="47" t="s">
        <v>4652</v>
      </c>
    </row>
    <row r="537" spans="1:23">
      <c r="A537" s="23">
        <v>2</v>
      </c>
      <c r="B537" s="23">
        <v>4</v>
      </c>
      <c r="C537" s="18">
        <v>4</v>
      </c>
      <c r="D537" s="18">
        <v>4</v>
      </c>
      <c r="E537" s="20">
        <v>51</v>
      </c>
      <c r="F537" s="21">
        <f t="shared" si="25"/>
        <v>107.14520958083833</v>
      </c>
      <c r="G537" s="22">
        <v>0.41337518167287002</v>
      </c>
      <c r="H537" s="18">
        <v>1</v>
      </c>
      <c r="I537" s="18">
        <f t="shared" si="26"/>
        <v>0</v>
      </c>
      <c r="J537" s="41">
        <v>43315</v>
      </c>
      <c r="K537" s="36">
        <v>2018</v>
      </c>
      <c r="L537" s="32">
        <f t="shared" si="24"/>
        <v>43319</v>
      </c>
      <c r="M537" s="40">
        <v>0</v>
      </c>
      <c r="N537" s="33">
        <v>87</v>
      </c>
      <c r="O537" s="34">
        <f>AVERAGEIF(L3:L1205,"&lt;2018/8/3",N3:N1205)</f>
        <v>119.75150602409639</v>
      </c>
      <c r="P537" s="38">
        <v>0</v>
      </c>
      <c r="Q537" s="38">
        <f>AVERAGEIF(L3:L1205,"&lt;2018/8/3",P3:P1205)</f>
        <v>0.34337349397590361</v>
      </c>
      <c r="R537" s="38">
        <v>1</v>
      </c>
      <c r="S537" s="38">
        <f>AVERAGEIF(L3:L1205,"&lt;2018/8/3",R3:R1205)</f>
        <v>1.2409638554216869</v>
      </c>
      <c r="T537" s="38">
        <v>4</v>
      </c>
      <c r="U537" s="38">
        <f>AVERAGEIF(L3:L1205,"&lt;2018/8/3",T3:T1205)</f>
        <v>7.5</v>
      </c>
      <c r="V537" s="24">
        <v>668</v>
      </c>
      <c r="W537" s="47" t="s">
        <v>4521</v>
      </c>
    </row>
    <row r="538" spans="1:23">
      <c r="A538" s="23">
        <v>3</v>
      </c>
      <c r="B538" s="23">
        <v>25</v>
      </c>
      <c r="C538" s="18">
        <v>4</v>
      </c>
      <c r="D538" s="18">
        <v>6</v>
      </c>
      <c r="E538" s="20">
        <v>452</v>
      </c>
      <c r="F538" s="21">
        <f t="shared" si="25"/>
        <v>106.62818590704647</v>
      </c>
      <c r="G538" s="22">
        <v>0.375</v>
      </c>
      <c r="H538" s="3">
        <v>1</v>
      </c>
      <c r="I538" s="18">
        <f t="shared" si="26"/>
        <v>0</v>
      </c>
      <c r="J538" s="41">
        <v>43315</v>
      </c>
      <c r="K538" s="36">
        <v>2018</v>
      </c>
      <c r="L538" s="32">
        <f t="shared" si="24"/>
        <v>43329</v>
      </c>
      <c r="M538" s="40">
        <v>0</v>
      </c>
      <c r="N538" s="33">
        <v>64</v>
      </c>
      <c r="O538" s="34">
        <f>AVERAGEIF(L3:L1205,"&lt;2018/8/3",N3:N1205)</f>
        <v>119.75150602409639</v>
      </c>
      <c r="P538" s="38">
        <v>1</v>
      </c>
      <c r="Q538" s="38">
        <f>AVERAGEIF(L3:L1205,"&lt;2018/8/3",P3:P1205)</f>
        <v>0.34337349397590361</v>
      </c>
      <c r="R538" s="38">
        <v>1</v>
      </c>
      <c r="S538" s="38">
        <f>AVERAGEIF(L3:L1205,"&lt;2018/8/3",R3:R1205)</f>
        <v>1.2409638554216869</v>
      </c>
      <c r="T538" s="38">
        <v>14</v>
      </c>
      <c r="U538" s="38">
        <f>AVERAGEIF(L3:L1205,"&lt;2018/8/3",T3:T1205)</f>
        <v>7.5</v>
      </c>
      <c r="V538" s="24">
        <v>667</v>
      </c>
      <c r="W538" s="47" t="s">
        <v>4634</v>
      </c>
    </row>
    <row r="539" spans="1:23">
      <c r="A539" s="23">
        <v>2</v>
      </c>
      <c r="B539" s="23">
        <v>16</v>
      </c>
      <c r="C539" s="18">
        <v>4</v>
      </c>
      <c r="D539" s="18">
        <v>4</v>
      </c>
      <c r="E539" s="20">
        <v>74</v>
      </c>
      <c r="F539" s="21">
        <f t="shared" si="25"/>
        <v>106.67717717717717</v>
      </c>
      <c r="G539" s="22">
        <v>0.78166037646633402</v>
      </c>
      <c r="H539" s="18">
        <v>0</v>
      </c>
      <c r="I539" s="18">
        <f t="shared" si="26"/>
        <v>1</v>
      </c>
      <c r="J539" s="41">
        <v>43314</v>
      </c>
      <c r="K539" s="36">
        <v>2018</v>
      </c>
      <c r="L539" s="32">
        <f t="shared" si="24"/>
        <v>43326</v>
      </c>
      <c r="M539" s="40">
        <v>0</v>
      </c>
      <c r="N539" s="33">
        <v>160</v>
      </c>
      <c r="O539" s="34">
        <f>AVERAGEIF(L3:L1205,"&lt;2018/8/2",N3:N1205)</f>
        <v>119.96520423600604</v>
      </c>
      <c r="P539" s="38">
        <v>0</v>
      </c>
      <c r="Q539" s="38">
        <f>AVERAGEIF(L3:L1205,"&lt;2018/8/2",P3:P1205)</f>
        <v>0.34341906202723149</v>
      </c>
      <c r="R539" s="38">
        <v>1</v>
      </c>
      <c r="S539" s="38">
        <f>AVERAGEIF(L3:L1205,"&lt;2018/8/2",R3:R1205)</f>
        <v>1.2420574886535551</v>
      </c>
      <c r="T539" s="38">
        <v>12</v>
      </c>
      <c r="U539" s="38">
        <f>AVERAGEIF(L3:L1205,"&lt;2018/8/2",T3:T1205)</f>
        <v>7.5204236006051435</v>
      </c>
      <c r="V539" s="24">
        <v>666</v>
      </c>
      <c r="W539" s="47" t="s">
        <v>4878</v>
      </c>
    </row>
    <row r="540" spans="1:23">
      <c r="A540" s="23">
        <v>2</v>
      </c>
      <c r="B540" s="23">
        <v>18</v>
      </c>
      <c r="C540" s="18">
        <v>4</v>
      </c>
      <c r="D540" s="18">
        <v>6</v>
      </c>
      <c r="E540" s="20">
        <v>122</v>
      </c>
      <c r="F540" s="21">
        <f t="shared" si="25"/>
        <v>106.65413533834587</v>
      </c>
      <c r="G540" s="22">
        <v>0.778600826150742</v>
      </c>
      <c r="H540" s="18">
        <v>1</v>
      </c>
      <c r="I540" s="18">
        <f t="shared" si="26"/>
        <v>0</v>
      </c>
      <c r="J540" s="41">
        <v>43314</v>
      </c>
      <c r="K540" s="36">
        <v>2018</v>
      </c>
      <c r="L540" s="32">
        <f t="shared" si="24"/>
        <v>43319</v>
      </c>
      <c r="M540" s="40">
        <v>1</v>
      </c>
      <c r="N540" s="33">
        <v>98</v>
      </c>
      <c r="O540" s="34">
        <f>AVERAGEIF(L3:L1205,"&lt;2018/8/2",N3:N1205)</f>
        <v>119.96520423600604</v>
      </c>
      <c r="P540" s="38">
        <v>0</v>
      </c>
      <c r="Q540" s="38">
        <f>AVERAGEIF(L3:L1205,"&lt;2018/8/2",P3:P1205)</f>
        <v>0.34341906202723149</v>
      </c>
      <c r="R540" s="38">
        <v>1</v>
      </c>
      <c r="S540" s="38">
        <f>AVERAGEIF(L3:L1205,"&lt;2018/8/2",R3:R1205)</f>
        <v>1.2420574886535551</v>
      </c>
      <c r="T540" s="38">
        <v>5</v>
      </c>
      <c r="U540" s="38">
        <f>AVERAGEIF(L3:L1205,"&lt;2018/8/2",T3:T1205)</f>
        <v>7.5204236006051435</v>
      </c>
      <c r="V540" s="24">
        <v>665</v>
      </c>
      <c r="W540" s="47" t="s">
        <v>4563</v>
      </c>
    </row>
    <row r="541" spans="1:23">
      <c r="A541" s="23">
        <v>2</v>
      </c>
      <c r="B541" s="23">
        <v>16</v>
      </c>
      <c r="C541" s="18">
        <v>4</v>
      </c>
      <c r="D541" s="18">
        <v>4</v>
      </c>
      <c r="E541" s="20">
        <v>98</v>
      </c>
      <c r="F541" s="21">
        <f t="shared" si="25"/>
        <v>106.6671686746988</v>
      </c>
      <c r="G541" s="22">
        <v>0.40427724484152</v>
      </c>
      <c r="H541" s="18">
        <v>0</v>
      </c>
      <c r="I541" s="18">
        <f t="shared" si="26"/>
        <v>1</v>
      </c>
      <c r="J541" s="41">
        <v>43313</v>
      </c>
      <c r="K541" s="36">
        <v>2018</v>
      </c>
      <c r="L541" s="32">
        <f t="shared" si="24"/>
        <v>43314</v>
      </c>
      <c r="M541" s="40">
        <v>0</v>
      </c>
      <c r="N541" s="33">
        <v>164</v>
      </c>
      <c r="O541" s="34">
        <f>AVERAGEIF(L3:L1205,"&lt;2018/8/1",N3:N1205)</f>
        <v>120.29223744292237</v>
      </c>
      <c r="P541" s="38">
        <v>0</v>
      </c>
      <c r="Q541" s="38">
        <f>AVERAGEIF(L3:L1205,"&lt;2018/8/1",P3:P1205)</f>
        <v>0.34398782343987822</v>
      </c>
      <c r="R541" s="38">
        <v>1</v>
      </c>
      <c r="S541" s="38">
        <f>AVERAGEIF(L3:L1205,"&lt;2018/8/1",R3:R1205)</f>
        <v>1.243531202435312</v>
      </c>
      <c r="T541" s="38">
        <v>1</v>
      </c>
      <c r="U541" s="38">
        <f>AVERAGEIF(L3:L1205,"&lt;2018/8/1",T3:T1205)</f>
        <v>7.3820395738203954</v>
      </c>
      <c r="V541" s="24">
        <v>664</v>
      </c>
      <c r="W541" s="47" t="s">
        <v>4557</v>
      </c>
    </row>
    <row r="542" spans="1:23">
      <c r="A542" s="23">
        <v>4</v>
      </c>
      <c r="B542" s="23">
        <v>28</v>
      </c>
      <c r="C542" s="18">
        <v>4</v>
      </c>
      <c r="D542" s="18">
        <v>6</v>
      </c>
      <c r="E542" s="20">
        <v>91</v>
      </c>
      <c r="F542" s="21">
        <f t="shared" si="25"/>
        <v>106.69079939668175</v>
      </c>
      <c r="G542" s="22">
        <v>0.28174388232854902</v>
      </c>
      <c r="H542" s="18">
        <v>1</v>
      </c>
      <c r="I542" s="18">
        <f t="shared" si="26"/>
        <v>0</v>
      </c>
      <c r="J542" s="45">
        <v>43313</v>
      </c>
      <c r="K542" s="36">
        <v>2018</v>
      </c>
      <c r="L542" s="32">
        <f t="shared" si="24"/>
        <v>43314</v>
      </c>
      <c r="M542" s="44">
        <v>0</v>
      </c>
      <c r="N542" s="33">
        <v>16</v>
      </c>
      <c r="O542" s="34">
        <f>AVERAGEIF(L3:L1205,"&lt;2018/8/1",N3:N1205)</f>
        <v>120.29223744292237</v>
      </c>
      <c r="P542" s="38">
        <v>0</v>
      </c>
      <c r="Q542" s="38">
        <f>AVERAGEIF(L3:L1205,"&lt;2018/8/1",P3:P1205)</f>
        <v>0.34398782343987822</v>
      </c>
      <c r="R542" s="38">
        <v>1</v>
      </c>
      <c r="S542" s="38">
        <f>AVERAGEIF(L3:L1205,"&lt;2018/8/1",R3:R1205)</f>
        <v>1.243531202435312</v>
      </c>
      <c r="T542" s="38">
        <v>1</v>
      </c>
      <c r="U542" s="38">
        <f>AVERAGEIF(L3:L1205,"&lt;2018/8/1",T3:T1205)</f>
        <v>7.3820395738203954</v>
      </c>
      <c r="V542" s="24">
        <v>663</v>
      </c>
      <c r="W542" s="47" t="s">
        <v>4529</v>
      </c>
    </row>
    <row r="543" spans="1:23">
      <c r="A543" s="23">
        <v>2</v>
      </c>
      <c r="B543" s="23">
        <v>6</v>
      </c>
      <c r="C543" s="18">
        <v>4</v>
      </c>
      <c r="D543" s="18">
        <v>4</v>
      </c>
      <c r="E543" s="20">
        <v>50</v>
      </c>
      <c r="F543" s="21">
        <f t="shared" si="25"/>
        <v>106.77643504531721</v>
      </c>
      <c r="G543" s="22">
        <v>0.41285977918364802</v>
      </c>
      <c r="H543" s="18">
        <v>1</v>
      </c>
      <c r="I543" s="18">
        <f t="shared" si="26"/>
        <v>0</v>
      </c>
      <c r="J543" s="41">
        <v>43311</v>
      </c>
      <c r="K543" s="36">
        <v>2018</v>
      </c>
      <c r="L543" s="32">
        <f t="shared" si="24"/>
        <v>43313</v>
      </c>
      <c r="M543" s="40">
        <v>0</v>
      </c>
      <c r="N543" s="33">
        <v>35</v>
      </c>
      <c r="O543" s="34">
        <f>AVERAGEIF(L3:L1205,"&lt;2018/7/30",N3:N1205)</f>
        <v>120.22595419847329</v>
      </c>
      <c r="P543" s="54">
        <v>0</v>
      </c>
      <c r="Q543" s="38">
        <f>AVERAGEIF(L3:L1205,"&lt;2018/7/30",P3:P1205)</f>
        <v>0.34351145038167941</v>
      </c>
      <c r="R543" s="38">
        <v>1</v>
      </c>
      <c r="S543" s="38">
        <f>AVERAGEIF(L3:L1205,"&lt;2018/7/30",R3:R1205)</f>
        <v>1.2442748091603053</v>
      </c>
      <c r="T543" s="54">
        <v>2</v>
      </c>
      <c r="U543" s="38">
        <f>AVERAGEIF(L3:L1205,"&lt;2018/7/30",T3:T1205)</f>
        <v>7.3923664122137405</v>
      </c>
      <c r="V543" s="24">
        <v>662</v>
      </c>
      <c r="W543" s="47" t="s">
        <v>4550</v>
      </c>
    </row>
    <row r="544" spans="1:23">
      <c r="A544" s="23">
        <v>2</v>
      </c>
      <c r="B544" s="23">
        <v>9</v>
      </c>
      <c r="C544" s="18">
        <v>4</v>
      </c>
      <c r="D544" s="18">
        <v>6</v>
      </c>
      <c r="E544" s="20">
        <v>122</v>
      </c>
      <c r="F544" s="21">
        <f t="shared" si="25"/>
        <v>106.75340393343419</v>
      </c>
      <c r="G544" s="22">
        <v>0.37501424629160701</v>
      </c>
      <c r="H544" s="18">
        <v>1</v>
      </c>
      <c r="I544" s="18">
        <f t="shared" si="26"/>
        <v>0</v>
      </c>
      <c r="J544" s="41">
        <v>43308</v>
      </c>
      <c r="K544" s="36">
        <v>2018</v>
      </c>
      <c r="L544" s="32">
        <f t="shared" si="24"/>
        <v>43311</v>
      </c>
      <c r="M544" s="40">
        <v>0</v>
      </c>
      <c r="N544" s="33">
        <v>118</v>
      </c>
      <c r="O544" s="34">
        <f>AVERAGEIF(L3:L1205,"&lt;2018/7/27",N3:N1205)</f>
        <v>120.22595419847329</v>
      </c>
      <c r="P544" s="54">
        <v>0</v>
      </c>
      <c r="Q544" s="38">
        <f>AVERAGEIF(L3:L1205,"&lt;2018/7/27",P3:P1205)</f>
        <v>0.34351145038167941</v>
      </c>
      <c r="R544" s="38">
        <v>1</v>
      </c>
      <c r="S544" s="38">
        <f>AVERAGEIF(L3:L1205,"&lt;2018/7/27",R3:R1205)</f>
        <v>1.2442748091603053</v>
      </c>
      <c r="T544" s="54">
        <v>3</v>
      </c>
      <c r="U544" s="38">
        <f>AVERAGEIF(L3:L1205,"&lt;2018/7/27",T3:T1205)</f>
        <v>7.3923664122137405</v>
      </c>
      <c r="V544" s="24">
        <v>661</v>
      </c>
      <c r="W544" s="47" t="s">
        <v>4529</v>
      </c>
    </row>
    <row r="545" spans="1:23">
      <c r="A545" s="23">
        <v>2</v>
      </c>
      <c r="B545" s="23">
        <v>16</v>
      </c>
      <c r="C545" s="18">
        <v>4</v>
      </c>
      <c r="D545" s="18">
        <v>4</v>
      </c>
      <c r="E545" s="20">
        <v>114</v>
      </c>
      <c r="F545" s="21">
        <f t="shared" si="25"/>
        <v>106.74242424242425</v>
      </c>
      <c r="G545" s="22">
        <v>0.58923265398091296</v>
      </c>
      <c r="H545" s="18">
        <v>0</v>
      </c>
      <c r="I545" s="18">
        <f t="shared" si="26"/>
        <v>1</v>
      </c>
      <c r="J545" s="41">
        <v>43307</v>
      </c>
      <c r="K545" s="36">
        <v>2018</v>
      </c>
      <c r="L545" s="32">
        <f t="shared" si="24"/>
        <v>43312</v>
      </c>
      <c r="M545" s="40">
        <v>0</v>
      </c>
      <c r="N545" s="33">
        <v>166</v>
      </c>
      <c r="O545" s="34">
        <f>AVERAGEIF(L3:L1205,"&lt;2018/7/26",N3:N1205)</f>
        <v>120.23889739663093</v>
      </c>
      <c r="P545" s="38">
        <v>1</v>
      </c>
      <c r="Q545" s="38">
        <f>AVERAGEIF(L3:L1205,"&lt;2018/7/26",P3:P1205)</f>
        <v>0.34303215926493108</v>
      </c>
      <c r="R545" s="38">
        <v>1</v>
      </c>
      <c r="S545" s="38">
        <f>AVERAGEIF(L3:L1205,"&lt;2018/7/26",R3:R1205)</f>
        <v>1.2450229709035221</v>
      </c>
      <c r="T545" s="38">
        <v>5</v>
      </c>
      <c r="U545" s="38">
        <f>AVERAGEIF(L3:L1205,"&lt;2018/7/26",T3:T1205)</f>
        <v>7.4042879019908119</v>
      </c>
      <c r="V545" s="24">
        <v>660</v>
      </c>
      <c r="W545" s="47" t="s">
        <v>4652</v>
      </c>
    </row>
    <row r="546" spans="1:23">
      <c r="A546" s="23">
        <v>3</v>
      </c>
      <c r="B546" s="23">
        <v>26</v>
      </c>
      <c r="C546" s="18">
        <v>4</v>
      </c>
      <c r="D546" s="18">
        <v>6</v>
      </c>
      <c r="E546" s="20">
        <v>46</v>
      </c>
      <c r="F546" s="21">
        <f t="shared" si="25"/>
        <v>106.83459787556905</v>
      </c>
      <c r="G546" s="22">
        <v>0.37690485827791198</v>
      </c>
      <c r="H546" s="3">
        <v>1</v>
      </c>
      <c r="I546" s="18">
        <f t="shared" si="26"/>
        <v>0</v>
      </c>
      <c r="J546" s="41">
        <v>43307</v>
      </c>
      <c r="K546" s="36">
        <v>2018</v>
      </c>
      <c r="L546" s="32">
        <f t="shared" si="24"/>
        <v>43313</v>
      </c>
      <c r="M546" s="56">
        <v>0</v>
      </c>
      <c r="N546" s="33">
        <v>90</v>
      </c>
      <c r="O546" s="34">
        <f>AVERAGEIF(L3:L1205,"&lt;2018/7/26",N3:N1205)</f>
        <v>120.23889739663093</v>
      </c>
      <c r="P546" s="54">
        <v>1</v>
      </c>
      <c r="Q546" s="38">
        <f>AVERAGEIF(L3:L1205,"&lt;2018/7/26",P3:P1205)</f>
        <v>0.34303215926493108</v>
      </c>
      <c r="R546" s="38">
        <v>1</v>
      </c>
      <c r="S546" s="38">
        <f>AVERAGEIF(L3:L1205,"&lt;2018/7/26",R3:R1205)</f>
        <v>1.2450229709035221</v>
      </c>
      <c r="T546" s="54">
        <v>6</v>
      </c>
      <c r="U546" s="38">
        <f>AVERAGEIF(L3:L1205,"&lt;2018/7/26",T3:T1205)</f>
        <v>7.4042879019908119</v>
      </c>
      <c r="V546" s="24">
        <v>659</v>
      </c>
      <c r="W546" s="47" t="s">
        <v>4529</v>
      </c>
    </row>
    <row r="547" spans="1:23">
      <c r="A547" s="23">
        <v>4</v>
      </c>
      <c r="B547" s="23">
        <v>36</v>
      </c>
      <c r="C547" s="18">
        <v>4</v>
      </c>
      <c r="D547" s="18">
        <v>4</v>
      </c>
      <c r="E547" s="20">
        <v>97</v>
      </c>
      <c r="F547" s="21">
        <f t="shared" si="25"/>
        <v>106.84954407294833</v>
      </c>
      <c r="G547" s="22">
        <v>0.41405391399911501</v>
      </c>
      <c r="H547" s="18">
        <v>1</v>
      </c>
      <c r="I547" s="18">
        <f t="shared" si="26"/>
        <v>0</v>
      </c>
      <c r="J547" s="45">
        <v>43307</v>
      </c>
      <c r="K547" s="36">
        <v>2018</v>
      </c>
      <c r="L547" s="32">
        <f t="shared" si="24"/>
        <v>43314</v>
      </c>
      <c r="M547" s="42">
        <v>0</v>
      </c>
      <c r="N547" s="33">
        <v>38</v>
      </c>
      <c r="O547" s="34">
        <f>AVERAGEIF(L3:L1205,"&lt;2018/7/26",N3:N1205)</f>
        <v>120.23889739663093</v>
      </c>
      <c r="P547" s="54">
        <v>1</v>
      </c>
      <c r="Q547" s="38">
        <f>AVERAGEIF(L3:L1205,"&lt;2018/7/26",P3:P1205)</f>
        <v>0.34303215926493108</v>
      </c>
      <c r="R547" s="38">
        <v>1</v>
      </c>
      <c r="S547" s="38">
        <f>AVERAGEIF(L3:L1205,"&lt;2018/7/26",R3:R1205)</f>
        <v>1.2450229709035221</v>
      </c>
      <c r="T547" s="54">
        <v>7</v>
      </c>
      <c r="U547" s="38">
        <f>AVERAGEIF(L3:L1205,"&lt;2018/7/26",T3:T1205)</f>
        <v>7.4042879019908119</v>
      </c>
      <c r="V547" s="24">
        <v>658</v>
      </c>
      <c r="W547" s="47" t="s">
        <v>4634</v>
      </c>
    </row>
    <row r="548" spans="1:23">
      <c r="A548" s="23">
        <v>2</v>
      </c>
      <c r="B548" s="23">
        <v>4</v>
      </c>
      <c r="C548" s="18">
        <v>4</v>
      </c>
      <c r="D548" s="18">
        <v>4</v>
      </c>
      <c r="E548" s="20">
        <v>47</v>
      </c>
      <c r="F548" s="21">
        <f t="shared" si="25"/>
        <v>106.94063926940639</v>
      </c>
      <c r="G548" s="22">
        <v>0.41417747487749301</v>
      </c>
      <c r="H548" s="18">
        <v>1</v>
      </c>
      <c r="I548" s="18">
        <f t="shared" si="26"/>
        <v>0</v>
      </c>
      <c r="J548" s="52">
        <v>43304</v>
      </c>
      <c r="K548" s="36">
        <v>2018</v>
      </c>
      <c r="L548" s="32">
        <f t="shared" si="24"/>
        <v>43307</v>
      </c>
      <c r="M548" s="40">
        <v>0</v>
      </c>
      <c r="N548" s="33">
        <v>78</v>
      </c>
      <c r="O548" s="34">
        <f>AVERAGEIF(L3:L1205,"&lt;2018/7/23",N3:N1205)</f>
        <v>120.40832049306626</v>
      </c>
      <c r="P548" s="38">
        <v>0</v>
      </c>
      <c r="Q548" s="38">
        <f>AVERAGEIF(L3:L1205,"&lt;2018/7/23",P3:P1205)</f>
        <v>0.33898305084745761</v>
      </c>
      <c r="R548" s="38">
        <v>1</v>
      </c>
      <c r="S548" s="38">
        <f>AVERAGEIF(L3:L1205,"&lt;2018/7/23",R3:R1205)</f>
        <v>1.2465331278890601</v>
      </c>
      <c r="T548" s="38">
        <v>3</v>
      </c>
      <c r="U548" s="38">
        <f>AVERAGEIF(L3:L1205,"&lt;2018/7/23",T3:T1205)</f>
        <v>7.4191063174114023</v>
      </c>
      <c r="V548" s="24">
        <v>657</v>
      </c>
      <c r="W548" s="47" t="s">
        <v>4529</v>
      </c>
    </row>
    <row r="549" spans="1:23">
      <c r="A549" s="23">
        <v>2</v>
      </c>
      <c r="B549" s="23">
        <v>5</v>
      </c>
      <c r="C549" s="18">
        <v>5</v>
      </c>
      <c r="D549" s="18">
        <v>6</v>
      </c>
      <c r="E549" s="20">
        <v>74</v>
      </c>
      <c r="F549" s="21">
        <f t="shared" si="25"/>
        <v>106.99085365853658</v>
      </c>
      <c r="G549" s="22">
        <v>0.50588455843952196</v>
      </c>
      <c r="H549" s="18">
        <v>1</v>
      </c>
      <c r="I549" s="18">
        <f t="shared" si="26"/>
        <v>0</v>
      </c>
      <c r="J549" s="41">
        <v>43303</v>
      </c>
      <c r="K549" s="36">
        <v>2018</v>
      </c>
      <c r="L549" s="32">
        <f t="shared" si="24"/>
        <v>43305</v>
      </c>
      <c r="M549" s="40">
        <v>0</v>
      </c>
      <c r="N549" s="33">
        <v>36</v>
      </c>
      <c r="O549" s="34">
        <f>AVERAGEIF(L3:L1205,"&lt;2018/7/2",N3:N1205)</f>
        <v>120.17057902973396</v>
      </c>
      <c r="P549" s="54">
        <v>1</v>
      </c>
      <c r="Q549" s="38">
        <f>AVERAGEIF(L3:L1205,"&lt;2018/7/22",P3:P1205)</f>
        <v>0.33898305084745761</v>
      </c>
      <c r="R549" s="38">
        <v>1</v>
      </c>
      <c r="S549" s="38">
        <f>AVERAGEIF(L3:L1205,"&lt;2018/7/22",R3:R1205)</f>
        <v>1.2465331278890601</v>
      </c>
      <c r="T549" s="54">
        <v>2</v>
      </c>
      <c r="U549" s="38">
        <f>AVERAGEIF(L3:L1205,"&lt;2018/7/22",T3:T1205)</f>
        <v>7.4191063174114023</v>
      </c>
      <c r="V549" s="24">
        <v>656</v>
      </c>
      <c r="W549" s="47" t="s">
        <v>4543</v>
      </c>
    </row>
    <row r="550" spans="1:23">
      <c r="A550" s="23">
        <v>3</v>
      </c>
      <c r="B550" s="23">
        <v>24</v>
      </c>
      <c r="C550" s="18">
        <v>4</v>
      </c>
      <c r="D550" s="18">
        <v>6</v>
      </c>
      <c r="E550" s="20">
        <v>138</v>
      </c>
      <c r="F550" s="21">
        <f t="shared" si="25"/>
        <v>106.94351145038168</v>
      </c>
      <c r="G550" s="22">
        <v>0.377183383662265</v>
      </c>
      <c r="H550" s="3">
        <v>1</v>
      </c>
      <c r="I550" s="18">
        <f t="shared" si="26"/>
        <v>0</v>
      </c>
      <c r="J550" s="41">
        <v>43303</v>
      </c>
      <c r="K550" s="36">
        <v>2018</v>
      </c>
      <c r="L550" s="32">
        <f t="shared" si="24"/>
        <v>43307</v>
      </c>
      <c r="M550" s="40">
        <v>0</v>
      </c>
      <c r="N550" s="33">
        <v>154</v>
      </c>
      <c r="O550" s="34">
        <f>AVERAGEIF(L3:L1205,"&lt;2018/7/22",N3:N1205)</f>
        <v>120.40832049306626</v>
      </c>
      <c r="P550" s="38">
        <v>1</v>
      </c>
      <c r="Q550" s="38">
        <f>AVERAGEIF(L3:L1205,"&lt;2018/7/22",P3:P1205)</f>
        <v>0.33898305084745761</v>
      </c>
      <c r="R550" s="38">
        <v>1</v>
      </c>
      <c r="S550" s="38">
        <f>AVERAGEIF(L3:L1205,"&lt;2018/7/22",R3:R1205)</f>
        <v>1.2465331278890601</v>
      </c>
      <c r="T550" s="38">
        <v>4</v>
      </c>
      <c r="U550" s="38">
        <f>AVERAGEIF(L3:L1205,"&lt;2018/7/22",T3:T1205)</f>
        <v>7.4191063174114023</v>
      </c>
      <c r="V550" s="24">
        <v>655</v>
      </c>
      <c r="W550" s="47" t="s">
        <v>4618</v>
      </c>
    </row>
    <row r="551" spans="1:23">
      <c r="A551" s="23">
        <v>4</v>
      </c>
      <c r="B551" s="23">
        <v>28</v>
      </c>
      <c r="C551" s="18">
        <v>4</v>
      </c>
      <c r="D551" s="18">
        <v>6</v>
      </c>
      <c r="E551" s="20">
        <v>90</v>
      </c>
      <c r="F551" s="21">
        <f t="shared" si="25"/>
        <v>106.96941896024465</v>
      </c>
      <c r="G551" s="22">
        <v>0.70125206105122095</v>
      </c>
      <c r="H551" s="18">
        <v>1</v>
      </c>
      <c r="I551" s="18">
        <f t="shared" si="26"/>
        <v>0</v>
      </c>
      <c r="J551" s="45">
        <v>43302</v>
      </c>
      <c r="K551" s="36">
        <v>2018</v>
      </c>
      <c r="L551" s="32">
        <f t="shared" si="24"/>
        <v>43320</v>
      </c>
      <c r="M551" s="44">
        <v>0</v>
      </c>
      <c r="N551" s="33">
        <v>76</v>
      </c>
      <c r="O551" s="34">
        <f>AVERAGEIF(L3:L1205,"&lt;2018/7/21",N3:N1205)</f>
        <v>120.40832049306626</v>
      </c>
      <c r="P551" s="38">
        <v>1</v>
      </c>
      <c r="Q551" s="38">
        <f>AVERAGEIF(L3:L1205,"&lt;2018/7/21",P3:P1205)</f>
        <v>0.33898305084745761</v>
      </c>
      <c r="R551" s="38">
        <v>1</v>
      </c>
      <c r="S551" s="38">
        <f>AVERAGEIF(L3:L1205,"&lt;2018/7/21",R3:R1205)</f>
        <v>1.2465331278890601</v>
      </c>
      <c r="T551" s="38">
        <v>18</v>
      </c>
      <c r="U551" s="38">
        <f>AVERAGEIF(L3:L1205,"&lt;2018/7/21",T3:T1205)</f>
        <v>7.4191063174114023</v>
      </c>
      <c r="V551" s="24">
        <v>654</v>
      </c>
      <c r="W551" s="47" t="s">
        <v>4529</v>
      </c>
    </row>
    <row r="552" spans="1:23">
      <c r="A552" s="23">
        <v>4</v>
      </c>
      <c r="B552" s="23">
        <v>29</v>
      </c>
      <c r="C552" s="18">
        <v>4</v>
      </c>
      <c r="D552" s="18">
        <v>4</v>
      </c>
      <c r="E552" s="20">
        <v>74</v>
      </c>
      <c r="F552" s="21">
        <f t="shared" si="25"/>
        <v>107.01990811638591</v>
      </c>
      <c r="G552" s="22">
        <v>0.43343114856544002</v>
      </c>
      <c r="H552" s="18">
        <v>1</v>
      </c>
      <c r="I552" s="18">
        <f t="shared" si="26"/>
        <v>0</v>
      </c>
      <c r="J552" s="45">
        <v>43300</v>
      </c>
      <c r="K552" s="36">
        <v>2018</v>
      </c>
      <c r="L552" s="32">
        <f t="shared" si="24"/>
        <v>43304</v>
      </c>
      <c r="M552" s="42">
        <v>0</v>
      </c>
      <c r="N552" s="33">
        <v>119</v>
      </c>
      <c r="O552" s="34">
        <f>AVERAGEIF(L3:L1205,"&lt;2018/7/19",N3:N1205)</f>
        <v>120.40832049306626</v>
      </c>
      <c r="P552" s="38">
        <v>0</v>
      </c>
      <c r="Q552" s="38">
        <f>AVERAGEIF(L3:L1205,"&lt;2018/7/19",P3:P1205)</f>
        <v>0.33898305084745761</v>
      </c>
      <c r="R552" s="38">
        <v>1</v>
      </c>
      <c r="S552" s="38">
        <f>AVERAGEIF(L3:L1205,"&lt;2018/7/19",R3:R1205)</f>
        <v>1.2465331278890601</v>
      </c>
      <c r="T552" s="38">
        <v>4</v>
      </c>
      <c r="U552" s="38">
        <f>AVERAGEIF(L3:L1205,"&lt;2018/7/19",T3:T1205)</f>
        <v>7.4191063174114023</v>
      </c>
      <c r="V552" s="24">
        <v>653</v>
      </c>
      <c r="W552" s="47" t="s">
        <v>4621</v>
      </c>
    </row>
    <row r="553" spans="1:23">
      <c r="A553" s="23">
        <v>4</v>
      </c>
      <c r="B553" s="23">
        <v>29</v>
      </c>
      <c r="C553" s="18">
        <v>4</v>
      </c>
      <c r="D553" s="18">
        <v>4</v>
      </c>
      <c r="E553" s="20">
        <v>76</v>
      </c>
      <c r="F553" s="21">
        <f t="shared" si="25"/>
        <v>107.06748466257669</v>
      </c>
      <c r="G553" s="22">
        <v>0.37546714915058299</v>
      </c>
      <c r="H553" s="18">
        <v>1</v>
      </c>
      <c r="I553" s="18">
        <f t="shared" si="26"/>
        <v>0</v>
      </c>
      <c r="J553" s="59">
        <v>43300</v>
      </c>
      <c r="K553" s="36">
        <v>2018</v>
      </c>
      <c r="L553" s="32">
        <f t="shared" si="24"/>
        <v>43313</v>
      </c>
      <c r="M553" s="42">
        <v>0</v>
      </c>
      <c r="N553" s="33">
        <v>122</v>
      </c>
      <c r="O553" s="34">
        <f>AVERAGEIF(L3:L1205,"&lt;2018/7/19",N3:N1205)</f>
        <v>120.40832049306626</v>
      </c>
      <c r="P553" s="38">
        <v>0</v>
      </c>
      <c r="Q553" s="38">
        <f>AVERAGEIF(L3:L1205,"&lt;2018/7/19",P3:P1205)</f>
        <v>0.33898305084745761</v>
      </c>
      <c r="R553" s="38">
        <v>1</v>
      </c>
      <c r="S553" s="38">
        <f>AVERAGEIF(L3:L1205,"&lt;2018/7/19",R3:R1205)</f>
        <v>1.2465331278890601</v>
      </c>
      <c r="T553" s="38">
        <v>13</v>
      </c>
      <c r="U553" s="38">
        <f>AVERAGEIF(L3:L1205,"&lt;2018/7/19",T3:T1205)</f>
        <v>7.4191063174114023</v>
      </c>
      <c r="V553" s="24">
        <v>652</v>
      </c>
      <c r="W553" s="47" t="s">
        <v>4634</v>
      </c>
    </row>
    <row r="554" spans="1:23">
      <c r="A554" s="23">
        <v>2</v>
      </c>
      <c r="B554" s="23">
        <v>9</v>
      </c>
      <c r="C554" s="18">
        <v>4</v>
      </c>
      <c r="D554" s="18">
        <v>6</v>
      </c>
      <c r="E554" s="20">
        <v>177</v>
      </c>
      <c r="F554" s="21">
        <f t="shared" si="25"/>
        <v>106.96006144393242</v>
      </c>
      <c r="G554" s="22">
        <v>0.80094098445388595</v>
      </c>
      <c r="H554" s="18">
        <v>1</v>
      </c>
      <c r="I554" s="18">
        <f t="shared" si="26"/>
        <v>0</v>
      </c>
      <c r="J554" s="41">
        <v>43298</v>
      </c>
      <c r="K554" s="36">
        <v>2018</v>
      </c>
      <c r="L554" s="32">
        <f t="shared" si="24"/>
        <v>43304</v>
      </c>
      <c r="M554" s="40">
        <v>0</v>
      </c>
      <c r="N554" s="33">
        <v>112</v>
      </c>
      <c r="O554" s="34">
        <f>AVERAGEIF(L3:L1205,"&lt;2018/7/17",N3:N1205)</f>
        <v>120.40832049306626</v>
      </c>
      <c r="P554" s="40">
        <v>1</v>
      </c>
      <c r="Q554" s="40">
        <f>AVERAGEIF(L3:L1205,"&lt;2018/7/17",P3:P1205)</f>
        <v>0.33898305084745761</v>
      </c>
      <c r="R554" s="40">
        <v>1</v>
      </c>
      <c r="S554" s="40">
        <f>AVERAGEIF(L3:L1205,"&lt;2018/7/17",R3:R1205)</f>
        <v>1.2465331278890601</v>
      </c>
      <c r="T554" s="40">
        <v>6</v>
      </c>
      <c r="U554" s="40">
        <f>AVERAGEIF(L3:L1205,"&lt;2018/7/17",T3:T1205)</f>
        <v>7.4191063174114023</v>
      </c>
      <c r="V554" s="24">
        <v>651</v>
      </c>
      <c r="W554" s="47" t="s">
        <v>4550</v>
      </c>
    </row>
    <row r="555" spans="1:23">
      <c r="A555" s="23">
        <v>2</v>
      </c>
      <c r="B555" s="23">
        <v>16</v>
      </c>
      <c r="C555" s="18">
        <v>4</v>
      </c>
      <c r="D555" s="18">
        <v>4</v>
      </c>
      <c r="E555" s="20">
        <v>48</v>
      </c>
      <c r="F555" s="21">
        <f t="shared" si="25"/>
        <v>107.05076923076923</v>
      </c>
      <c r="G555" s="22">
        <v>0.37500015759745903</v>
      </c>
      <c r="H555" s="18">
        <v>1</v>
      </c>
      <c r="I555" s="18">
        <f t="shared" si="26"/>
        <v>0</v>
      </c>
      <c r="J555" s="41">
        <v>43298</v>
      </c>
      <c r="K555" s="36">
        <v>2018</v>
      </c>
      <c r="L555" s="32">
        <f t="shared" si="24"/>
        <v>43306</v>
      </c>
      <c r="M555" s="40">
        <v>0</v>
      </c>
      <c r="N555" s="33">
        <v>104</v>
      </c>
      <c r="O555" s="34">
        <f>AVERAGEIF(L3:L1205,"&lt;2018/7/17",N3:N1205)</f>
        <v>120.40832049306626</v>
      </c>
      <c r="P555" s="40">
        <v>2</v>
      </c>
      <c r="Q555" s="40">
        <f>AVERAGEIF(L3:L1205,"&lt;2018/7/17",P3:P1205)</f>
        <v>0.33898305084745761</v>
      </c>
      <c r="R555" s="40">
        <v>1</v>
      </c>
      <c r="S555" s="40">
        <f>AVERAGEIF(L3:L1205,"&lt;2018/7/17",R3:R1205)</f>
        <v>1.2465331278890601</v>
      </c>
      <c r="T555" s="40">
        <v>8</v>
      </c>
      <c r="U555" s="40">
        <f>AVERAGEIF(L3:L1205,"&lt;2018/7/17",T3:T1205)</f>
        <v>7.4191063174114023</v>
      </c>
      <c r="V555" s="24">
        <v>650</v>
      </c>
      <c r="W555" s="47" t="s">
        <v>4618</v>
      </c>
    </row>
    <row r="556" spans="1:23">
      <c r="A556" s="23">
        <v>2</v>
      </c>
      <c r="B556" s="23">
        <v>11</v>
      </c>
      <c r="C556" s="18">
        <v>4</v>
      </c>
      <c r="D556" s="18">
        <v>6</v>
      </c>
      <c r="E556" s="20">
        <v>122</v>
      </c>
      <c r="F556" s="21">
        <f t="shared" si="25"/>
        <v>107.02773497688752</v>
      </c>
      <c r="G556" s="22">
        <v>0.47037017159446698</v>
      </c>
      <c r="H556" s="18">
        <v>1</v>
      </c>
      <c r="I556" s="18">
        <f t="shared" si="26"/>
        <v>0</v>
      </c>
      <c r="J556" s="41">
        <v>43290</v>
      </c>
      <c r="K556" s="36">
        <v>2018</v>
      </c>
      <c r="L556" s="32">
        <f t="shared" si="24"/>
        <v>43292</v>
      </c>
      <c r="M556" s="40">
        <v>1</v>
      </c>
      <c r="N556" s="33">
        <v>142</v>
      </c>
      <c r="O556" s="34">
        <f>AVERAGEIF(L3:L1205,"&lt;2018/7/9",N3:N1205)</f>
        <v>120.40746500777605</v>
      </c>
      <c r="P556" s="38">
        <v>1</v>
      </c>
      <c r="Q556" s="38">
        <f>AVERAGEIF(L3:L1205,"&lt;2018/7/9",P3:P1205)</f>
        <v>0.33592534992223949</v>
      </c>
      <c r="R556" s="38">
        <v>1</v>
      </c>
      <c r="S556" s="38">
        <f>AVERAGEIF(L3:L1205,"&lt;2018/7/9",R3:R1205)</f>
        <v>1.2488335925349923</v>
      </c>
      <c r="T556" s="38">
        <v>2</v>
      </c>
      <c r="U556" s="38">
        <f>AVERAGEIF(L3:L1205,"&lt;2018/7/9",T3:T1205)</f>
        <v>7.4447900466562986</v>
      </c>
      <c r="V556" s="24">
        <v>649</v>
      </c>
      <c r="W556" s="47" t="s">
        <v>4550</v>
      </c>
    </row>
    <row r="557" spans="1:23">
      <c r="A557" s="23">
        <v>4</v>
      </c>
      <c r="B557" s="23">
        <v>30</v>
      </c>
      <c r="C557" s="18">
        <v>5</v>
      </c>
      <c r="D557" s="18">
        <v>1</v>
      </c>
      <c r="E557" s="20">
        <v>42</v>
      </c>
      <c r="F557" s="21">
        <f t="shared" si="25"/>
        <v>107.12808641975309</v>
      </c>
      <c r="G557" s="22">
        <v>0.37635839375575902</v>
      </c>
      <c r="H557" s="18">
        <v>1</v>
      </c>
      <c r="I557" s="18">
        <f t="shared" si="26"/>
        <v>0</v>
      </c>
      <c r="J557" s="45">
        <v>43290</v>
      </c>
      <c r="K557" s="36">
        <v>2018</v>
      </c>
      <c r="L557" s="32">
        <f t="shared" si="24"/>
        <v>43292</v>
      </c>
      <c r="M557" s="42">
        <v>0</v>
      </c>
      <c r="N557" s="33">
        <v>103</v>
      </c>
      <c r="O557" s="34">
        <f>AVERAGEIF(L3:L1205,"&lt;2018/7/9",N3:N1205)</f>
        <v>120.40746500777605</v>
      </c>
      <c r="P557" s="54">
        <v>0</v>
      </c>
      <c r="Q557" s="38">
        <f>AVERAGEIF(L3:L1205,"&lt;2018/7/9",P3:P1205)</f>
        <v>0.33592534992223949</v>
      </c>
      <c r="R557" s="38">
        <v>1</v>
      </c>
      <c r="S557" s="38">
        <f>AVERAGEIF(L3:L1205,"&lt;2018/7/9",R3:R1205)</f>
        <v>1.2488335925349923</v>
      </c>
      <c r="T557" s="54">
        <v>2</v>
      </c>
      <c r="U557" s="38">
        <f>AVERAGEIF(L3:L1205,"&lt;2018/7/9",T3:T1205)</f>
        <v>7.4447900466562986</v>
      </c>
      <c r="V557" s="24">
        <v>648</v>
      </c>
      <c r="W557" s="47" t="s">
        <v>4557</v>
      </c>
    </row>
    <row r="558" spans="1:23">
      <c r="A558" s="23">
        <v>2</v>
      </c>
      <c r="B558" s="23">
        <v>5</v>
      </c>
      <c r="C558" s="18">
        <v>4</v>
      </c>
      <c r="D558" s="18">
        <v>6</v>
      </c>
      <c r="E558" s="20">
        <v>76</v>
      </c>
      <c r="F558" s="21">
        <f t="shared" si="25"/>
        <v>107.17619783616692</v>
      </c>
      <c r="G558" s="22">
        <v>0.34098470007693799</v>
      </c>
      <c r="H558" s="18">
        <v>1</v>
      </c>
      <c r="I558" s="18">
        <f t="shared" si="26"/>
        <v>0</v>
      </c>
      <c r="J558" s="41">
        <v>43289</v>
      </c>
      <c r="K558" s="36">
        <v>2018</v>
      </c>
      <c r="L558" s="32">
        <f t="shared" si="24"/>
        <v>43294</v>
      </c>
      <c r="M558" s="40">
        <v>1</v>
      </c>
      <c r="N558" s="33">
        <v>112</v>
      </c>
      <c r="O558" s="34">
        <f>AVERAGEIF(L3:L1205,"&lt;2018/7/8",N3:N1205)</f>
        <v>120.40746500777605</v>
      </c>
      <c r="P558" s="40">
        <v>0</v>
      </c>
      <c r="Q558" s="40">
        <f>AVERAGEIF(L3:L1205,"&lt;2018/7/8",P3:P1205)</f>
        <v>0.33592534992223949</v>
      </c>
      <c r="R558" s="40">
        <v>1</v>
      </c>
      <c r="S558" s="40">
        <f>AVERAGEIF(L3:L1205,"&lt;2018/7/8",R3:R1205)</f>
        <v>1.2488335925349923</v>
      </c>
      <c r="T558" s="40">
        <v>5</v>
      </c>
      <c r="U558" s="40">
        <f>AVERAGEIF(L3:L1205,"&lt;2018/7/8",T3:T1205)</f>
        <v>7.4447900466562986</v>
      </c>
      <c r="V558" s="24">
        <v>647</v>
      </c>
      <c r="W558" s="47" t="s">
        <v>4529</v>
      </c>
    </row>
    <row r="559" spans="1:23">
      <c r="A559" s="23">
        <v>2</v>
      </c>
      <c r="B559" s="23">
        <v>11</v>
      </c>
      <c r="C559" s="18">
        <v>4</v>
      </c>
      <c r="D559" s="18">
        <v>4</v>
      </c>
      <c r="E559" s="20">
        <v>130</v>
      </c>
      <c r="F559" s="21">
        <f t="shared" si="25"/>
        <v>107.14086687306502</v>
      </c>
      <c r="G559" s="22">
        <v>0.39974258490961401</v>
      </c>
      <c r="H559" s="18">
        <v>1</v>
      </c>
      <c r="I559" s="18">
        <f t="shared" si="26"/>
        <v>0</v>
      </c>
      <c r="J559" s="41">
        <v>43287</v>
      </c>
      <c r="K559" s="36">
        <v>2018</v>
      </c>
      <c r="L559" s="32">
        <f t="shared" si="24"/>
        <v>43292</v>
      </c>
      <c r="M559" s="40">
        <v>0</v>
      </c>
      <c r="N559" s="33">
        <v>142</v>
      </c>
      <c r="O559" s="34">
        <f>AVERAGEIF(L3:L1205,"&lt;2018/7/6",N3:N1205)</f>
        <v>120.42834890965732</v>
      </c>
      <c r="P559" s="38">
        <v>1</v>
      </c>
      <c r="Q559" s="38">
        <f>AVERAGEIF(L3:L1205,"&lt;2018/7/6",P3:P1205)</f>
        <v>0.3364485981308411</v>
      </c>
      <c r="R559" s="38">
        <v>1</v>
      </c>
      <c r="S559" s="38">
        <f>AVERAGEIF(L3:L1205,"&lt;2018/7/6",R3:R1205)</f>
        <v>1.2492211838006231</v>
      </c>
      <c r="T559" s="38">
        <v>5</v>
      </c>
      <c r="U559" s="38">
        <f>AVERAGEIF(L3:L1205,"&lt;2018/7/6",T3:T1205)</f>
        <v>7.4485981308411215</v>
      </c>
      <c r="V559" s="24">
        <v>646</v>
      </c>
      <c r="W559" s="47" t="s">
        <v>4893</v>
      </c>
    </row>
    <row r="560" spans="1:23">
      <c r="A560" s="23">
        <v>3</v>
      </c>
      <c r="B560" s="23">
        <v>19</v>
      </c>
      <c r="C560" s="18">
        <v>1</v>
      </c>
      <c r="D560" s="18">
        <v>6</v>
      </c>
      <c r="E560" s="20">
        <v>63</v>
      </c>
      <c r="F560" s="21">
        <f t="shared" si="25"/>
        <v>107.20930232558139</v>
      </c>
      <c r="G560" s="22">
        <v>0.38538837228359502</v>
      </c>
      <c r="H560" s="3">
        <v>1</v>
      </c>
      <c r="I560" s="18">
        <f t="shared" si="26"/>
        <v>0</v>
      </c>
      <c r="J560" s="41">
        <v>43287</v>
      </c>
      <c r="K560" s="36">
        <v>2018</v>
      </c>
      <c r="L560" s="32">
        <f t="shared" si="24"/>
        <v>43291</v>
      </c>
      <c r="M560" s="24">
        <v>1</v>
      </c>
      <c r="N560" s="33">
        <v>154</v>
      </c>
      <c r="O560" s="34">
        <f>AVERAGEIF(L3:L1205,"&lt;2018/7/6",N3:N1205)</f>
        <v>120.42834890965732</v>
      </c>
      <c r="P560" s="54">
        <v>0</v>
      </c>
      <c r="Q560" s="38">
        <f>AVERAGEIF(L3:L1205,"&lt;2018/7/6",P3:P1205)</f>
        <v>0.3364485981308411</v>
      </c>
      <c r="R560" s="38">
        <v>1</v>
      </c>
      <c r="S560" s="38">
        <f>AVERAGEIF(L3:L1205,"&lt;2018/7/6",R3:R1205)</f>
        <v>1.2492211838006231</v>
      </c>
      <c r="T560" s="54">
        <v>4</v>
      </c>
      <c r="U560" s="38">
        <f>AVERAGEIF(L3:L1205,"&lt;2018/7/6",T3:T1205)</f>
        <v>7.4485981308411215</v>
      </c>
      <c r="V560" s="24">
        <v>645</v>
      </c>
      <c r="W560" s="47" t="s">
        <v>4529</v>
      </c>
    </row>
    <row r="561" spans="1:23">
      <c r="A561" s="23">
        <v>3</v>
      </c>
      <c r="B561" s="23">
        <v>20</v>
      </c>
      <c r="C561" s="18">
        <v>4</v>
      </c>
      <c r="D561" s="18">
        <v>4</v>
      </c>
      <c r="E561" s="20">
        <v>94</v>
      </c>
      <c r="F561" s="21">
        <f t="shared" si="25"/>
        <v>107.22981366459628</v>
      </c>
      <c r="G561" s="22">
        <v>0.41356183071583003</v>
      </c>
      <c r="H561" s="3">
        <v>1</v>
      </c>
      <c r="I561" s="18">
        <f t="shared" si="26"/>
        <v>0</v>
      </c>
      <c r="J561" s="41">
        <v>43287</v>
      </c>
      <c r="K561" s="36">
        <v>2018</v>
      </c>
      <c r="L561" s="32">
        <f t="shared" si="24"/>
        <v>43297</v>
      </c>
      <c r="M561" s="24">
        <v>1</v>
      </c>
      <c r="N561" s="33">
        <v>70</v>
      </c>
      <c r="O561" s="34">
        <f>AVERAGEIF(L3:L1205,"&lt;2018/7/6",N3:N1205)</f>
        <v>120.42834890965732</v>
      </c>
      <c r="P561" s="38">
        <v>2</v>
      </c>
      <c r="Q561" s="38">
        <f>AVERAGEIF(L3:L1205,"&lt;2018/7/6",P3:P1205)</f>
        <v>0.3364485981308411</v>
      </c>
      <c r="R561" s="38">
        <v>1</v>
      </c>
      <c r="S561" s="38">
        <f>AVERAGEIF(L3:L1205,"&lt;2018/7/6",R3:R1205)</f>
        <v>1.2492211838006231</v>
      </c>
      <c r="T561" s="38">
        <v>10</v>
      </c>
      <c r="U561" s="38">
        <f>AVERAGEIF(L3:L1205,"&lt;2018/7/6",T3:T1205)</f>
        <v>7.4485981308411215</v>
      </c>
      <c r="V561" s="24">
        <v>644</v>
      </c>
      <c r="W561" s="47" t="s">
        <v>4550</v>
      </c>
    </row>
    <row r="562" spans="1:23">
      <c r="A562" s="23">
        <v>2</v>
      </c>
      <c r="B562" s="23">
        <v>6</v>
      </c>
      <c r="C562" s="18">
        <v>4</v>
      </c>
      <c r="D562" s="18">
        <v>4</v>
      </c>
      <c r="E562" s="20">
        <v>104</v>
      </c>
      <c r="F562" s="21">
        <f t="shared" si="25"/>
        <v>107.23483670295489</v>
      </c>
      <c r="G562" s="22">
        <v>0.41257805225650102</v>
      </c>
      <c r="H562" s="18">
        <v>1</v>
      </c>
      <c r="I562" s="18">
        <f t="shared" si="26"/>
        <v>0</v>
      </c>
      <c r="J562" s="41">
        <v>43282</v>
      </c>
      <c r="K562" s="36">
        <v>2018</v>
      </c>
      <c r="L562" s="32">
        <f t="shared" si="24"/>
        <v>43287</v>
      </c>
      <c r="M562" s="40">
        <v>1</v>
      </c>
      <c r="N562" s="33">
        <v>107</v>
      </c>
      <c r="O562" s="34">
        <f>AVERAGEIF(L3:L1205,"&lt;2018/7/1",N3:N1205)</f>
        <v>120.17057902973396</v>
      </c>
      <c r="P562" s="38">
        <v>0</v>
      </c>
      <c r="Q562" s="38">
        <f>AVERAGEIF(L3:L1205,"&lt;2018/7/1",P3:P1205)</f>
        <v>0.3348982785602504</v>
      </c>
      <c r="R562" s="38">
        <v>1</v>
      </c>
      <c r="S562" s="38">
        <f>AVERAGEIF(L3:L1205,"&lt;2018/7/1",R3:R1205)</f>
        <v>1.2503912363067293</v>
      </c>
      <c r="T562" s="38">
        <v>5</v>
      </c>
      <c r="U562" s="38">
        <f>AVERAGEIF(L3:L1205,"&lt;2018/7/1",T3:T1205)</f>
        <v>7.464788732394366</v>
      </c>
      <c r="V562" s="24">
        <v>643</v>
      </c>
      <c r="W562" s="47" t="s">
        <v>4558</v>
      </c>
    </row>
    <row r="563" spans="1:23">
      <c r="A563" s="23">
        <v>2</v>
      </c>
      <c r="B563" s="23">
        <v>6</v>
      </c>
      <c r="C563" s="18">
        <v>5</v>
      </c>
      <c r="D563" s="18">
        <v>6</v>
      </c>
      <c r="E563" s="20">
        <v>111</v>
      </c>
      <c r="F563" s="21">
        <f t="shared" si="25"/>
        <v>107.22897196261682</v>
      </c>
      <c r="G563" s="22">
        <v>0.28174434946270299</v>
      </c>
      <c r="H563" s="18">
        <v>0</v>
      </c>
      <c r="I563" s="18">
        <f t="shared" si="26"/>
        <v>1</v>
      </c>
      <c r="J563" s="41">
        <v>43281</v>
      </c>
      <c r="K563" s="36">
        <v>2018</v>
      </c>
      <c r="L563" s="32">
        <f t="shared" si="24"/>
        <v>43284</v>
      </c>
      <c r="M563" s="40">
        <v>0</v>
      </c>
      <c r="N563" s="33">
        <v>118</v>
      </c>
      <c r="O563" s="34">
        <f>AVERAGEIF(L3:L1205,"&lt;2018/6/30",N3:N1205)</f>
        <v>120.17057902973396</v>
      </c>
      <c r="P563" s="38">
        <v>1</v>
      </c>
      <c r="Q563" s="38">
        <f>AVERAGEIF(L3:L1205,"&lt;2018/6/30",P3:P1205)</f>
        <v>0.3348982785602504</v>
      </c>
      <c r="R563" s="38">
        <v>1</v>
      </c>
      <c r="S563" s="38">
        <f>AVERAGEIF(L3:L1205,"&lt;2018/6/30",R3:R1205)</f>
        <v>1.2503912363067293</v>
      </c>
      <c r="T563" s="38">
        <v>3</v>
      </c>
      <c r="U563" s="38">
        <f>AVERAGEIF(L3:L1205,"&lt;2018/6/30",T3:T1205)</f>
        <v>7.464788732394366</v>
      </c>
      <c r="V563" s="24">
        <v>642</v>
      </c>
      <c r="W563" s="47" t="s">
        <v>4899</v>
      </c>
    </row>
    <row r="564" spans="1:23">
      <c r="A564" s="23">
        <v>2</v>
      </c>
      <c r="B564" s="23">
        <v>6</v>
      </c>
      <c r="C564" s="18">
        <v>4</v>
      </c>
      <c r="D564" s="18">
        <v>6</v>
      </c>
      <c r="E564" s="20">
        <v>402</v>
      </c>
      <c r="F564" s="21">
        <f t="shared" si="25"/>
        <v>106.76911076443058</v>
      </c>
      <c r="G564" s="22">
        <v>0.91089412339823606</v>
      </c>
      <c r="H564" s="18">
        <v>0</v>
      </c>
      <c r="I564" s="18">
        <f t="shared" si="26"/>
        <v>1</v>
      </c>
      <c r="J564" s="41">
        <v>43280</v>
      </c>
      <c r="K564" s="36">
        <v>2018</v>
      </c>
      <c r="L564" s="32">
        <f t="shared" si="24"/>
        <v>43285</v>
      </c>
      <c r="M564" s="40">
        <v>1</v>
      </c>
      <c r="N564" s="33">
        <v>314</v>
      </c>
      <c r="O564" s="34">
        <f>AVERAGEIF(L3:L1205,"&lt;2018/6/29",N3:N1205)</f>
        <v>120.25862068965517</v>
      </c>
      <c r="P564" s="38">
        <v>1</v>
      </c>
      <c r="Q564" s="38">
        <f>AVERAGEIF(L3:L1205,"&lt;2018/6/29",P3:P1205)</f>
        <v>0.33542319749216298</v>
      </c>
      <c r="R564" s="38">
        <v>1</v>
      </c>
      <c r="S564" s="38">
        <f>AVERAGEIF(L3:L1205,"&lt;2018/6/29",R3:R1205)</f>
        <v>1.2507836990595611</v>
      </c>
      <c r="T564" s="38">
        <v>5</v>
      </c>
      <c r="U564" s="38">
        <f>AVERAGEIF(L3:L1205,"&lt;2018/6/29",T3:T1205)</f>
        <v>7.4514106583072097</v>
      </c>
      <c r="V564" s="24">
        <v>641</v>
      </c>
      <c r="W564" s="47" t="s">
        <v>4553</v>
      </c>
    </row>
    <row r="565" spans="1:23">
      <c r="A565" s="23">
        <v>2</v>
      </c>
      <c r="B565" s="23">
        <v>4</v>
      </c>
      <c r="C565" s="18">
        <v>4</v>
      </c>
      <c r="D565" s="18">
        <v>4</v>
      </c>
      <c r="E565" s="20">
        <v>118</v>
      </c>
      <c r="F565" s="21">
        <f t="shared" si="25"/>
        <v>106.75156250000001</v>
      </c>
      <c r="G565" s="22">
        <v>0.375009568665856</v>
      </c>
      <c r="H565" s="18">
        <v>1</v>
      </c>
      <c r="I565" s="18">
        <f t="shared" si="26"/>
        <v>0</v>
      </c>
      <c r="J565" s="52">
        <v>43279</v>
      </c>
      <c r="K565" s="36">
        <v>2018</v>
      </c>
      <c r="L565" s="32">
        <f t="shared" si="24"/>
        <v>43283</v>
      </c>
      <c r="M565" s="40">
        <v>0</v>
      </c>
      <c r="N565" s="33">
        <v>94</v>
      </c>
      <c r="O565" s="34">
        <f>AVERAGEIF(L3:L1205,"&lt;2018/6/28",N3:N1205)</f>
        <v>120.35321821036106</v>
      </c>
      <c r="P565" s="38">
        <v>0</v>
      </c>
      <c r="Q565" s="38">
        <f>AVERAGEIF(L3:L1205,"&lt;2018/6/28",P3:P1205)</f>
        <v>0.33594976452119307</v>
      </c>
      <c r="R565" s="38">
        <v>1</v>
      </c>
      <c r="S565" s="38">
        <f>AVERAGEIF(L3:L1205,"&lt;2018/6/28",R3:R1205)</f>
        <v>1.251177394034537</v>
      </c>
      <c r="T565" s="38">
        <v>4</v>
      </c>
      <c r="U565" s="38">
        <f>AVERAGEIF(L3:L1205,"&lt;2018/6/28",T3:T1205)</f>
        <v>7.4599686028257457</v>
      </c>
      <c r="V565" s="24">
        <v>640</v>
      </c>
      <c r="W565" s="47" t="s">
        <v>4553</v>
      </c>
    </row>
    <row r="566" spans="1:23">
      <c r="A566" s="23">
        <v>2</v>
      </c>
      <c r="B566" s="23">
        <v>4</v>
      </c>
      <c r="C566" s="18">
        <v>4</v>
      </c>
      <c r="D566" s="18">
        <v>4</v>
      </c>
      <c r="E566" s="20">
        <v>96</v>
      </c>
      <c r="F566" s="21">
        <f t="shared" si="25"/>
        <v>106.76838810641628</v>
      </c>
      <c r="G566" s="22">
        <v>0.34090911674947699</v>
      </c>
      <c r="H566" s="18">
        <v>1</v>
      </c>
      <c r="I566" s="18">
        <f t="shared" si="26"/>
        <v>0</v>
      </c>
      <c r="J566" s="41">
        <v>43277</v>
      </c>
      <c r="K566" s="36">
        <v>2018</v>
      </c>
      <c r="L566" s="32">
        <f t="shared" si="24"/>
        <v>43279</v>
      </c>
      <c r="M566" s="40">
        <v>0</v>
      </c>
      <c r="N566" s="33">
        <v>60</v>
      </c>
      <c r="O566" s="34">
        <f>AVERAGEIF(L3:L1205,"&lt;2018/6/26",N3:N1205)</f>
        <v>120.28075709779179</v>
      </c>
      <c r="P566" s="38">
        <v>0</v>
      </c>
      <c r="Q566" s="38">
        <f>AVERAGEIF(L3:L1205,"&lt;2018/6/26",P3:P1205)</f>
        <v>0.33596214511041012</v>
      </c>
      <c r="R566" s="38">
        <v>1</v>
      </c>
      <c r="S566" s="38">
        <f>AVERAGEIF(L3:L1205,"&lt;2018/6/26",R3:R1205)</f>
        <v>1.249211356466877</v>
      </c>
      <c r="T566" s="38">
        <v>2</v>
      </c>
      <c r="U566" s="38">
        <f>AVERAGEIF(L3:L1205,"&lt;2018/6/26",T3:T1205)</f>
        <v>7.4432176656151423</v>
      </c>
      <c r="V566" s="24">
        <v>639</v>
      </c>
      <c r="W566" s="47" t="s">
        <v>4626</v>
      </c>
    </row>
    <row r="567" spans="1:23">
      <c r="A567" s="23">
        <v>2</v>
      </c>
      <c r="B567" s="23">
        <v>7</v>
      </c>
      <c r="C567" s="18">
        <v>4</v>
      </c>
      <c r="D567" s="18">
        <v>4</v>
      </c>
      <c r="E567" s="20">
        <v>55</v>
      </c>
      <c r="F567" s="21">
        <f t="shared" si="25"/>
        <v>106.84952978056427</v>
      </c>
      <c r="G567" s="22">
        <v>0.41515155326181002</v>
      </c>
      <c r="H567" s="18">
        <v>1</v>
      </c>
      <c r="I567" s="18">
        <f t="shared" si="26"/>
        <v>0</v>
      </c>
      <c r="J567" s="41">
        <v>43272</v>
      </c>
      <c r="K567" s="36">
        <v>2018</v>
      </c>
      <c r="L567" s="32">
        <f t="shared" si="24"/>
        <v>43273</v>
      </c>
      <c r="M567" s="40">
        <v>0</v>
      </c>
      <c r="N567" s="33">
        <v>197</v>
      </c>
      <c r="O567" s="34">
        <f>AVERAGEIF(L3:L1205,"&lt;2018/6/21",N3:N1205)</f>
        <v>120.32535885167464</v>
      </c>
      <c r="P567" s="40">
        <v>2</v>
      </c>
      <c r="Q567" s="40">
        <f>AVERAGEIF(L3:L1205,"&lt;2018/6/21",P3:P1205)</f>
        <v>0.33014354066985646</v>
      </c>
      <c r="R567" s="40">
        <v>2</v>
      </c>
      <c r="S567" s="40">
        <f>AVERAGEIF(L3:L1205,"&lt;2018/6/21",R3:R1205)</f>
        <v>1.2503987240829346</v>
      </c>
      <c r="T567" s="40">
        <v>1</v>
      </c>
      <c r="U567" s="40">
        <f>AVERAGEIF(L3:L1205,"&lt;2018/6/21",T3:T1205)</f>
        <v>7.4688995215311005</v>
      </c>
      <c r="V567" s="24">
        <v>638</v>
      </c>
      <c r="W567" s="47" t="s">
        <v>4550</v>
      </c>
    </row>
    <row r="568" spans="1:23">
      <c r="A568" s="23">
        <v>2</v>
      </c>
      <c r="B568" s="23">
        <v>6</v>
      </c>
      <c r="C568" s="18">
        <v>4</v>
      </c>
      <c r="D568" s="18">
        <v>4</v>
      </c>
      <c r="E568" s="20">
        <v>98</v>
      </c>
      <c r="F568" s="21">
        <f t="shared" si="25"/>
        <v>106.86342229199371</v>
      </c>
      <c r="G568" s="22">
        <v>0.66400213232236305</v>
      </c>
      <c r="H568" s="18">
        <v>1</v>
      </c>
      <c r="I568" s="18">
        <f t="shared" si="26"/>
        <v>0</v>
      </c>
      <c r="J568" s="41">
        <v>43271</v>
      </c>
      <c r="K568" s="36">
        <v>2018</v>
      </c>
      <c r="L568" s="32">
        <f t="shared" si="24"/>
        <v>43276</v>
      </c>
      <c r="M568" s="40">
        <v>0</v>
      </c>
      <c r="N568" s="33">
        <v>117</v>
      </c>
      <c r="O568" s="34">
        <f>AVERAGEIF(L3:L1205,"&lt;2018/6/20",N3:N1205)</f>
        <v>120.32535885167464</v>
      </c>
      <c r="P568" s="40">
        <v>1</v>
      </c>
      <c r="Q568" s="40">
        <f>AVERAGEIF(L3:L1205,"&lt;2018/6/20",P3:P1205)</f>
        <v>0.33014354066985646</v>
      </c>
      <c r="R568" s="40">
        <v>1</v>
      </c>
      <c r="S568" s="40">
        <f>AVERAGEIF(L3:L1205,"&lt;2018/6/20",R3:R1205)</f>
        <v>1.2503987240829346</v>
      </c>
      <c r="T568" s="40">
        <v>5</v>
      </c>
      <c r="U568" s="40">
        <f>AVERAGEIF(L3:L1205,"&lt;2018/6/20",T3:T1205)</f>
        <v>7.4688995215311005</v>
      </c>
      <c r="V568" s="24">
        <v>637</v>
      </c>
      <c r="W568" s="47" t="s">
        <v>4634</v>
      </c>
    </row>
    <row r="569" spans="1:23">
      <c r="A569" s="23">
        <v>4</v>
      </c>
      <c r="B569" s="23">
        <v>30</v>
      </c>
      <c r="C569" s="18">
        <v>4</v>
      </c>
      <c r="D569" s="18">
        <v>1</v>
      </c>
      <c r="E569" s="20">
        <v>68</v>
      </c>
      <c r="F569" s="21">
        <f t="shared" si="25"/>
        <v>106.9245283018868</v>
      </c>
      <c r="G569" s="22">
        <v>0.41250099936305201</v>
      </c>
      <c r="H569" s="18">
        <v>1</v>
      </c>
      <c r="I569" s="18">
        <f t="shared" si="26"/>
        <v>0</v>
      </c>
      <c r="J569" s="45">
        <v>43271</v>
      </c>
      <c r="K569" s="36">
        <v>2018</v>
      </c>
      <c r="L569" s="32">
        <f t="shared" si="24"/>
        <v>43276</v>
      </c>
      <c r="M569" s="42">
        <v>0</v>
      </c>
      <c r="N569" s="33">
        <v>41</v>
      </c>
      <c r="O569" s="34">
        <f>AVERAGEIF(L3:L1205,"&lt;2018/6/20",N3:N1205)</f>
        <v>120.32535885167464</v>
      </c>
      <c r="P569" s="54">
        <v>1</v>
      </c>
      <c r="Q569" s="38">
        <f>AVERAGEIF(L3:L1205,"&lt;2018/6/20",P3:P1205)</f>
        <v>0.33014354066985646</v>
      </c>
      <c r="R569" s="38">
        <v>1</v>
      </c>
      <c r="S569" s="38">
        <f>AVERAGEIF(L3:L1205,"&lt;2018/6/20",R3:R1205)</f>
        <v>1.2503987240829346</v>
      </c>
      <c r="T569" s="54">
        <v>5</v>
      </c>
      <c r="U569" s="38">
        <f>AVERAGEIF(L3:L1205,"&lt;2018/6/20",T3:T1205)</f>
        <v>7.4688995215311005</v>
      </c>
      <c r="V569" s="24">
        <v>636</v>
      </c>
      <c r="W569" s="47" t="s">
        <v>4557</v>
      </c>
    </row>
    <row r="570" spans="1:23">
      <c r="A570" s="23">
        <v>3</v>
      </c>
      <c r="B570" s="23">
        <v>25</v>
      </c>
      <c r="C570" s="18">
        <v>4</v>
      </c>
      <c r="D570" s="18">
        <v>4</v>
      </c>
      <c r="E570" s="20">
        <v>141</v>
      </c>
      <c r="F570" s="21">
        <f t="shared" si="25"/>
        <v>106.87086614173228</v>
      </c>
      <c r="G570" s="22">
        <v>0.38131588603708599</v>
      </c>
      <c r="H570" s="3">
        <v>1</v>
      </c>
      <c r="I570" s="18">
        <f t="shared" si="26"/>
        <v>0</v>
      </c>
      <c r="J570" s="41">
        <v>43270</v>
      </c>
      <c r="K570" s="36">
        <v>2018</v>
      </c>
      <c r="L570" s="32">
        <f t="shared" si="24"/>
        <v>43277</v>
      </c>
      <c r="M570" s="40">
        <v>0</v>
      </c>
      <c r="N570" s="33">
        <v>285</v>
      </c>
      <c r="O570" s="34">
        <f>AVERAGEIF(L3:L1205,"&lt;2018/6/19",N3:N1205)</f>
        <v>120.38019169329074</v>
      </c>
      <c r="P570" s="54">
        <v>0</v>
      </c>
      <c r="Q570" s="38">
        <f>AVERAGEIF(L3:L1205,"&lt;2018/6/19",P3:P1205)</f>
        <v>0.33067092651757191</v>
      </c>
      <c r="R570" s="38">
        <v>2</v>
      </c>
      <c r="S570" s="38">
        <f>AVERAGEIF(L3:L1205,"&lt;2018/6/19",R3:R1205)</f>
        <v>1.2507987220447285</v>
      </c>
      <c r="T570" s="54">
        <v>7</v>
      </c>
      <c r="U570" s="38">
        <f>AVERAGEIF(L3:L1205,"&lt;2018/6/19",T3:T1205)</f>
        <v>7.4760383386581468</v>
      </c>
      <c r="V570" s="24">
        <v>635</v>
      </c>
      <c r="W570" s="47" t="s">
        <v>4652</v>
      </c>
    </row>
    <row r="571" spans="1:23">
      <c r="A571" s="23">
        <v>4</v>
      </c>
      <c r="B571" s="23">
        <v>29</v>
      </c>
      <c r="C571" s="18">
        <v>4</v>
      </c>
      <c r="D571" s="18">
        <v>6</v>
      </c>
      <c r="E571" s="20">
        <v>153</v>
      </c>
      <c r="F571" s="21">
        <f t="shared" si="25"/>
        <v>106.79810725552051</v>
      </c>
      <c r="G571" s="22">
        <v>0.41250905901917001</v>
      </c>
      <c r="H571" s="18">
        <v>0</v>
      </c>
      <c r="I571" s="18">
        <f t="shared" si="26"/>
        <v>1</v>
      </c>
      <c r="J571" s="45">
        <v>43270</v>
      </c>
      <c r="K571" s="36">
        <v>2018</v>
      </c>
      <c r="L571" s="32">
        <f t="shared" si="24"/>
        <v>43277</v>
      </c>
      <c r="M571" s="42">
        <v>1</v>
      </c>
      <c r="N571" s="33">
        <v>91</v>
      </c>
      <c r="O571" s="34">
        <f>AVERAGEIF(L3:L1205,"&lt;2018/6/19",N3:N1205)</f>
        <v>120.38019169329074</v>
      </c>
      <c r="P571" s="38">
        <v>1</v>
      </c>
      <c r="Q571" s="38">
        <f>AVERAGEIF(L3:L1205,"&lt;2018/6/19",P3:P1205)</f>
        <v>0.33067092651757191</v>
      </c>
      <c r="R571" s="38">
        <v>1</v>
      </c>
      <c r="S571" s="38">
        <f>AVERAGEIF(L3:L1205,"&lt;2018/6/19",R3:R1205)</f>
        <v>1.2507987220447285</v>
      </c>
      <c r="T571" s="38">
        <v>7</v>
      </c>
      <c r="U571" s="38">
        <f>AVERAGEIF(L3:L1205,"&lt;2018/6/19",T3:T1205)</f>
        <v>7.4760383386581468</v>
      </c>
      <c r="V571" s="24">
        <v>634</v>
      </c>
      <c r="W571" s="47" t="s">
        <v>4550</v>
      </c>
    </row>
    <row r="572" spans="1:23">
      <c r="A572" s="23">
        <v>2</v>
      </c>
      <c r="B572" s="23">
        <v>6</v>
      </c>
      <c r="C572" s="18">
        <v>4</v>
      </c>
      <c r="D572" s="18">
        <v>4</v>
      </c>
      <c r="E572" s="20">
        <v>75</v>
      </c>
      <c r="F572" s="21">
        <f t="shared" si="25"/>
        <v>106.84834123222748</v>
      </c>
      <c r="G572" s="22">
        <v>0.37608422837217498</v>
      </c>
      <c r="H572" s="18">
        <v>1</v>
      </c>
      <c r="I572" s="18">
        <f t="shared" si="26"/>
        <v>0</v>
      </c>
      <c r="J572" s="41">
        <v>43268</v>
      </c>
      <c r="K572" s="36">
        <v>2018</v>
      </c>
      <c r="L572" s="32">
        <f t="shared" si="24"/>
        <v>43272</v>
      </c>
      <c r="M572" s="40">
        <v>0</v>
      </c>
      <c r="N572" s="33">
        <v>134</v>
      </c>
      <c r="O572" s="34">
        <f>AVERAGEIF(L3:L1205,"&lt;2018/6/17",N3:N1205)</f>
        <v>120.38019169329074</v>
      </c>
      <c r="P572" s="40">
        <v>0</v>
      </c>
      <c r="Q572" s="40">
        <f>AVERAGEIF(L3:L1205,"&lt;2018/6/17",P3:P1205)</f>
        <v>0.33067092651757191</v>
      </c>
      <c r="R572" s="40">
        <v>1</v>
      </c>
      <c r="S572" s="40">
        <f>AVERAGEIF(L3:L1205,"&lt;2018/6/17",R3:R1205)</f>
        <v>1.2507987220447285</v>
      </c>
      <c r="T572" s="40">
        <v>4</v>
      </c>
      <c r="U572" s="40">
        <f>AVERAGEIF(L3:L1205,"&lt;2018/6/17",T3:T1205)</f>
        <v>7.4760383386581468</v>
      </c>
      <c r="V572" s="24">
        <v>633</v>
      </c>
      <c r="W572" s="47" t="s">
        <v>4521</v>
      </c>
    </row>
    <row r="573" spans="1:23">
      <c r="A573" s="17">
        <v>1</v>
      </c>
      <c r="B573" s="17">
        <v>2</v>
      </c>
      <c r="C573" s="18">
        <v>1</v>
      </c>
      <c r="D573" s="18">
        <v>6</v>
      </c>
      <c r="E573" s="20">
        <v>144</v>
      </c>
      <c r="F573" s="21">
        <f t="shared" si="25"/>
        <v>106.78955696202532</v>
      </c>
      <c r="G573" s="22">
        <v>0.71533023895408498</v>
      </c>
      <c r="H573" s="18">
        <v>1</v>
      </c>
      <c r="I573" s="18">
        <f t="shared" si="26"/>
        <v>0</v>
      </c>
      <c r="J573" s="41">
        <v>43267</v>
      </c>
      <c r="K573" s="36">
        <v>2018</v>
      </c>
      <c r="L573" s="32">
        <f t="shared" si="24"/>
        <v>43272</v>
      </c>
      <c r="M573" s="40">
        <v>1</v>
      </c>
      <c r="N573" s="33">
        <v>166</v>
      </c>
      <c r="O573" s="34">
        <f>AVERAGEIF(L3:L1205,"&lt;2018/6/16",N3:N1205)</f>
        <v>120.38019169329074</v>
      </c>
      <c r="P573" s="24">
        <v>2</v>
      </c>
      <c r="Q573" s="24">
        <f>AVERAGEIF(L3:L1205,"&lt;2018/6/16",P3:P1205)</f>
        <v>0.33067092651757191</v>
      </c>
      <c r="R573" s="24">
        <v>1</v>
      </c>
      <c r="S573" s="24">
        <f>AVERAGEIF(L3:L1205,"&lt;2018/6/16",R3:R1205)</f>
        <v>1.2507987220447285</v>
      </c>
      <c r="T573" s="24">
        <v>5</v>
      </c>
      <c r="U573" s="24">
        <f>AVERAGEIF(L3:L1205,"&lt;2018/6/16",T3:T1205)</f>
        <v>7.4760383386581468</v>
      </c>
      <c r="V573" s="24">
        <v>632</v>
      </c>
      <c r="W573" s="47" t="s">
        <v>4550</v>
      </c>
    </row>
    <row r="574" spans="1:23">
      <c r="A574" s="23">
        <v>2</v>
      </c>
      <c r="B574" s="23">
        <v>6</v>
      </c>
      <c r="C574" s="18">
        <v>4</v>
      </c>
      <c r="D574" s="18">
        <v>6</v>
      </c>
      <c r="E574" s="20">
        <v>19</v>
      </c>
      <c r="F574" s="21">
        <f t="shared" si="25"/>
        <v>106.92868462757528</v>
      </c>
      <c r="G574" s="22">
        <v>0.41831736425837501</v>
      </c>
      <c r="H574" s="18">
        <v>0</v>
      </c>
      <c r="I574" s="18">
        <f t="shared" si="26"/>
        <v>1</v>
      </c>
      <c r="J574" s="41">
        <v>43267</v>
      </c>
      <c r="K574" s="36">
        <v>2018</v>
      </c>
      <c r="L574" s="32">
        <f t="shared" si="24"/>
        <v>43270</v>
      </c>
      <c r="M574" s="37">
        <v>0</v>
      </c>
      <c r="N574" s="33">
        <v>86</v>
      </c>
      <c r="O574" s="34">
        <f>AVERAGEIF(L3:L1205,"&lt;2018/6/16",N3:N1205)</f>
        <v>120.38019169329074</v>
      </c>
      <c r="P574" s="38">
        <v>0</v>
      </c>
      <c r="Q574" s="38">
        <f>AVERAGEIF(L3:L1205,"&lt;2018/6/16",P3:P1205)</f>
        <v>0.33067092651757191</v>
      </c>
      <c r="R574" s="38">
        <v>1</v>
      </c>
      <c r="S574" s="38">
        <f>AVERAGEIF(L3:L1205,"&lt;2018/6/16",R3:R1205)</f>
        <v>1.2507987220447285</v>
      </c>
      <c r="T574" s="38">
        <v>3</v>
      </c>
      <c r="U574" s="38">
        <f>AVERAGEIF(L3:L1205,"&lt;2018/6/16",T3:T1205)</f>
        <v>7.4760383386581468</v>
      </c>
      <c r="V574" s="24">
        <v>631</v>
      </c>
      <c r="W574" s="47" t="s">
        <v>4550</v>
      </c>
    </row>
    <row r="575" spans="1:23">
      <c r="A575" s="23">
        <v>2</v>
      </c>
      <c r="B575" s="23">
        <v>6</v>
      </c>
      <c r="C575" s="18">
        <v>4</v>
      </c>
      <c r="D575" s="18">
        <v>4</v>
      </c>
      <c r="E575" s="20">
        <v>94</v>
      </c>
      <c r="F575" s="21">
        <f t="shared" si="25"/>
        <v>106.94920634920635</v>
      </c>
      <c r="G575" s="22">
        <v>0.340909728729408</v>
      </c>
      <c r="H575" s="18">
        <v>1</v>
      </c>
      <c r="I575" s="18">
        <f t="shared" si="26"/>
        <v>0</v>
      </c>
      <c r="J575" s="41">
        <v>43267</v>
      </c>
      <c r="K575" s="36">
        <v>2018</v>
      </c>
      <c r="L575" s="32">
        <f t="shared" si="24"/>
        <v>43272</v>
      </c>
      <c r="M575" s="40">
        <v>0</v>
      </c>
      <c r="N575" s="33">
        <v>101</v>
      </c>
      <c r="O575" s="34">
        <f>AVERAGEIF(L3:L1205,"&lt;2018/6/16",N3:N1205)</f>
        <v>120.38019169329074</v>
      </c>
      <c r="P575" s="38">
        <v>0</v>
      </c>
      <c r="Q575" s="38">
        <f>AVERAGEIF(L3:L1205,"&lt;2018/6/16",P3:P1205)</f>
        <v>0.33067092651757191</v>
      </c>
      <c r="R575" s="38">
        <v>1</v>
      </c>
      <c r="S575" s="38">
        <f>AVERAGEIF(L3:L1205,"&lt;2018/6/16",R3:R1205)</f>
        <v>1.2507987220447285</v>
      </c>
      <c r="T575" s="38">
        <v>5</v>
      </c>
      <c r="U575" s="38">
        <f>AVERAGEIF(L3:L1205,"&lt;2018/6/16",T3:T1205)</f>
        <v>7.4760383386581468</v>
      </c>
      <c r="V575" s="24">
        <v>630</v>
      </c>
      <c r="W575" s="47" t="s">
        <v>4945</v>
      </c>
    </row>
    <row r="576" spans="1:23">
      <c r="A576" s="23">
        <v>2</v>
      </c>
      <c r="B576" s="23">
        <v>7</v>
      </c>
      <c r="C576" s="18">
        <v>4</v>
      </c>
      <c r="D576" s="18">
        <v>1</v>
      </c>
      <c r="E576" s="20">
        <v>275</v>
      </c>
      <c r="F576" s="21">
        <f t="shared" si="25"/>
        <v>106.68203497615262</v>
      </c>
      <c r="G576" s="22">
        <v>0.36762052954108898</v>
      </c>
      <c r="H576" s="18">
        <v>0</v>
      </c>
      <c r="I576" s="18">
        <f t="shared" si="26"/>
        <v>1</v>
      </c>
      <c r="J576" s="41">
        <v>43264</v>
      </c>
      <c r="K576" s="36">
        <v>2018</v>
      </c>
      <c r="L576" s="32">
        <f t="shared" si="24"/>
        <v>43280</v>
      </c>
      <c r="M576" s="40">
        <v>0</v>
      </c>
      <c r="N576" s="33">
        <v>64</v>
      </c>
      <c r="O576" s="34">
        <f>AVERAGEIF(L3:L1205,"&lt;2018/6/13",N3:N1205)</f>
        <v>120.34943639291465</v>
      </c>
      <c r="P576" s="38">
        <v>0</v>
      </c>
      <c r="Q576" s="38">
        <f>AVERAGEIF(L3:L1205,"&lt;2018/6/13",P3:P1205)</f>
        <v>0.32850241545893721</v>
      </c>
      <c r="R576" s="38">
        <v>1</v>
      </c>
      <c r="S576" s="38">
        <f>AVERAGEIF(L3:L1205,"&lt;2018/6/13",R3:R1205)</f>
        <v>1.251207729468599</v>
      </c>
      <c r="T576" s="38">
        <v>16</v>
      </c>
      <c r="U576" s="38">
        <f>AVERAGEIF(L3:L1205,"&lt;2018/6/13",T3:T1205)</f>
        <v>7.486312399355878</v>
      </c>
      <c r="V576" s="24">
        <v>629</v>
      </c>
      <c r="W576" s="47" t="s">
        <v>4523</v>
      </c>
    </row>
    <row r="577" spans="1:23">
      <c r="A577" s="23">
        <v>2</v>
      </c>
      <c r="B577" s="23">
        <v>7</v>
      </c>
      <c r="C577" s="18">
        <v>4</v>
      </c>
      <c r="D577" s="18">
        <v>8</v>
      </c>
      <c r="E577" s="20">
        <v>268</v>
      </c>
      <c r="F577" s="21">
        <f t="shared" si="25"/>
        <v>106.42515923566879</v>
      </c>
      <c r="G577" s="22">
        <v>9.4637119127193997E-2</v>
      </c>
      <c r="H577" s="18">
        <v>1</v>
      </c>
      <c r="I577" s="18">
        <f t="shared" si="26"/>
        <v>0</v>
      </c>
      <c r="J577" s="41">
        <v>43263</v>
      </c>
      <c r="K577" s="36">
        <v>2018</v>
      </c>
      <c r="L577" s="32">
        <f t="shared" si="24"/>
        <v>43266</v>
      </c>
      <c r="M577" s="40">
        <v>0</v>
      </c>
      <c r="N577" s="33">
        <v>126</v>
      </c>
      <c r="O577" s="34">
        <f>AVERAGEIF(L3:L1205,"&lt;2018/6/12",N3:N1205)</f>
        <v>120.32741935483871</v>
      </c>
      <c r="P577" s="38">
        <v>0</v>
      </c>
      <c r="Q577" s="38">
        <f>AVERAGEIF(L3:L1205,"&lt;2018/6/12",P3:P1205)</f>
        <v>0.32903225806451614</v>
      </c>
      <c r="R577" s="38">
        <v>1</v>
      </c>
      <c r="S577" s="38">
        <f>AVERAGEIF(L3:L1205,"&lt;2018/6/12",R3:R1205)</f>
        <v>1.2516129032258065</v>
      </c>
      <c r="T577" s="38">
        <v>3</v>
      </c>
      <c r="U577" s="38">
        <f>AVERAGEIF(L3:L1205,"&lt;2018/6/12",T3:T1205)</f>
        <v>7.491935483870968</v>
      </c>
      <c r="V577" s="24">
        <v>628</v>
      </c>
      <c r="W577" s="47" t="s">
        <v>4716</v>
      </c>
    </row>
    <row r="578" spans="1:23">
      <c r="A578" s="23">
        <v>2</v>
      </c>
      <c r="B578" s="23">
        <v>6</v>
      </c>
      <c r="C578" s="18">
        <v>4</v>
      </c>
      <c r="D578" s="18">
        <v>4</v>
      </c>
      <c r="E578" s="20">
        <v>49</v>
      </c>
      <c r="F578" s="21">
        <f t="shared" si="25"/>
        <v>106.51674641148325</v>
      </c>
      <c r="G578" s="22">
        <v>0.35414542546162497</v>
      </c>
      <c r="H578" s="18">
        <v>1</v>
      </c>
      <c r="I578" s="18">
        <f t="shared" si="26"/>
        <v>0</v>
      </c>
      <c r="J578" s="41">
        <v>43262</v>
      </c>
      <c r="K578" s="36">
        <v>2018</v>
      </c>
      <c r="L578" s="32">
        <f t="shared" si="24"/>
        <v>43264</v>
      </c>
      <c r="M578" s="40">
        <v>0</v>
      </c>
      <c r="N578" s="33">
        <v>151</v>
      </c>
      <c r="O578" s="34">
        <f>AVERAGEIF(L3:L1205,"&lt;2018/6/11",N3:N1205)</f>
        <v>120.46688206785137</v>
      </c>
      <c r="P578" s="40">
        <v>0</v>
      </c>
      <c r="Q578" s="40">
        <f>AVERAGEIF(L3:L1205,"&lt;2018/6/11",P3:P1205)</f>
        <v>0.32794830371567046</v>
      </c>
      <c r="R578" s="40">
        <v>1</v>
      </c>
      <c r="S578" s="40">
        <f>AVERAGEIF(L3:L1205,"&lt;2018/6/11",R3:R1205)</f>
        <v>1.2504038772213246</v>
      </c>
      <c r="T578" s="40">
        <v>2</v>
      </c>
      <c r="U578" s="40">
        <f>AVERAGEIF(L3:L1205,"&lt;2018/6/11",T3:T1205)</f>
        <v>7.4894991922455576</v>
      </c>
      <c r="V578" s="24">
        <v>627</v>
      </c>
      <c r="W578" s="47" t="s">
        <v>4878</v>
      </c>
    </row>
    <row r="579" spans="1:23">
      <c r="A579" s="23">
        <v>3</v>
      </c>
      <c r="B579" s="23">
        <v>21</v>
      </c>
      <c r="C579" s="18">
        <v>4</v>
      </c>
      <c r="D579" s="18">
        <v>6</v>
      </c>
      <c r="E579" s="20">
        <v>330</v>
      </c>
      <c r="F579" s="21">
        <f t="shared" si="25"/>
        <v>106.15974440894568</v>
      </c>
      <c r="G579" s="22">
        <v>0.38407220222465899</v>
      </c>
      <c r="H579" s="3">
        <v>1</v>
      </c>
      <c r="I579" s="18">
        <f t="shared" si="26"/>
        <v>0</v>
      </c>
      <c r="J579" s="41">
        <v>43262</v>
      </c>
      <c r="K579" s="36">
        <v>2018</v>
      </c>
      <c r="L579" s="32">
        <f t="shared" ref="L579:L642" si="27">J579+T579</f>
        <v>43264</v>
      </c>
      <c r="M579" s="40">
        <v>0</v>
      </c>
      <c r="N579" s="33">
        <v>134</v>
      </c>
      <c r="O579" s="34">
        <f>AVERAGEIF(L3:L1205,"&lt;2018/6/11",N3:N1205)</f>
        <v>120.46688206785137</v>
      </c>
      <c r="P579" s="38">
        <v>0</v>
      </c>
      <c r="Q579" s="38">
        <f>AVERAGEIF(L3:L1205,"&lt;2018/6/11",P3:P1205)</f>
        <v>0.32794830371567046</v>
      </c>
      <c r="R579" s="38">
        <v>1</v>
      </c>
      <c r="S579" s="38">
        <f>AVERAGEIF(L3:L1205,"&lt;2018/6/11",R3:R1205)</f>
        <v>1.2504038772213246</v>
      </c>
      <c r="T579" s="38">
        <v>2</v>
      </c>
      <c r="U579" s="38">
        <f>AVERAGEIF(L3:L1205,"&lt;2018/6/11",T3:T1205)</f>
        <v>7.4894991922455576</v>
      </c>
      <c r="V579" s="24">
        <v>626</v>
      </c>
      <c r="W579" s="47" t="s">
        <v>4947</v>
      </c>
    </row>
    <row r="580" spans="1:23">
      <c r="A580" s="23">
        <v>2</v>
      </c>
      <c r="B580" s="23">
        <v>17</v>
      </c>
      <c r="C580" s="18">
        <v>4</v>
      </c>
      <c r="D580" s="18">
        <v>6</v>
      </c>
      <c r="E580" s="20">
        <v>199</v>
      </c>
      <c r="F580" s="21">
        <f t="shared" ref="F580:F643" si="28">AVERAGE(E581:E1782)</f>
        <v>106.0112</v>
      </c>
      <c r="G580" s="22">
        <v>0.41250000000002901</v>
      </c>
      <c r="H580" s="18">
        <v>1</v>
      </c>
      <c r="I580" s="18">
        <f t="shared" ref="I580:I643" si="29">IF(H580=1,0,1)</f>
        <v>0</v>
      </c>
      <c r="J580" s="41">
        <v>43261</v>
      </c>
      <c r="K580" s="36">
        <v>2018</v>
      </c>
      <c r="L580" s="32">
        <f t="shared" si="27"/>
        <v>43272</v>
      </c>
      <c r="M580" s="40">
        <v>1</v>
      </c>
      <c r="N580" s="33">
        <v>58</v>
      </c>
      <c r="O580" s="34">
        <f>AVERAGEIF(L3:L1205,"&lt;2018/6/10",N3:N1205)</f>
        <v>120.46688206785137</v>
      </c>
      <c r="P580" s="38">
        <v>0</v>
      </c>
      <c r="Q580" s="38">
        <f>AVERAGEIF(L3:L1205,"&lt;2018/6/10",P3:P1205)</f>
        <v>0.32794830371567046</v>
      </c>
      <c r="R580" s="38">
        <v>1</v>
      </c>
      <c r="S580" s="38">
        <f>AVERAGEIF(L3:L1205,"&lt;2018/6/10",R3:R1205)</f>
        <v>1.2504038772213246</v>
      </c>
      <c r="T580" s="38">
        <v>11</v>
      </c>
      <c r="U580" s="38">
        <f>AVERAGEIF(L3:L1205,"&lt;2018/6/10",T3:T1205)</f>
        <v>7.4894991922455576</v>
      </c>
      <c r="V580" s="24">
        <v>625</v>
      </c>
      <c r="W580" s="47" t="s">
        <v>4529</v>
      </c>
    </row>
    <row r="581" spans="1:23">
      <c r="A581" s="23">
        <v>2</v>
      </c>
      <c r="B581" s="23">
        <v>7</v>
      </c>
      <c r="C581" s="18">
        <v>4</v>
      </c>
      <c r="D581" s="18">
        <v>6</v>
      </c>
      <c r="E581" s="20">
        <v>227</v>
      </c>
      <c r="F581" s="21">
        <f t="shared" si="28"/>
        <v>105.81730769230769</v>
      </c>
      <c r="G581" s="22">
        <v>0.34092852066384699</v>
      </c>
      <c r="H581" s="18">
        <v>0</v>
      </c>
      <c r="I581" s="18">
        <f t="shared" si="29"/>
        <v>1</v>
      </c>
      <c r="J581" s="41">
        <v>43259</v>
      </c>
      <c r="K581" s="36">
        <v>2018</v>
      </c>
      <c r="L581" s="32">
        <f t="shared" si="27"/>
        <v>43278</v>
      </c>
      <c r="M581" s="40">
        <v>0</v>
      </c>
      <c r="N581" s="33">
        <v>31</v>
      </c>
      <c r="O581" s="34">
        <f>AVERAGEIF(L3:L1205,"&lt;2018/6/8",N3:N1205)</f>
        <v>120.57605177993527</v>
      </c>
      <c r="P581" s="38">
        <v>0</v>
      </c>
      <c r="Q581" s="38">
        <f>AVERAGEIF(L3:L1205,"&lt;2018/6/8",P3:P1205)</f>
        <v>0.32847896440129448</v>
      </c>
      <c r="R581" s="38">
        <v>2</v>
      </c>
      <c r="S581" s="38">
        <f>AVERAGEIF(L3:L1205,"&lt;2018/6/8",R3:R1205)</f>
        <v>1.2508090614886731</v>
      </c>
      <c r="T581" s="38">
        <v>19</v>
      </c>
      <c r="U581" s="38">
        <f>AVERAGEIF(L3:L1205,"&lt;2018/6/8",T3:T1205)</f>
        <v>7.4951456310679614</v>
      </c>
      <c r="V581" s="24">
        <v>624</v>
      </c>
      <c r="W581" s="47" t="s">
        <v>4523</v>
      </c>
    </row>
    <row r="582" spans="1:23">
      <c r="A582" s="23">
        <v>3</v>
      </c>
      <c r="B582" s="23">
        <v>21</v>
      </c>
      <c r="C582" s="18">
        <v>4</v>
      </c>
      <c r="D582" s="18">
        <v>6</v>
      </c>
      <c r="E582" s="20">
        <v>263</v>
      </c>
      <c r="F582" s="21">
        <f t="shared" si="28"/>
        <v>105.56500802568219</v>
      </c>
      <c r="G582" s="22">
        <v>0.375000035953936</v>
      </c>
      <c r="H582" s="3">
        <v>1</v>
      </c>
      <c r="I582" s="18">
        <f t="shared" si="29"/>
        <v>0</v>
      </c>
      <c r="J582" s="41">
        <v>43259</v>
      </c>
      <c r="K582" s="36">
        <v>2018</v>
      </c>
      <c r="L582" s="32">
        <f t="shared" si="27"/>
        <v>43263</v>
      </c>
      <c r="M582" s="40">
        <v>0</v>
      </c>
      <c r="N582" s="33">
        <v>134</v>
      </c>
      <c r="O582" s="34">
        <f>AVERAGEIF(L3:L1205,"&lt;2018/6/8",N3:N1205)</f>
        <v>120.57605177993527</v>
      </c>
      <c r="P582" s="54">
        <v>0</v>
      </c>
      <c r="Q582" s="38">
        <f>AVERAGEIF(L3:L1205,"&lt;2018/6/8",P3:P1205)</f>
        <v>0.32847896440129448</v>
      </c>
      <c r="R582" s="38">
        <v>1</v>
      </c>
      <c r="S582" s="38">
        <f>AVERAGEIF(L3:L1205,"&lt;2018/6/8",R3:R1205)</f>
        <v>1.2508090614886731</v>
      </c>
      <c r="T582" s="54">
        <v>4</v>
      </c>
      <c r="U582" s="38">
        <f>AVERAGEIF(L3:L1205,"&lt;2018/6/8",T3:T1205)</f>
        <v>7.4951456310679614</v>
      </c>
      <c r="V582" s="24">
        <v>623</v>
      </c>
      <c r="W582" s="47" t="s">
        <v>4947</v>
      </c>
    </row>
    <row r="583" spans="1:23">
      <c r="A583" s="17">
        <v>1</v>
      </c>
      <c r="B583" s="17">
        <v>3</v>
      </c>
      <c r="C583" s="18">
        <v>4</v>
      </c>
      <c r="D583" s="18">
        <v>4</v>
      </c>
      <c r="E583" s="20">
        <v>62</v>
      </c>
      <c r="F583" s="21">
        <f t="shared" si="28"/>
        <v>105.63504823151125</v>
      </c>
      <c r="G583" s="22">
        <v>0.41250194037569898</v>
      </c>
      <c r="H583" s="18">
        <v>1</v>
      </c>
      <c r="I583" s="18">
        <f t="shared" si="29"/>
        <v>0</v>
      </c>
      <c r="J583" s="41">
        <v>43256</v>
      </c>
      <c r="K583" s="36">
        <v>2018</v>
      </c>
      <c r="L583" s="32">
        <f t="shared" si="27"/>
        <v>43264</v>
      </c>
      <c r="M583" s="24">
        <v>0</v>
      </c>
      <c r="N583" s="33">
        <v>89</v>
      </c>
      <c r="O583" s="34">
        <f>AVERAGEIF(L3:L1205,"&lt;2018/6/5",N3:N1205)</f>
        <v>120.17073170731707</v>
      </c>
      <c r="P583" s="55">
        <v>2</v>
      </c>
      <c r="Q583" s="24">
        <f>AVERAGEIF(L3:L1205,"&lt;2018/6/5",P3:P1205)</f>
        <v>0.32195121951219513</v>
      </c>
      <c r="R583" s="24">
        <v>1</v>
      </c>
      <c r="S583" s="24">
        <f>AVERAGEIF(L3:L1205,"&lt;2018/6/5",R3:R1205)</f>
        <v>1.2520325203252032</v>
      </c>
      <c r="T583" s="55">
        <v>8</v>
      </c>
      <c r="U583" s="24">
        <f>AVERAGEIF(L3:L1205,"&lt;2018/6/5",T3:T1205)</f>
        <v>7.4747967479674795</v>
      </c>
      <c r="V583" s="24">
        <v>622</v>
      </c>
      <c r="W583" s="47" t="s">
        <v>4558</v>
      </c>
    </row>
    <row r="584" spans="1:23">
      <c r="A584" s="17">
        <v>1</v>
      </c>
      <c r="B584" s="17">
        <v>2</v>
      </c>
      <c r="C584" s="18">
        <v>4</v>
      </c>
      <c r="D584" s="18">
        <v>4</v>
      </c>
      <c r="E584" s="20">
        <v>84</v>
      </c>
      <c r="F584" s="21">
        <f t="shared" si="28"/>
        <v>105.66988727858293</v>
      </c>
      <c r="G584" s="22">
        <v>0.875</v>
      </c>
      <c r="H584" s="18">
        <v>1</v>
      </c>
      <c r="I584" s="18">
        <f t="shared" si="29"/>
        <v>0</v>
      </c>
      <c r="J584" s="41">
        <v>43255</v>
      </c>
      <c r="K584" s="36">
        <v>2018</v>
      </c>
      <c r="L584" s="32">
        <f t="shared" si="27"/>
        <v>43257</v>
      </c>
      <c r="M584" s="24">
        <v>0</v>
      </c>
      <c r="N584" s="33">
        <v>82</v>
      </c>
      <c r="O584" s="34">
        <f>AVERAGEIF(L3:L1205,"&lt;2018/6/4",N3:N1205)</f>
        <v>120.25244299674267</v>
      </c>
      <c r="P584" s="24">
        <v>0</v>
      </c>
      <c r="Q584" s="24">
        <f>AVERAGEIF(L3:L1205,"&lt;2018/6/4",P3:P1205)</f>
        <v>0.32247557003257327</v>
      </c>
      <c r="R584" s="24">
        <v>1</v>
      </c>
      <c r="S584" s="24">
        <f>AVERAGEIF(L3:L1205,"&lt;2018/6/4",R3:R1205)</f>
        <v>1.2524429967426709</v>
      </c>
      <c r="T584" s="24">
        <v>2</v>
      </c>
      <c r="U584" s="24">
        <f>AVERAGEIF(L3:L1205,"&lt;2018/6/4",T3:T1205)</f>
        <v>7.4804560260586319</v>
      </c>
      <c r="V584" s="24">
        <v>621</v>
      </c>
      <c r="W584" s="47" t="s">
        <v>4652</v>
      </c>
    </row>
    <row r="585" spans="1:23">
      <c r="A585" s="23">
        <v>3</v>
      </c>
      <c r="B585" s="23">
        <v>21</v>
      </c>
      <c r="C585" s="18">
        <v>5</v>
      </c>
      <c r="D585" s="18">
        <v>6</v>
      </c>
      <c r="E585" s="20">
        <v>158</v>
      </c>
      <c r="F585" s="21">
        <f t="shared" si="28"/>
        <v>105.58548387096774</v>
      </c>
      <c r="G585" s="22">
        <v>0.38357894186904201</v>
      </c>
      <c r="H585" s="3">
        <v>0</v>
      </c>
      <c r="I585" s="18">
        <f t="shared" si="29"/>
        <v>1</v>
      </c>
      <c r="J585" s="41">
        <v>43255</v>
      </c>
      <c r="K585" s="36">
        <v>2018</v>
      </c>
      <c r="L585" s="32">
        <f t="shared" si="27"/>
        <v>43258</v>
      </c>
      <c r="M585" s="40">
        <v>1</v>
      </c>
      <c r="N585" s="33">
        <v>145</v>
      </c>
      <c r="O585" s="34">
        <f>AVERAGEIF(L3:L1205,"&lt;2018/6/4",N3:N1205)</f>
        <v>120.25244299674267</v>
      </c>
      <c r="P585" s="38">
        <v>2</v>
      </c>
      <c r="Q585" s="38">
        <f>AVERAGEIF(L3:L1205,"&lt;2018/6/4",P3:P1205)</f>
        <v>0.32247557003257327</v>
      </c>
      <c r="R585" s="38">
        <v>1</v>
      </c>
      <c r="S585" s="38">
        <f>AVERAGEIF(L3:L1205,"&lt;2018/6/4",R3:R1205)</f>
        <v>1.2524429967426709</v>
      </c>
      <c r="T585" s="38">
        <v>3</v>
      </c>
      <c r="U585" s="38">
        <f>AVERAGEIF(L3:L1205,"&lt;2018/6/4",T3:T1205)</f>
        <v>7.4804560260586319</v>
      </c>
      <c r="V585" s="24">
        <v>620</v>
      </c>
      <c r="W585" s="47" t="s">
        <v>4564</v>
      </c>
    </row>
    <row r="586" spans="1:23">
      <c r="A586" s="23">
        <v>5</v>
      </c>
      <c r="B586" s="23">
        <v>38</v>
      </c>
      <c r="C586" s="18">
        <v>1</v>
      </c>
      <c r="D586" s="18">
        <v>6</v>
      </c>
      <c r="E586" s="20">
        <v>170</v>
      </c>
      <c r="F586" s="21">
        <f t="shared" si="28"/>
        <v>105.48142164781906</v>
      </c>
      <c r="G586" s="22">
        <v>0.34100038891986201</v>
      </c>
      <c r="H586" s="18">
        <v>1</v>
      </c>
      <c r="I586" s="18">
        <f t="shared" si="29"/>
        <v>0</v>
      </c>
      <c r="J586" s="41">
        <v>43255</v>
      </c>
      <c r="K586" s="36">
        <v>2018</v>
      </c>
      <c r="L586" s="32">
        <f t="shared" si="27"/>
        <v>43259</v>
      </c>
      <c r="M586" s="40">
        <v>1</v>
      </c>
      <c r="N586" s="33">
        <v>53</v>
      </c>
      <c r="O586" s="34">
        <f>AVERAGEIF(L3:L1205,"&lt;2018/6/4",N3:N1205)</f>
        <v>120.25244299674267</v>
      </c>
      <c r="P586" s="38">
        <v>0</v>
      </c>
      <c r="Q586" s="38">
        <f>AVERAGEIF(L3:L1205,"&lt;2018/6/4",P3:P1205)</f>
        <v>0.32247557003257327</v>
      </c>
      <c r="R586" s="38">
        <v>1</v>
      </c>
      <c r="S586" s="38">
        <f>AVERAGEIF(L3:L1205,"&lt;2018/6/4",R3:R1205)</f>
        <v>1.2524429967426709</v>
      </c>
      <c r="T586" s="38">
        <v>4</v>
      </c>
      <c r="U586" s="38">
        <f>AVERAGEIF(L3:L1205,"&lt;2018/6/4",T3:T1205)</f>
        <v>7.4804560260586319</v>
      </c>
      <c r="V586" s="24">
        <v>619</v>
      </c>
      <c r="W586" s="47" t="s">
        <v>4529</v>
      </c>
    </row>
    <row r="587" spans="1:23">
      <c r="A587" s="23">
        <v>2</v>
      </c>
      <c r="B587" s="23">
        <v>6</v>
      </c>
      <c r="C587" s="18">
        <v>4</v>
      </c>
      <c r="D587" s="18">
        <v>4</v>
      </c>
      <c r="E587" s="20">
        <v>125</v>
      </c>
      <c r="F587" s="21">
        <f t="shared" si="28"/>
        <v>105.44983818770227</v>
      </c>
      <c r="G587" s="22">
        <v>0.412624534571088</v>
      </c>
      <c r="H587" s="18">
        <v>1</v>
      </c>
      <c r="I587" s="18">
        <f t="shared" si="29"/>
        <v>0</v>
      </c>
      <c r="J587" s="41">
        <v>43253</v>
      </c>
      <c r="K587" s="36">
        <v>2018</v>
      </c>
      <c r="L587" s="32">
        <f t="shared" si="27"/>
        <v>43262</v>
      </c>
      <c r="M587" s="40">
        <v>0</v>
      </c>
      <c r="N587" s="33">
        <v>34</v>
      </c>
      <c r="O587" s="34">
        <f>AVERAGEIF(L3:L1205,"&lt;2018/6/2",N3:N1205)</f>
        <v>120.25244299674267</v>
      </c>
      <c r="P587" s="54">
        <v>1</v>
      </c>
      <c r="Q587" s="38">
        <f>AVERAGEIF(L3:L1205,"&lt;2018/6/2",P3:P1205)</f>
        <v>0.32247557003257327</v>
      </c>
      <c r="R587" s="38">
        <v>2</v>
      </c>
      <c r="S587" s="38">
        <f>AVERAGEIF(L3:L1205,"&lt;2018/6/2",R3:R1205)</f>
        <v>1.2524429967426709</v>
      </c>
      <c r="T587" s="54">
        <v>9</v>
      </c>
      <c r="U587" s="38">
        <f>AVERAGEIF(L3:L1205,"&lt;2018/6/2",T3:T1205)</f>
        <v>7.4804560260586319</v>
      </c>
      <c r="V587" s="24">
        <v>618</v>
      </c>
      <c r="W587" s="47" t="s">
        <v>4558</v>
      </c>
    </row>
    <row r="588" spans="1:23">
      <c r="A588" s="23">
        <v>2</v>
      </c>
      <c r="B588" s="23">
        <v>4</v>
      </c>
      <c r="C588" s="18">
        <v>4</v>
      </c>
      <c r="D588" s="18">
        <v>4</v>
      </c>
      <c r="E588" s="20">
        <v>46</v>
      </c>
      <c r="F588" s="21">
        <f t="shared" si="28"/>
        <v>105.54619124797406</v>
      </c>
      <c r="G588" s="22">
        <v>0.412523269813727</v>
      </c>
      <c r="H588" s="18">
        <v>1</v>
      </c>
      <c r="I588" s="18">
        <f t="shared" si="29"/>
        <v>0</v>
      </c>
      <c r="J588" s="41">
        <v>43251</v>
      </c>
      <c r="K588" s="36">
        <v>2018</v>
      </c>
      <c r="L588" s="32">
        <f t="shared" si="27"/>
        <v>43255</v>
      </c>
      <c r="M588" s="40">
        <v>0</v>
      </c>
      <c r="N588" s="33">
        <v>70</v>
      </c>
      <c r="O588" s="34">
        <f>AVERAGEIF(L3:L1205,"&lt;2018/5/31",N3:N1205)</f>
        <v>120.55573770491803</v>
      </c>
      <c r="P588" s="40">
        <v>0</v>
      </c>
      <c r="Q588" s="40">
        <f>AVERAGEIF(L3:L1205,"&lt;2018/5/31",P3:P1205)</f>
        <v>0.31967213114754101</v>
      </c>
      <c r="R588" s="40">
        <v>1</v>
      </c>
      <c r="S588" s="40">
        <f>AVERAGEIF(L3:L1205,"&lt;2018/5/31",R3:R1205)</f>
        <v>1.2524590163934426</v>
      </c>
      <c r="T588" s="40">
        <v>4</v>
      </c>
      <c r="U588" s="40">
        <f>AVERAGEIF(L3:L1205,"&lt;2018/5/31",T3:T1205)</f>
        <v>7.4852459016393444</v>
      </c>
      <c r="V588" s="24">
        <v>617</v>
      </c>
      <c r="W588" s="47" t="s">
        <v>4521</v>
      </c>
    </row>
    <row r="589" spans="1:23">
      <c r="A589" s="23">
        <v>2</v>
      </c>
      <c r="B589" s="23">
        <v>6</v>
      </c>
      <c r="C589" s="18">
        <v>4</v>
      </c>
      <c r="D589" s="18">
        <v>4</v>
      </c>
      <c r="E589" s="20">
        <v>83</v>
      </c>
      <c r="F589" s="21">
        <f t="shared" si="28"/>
        <v>105.58279220779221</v>
      </c>
      <c r="G589" s="22">
        <v>0.41382714656622399</v>
      </c>
      <c r="H589" s="18">
        <v>1</v>
      </c>
      <c r="I589" s="18">
        <f t="shared" si="29"/>
        <v>0</v>
      </c>
      <c r="J589" s="41">
        <v>43250</v>
      </c>
      <c r="K589" s="36">
        <v>2018</v>
      </c>
      <c r="L589" s="32">
        <f t="shared" si="27"/>
        <v>43266</v>
      </c>
      <c r="M589" s="40">
        <v>0</v>
      </c>
      <c r="N589" s="33">
        <v>121</v>
      </c>
      <c r="O589" s="34">
        <f>AVERAGEIF(L3:L1205,"&lt;2018/5/30",N3:N1205)</f>
        <v>120.91433278418451</v>
      </c>
      <c r="P589" s="38">
        <v>1</v>
      </c>
      <c r="Q589" s="38">
        <f>AVERAGEIF(L3:L1205,"&lt;2018/5/30",P3:P1205)</f>
        <v>0.31795716639209226</v>
      </c>
      <c r="R589" s="38">
        <v>2</v>
      </c>
      <c r="S589" s="38">
        <f>AVERAGEIF(L3:L1205,"&lt;2018/5/30",R3:R1205)</f>
        <v>1.2537067545304779</v>
      </c>
      <c r="T589" s="38">
        <v>16</v>
      </c>
      <c r="U589" s="38">
        <f>AVERAGEIF(L3:L1205,"&lt;2018/5/30",T3:T1205)</f>
        <v>7.505766062602965</v>
      </c>
      <c r="V589" s="24">
        <v>616</v>
      </c>
      <c r="W589" s="47" t="s">
        <v>4634</v>
      </c>
    </row>
    <row r="590" spans="1:23">
      <c r="A590" s="23">
        <v>3</v>
      </c>
      <c r="B590" s="23">
        <v>21</v>
      </c>
      <c r="C590" s="18">
        <v>5</v>
      </c>
      <c r="D590" s="18">
        <v>6</v>
      </c>
      <c r="E590" s="20">
        <v>420</v>
      </c>
      <c r="F590" s="21">
        <f t="shared" si="28"/>
        <v>105.07154471544716</v>
      </c>
      <c r="G590" s="22">
        <v>0.37502600109783202</v>
      </c>
      <c r="H590" s="3">
        <v>0</v>
      </c>
      <c r="I590" s="18">
        <f t="shared" si="29"/>
        <v>1</v>
      </c>
      <c r="J590" s="41">
        <v>43250</v>
      </c>
      <c r="K590" s="36">
        <v>2018</v>
      </c>
      <c r="L590" s="32">
        <f t="shared" si="27"/>
        <v>43251</v>
      </c>
      <c r="M590" s="40">
        <v>1</v>
      </c>
      <c r="N590" s="33">
        <v>104</v>
      </c>
      <c r="O590" s="34">
        <f>AVERAGEIF(L3:L1205,"&lt;2018/5/30",N3:N1205)</f>
        <v>120.91433278418451</v>
      </c>
      <c r="P590" s="38">
        <v>0</v>
      </c>
      <c r="Q590" s="38">
        <f>AVERAGEIF(L3:L1205,"&lt;2018/5/30",P3:P1205)</f>
        <v>0.31795716639209226</v>
      </c>
      <c r="R590" s="38">
        <v>1</v>
      </c>
      <c r="S590" s="38">
        <f>AVERAGEIF(L3:L1205,"&lt;2018/5/30",R3:R1205)</f>
        <v>1.2537067545304779</v>
      </c>
      <c r="T590" s="38">
        <v>1</v>
      </c>
      <c r="U590" s="38">
        <f>AVERAGEIF(L3:L1205,"&lt;2018/5/30",T3:T1205)</f>
        <v>7.505766062602965</v>
      </c>
      <c r="V590" s="24">
        <v>615</v>
      </c>
      <c r="W590" s="47" t="s">
        <v>4557</v>
      </c>
    </row>
    <row r="591" spans="1:23">
      <c r="A591" s="23">
        <v>3</v>
      </c>
      <c r="B591" s="23">
        <v>21</v>
      </c>
      <c r="C591" s="18">
        <v>5</v>
      </c>
      <c r="D591" s="18">
        <v>6</v>
      </c>
      <c r="E591" s="20">
        <v>137</v>
      </c>
      <c r="F591" s="21">
        <f t="shared" si="28"/>
        <v>105.01954397394137</v>
      </c>
      <c r="G591" s="22">
        <v>0.80392197807923405</v>
      </c>
      <c r="H591" s="3">
        <v>0</v>
      </c>
      <c r="I591" s="18">
        <f t="shared" si="29"/>
        <v>1</v>
      </c>
      <c r="J591" s="41">
        <v>43248</v>
      </c>
      <c r="K591" s="36">
        <v>2018</v>
      </c>
      <c r="L591" s="32">
        <f t="shared" si="27"/>
        <v>43250</v>
      </c>
      <c r="M591" s="40">
        <v>1</v>
      </c>
      <c r="N591" s="33">
        <v>37</v>
      </c>
      <c r="O591" s="34">
        <f>AVERAGEIF(L3:L1205,"&lt;2018/5/28",N3:N1205)</f>
        <v>121.03636363636363</v>
      </c>
      <c r="P591" s="38">
        <v>1</v>
      </c>
      <c r="Q591" s="38">
        <f>AVERAGEIF(L3:L1205,"&lt;2018/5/28",P3:P1205)</f>
        <v>0.31570247933884299</v>
      </c>
      <c r="R591" s="38">
        <v>1</v>
      </c>
      <c r="S591" s="38">
        <f>AVERAGEIF(L3:L1205,"&lt;2018/5/28",R3:R1205)</f>
        <v>1.2512396694214876</v>
      </c>
      <c r="T591" s="38">
        <v>2</v>
      </c>
      <c r="U591" s="38">
        <f>AVERAGEIF(L3:L1205,"&lt;2018/5/28",T3:T1205)</f>
        <v>7.5024793388429751</v>
      </c>
      <c r="V591" s="24">
        <v>614</v>
      </c>
      <c r="W591" s="47" t="s">
        <v>4563</v>
      </c>
    </row>
    <row r="592" spans="1:23">
      <c r="A592" s="23">
        <v>2</v>
      </c>
      <c r="B592" s="23">
        <v>4</v>
      </c>
      <c r="C592" s="18">
        <v>4</v>
      </c>
      <c r="D592" s="18">
        <v>4</v>
      </c>
      <c r="E592" s="20">
        <v>87</v>
      </c>
      <c r="F592" s="21">
        <f t="shared" si="28"/>
        <v>105.0489396411093</v>
      </c>
      <c r="G592" s="22">
        <v>0.86511159541891203</v>
      </c>
      <c r="H592" s="18">
        <v>1</v>
      </c>
      <c r="I592" s="18">
        <f t="shared" si="29"/>
        <v>0</v>
      </c>
      <c r="J592" s="41">
        <v>43246</v>
      </c>
      <c r="K592" s="36">
        <v>2018</v>
      </c>
      <c r="L592" s="32">
        <f t="shared" si="27"/>
        <v>43250</v>
      </c>
      <c r="M592" s="40">
        <v>1</v>
      </c>
      <c r="N592" s="33">
        <v>42</v>
      </c>
      <c r="O592" s="34">
        <f>AVERAGEIF(L3:L1205,"&lt;2018/5/26",N3:N1205)</f>
        <v>121.03636363636363</v>
      </c>
      <c r="P592" s="38">
        <v>1</v>
      </c>
      <c r="Q592" s="38">
        <f>AVERAGEIF(L3:L1205,"&lt;2018/5/26",P3:P1205)</f>
        <v>0.31570247933884299</v>
      </c>
      <c r="R592" s="38">
        <v>1</v>
      </c>
      <c r="S592" s="38">
        <f>AVERAGEIF(L3:L1205,"&lt;2018/5/26",R3:R1205)</f>
        <v>1.2512396694214876</v>
      </c>
      <c r="T592" s="38">
        <v>4</v>
      </c>
      <c r="U592" s="38">
        <f>AVERAGEIF(L3:L1205,"&lt;2018/5/26",T3:T1205)</f>
        <v>7.5024793388429751</v>
      </c>
      <c r="V592" s="24">
        <v>613</v>
      </c>
      <c r="W592" s="47" t="s">
        <v>4553</v>
      </c>
    </row>
    <row r="593" spans="1:23">
      <c r="A593" s="23">
        <v>2</v>
      </c>
      <c r="B593" s="23">
        <v>6</v>
      </c>
      <c r="C593" s="18">
        <v>4</v>
      </c>
      <c r="D593" s="18">
        <v>4</v>
      </c>
      <c r="E593" s="20">
        <v>36</v>
      </c>
      <c r="F593" s="21">
        <f t="shared" si="28"/>
        <v>105.16176470588235</v>
      </c>
      <c r="G593" s="22">
        <v>0.377322743164964</v>
      </c>
      <c r="H593" s="18">
        <v>1</v>
      </c>
      <c r="I593" s="18">
        <f t="shared" si="29"/>
        <v>0</v>
      </c>
      <c r="J593" s="41">
        <v>43246</v>
      </c>
      <c r="K593" s="36">
        <v>2018</v>
      </c>
      <c r="L593" s="32">
        <f t="shared" si="27"/>
        <v>43250</v>
      </c>
      <c r="M593" s="40">
        <v>0</v>
      </c>
      <c r="N593" s="33">
        <v>65</v>
      </c>
      <c r="O593" s="34">
        <f>AVERAGEIF(L3:L1205,"&lt;2018/5/26",N3:N1205)</f>
        <v>121.03636363636363</v>
      </c>
      <c r="P593" s="38">
        <v>0</v>
      </c>
      <c r="Q593" s="38">
        <f>AVERAGEIF(L3:L1205,"&lt;2018/5/26",P3:P1205)</f>
        <v>0.31570247933884299</v>
      </c>
      <c r="R593" s="38">
        <v>1</v>
      </c>
      <c r="S593" s="38">
        <f>AVERAGEIF(L3:L1205,"&lt;2018/5/26",R3:R1205)</f>
        <v>1.2512396694214876</v>
      </c>
      <c r="T593" s="38">
        <v>4</v>
      </c>
      <c r="U593" s="38">
        <f>AVERAGEIF(L3:L1205,"&lt;2018/5/26",T3:T1205)</f>
        <v>7.5024793388429751</v>
      </c>
      <c r="V593" s="24">
        <v>612</v>
      </c>
      <c r="W593" s="47" t="s">
        <v>4521</v>
      </c>
    </row>
    <row r="594" spans="1:23">
      <c r="A594" s="23">
        <v>2</v>
      </c>
      <c r="B594" s="23">
        <v>18</v>
      </c>
      <c r="C594" s="18">
        <v>4</v>
      </c>
      <c r="D594" s="18">
        <v>6</v>
      </c>
      <c r="E594" s="20">
        <v>180</v>
      </c>
      <c r="F594" s="21">
        <f t="shared" si="28"/>
        <v>105.0392798690671</v>
      </c>
      <c r="G594" s="22">
        <v>0.31023213248855602</v>
      </c>
      <c r="H594" s="18">
        <v>1</v>
      </c>
      <c r="I594" s="18">
        <f t="shared" si="29"/>
        <v>0</v>
      </c>
      <c r="J594" s="41">
        <v>43246</v>
      </c>
      <c r="K594" s="36">
        <v>2018</v>
      </c>
      <c r="L594" s="32">
        <f t="shared" si="27"/>
        <v>43251</v>
      </c>
      <c r="M594" s="40">
        <v>1</v>
      </c>
      <c r="N594" s="33">
        <v>74</v>
      </c>
      <c r="O594" s="34">
        <f>AVERAGEIF(L3:L1205,"&lt;2018/5/26",N3:N1205)</f>
        <v>121.03636363636363</v>
      </c>
      <c r="P594" s="40">
        <v>1</v>
      </c>
      <c r="Q594" s="40">
        <f>AVERAGEIF(L3:L1205,"&lt;2018/5/26",P3:P1205)</f>
        <v>0.31570247933884299</v>
      </c>
      <c r="R594" s="40">
        <v>1</v>
      </c>
      <c r="S594" s="40">
        <f>AVERAGEIF(L3:L1205,"&lt;2018/5/26",R3:R1205)</f>
        <v>1.2512396694214876</v>
      </c>
      <c r="T594" s="56">
        <v>5</v>
      </c>
      <c r="U594" s="40">
        <f>AVERAGEIF(L3:L1205,"&lt;2018/5/26",T3:T1205)</f>
        <v>7.5024793388429751</v>
      </c>
      <c r="V594" s="24">
        <v>611</v>
      </c>
      <c r="W594" s="47" t="s">
        <v>4949</v>
      </c>
    </row>
    <row r="595" spans="1:23">
      <c r="A595" s="23">
        <v>3</v>
      </c>
      <c r="B595" s="23">
        <v>26</v>
      </c>
      <c r="C595" s="18">
        <v>4</v>
      </c>
      <c r="D595" s="18">
        <v>4</v>
      </c>
      <c r="E595" s="20">
        <v>55</v>
      </c>
      <c r="F595" s="21">
        <f t="shared" si="28"/>
        <v>105.12131147540984</v>
      </c>
      <c r="G595" s="22">
        <v>0.423931005152061</v>
      </c>
      <c r="H595" s="3">
        <v>1</v>
      </c>
      <c r="I595" s="18">
        <f t="shared" si="29"/>
        <v>0</v>
      </c>
      <c r="J595" s="41">
        <v>43245</v>
      </c>
      <c r="K595" s="36">
        <v>2018</v>
      </c>
      <c r="L595" s="32">
        <f t="shared" si="27"/>
        <v>43245</v>
      </c>
      <c r="M595" s="40">
        <v>0</v>
      </c>
      <c r="N595" s="33">
        <v>296</v>
      </c>
      <c r="O595" s="34">
        <f>AVERAGEIF(L3:L1205,"&lt;2018/5/25",N3:N1205)</f>
        <v>120.48504983388705</v>
      </c>
      <c r="P595" s="38">
        <v>0</v>
      </c>
      <c r="Q595" s="38">
        <f>AVERAGEIF(L3:L1205,"&lt;2018/5/25",P3:P1205)</f>
        <v>0.31561461794019935</v>
      </c>
      <c r="R595" s="38">
        <v>1</v>
      </c>
      <c r="S595" s="38">
        <f>AVERAGEIF(L3:L1205,"&lt;2018/5/25",R3:R1205)</f>
        <v>1.2524916943521596</v>
      </c>
      <c r="T595" s="38">
        <v>0</v>
      </c>
      <c r="U595" s="38">
        <f>AVERAGEIF(L3:L1205,"&lt;2018/5/25",T3:T1205)</f>
        <v>7.5282392026578071</v>
      </c>
      <c r="V595" s="24">
        <v>610</v>
      </c>
      <c r="W595" s="47" t="s">
        <v>4558</v>
      </c>
    </row>
    <row r="596" spans="1:23">
      <c r="A596" s="23">
        <v>3</v>
      </c>
      <c r="B596" s="23">
        <v>26</v>
      </c>
      <c r="C596" s="18">
        <v>4</v>
      </c>
      <c r="D596" s="18">
        <v>4</v>
      </c>
      <c r="E596" s="20">
        <v>64</v>
      </c>
      <c r="F596" s="21">
        <f t="shared" si="28"/>
        <v>105.1888341543514</v>
      </c>
      <c r="G596" s="22">
        <v>0.58169461560803104</v>
      </c>
      <c r="H596" s="3">
        <v>1</v>
      </c>
      <c r="I596" s="18">
        <f t="shared" si="29"/>
        <v>0</v>
      </c>
      <c r="J596" s="41">
        <v>43244</v>
      </c>
      <c r="K596" s="36">
        <v>2018</v>
      </c>
      <c r="L596" s="32">
        <f t="shared" si="27"/>
        <v>43245</v>
      </c>
      <c r="M596" s="40">
        <v>0</v>
      </c>
      <c r="N596" s="33">
        <v>296</v>
      </c>
      <c r="O596" s="34">
        <f>AVERAGEIF(L3:L1205,"&lt;2018/5/24",N3:N1205)</f>
        <v>120.56572379367721</v>
      </c>
      <c r="P596" s="38">
        <v>0</v>
      </c>
      <c r="Q596" s="38">
        <f>AVERAGEIF(L3:L1205,"&lt;2018/5/24",P3:P1205)</f>
        <v>0.31613976705490848</v>
      </c>
      <c r="R596" s="38">
        <v>1</v>
      </c>
      <c r="S596" s="38">
        <f>AVERAGEIF(L3:L1205,"&lt;2018/5/24",R3:R1205)</f>
        <v>1.2529118136439268</v>
      </c>
      <c r="T596" s="38">
        <v>1</v>
      </c>
      <c r="U596" s="38">
        <f>AVERAGEIF(L3:L1205,"&lt;2018/5/24",T3:T1205)</f>
        <v>7.5191347753743765</v>
      </c>
      <c r="V596" s="24">
        <v>609</v>
      </c>
      <c r="W596" s="47" t="s">
        <v>4521</v>
      </c>
    </row>
    <row r="597" spans="1:23">
      <c r="A597" s="23">
        <v>4</v>
      </c>
      <c r="B597" s="23">
        <v>33</v>
      </c>
      <c r="C597" s="18">
        <v>4</v>
      </c>
      <c r="D597" s="18">
        <v>4</v>
      </c>
      <c r="E597" s="20">
        <v>85</v>
      </c>
      <c r="F597" s="21">
        <f t="shared" si="28"/>
        <v>105.22203947368421</v>
      </c>
      <c r="G597" s="22">
        <v>0.37545791857925098</v>
      </c>
      <c r="H597" s="18">
        <v>1</v>
      </c>
      <c r="I597" s="18">
        <f t="shared" si="29"/>
        <v>0</v>
      </c>
      <c r="J597" s="45">
        <v>43244</v>
      </c>
      <c r="K597" s="36">
        <v>2018</v>
      </c>
      <c r="L597" s="32">
        <f t="shared" si="27"/>
        <v>43252</v>
      </c>
      <c r="M597" s="42">
        <v>1</v>
      </c>
      <c r="N597" s="33">
        <v>51</v>
      </c>
      <c r="O597" s="34">
        <f>AVERAGEIF(L3:L1205,"&lt;2018/5/24",N3:N1205)</f>
        <v>120.56572379367721</v>
      </c>
      <c r="P597" s="54">
        <v>1</v>
      </c>
      <c r="Q597" s="38">
        <f>AVERAGEIF(L3:L1205,"&lt;2018/5/24",P3:P1205)</f>
        <v>0.31613976705490848</v>
      </c>
      <c r="R597" s="38">
        <v>2</v>
      </c>
      <c r="S597" s="38">
        <f>AVERAGEIF(L3:L1205,"&lt;2018/5/24",R3:R1205)</f>
        <v>1.2529118136439268</v>
      </c>
      <c r="T597" s="54">
        <v>8</v>
      </c>
      <c r="U597" s="38">
        <f>AVERAGEIF(L3:L1205,"&lt;2018/5/24",T3:T1205)</f>
        <v>7.5191347753743765</v>
      </c>
      <c r="V597" s="24">
        <v>608</v>
      </c>
      <c r="W597" s="47" t="s">
        <v>4618</v>
      </c>
    </row>
    <row r="598" spans="1:23">
      <c r="A598" s="23">
        <v>2</v>
      </c>
      <c r="B598" s="23">
        <v>4</v>
      </c>
      <c r="C598" s="18">
        <v>4</v>
      </c>
      <c r="D598" s="18">
        <v>4</v>
      </c>
      <c r="E598" s="20">
        <v>64</v>
      </c>
      <c r="F598" s="21">
        <f t="shared" si="28"/>
        <v>105.28995057660626</v>
      </c>
      <c r="G598" s="22">
        <v>0.39481714614957802</v>
      </c>
      <c r="H598" s="18">
        <v>1</v>
      </c>
      <c r="I598" s="18">
        <f t="shared" si="29"/>
        <v>0</v>
      </c>
      <c r="J598" s="41">
        <v>43242</v>
      </c>
      <c r="K598" s="36">
        <v>2018</v>
      </c>
      <c r="L598" s="32">
        <f t="shared" si="27"/>
        <v>43248</v>
      </c>
      <c r="M598" s="40">
        <v>0</v>
      </c>
      <c r="N598" s="33">
        <v>125</v>
      </c>
      <c r="O598" s="34">
        <f>AVERAGEIF(L3:L1205,"&lt;2018/5/22",N3:N1205)</f>
        <v>120.35641891891892</v>
      </c>
      <c r="P598" s="38">
        <v>1</v>
      </c>
      <c r="Q598" s="38">
        <f>AVERAGEIF(L3:L1205,"&lt;2018/5/22",P3:P1205)</f>
        <v>0.31756756756756754</v>
      </c>
      <c r="R598" s="38">
        <v>1</v>
      </c>
      <c r="S598" s="38">
        <f>AVERAGEIF(L3:L1205,"&lt;2018/5/22",R3:R1205)</f>
        <v>1.2550675675675675</v>
      </c>
      <c r="T598" s="38">
        <v>6</v>
      </c>
      <c r="U598" s="38">
        <f>AVERAGEIF(L3:L1205,"&lt;2018/5/22",T3:T1205)</f>
        <v>7.5219594594594597</v>
      </c>
      <c r="V598" s="24">
        <v>607</v>
      </c>
      <c r="W598" s="47" t="s">
        <v>4634</v>
      </c>
    </row>
    <row r="599" spans="1:23">
      <c r="A599" s="23">
        <v>3</v>
      </c>
      <c r="B599" s="23">
        <v>26</v>
      </c>
      <c r="C599" s="18">
        <v>4</v>
      </c>
      <c r="D599" s="18">
        <v>4</v>
      </c>
      <c r="E599" s="20">
        <v>73</v>
      </c>
      <c r="F599" s="21">
        <f t="shared" si="28"/>
        <v>105.34323432343234</v>
      </c>
      <c r="G599" s="22">
        <v>0.37510081539235801</v>
      </c>
      <c r="H599" s="3">
        <v>1</v>
      </c>
      <c r="I599" s="18">
        <f t="shared" si="29"/>
        <v>0</v>
      </c>
      <c r="J599" s="41">
        <v>43242</v>
      </c>
      <c r="K599" s="36">
        <v>2018</v>
      </c>
      <c r="L599" s="32">
        <f t="shared" si="27"/>
        <v>43242</v>
      </c>
      <c r="M599" s="40">
        <v>0</v>
      </c>
      <c r="N599" s="33">
        <v>220</v>
      </c>
      <c r="O599" s="34">
        <f>AVERAGEIF(L3:L1205,"&lt;2018/5/22",N3:N1205)</f>
        <v>120.35641891891892</v>
      </c>
      <c r="P599" s="38">
        <v>0</v>
      </c>
      <c r="Q599" s="38">
        <f>AVERAGEIF(L3:L1205,"&lt;2018/5/22",P3:P1205)</f>
        <v>0.31756756756756754</v>
      </c>
      <c r="R599" s="38">
        <v>1</v>
      </c>
      <c r="S599" s="38">
        <f>AVERAGEIF(L3:L1205,"&lt;2018/5/22",R3:R1205)</f>
        <v>1.2550675675675675</v>
      </c>
      <c r="T599" s="38">
        <v>0</v>
      </c>
      <c r="U599" s="38">
        <f>AVERAGEIF(L3:L1205,"&lt;2018/5/22",T3:T1205)</f>
        <v>7.5219594594594597</v>
      </c>
      <c r="V599" s="24">
        <v>606</v>
      </c>
      <c r="W599" s="47" t="s">
        <v>4550</v>
      </c>
    </row>
    <row r="600" spans="1:23">
      <c r="A600" s="23">
        <v>2</v>
      </c>
      <c r="B600" s="23">
        <v>7</v>
      </c>
      <c r="C600" s="18">
        <v>4</v>
      </c>
      <c r="D600" s="18">
        <v>4</v>
      </c>
      <c r="E600" s="20">
        <v>44</v>
      </c>
      <c r="F600" s="21">
        <f t="shared" si="28"/>
        <v>105.44462809917356</v>
      </c>
      <c r="G600" s="22">
        <v>0.37500000000000799</v>
      </c>
      <c r="H600" s="18">
        <v>1</v>
      </c>
      <c r="I600" s="18">
        <f t="shared" si="29"/>
        <v>0</v>
      </c>
      <c r="J600" s="41">
        <v>43240</v>
      </c>
      <c r="K600" s="36">
        <v>2018</v>
      </c>
      <c r="L600" s="32">
        <f t="shared" si="27"/>
        <v>43243</v>
      </c>
      <c r="M600" s="40">
        <v>0</v>
      </c>
      <c r="N600" s="33">
        <v>121</v>
      </c>
      <c r="O600" s="34">
        <f>AVERAGEIF(L3:L1205,"&lt;2018/5/20",N3:N1205)</f>
        <v>120.27118644067797</v>
      </c>
      <c r="P600" s="38">
        <v>0</v>
      </c>
      <c r="Q600" s="38">
        <f>AVERAGEIF(L3:L1205,"&lt;2018/5/20",P3:P1205)</f>
        <v>0.31694915254237288</v>
      </c>
      <c r="R600" s="38">
        <v>1</v>
      </c>
      <c r="S600" s="38">
        <f>AVERAGEIF(L3:L1205,"&lt;2018/5/20",R3:R1205)</f>
        <v>1.2559322033898306</v>
      </c>
      <c r="T600" s="38">
        <v>3</v>
      </c>
      <c r="U600" s="38">
        <f>AVERAGEIF(L3:L1205,"&lt;2018/5/20",T3:T1205)</f>
        <v>7.5305084745762709</v>
      </c>
      <c r="V600" s="24">
        <v>605</v>
      </c>
      <c r="W600" s="47" t="s">
        <v>4878</v>
      </c>
    </row>
    <row r="601" spans="1:23">
      <c r="A601" s="23">
        <v>2</v>
      </c>
      <c r="B601" s="23">
        <v>7</v>
      </c>
      <c r="C601" s="18">
        <v>4</v>
      </c>
      <c r="D601" s="18">
        <v>8</v>
      </c>
      <c r="E601" s="20">
        <v>123</v>
      </c>
      <c r="F601" s="21">
        <f t="shared" si="28"/>
        <v>105.41556291390728</v>
      </c>
      <c r="G601" s="22">
        <v>0.65042304705954002</v>
      </c>
      <c r="H601" s="18">
        <v>1</v>
      </c>
      <c r="I601" s="18">
        <f t="shared" si="29"/>
        <v>0</v>
      </c>
      <c r="J601" s="41">
        <v>43239</v>
      </c>
      <c r="K601" s="36">
        <v>2018</v>
      </c>
      <c r="L601" s="32">
        <f t="shared" si="27"/>
        <v>43242</v>
      </c>
      <c r="M601" s="40">
        <v>0</v>
      </c>
      <c r="N601" s="33">
        <v>84</v>
      </c>
      <c r="O601" s="34">
        <f>AVERAGEIF(L3:L1205,"&lt;2018/5/19",N3:N1205)</f>
        <v>120.27118644067797</v>
      </c>
      <c r="P601" s="40">
        <v>0</v>
      </c>
      <c r="Q601" s="40">
        <f>AVERAGEIF(L3:L1205,"&lt;2018/5/19",P3:P1205)</f>
        <v>0.31694915254237288</v>
      </c>
      <c r="R601" s="40">
        <v>1</v>
      </c>
      <c r="S601" s="40">
        <f>AVERAGEIF(L3:L1205,"&lt;2018/5/19",R3:R1205)</f>
        <v>1.2559322033898306</v>
      </c>
      <c r="T601" s="40">
        <v>3</v>
      </c>
      <c r="U601" s="40">
        <f>AVERAGEIF(L3:L1205,"&lt;2018/5/19",T3:T1205)</f>
        <v>7.5305084745762709</v>
      </c>
      <c r="V601" s="24">
        <v>604</v>
      </c>
      <c r="W601" s="47" t="s">
        <v>4563</v>
      </c>
    </row>
    <row r="602" spans="1:23">
      <c r="A602" s="23">
        <v>2</v>
      </c>
      <c r="B602" s="23">
        <v>9</v>
      </c>
      <c r="C602" s="18">
        <v>4</v>
      </c>
      <c r="D602" s="18">
        <v>4</v>
      </c>
      <c r="E602" s="20">
        <v>36</v>
      </c>
      <c r="F602" s="21">
        <f t="shared" si="28"/>
        <v>105.53067993366501</v>
      </c>
      <c r="G602" s="22">
        <v>0.45833251747021803</v>
      </c>
      <c r="H602" s="18">
        <v>1</v>
      </c>
      <c r="I602" s="18">
        <f t="shared" si="29"/>
        <v>0</v>
      </c>
      <c r="J602" s="52">
        <v>43239</v>
      </c>
      <c r="K602" s="36">
        <v>2018</v>
      </c>
      <c r="L602" s="32">
        <f t="shared" si="27"/>
        <v>43243</v>
      </c>
      <c r="M602" s="40">
        <v>0</v>
      </c>
      <c r="N602" s="33">
        <v>121</v>
      </c>
      <c r="O602" s="34">
        <f>AVERAGEIF(L3:L1205,"&lt;2018/5/19",N3:N1205)</f>
        <v>120.27118644067797</v>
      </c>
      <c r="P602" s="54">
        <v>0</v>
      </c>
      <c r="Q602" s="38">
        <f>AVERAGEIF(L3:L1205,"&lt;2018/5/19",P3:P1205)</f>
        <v>0.31694915254237288</v>
      </c>
      <c r="R602" s="38">
        <v>1</v>
      </c>
      <c r="S602" s="38">
        <f>AVERAGEIF(L3:L1205,"&lt;2018/5/19",R3:R1205)</f>
        <v>1.2559322033898306</v>
      </c>
      <c r="T602" s="54">
        <v>4</v>
      </c>
      <c r="U602" s="38">
        <f>AVERAGEIF(L3:L1205,"&lt;2018/5/19",T3:T1205)</f>
        <v>7.5305084745762709</v>
      </c>
      <c r="V602" s="24">
        <v>603</v>
      </c>
      <c r="W602" s="47" t="s">
        <v>4634</v>
      </c>
    </row>
    <row r="603" spans="1:23">
      <c r="A603" s="23">
        <v>3</v>
      </c>
      <c r="B603" s="23">
        <v>25</v>
      </c>
      <c r="C603" s="18">
        <v>4</v>
      </c>
      <c r="D603" s="18">
        <v>6</v>
      </c>
      <c r="E603" s="20">
        <v>42</v>
      </c>
      <c r="F603" s="21">
        <f t="shared" si="28"/>
        <v>105.63621262458472</v>
      </c>
      <c r="G603" s="22">
        <v>0.25613330910496401</v>
      </c>
      <c r="H603" s="3">
        <v>0</v>
      </c>
      <c r="I603" s="18">
        <f t="shared" si="29"/>
        <v>1</v>
      </c>
      <c r="J603" s="41">
        <v>43239</v>
      </c>
      <c r="K603" s="36">
        <v>2018</v>
      </c>
      <c r="L603" s="32">
        <f t="shared" si="27"/>
        <v>43245</v>
      </c>
      <c r="M603" s="40">
        <v>1</v>
      </c>
      <c r="N603" s="33">
        <v>103</v>
      </c>
      <c r="O603" s="34">
        <f>AVERAGEIF(L3:L1205,"&lt;2018/5/19",N3:N1205)</f>
        <v>120.27118644067797</v>
      </c>
      <c r="P603" s="38">
        <v>1</v>
      </c>
      <c r="Q603" s="38">
        <f>AVERAGEIF(L3:L1205,"&lt;2018/5/19",P3:P1205)</f>
        <v>0.31694915254237288</v>
      </c>
      <c r="R603" s="38">
        <v>1</v>
      </c>
      <c r="S603" s="38">
        <f>AVERAGEIF(L3:L1205,"&lt;2018/5/19",R3:R1205)</f>
        <v>1.2559322033898306</v>
      </c>
      <c r="T603" s="38">
        <v>6</v>
      </c>
      <c r="U603" s="38">
        <f>AVERAGEIF(L3:L1205,"&lt;2018/5/19",T3:T1205)</f>
        <v>7.5305084745762709</v>
      </c>
      <c r="V603" s="24">
        <v>602</v>
      </c>
      <c r="W603" s="47" t="s">
        <v>4624</v>
      </c>
    </row>
    <row r="604" spans="1:23">
      <c r="A604" s="17">
        <v>1</v>
      </c>
      <c r="B604" s="17">
        <v>3</v>
      </c>
      <c r="C604" s="18">
        <v>4</v>
      </c>
      <c r="D604" s="18">
        <v>4</v>
      </c>
      <c r="E604" s="20">
        <v>112</v>
      </c>
      <c r="F604" s="21">
        <f t="shared" si="28"/>
        <v>105.62562396006656</v>
      </c>
      <c r="G604" s="22">
        <v>0.730602384859107</v>
      </c>
      <c r="H604" s="18">
        <v>1</v>
      </c>
      <c r="I604" s="18">
        <f t="shared" si="29"/>
        <v>0</v>
      </c>
      <c r="J604" s="41">
        <v>43238</v>
      </c>
      <c r="K604" s="36">
        <v>2018</v>
      </c>
      <c r="L604" s="32">
        <f t="shared" si="27"/>
        <v>43242</v>
      </c>
      <c r="M604" s="24">
        <v>1</v>
      </c>
      <c r="N604" s="33">
        <v>158</v>
      </c>
      <c r="O604" s="34">
        <f>AVERAGEIF(L3:L1205,"&lt;2018/5/18",N3:N1205)</f>
        <v>120.28522920203736</v>
      </c>
      <c r="P604" s="24">
        <v>0</v>
      </c>
      <c r="Q604" s="24">
        <f>AVERAGEIF(L3:L1205,"&lt;2018/5/18",P3:P1205)</f>
        <v>0.31748726655348047</v>
      </c>
      <c r="R604" s="24">
        <v>1</v>
      </c>
      <c r="S604" s="24">
        <f>AVERAGEIF(L3:L1205,"&lt;2018/5/18",R3:R1205)</f>
        <v>1.2563667232597624</v>
      </c>
      <c r="T604" s="24">
        <v>4</v>
      </c>
      <c r="U604" s="24">
        <f>AVERAGEIF(L3:L1205,"&lt;2018/5/18",T3:T1205)</f>
        <v>7.5398981324278438</v>
      </c>
      <c r="V604" s="24">
        <v>601</v>
      </c>
      <c r="W604" s="47" t="s">
        <v>4634</v>
      </c>
    </row>
    <row r="605" spans="1:23">
      <c r="A605" s="23">
        <v>2</v>
      </c>
      <c r="B605" s="23">
        <v>5</v>
      </c>
      <c r="C605" s="18">
        <v>4</v>
      </c>
      <c r="D605" s="18">
        <v>5</v>
      </c>
      <c r="E605" s="20">
        <v>96</v>
      </c>
      <c r="F605" s="21">
        <f t="shared" si="28"/>
        <v>105.64166666666667</v>
      </c>
      <c r="G605" s="22">
        <v>0.37716585251259699</v>
      </c>
      <c r="H605" s="18">
        <v>1</v>
      </c>
      <c r="I605" s="18">
        <f t="shared" si="29"/>
        <v>0</v>
      </c>
      <c r="J605" s="41">
        <v>43238</v>
      </c>
      <c r="K605" s="36">
        <v>2018</v>
      </c>
      <c r="L605" s="32">
        <f t="shared" si="27"/>
        <v>43251</v>
      </c>
      <c r="M605" s="40">
        <v>1</v>
      </c>
      <c r="N605" s="33">
        <v>67</v>
      </c>
      <c r="O605" s="34">
        <f>AVERAGEIF(L3:L1205,"&lt;2018/5/18",N3:N1205)</f>
        <v>120.28522920203736</v>
      </c>
      <c r="P605" s="40">
        <v>1</v>
      </c>
      <c r="Q605" s="40">
        <f>AVERAGEIF(L3:L1205,"&lt;2018/5/18",P3:P1205)</f>
        <v>0.31748726655348047</v>
      </c>
      <c r="R605" s="40">
        <v>1</v>
      </c>
      <c r="S605" s="40">
        <f>AVERAGEIF(L3:L1205,"&lt;2018/5/18",R3:R1205)</f>
        <v>1.2563667232597624</v>
      </c>
      <c r="T605" s="40">
        <v>13</v>
      </c>
      <c r="U605" s="40">
        <f>AVERAGEIF(L3:L1205,"&lt;2018/5/18",T3:T1205)</f>
        <v>7.5398981324278438</v>
      </c>
      <c r="V605" s="24">
        <v>600</v>
      </c>
      <c r="W605" s="47" t="s">
        <v>4618</v>
      </c>
    </row>
    <row r="606" spans="1:23">
      <c r="A606" s="23">
        <v>3</v>
      </c>
      <c r="B606" s="23">
        <v>21</v>
      </c>
      <c r="C606" s="18">
        <v>4</v>
      </c>
      <c r="D606" s="18">
        <v>6</v>
      </c>
      <c r="E606" s="20">
        <v>232</v>
      </c>
      <c r="F606" s="21">
        <f t="shared" si="28"/>
        <v>105.43071786310517</v>
      </c>
      <c r="G606" s="22">
        <v>0.37501193402091099</v>
      </c>
      <c r="H606" s="3">
        <v>0</v>
      </c>
      <c r="I606" s="18">
        <f t="shared" si="29"/>
        <v>1</v>
      </c>
      <c r="J606" s="41">
        <v>43238</v>
      </c>
      <c r="K606" s="36">
        <v>2018</v>
      </c>
      <c r="L606" s="32">
        <f t="shared" si="27"/>
        <v>43243</v>
      </c>
      <c r="M606" s="40">
        <v>0</v>
      </c>
      <c r="N606" s="33">
        <v>85</v>
      </c>
      <c r="O606" s="34">
        <f>AVERAGEIF(L3:L1205,"&lt;2018/5/18",N3:N1205)</f>
        <v>120.28522920203736</v>
      </c>
      <c r="P606" s="38">
        <v>0</v>
      </c>
      <c r="Q606" s="38">
        <f>AVERAGEIF(L3:L1205,"&lt;2018/5/18",P3:P1205)</f>
        <v>0.31748726655348047</v>
      </c>
      <c r="R606" s="38">
        <v>1</v>
      </c>
      <c r="S606" s="38">
        <f>AVERAGEIF(L3:L1205,"&lt;2018/5/18",R3:R1205)</f>
        <v>1.2563667232597624</v>
      </c>
      <c r="T606" s="38">
        <v>5</v>
      </c>
      <c r="U606" s="38">
        <f>AVERAGEIF(L3:L1205,"&lt;2018/5/18",T3:T1205)</f>
        <v>7.5398981324278438</v>
      </c>
      <c r="V606" s="24">
        <v>599</v>
      </c>
      <c r="W606" s="47" t="s">
        <v>4618</v>
      </c>
    </row>
    <row r="607" spans="1:23">
      <c r="A607" s="23">
        <v>3</v>
      </c>
      <c r="B607" s="23">
        <v>26</v>
      </c>
      <c r="C607" s="18">
        <v>4</v>
      </c>
      <c r="D607" s="18">
        <v>6</v>
      </c>
      <c r="E607" s="20">
        <v>67</v>
      </c>
      <c r="F607" s="21">
        <f t="shared" si="28"/>
        <v>105.49498327759197</v>
      </c>
      <c r="G607" s="22">
        <v>0.281743050338358</v>
      </c>
      <c r="H607" s="3">
        <v>1</v>
      </c>
      <c r="I607" s="18">
        <f t="shared" si="29"/>
        <v>0</v>
      </c>
      <c r="J607" s="41">
        <v>43238</v>
      </c>
      <c r="K607" s="36">
        <v>2018</v>
      </c>
      <c r="L607" s="32">
        <f t="shared" si="27"/>
        <v>43241</v>
      </c>
      <c r="M607" s="40">
        <v>0</v>
      </c>
      <c r="N607" s="33">
        <v>214</v>
      </c>
      <c r="O607" s="34">
        <f>AVERAGEIF(L3:L1205,"&lt;2018/5/18",N3:N1205)</f>
        <v>120.28522920203736</v>
      </c>
      <c r="P607" s="54">
        <v>0</v>
      </c>
      <c r="Q607" s="38">
        <f>AVERAGEIF(L3:L1205,"&lt;2018/5/18",P3:P1205)</f>
        <v>0.31748726655348047</v>
      </c>
      <c r="R607" s="38">
        <v>1</v>
      </c>
      <c r="S607" s="38">
        <f>AVERAGEIF(L3:L1205,"&lt;2018/5/18",R3:R1205)</f>
        <v>1.2563667232597624</v>
      </c>
      <c r="T607" s="54">
        <v>3</v>
      </c>
      <c r="U607" s="38">
        <f>AVERAGEIF(L3:L1205,"&lt;2018/5/18",T3:T1205)</f>
        <v>7.5398981324278438</v>
      </c>
      <c r="V607" s="24">
        <v>598</v>
      </c>
      <c r="W607" s="47" t="s">
        <v>4626</v>
      </c>
    </row>
    <row r="608" spans="1:23">
      <c r="A608" s="23">
        <v>2</v>
      </c>
      <c r="B608" s="23">
        <v>5</v>
      </c>
      <c r="C608" s="18">
        <v>1</v>
      </c>
      <c r="D608" s="18">
        <v>5</v>
      </c>
      <c r="E608" s="20">
        <v>88</v>
      </c>
      <c r="F608" s="21">
        <f t="shared" si="28"/>
        <v>105.52428810720268</v>
      </c>
      <c r="G608" s="22">
        <v>0.45259824088911399</v>
      </c>
      <c r="H608" s="18">
        <v>1</v>
      </c>
      <c r="I608" s="18">
        <f t="shared" si="29"/>
        <v>0</v>
      </c>
      <c r="J608" s="41">
        <v>43237</v>
      </c>
      <c r="K608" s="36">
        <v>2018</v>
      </c>
      <c r="L608" s="32">
        <f t="shared" si="27"/>
        <v>43248</v>
      </c>
      <c r="M608" s="40">
        <v>1</v>
      </c>
      <c r="N608" s="33">
        <v>43</v>
      </c>
      <c r="O608" s="34">
        <f>AVERAGEIF(L3:L1205,"&lt;2018/5/17",N3:N1205)</f>
        <v>119.92491467576792</v>
      </c>
      <c r="P608" s="54">
        <v>1</v>
      </c>
      <c r="Q608" s="38">
        <f>AVERAGEIF(L3:L1205,"&lt;2018/5/17",P3:P1205)</f>
        <v>0.3174061433447099</v>
      </c>
      <c r="R608" s="38">
        <v>3</v>
      </c>
      <c r="S608" s="38">
        <f>AVERAGEIF(L3:L1205,"&lt;2018/5/17",R3:R1205)</f>
        <v>1.257679180887372</v>
      </c>
      <c r="T608" s="54">
        <v>11</v>
      </c>
      <c r="U608" s="38">
        <f>AVERAGEIF(L3:L1205,"&lt;2018/5/17",T3:T1205)</f>
        <v>7.5511945392491464</v>
      </c>
      <c r="V608" s="24">
        <v>597</v>
      </c>
      <c r="W608" s="47" t="s">
        <v>4897</v>
      </c>
    </row>
    <row r="609" spans="1:23">
      <c r="A609" s="23">
        <v>2</v>
      </c>
      <c r="B609" s="23">
        <v>7</v>
      </c>
      <c r="C609" s="18">
        <v>4</v>
      </c>
      <c r="D609" s="18">
        <v>4</v>
      </c>
      <c r="E609" s="20">
        <v>45</v>
      </c>
      <c r="F609" s="21">
        <f t="shared" si="28"/>
        <v>105.6258389261745</v>
      </c>
      <c r="G609" s="22">
        <v>0.41559700552245299</v>
      </c>
      <c r="H609" s="18">
        <v>1</v>
      </c>
      <c r="I609" s="18">
        <f t="shared" si="29"/>
        <v>0</v>
      </c>
      <c r="J609" s="48">
        <v>43237</v>
      </c>
      <c r="K609" s="36">
        <v>2018</v>
      </c>
      <c r="L609" s="32">
        <f t="shared" si="27"/>
        <v>43243</v>
      </c>
      <c r="M609" s="40">
        <v>0</v>
      </c>
      <c r="N609" s="33">
        <v>141</v>
      </c>
      <c r="O609" s="34">
        <f>AVERAGEIF(L3:L1205,"&lt;2018/5/17",N3:N1205)</f>
        <v>119.92491467576792</v>
      </c>
      <c r="P609" s="54">
        <v>1</v>
      </c>
      <c r="Q609" s="38">
        <f>AVERAGEIF(L3:L1205,"&lt;2018/5/17",P3:P1205)</f>
        <v>0.3174061433447099</v>
      </c>
      <c r="R609" s="38">
        <v>2</v>
      </c>
      <c r="S609" s="38">
        <f>AVERAGEIF(L3:L1205,"&lt;2018/5/17",R3:R1205)</f>
        <v>1.257679180887372</v>
      </c>
      <c r="T609" s="54">
        <v>6</v>
      </c>
      <c r="U609" s="38">
        <f>AVERAGEIF(L3:L1205,"&lt;2018/5/17",T3:T1205)</f>
        <v>7.5511945392491464</v>
      </c>
      <c r="V609" s="24">
        <v>596</v>
      </c>
      <c r="W609" s="47" t="s">
        <v>4558</v>
      </c>
    </row>
    <row r="610" spans="1:23">
      <c r="A610" s="23">
        <v>2</v>
      </c>
      <c r="B610" s="23">
        <v>4</v>
      </c>
      <c r="C610" s="18">
        <v>4</v>
      </c>
      <c r="D610" s="18">
        <v>4</v>
      </c>
      <c r="E610" s="20">
        <v>70</v>
      </c>
      <c r="F610" s="21">
        <f t="shared" si="28"/>
        <v>105.68571428571428</v>
      </c>
      <c r="G610" s="22">
        <v>0.41258792252612497</v>
      </c>
      <c r="H610" s="18">
        <v>1</v>
      </c>
      <c r="I610" s="18">
        <f t="shared" si="29"/>
        <v>0</v>
      </c>
      <c r="J610" s="41">
        <v>43236</v>
      </c>
      <c r="K610" s="36">
        <v>2018</v>
      </c>
      <c r="L610" s="32">
        <f t="shared" si="27"/>
        <v>43237</v>
      </c>
      <c r="M610" s="40">
        <v>0</v>
      </c>
      <c r="N610" s="33">
        <v>248</v>
      </c>
      <c r="O610" s="34">
        <f>AVERAGEIF(L3:L1205,"&lt;2018/5/16",N3:N1205)</f>
        <v>119.84364261168385</v>
      </c>
      <c r="P610" s="38">
        <v>0</v>
      </c>
      <c r="Q610" s="38">
        <f>AVERAGEIF(L3:L1205,"&lt;2018/5/16",P3:P1205)</f>
        <v>0.31958762886597936</v>
      </c>
      <c r="R610" s="38">
        <v>1</v>
      </c>
      <c r="S610" s="38">
        <f>AVERAGEIF(L3:L1205,"&lt;2018/5/16",R3:R1205)</f>
        <v>1.2594501718213058</v>
      </c>
      <c r="T610" s="38">
        <v>1</v>
      </c>
      <c r="U610" s="38">
        <f>AVERAGEIF(L3:L1205,"&lt;2018/5/16",T3:T1205)</f>
        <v>7.5670103092783503</v>
      </c>
      <c r="V610" s="24">
        <v>595</v>
      </c>
      <c r="W610" s="47" t="s">
        <v>4550</v>
      </c>
    </row>
    <row r="611" spans="1:23">
      <c r="A611" s="23">
        <v>2</v>
      </c>
      <c r="B611" s="23">
        <v>17</v>
      </c>
      <c r="C611" s="18">
        <v>4</v>
      </c>
      <c r="D611" s="18">
        <v>4</v>
      </c>
      <c r="E611" s="20">
        <v>96</v>
      </c>
      <c r="F611" s="21">
        <f t="shared" si="28"/>
        <v>105.70202020202021</v>
      </c>
      <c r="G611" s="22">
        <v>0.37500202845527603</v>
      </c>
      <c r="H611" s="18">
        <v>1</v>
      </c>
      <c r="I611" s="18">
        <f t="shared" si="29"/>
        <v>0</v>
      </c>
      <c r="J611" s="41">
        <v>43236</v>
      </c>
      <c r="K611" s="36">
        <v>2018</v>
      </c>
      <c r="L611" s="32">
        <f t="shared" si="27"/>
        <v>43238</v>
      </c>
      <c r="M611" s="40">
        <v>0</v>
      </c>
      <c r="N611" s="33">
        <v>112</v>
      </c>
      <c r="O611" s="34">
        <f>AVERAGEIF(L3:L1205,"&lt;2018/5/16",N3:N1205)</f>
        <v>119.84364261168385</v>
      </c>
      <c r="P611" s="54">
        <v>0</v>
      </c>
      <c r="Q611" s="38">
        <f>AVERAGEIF(L3:L1205,"&lt;2018/5/16",P3:P1205)</f>
        <v>0.31958762886597936</v>
      </c>
      <c r="R611" s="38">
        <v>1</v>
      </c>
      <c r="S611" s="38">
        <f>AVERAGEIF(L3:L1205,"&lt;2018/5/16",R3:R1205)</f>
        <v>1.2594501718213058</v>
      </c>
      <c r="T611" s="54">
        <v>2</v>
      </c>
      <c r="U611" s="38">
        <f>AVERAGEIF(L3:L1205,"&lt;2018/5/16",T3:T1205)</f>
        <v>7.5670103092783503</v>
      </c>
      <c r="V611" s="24">
        <v>594</v>
      </c>
      <c r="W611" s="47" t="s">
        <v>4634</v>
      </c>
    </row>
    <row r="612" spans="1:23">
      <c r="A612" s="23">
        <v>3</v>
      </c>
      <c r="B612" s="23">
        <v>21</v>
      </c>
      <c r="C612" s="18">
        <v>4</v>
      </c>
      <c r="D612" s="18">
        <v>6</v>
      </c>
      <c r="E612" s="20">
        <v>169</v>
      </c>
      <c r="F612" s="21">
        <f t="shared" si="28"/>
        <v>105.59527824620574</v>
      </c>
      <c r="G612" s="22">
        <v>0.30991735652512897</v>
      </c>
      <c r="H612" s="3">
        <v>0</v>
      </c>
      <c r="I612" s="18">
        <f t="shared" si="29"/>
        <v>1</v>
      </c>
      <c r="J612" s="41">
        <v>43235</v>
      </c>
      <c r="K612" s="36">
        <v>2018</v>
      </c>
      <c r="L612" s="32">
        <f t="shared" si="27"/>
        <v>43237</v>
      </c>
      <c r="M612" s="24">
        <v>0</v>
      </c>
      <c r="N612" s="33">
        <v>234</v>
      </c>
      <c r="O612" s="34">
        <f>AVERAGEIF(L3:L1205,"&lt;2018/5/15",N3:N1205)</f>
        <v>119.87847222222223</v>
      </c>
      <c r="P612" s="38">
        <v>1</v>
      </c>
      <c r="Q612" s="38">
        <f>AVERAGEIF(L3:L1205,"&lt;2018/5/15",P3:P1205)</f>
        <v>0.31944444444444442</v>
      </c>
      <c r="R612" s="38">
        <v>1</v>
      </c>
      <c r="S612" s="38">
        <f>AVERAGEIF(L3:L1205,"&lt;2018/5/15",R3:R1205)</f>
        <v>1.2604166666666667</v>
      </c>
      <c r="T612" s="38">
        <v>2</v>
      </c>
      <c r="U612" s="38">
        <f>AVERAGEIF(L3:L1205,"&lt;2018/5/15",T3:T1205)</f>
        <v>7.5850694444444446</v>
      </c>
      <c r="V612" s="24">
        <v>593</v>
      </c>
      <c r="W612" s="47" t="s">
        <v>4893</v>
      </c>
    </row>
    <row r="613" spans="1:23">
      <c r="A613" s="23">
        <v>2</v>
      </c>
      <c r="B613" s="23">
        <v>6</v>
      </c>
      <c r="C613" s="18">
        <v>4</v>
      </c>
      <c r="D613" s="18">
        <v>6</v>
      </c>
      <c r="E613" s="20">
        <v>145</v>
      </c>
      <c r="F613" s="21">
        <f t="shared" si="28"/>
        <v>105.52871621621621</v>
      </c>
      <c r="G613" s="22">
        <v>0.73521949899217098</v>
      </c>
      <c r="H613" s="18">
        <v>0</v>
      </c>
      <c r="I613" s="18">
        <f t="shared" si="29"/>
        <v>1</v>
      </c>
      <c r="J613" s="41">
        <v>43234</v>
      </c>
      <c r="K613" s="36">
        <v>2018</v>
      </c>
      <c r="L613" s="32">
        <f t="shared" si="27"/>
        <v>43236</v>
      </c>
      <c r="M613" s="40">
        <v>0</v>
      </c>
      <c r="N613" s="33">
        <v>121</v>
      </c>
      <c r="O613" s="34">
        <f>AVERAGEIF(L3:L1205,"&lt;2018/5/14",N3:N1205)</f>
        <v>119.91130434782609</v>
      </c>
      <c r="P613" s="40">
        <v>0</v>
      </c>
      <c r="Q613" s="40">
        <f>AVERAGEIF(L3:L1205,"&lt;2018/5/14",P3:P1205)</f>
        <v>0.32</v>
      </c>
      <c r="R613" s="40">
        <v>1</v>
      </c>
      <c r="S613" s="40">
        <f>AVERAGEIF(L3:L1205,"&lt;2018/5/14",R3:R1205)</f>
        <v>1.2608695652173914</v>
      </c>
      <c r="T613" s="40">
        <v>2</v>
      </c>
      <c r="U613" s="40">
        <f>AVERAGEIF(L3:L1205,"&lt;2018/5/14",T3:T1205)</f>
        <v>7.5843478260869563</v>
      </c>
      <c r="V613" s="24">
        <v>592</v>
      </c>
      <c r="W613" s="47" t="s">
        <v>4626</v>
      </c>
    </row>
    <row r="614" spans="1:23">
      <c r="A614" s="23">
        <v>3</v>
      </c>
      <c r="B614" s="23">
        <v>19</v>
      </c>
      <c r="C614" s="18">
        <v>4</v>
      </c>
      <c r="D614" s="18">
        <v>4</v>
      </c>
      <c r="E614" s="20">
        <v>67</v>
      </c>
      <c r="F614" s="21">
        <f t="shared" si="28"/>
        <v>105.59390862944163</v>
      </c>
      <c r="G614" s="22">
        <v>0.63016362710389895</v>
      </c>
      <c r="H614" s="3">
        <v>1</v>
      </c>
      <c r="I614" s="18">
        <f t="shared" si="29"/>
        <v>0</v>
      </c>
      <c r="J614" s="41">
        <v>43234</v>
      </c>
      <c r="K614" s="36">
        <v>2018</v>
      </c>
      <c r="L614" s="32">
        <f t="shared" si="27"/>
        <v>43236</v>
      </c>
      <c r="M614" s="24">
        <v>1</v>
      </c>
      <c r="N614" s="33">
        <v>150</v>
      </c>
      <c r="O614" s="34">
        <f>AVERAGEIF(L3:L1205,"&lt;2018/5/14",N3:N1205)</f>
        <v>119.91130434782609</v>
      </c>
      <c r="P614" s="38">
        <v>0</v>
      </c>
      <c r="Q614" s="38">
        <f>AVERAGEIF(L3:L1205,"&lt;2018/5/14",P3:P1205)</f>
        <v>0.32</v>
      </c>
      <c r="R614" s="38">
        <v>1</v>
      </c>
      <c r="S614" s="38">
        <f>AVERAGEIF(L3:L1205,"&lt;2018/5/14",R3:R1205)</f>
        <v>1.2608695652173914</v>
      </c>
      <c r="T614" s="38">
        <v>2</v>
      </c>
      <c r="U614" s="38">
        <f>AVERAGEIF(L3:L1205,"&lt;2018/5/14",T3:T1205)</f>
        <v>7.5843478260869563</v>
      </c>
      <c r="V614" s="24">
        <v>591</v>
      </c>
      <c r="W614" s="47" t="s">
        <v>4529</v>
      </c>
    </row>
    <row r="615" spans="1:23">
      <c r="A615" s="23">
        <v>3</v>
      </c>
      <c r="B615" s="23">
        <v>21</v>
      </c>
      <c r="C615" s="18">
        <v>4</v>
      </c>
      <c r="D615" s="18">
        <v>6</v>
      </c>
      <c r="E615" s="20">
        <v>239</v>
      </c>
      <c r="F615" s="21">
        <f t="shared" si="28"/>
        <v>105.36779661016949</v>
      </c>
      <c r="G615" s="22">
        <v>0.37554846394696001</v>
      </c>
      <c r="H615" s="3">
        <v>0</v>
      </c>
      <c r="I615" s="18">
        <f t="shared" si="29"/>
        <v>1</v>
      </c>
      <c r="J615" s="41">
        <v>43234</v>
      </c>
      <c r="K615" s="36">
        <v>2018</v>
      </c>
      <c r="L615" s="32">
        <f t="shared" si="27"/>
        <v>43241</v>
      </c>
      <c r="M615" s="40">
        <v>1</v>
      </c>
      <c r="N615" s="33">
        <v>77</v>
      </c>
      <c r="O615" s="34">
        <f>AVERAGEIF(L3:L1205,"&lt;2018/5/14",N3:N1205)</f>
        <v>119.91130434782609</v>
      </c>
      <c r="P615" s="38">
        <v>1</v>
      </c>
      <c r="Q615" s="38">
        <f>AVERAGEIF(L3:L1205,"&lt;2018/5/14",P3:P1205)</f>
        <v>0.32</v>
      </c>
      <c r="R615" s="38">
        <v>1</v>
      </c>
      <c r="S615" s="38">
        <f>AVERAGEIF(L3:L1205,"&lt;2018/5/14",R3:R1205)</f>
        <v>1.2608695652173914</v>
      </c>
      <c r="T615" s="38">
        <v>7</v>
      </c>
      <c r="U615" s="38">
        <f>AVERAGEIF(L3:L1205,"&lt;2018/5/14",T3:T1205)</f>
        <v>7.5843478260869563</v>
      </c>
      <c r="V615" s="24">
        <v>590</v>
      </c>
      <c r="W615" s="47" t="s">
        <v>4550</v>
      </c>
    </row>
    <row r="616" spans="1:23">
      <c r="A616" s="23">
        <v>2</v>
      </c>
      <c r="B616" s="23">
        <v>7</v>
      </c>
      <c r="C616" s="18">
        <v>4</v>
      </c>
      <c r="D616" s="18">
        <v>4</v>
      </c>
      <c r="E616" s="20">
        <v>42</v>
      </c>
      <c r="F616" s="21">
        <f t="shared" si="28"/>
        <v>105.47538200339558</v>
      </c>
      <c r="G616" s="22">
        <v>0.41250233792480201</v>
      </c>
      <c r="H616" s="18">
        <v>1</v>
      </c>
      <c r="I616" s="18">
        <f t="shared" si="29"/>
        <v>0</v>
      </c>
      <c r="J616" s="41">
        <v>43232</v>
      </c>
      <c r="K616" s="36">
        <v>2018</v>
      </c>
      <c r="L616" s="32">
        <f t="shared" si="27"/>
        <v>43235</v>
      </c>
      <c r="M616" s="40">
        <v>0</v>
      </c>
      <c r="N616" s="33">
        <v>151</v>
      </c>
      <c r="O616" s="34">
        <f>AVERAGEIF(L3:L1205,"&lt;2018/5/12",N3:N1205)</f>
        <v>119.91130434782609</v>
      </c>
      <c r="P616" s="40">
        <v>0</v>
      </c>
      <c r="Q616" s="40">
        <f>AVERAGEIF(L3:L1205,"&lt;2018/5/12",P3:P1205)</f>
        <v>0.32</v>
      </c>
      <c r="R616" s="40">
        <v>1</v>
      </c>
      <c r="S616" s="40">
        <f>AVERAGEIF(L3:L1205,"&lt;2018/5/12",R3:R1205)</f>
        <v>1.2608695652173914</v>
      </c>
      <c r="T616" s="40">
        <v>3</v>
      </c>
      <c r="U616" s="40">
        <f>AVERAGEIF(L3:L1205,"&lt;2018/5/12",T3:T1205)</f>
        <v>7.5843478260869563</v>
      </c>
      <c r="V616" s="24">
        <v>589</v>
      </c>
      <c r="W616" s="47" t="s">
        <v>4523</v>
      </c>
    </row>
    <row r="617" spans="1:23">
      <c r="A617" s="23">
        <v>4</v>
      </c>
      <c r="B617" s="23">
        <v>33</v>
      </c>
      <c r="C617" s="18">
        <v>4</v>
      </c>
      <c r="D617" s="18">
        <v>4</v>
      </c>
      <c r="E617" s="20">
        <v>51</v>
      </c>
      <c r="F617" s="21">
        <f t="shared" si="28"/>
        <v>105.56802721088435</v>
      </c>
      <c r="G617" s="22">
        <v>0.41250000001183101</v>
      </c>
      <c r="H617" s="18">
        <v>1</v>
      </c>
      <c r="I617" s="18">
        <f t="shared" si="29"/>
        <v>0</v>
      </c>
      <c r="J617" s="45">
        <v>43232</v>
      </c>
      <c r="K617" s="36">
        <v>2018</v>
      </c>
      <c r="L617" s="32">
        <f t="shared" si="27"/>
        <v>43236</v>
      </c>
      <c r="M617" s="42">
        <v>0</v>
      </c>
      <c r="N617" s="33">
        <v>136</v>
      </c>
      <c r="O617" s="34">
        <f>AVERAGEIF(L3:L1205,"&lt;2018/5/12",N3:N1205)</f>
        <v>119.91130434782609</v>
      </c>
      <c r="P617" s="38">
        <v>0</v>
      </c>
      <c r="Q617" s="38">
        <f>AVERAGEIF(L3:L1205,"&lt;2018/5/12",P3:P1205)</f>
        <v>0.32</v>
      </c>
      <c r="R617" s="38">
        <v>1</v>
      </c>
      <c r="S617" s="38">
        <f>AVERAGEIF(L3:L1205,"&lt;2018/5/12",R3:R1205)</f>
        <v>1.2608695652173914</v>
      </c>
      <c r="T617" s="38">
        <v>4</v>
      </c>
      <c r="U617" s="38">
        <f>AVERAGEIF(L3:L1205,"&lt;2018/5/12",T3:T1205)</f>
        <v>7.5843478260869563</v>
      </c>
      <c r="V617" s="24">
        <v>588</v>
      </c>
      <c r="W617" s="47" t="s">
        <v>4521</v>
      </c>
    </row>
    <row r="618" spans="1:23">
      <c r="A618" s="23">
        <v>2</v>
      </c>
      <c r="B618" s="23">
        <v>6</v>
      </c>
      <c r="C618" s="18">
        <v>4</v>
      </c>
      <c r="D618" s="18">
        <v>4</v>
      </c>
      <c r="E618" s="20">
        <v>50</v>
      </c>
      <c r="F618" s="21">
        <f t="shared" si="28"/>
        <v>105.66269165247019</v>
      </c>
      <c r="G618" s="22">
        <v>0.87337753735420098</v>
      </c>
      <c r="H618" s="18">
        <v>1</v>
      </c>
      <c r="I618" s="18">
        <f t="shared" si="29"/>
        <v>0</v>
      </c>
      <c r="J618" s="41">
        <v>43231</v>
      </c>
      <c r="K618" s="36">
        <v>2018</v>
      </c>
      <c r="L618" s="32">
        <f t="shared" si="27"/>
        <v>43235</v>
      </c>
      <c r="M618" s="40">
        <v>0</v>
      </c>
      <c r="N618" s="33">
        <v>141</v>
      </c>
      <c r="O618" s="34">
        <f>AVERAGEIF(L3:L1205,"&lt;2018/5/11",N3:N1205)</f>
        <v>119.90909090909091</v>
      </c>
      <c r="P618" s="38">
        <v>0</v>
      </c>
      <c r="Q618" s="38">
        <f>AVERAGEIF(L3:L1205,"&lt;2018/5/11",P3:P1205)</f>
        <v>0.32167832167832167</v>
      </c>
      <c r="R618" s="38">
        <v>1</v>
      </c>
      <c r="S618" s="38">
        <f>AVERAGEIF(L3:L1205,"&lt;2018/5/11",R3:R1205)</f>
        <v>1.2622377622377623</v>
      </c>
      <c r="T618" s="38">
        <v>4</v>
      </c>
      <c r="U618" s="38">
        <f>AVERAGEIF(L3:L1205,"&lt;2018/5/11",T3:T1205)</f>
        <v>7.615384615384615</v>
      </c>
      <c r="V618" s="24">
        <v>587</v>
      </c>
      <c r="W618" s="47" t="s">
        <v>4553</v>
      </c>
    </row>
    <row r="619" spans="1:23">
      <c r="A619" s="23">
        <v>2</v>
      </c>
      <c r="B619" s="23">
        <v>6</v>
      </c>
      <c r="C619" s="18">
        <v>4</v>
      </c>
      <c r="D619" s="18">
        <v>4</v>
      </c>
      <c r="E619" s="20">
        <v>62</v>
      </c>
      <c r="F619" s="21">
        <f t="shared" si="28"/>
        <v>105.73720136518772</v>
      </c>
      <c r="G619" s="22">
        <v>0.47733038961539298</v>
      </c>
      <c r="H619" s="18">
        <v>1</v>
      </c>
      <c r="I619" s="18">
        <f t="shared" si="29"/>
        <v>0</v>
      </c>
      <c r="J619" s="48">
        <v>43231</v>
      </c>
      <c r="K619" s="36">
        <v>2018</v>
      </c>
      <c r="L619" s="32">
        <f t="shared" si="27"/>
        <v>43235</v>
      </c>
      <c r="M619" s="40">
        <v>0</v>
      </c>
      <c r="N619" s="33">
        <v>121</v>
      </c>
      <c r="O619" s="34">
        <f>AVERAGEIF(L3:L1205,"&lt;2018/5/11",N3:N1205)</f>
        <v>119.90909090909091</v>
      </c>
      <c r="P619" s="38">
        <v>0</v>
      </c>
      <c r="Q619" s="38">
        <f>AVERAGEIF(L3:L1205,"&lt;2018/5/11",P3:P1205)</f>
        <v>0.32167832167832167</v>
      </c>
      <c r="R619" s="38">
        <v>1</v>
      </c>
      <c r="S619" s="38">
        <f>AVERAGEIF(L3:L1205,"&lt;2018/5/11",R3:R1205)</f>
        <v>1.2622377622377623</v>
      </c>
      <c r="T619" s="38">
        <v>4</v>
      </c>
      <c r="U619" s="38">
        <f>AVERAGEIF(L3:L1205,"&lt;2018/5/11",T3:T1205)</f>
        <v>7.615384615384615</v>
      </c>
      <c r="V619" s="24">
        <v>586</v>
      </c>
      <c r="W619" s="47" t="s">
        <v>4529</v>
      </c>
    </row>
    <row r="620" spans="1:23">
      <c r="A620" s="23">
        <v>4</v>
      </c>
      <c r="B620" s="23">
        <v>33</v>
      </c>
      <c r="C620" s="18">
        <v>4</v>
      </c>
      <c r="D620" s="18">
        <v>4</v>
      </c>
      <c r="E620" s="20">
        <v>67</v>
      </c>
      <c r="F620" s="21">
        <f t="shared" si="28"/>
        <v>105.80341880341881</v>
      </c>
      <c r="G620" s="22">
        <v>0.49546863160388199</v>
      </c>
      <c r="H620" s="18">
        <v>1</v>
      </c>
      <c r="I620" s="18">
        <f t="shared" si="29"/>
        <v>0</v>
      </c>
      <c r="J620" s="45">
        <v>43231</v>
      </c>
      <c r="K620" s="36">
        <v>2018</v>
      </c>
      <c r="L620" s="32">
        <f t="shared" si="27"/>
        <v>43244</v>
      </c>
      <c r="M620" s="42">
        <v>0</v>
      </c>
      <c r="N620" s="33">
        <v>72</v>
      </c>
      <c r="O620" s="34">
        <f>AVERAGEIF(L3:L1205,"&lt;2018/5/11",N3:N1205)</f>
        <v>119.90909090909091</v>
      </c>
      <c r="P620" s="38">
        <v>0</v>
      </c>
      <c r="Q620" s="38">
        <f>AVERAGEIF(L3:L1205,"&lt;2018/5/11",P3:P1205)</f>
        <v>0.32167832167832167</v>
      </c>
      <c r="R620" s="38">
        <v>1</v>
      </c>
      <c r="S620" s="38">
        <f>AVERAGEIF(L3:L1205,"&lt;2018/5/11",R3:R1205)</f>
        <v>1.2622377622377623</v>
      </c>
      <c r="T620" s="38">
        <v>13</v>
      </c>
      <c r="U620" s="38">
        <f>AVERAGEIF(L3:L1205,"&lt;2018/5/11",T3:T1205)</f>
        <v>7.615384615384615</v>
      </c>
      <c r="V620" s="24">
        <v>585</v>
      </c>
      <c r="W620" s="47" t="s">
        <v>4652</v>
      </c>
    </row>
    <row r="621" spans="1:23">
      <c r="A621" s="17">
        <v>1</v>
      </c>
      <c r="B621" s="17">
        <v>3</v>
      </c>
      <c r="C621" s="18">
        <v>4</v>
      </c>
      <c r="D621" s="18">
        <v>4</v>
      </c>
      <c r="E621" s="20">
        <v>53</v>
      </c>
      <c r="F621" s="21">
        <f t="shared" si="28"/>
        <v>105.89383561643835</v>
      </c>
      <c r="G621" s="22">
        <v>0.41683362808742702</v>
      </c>
      <c r="H621" s="18">
        <v>1</v>
      </c>
      <c r="I621" s="18">
        <f t="shared" si="29"/>
        <v>0</v>
      </c>
      <c r="J621" s="41">
        <v>43230</v>
      </c>
      <c r="K621" s="36">
        <v>2018</v>
      </c>
      <c r="L621" s="32">
        <f t="shared" si="27"/>
        <v>43243</v>
      </c>
      <c r="M621" s="24">
        <v>0</v>
      </c>
      <c r="N621" s="33">
        <v>254</v>
      </c>
      <c r="O621" s="34">
        <f>AVERAGEIF(L3:L1205,"&lt;2018/5/10",N3:N1205)</f>
        <v>118.4</v>
      </c>
      <c r="P621" s="24">
        <v>0</v>
      </c>
      <c r="Q621" s="24">
        <f>AVERAGEIF(L3:L1205,"&lt;2018/5/10",P3:P1205)</f>
        <v>0.32566371681415929</v>
      </c>
      <c r="R621" s="24">
        <v>1</v>
      </c>
      <c r="S621" s="24">
        <f>AVERAGEIF(L3:L1205,"&lt;2018/5/10",R3:R1205)</f>
        <v>1.263716814159292</v>
      </c>
      <c r="T621" s="24">
        <v>13</v>
      </c>
      <c r="U621" s="24">
        <f>AVERAGEIF(L3:L1205,"&lt;2018/5/10",T3:T1205)</f>
        <v>7.6973451327433624</v>
      </c>
      <c r="V621" s="24">
        <v>584</v>
      </c>
      <c r="W621" s="47" t="s">
        <v>4523</v>
      </c>
    </row>
    <row r="622" spans="1:23">
      <c r="A622" s="23">
        <v>2</v>
      </c>
      <c r="B622" s="23">
        <v>7</v>
      </c>
      <c r="C622" s="18">
        <v>4</v>
      </c>
      <c r="D622" s="18">
        <v>4</v>
      </c>
      <c r="E622" s="20">
        <v>65</v>
      </c>
      <c r="F622" s="21">
        <f t="shared" si="28"/>
        <v>105.96397941680961</v>
      </c>
      <c r="G622" s="22">
        <v>0.464853776906131</v>
      </c>
      <c r="H622" s="18">
        <v>1</v>
      </c>
      <c r="I622" s="18">
        <f t="shared" si="29"/>
        <v>0</v>
      </c>
      <c r="J622" s="41">
        <v>43230</v>
      </c>
      <c r="K622" s="36">
        <v>2018</v>
      </c>
      <c r="L622" s="32">
        <f t="shared" si="27"/>
        <v>43235</v>
      </c>
      <c r="M622" s="40">
        <v>0</v>
      </c>
      <c r="N622" s="33">
        <v>141</v>
      </c>
      <c r="O622" s="34">
        <f>AVERAGEIF(L3:L1205,"&lt;2018/5/10",N3:N1205)</f>
        <v>118.4</v>
      </c>
      <c r="P622" s="56">
        <v>0</v>
      </c>
      <c r="Q622" s="40">
        <f>AVERAGEIF(L3:L1205,"&lt;2018/5/10",P3:P1205)</f>
        <v>0.32566371681415929</v>
      </c>
      <c r="R622" s="40">
        <v>1</v>
      </c>
      <c r="S622" s="40">
        <f>AVERAGEIF(L3:L1205,"&lt;2018/5/10",R3:R1205)</f>
        <v>1.263716814159292</v>
      </c>
      <c r="T622" s="56">
        <v>5</v>
      </c>
      <c r="U622" s="40">
        <f>AVERAGEIF(L3:L1205,"&lt;2018/5/10",T3:T1205)</f>
        <v>7.6973451327433624</v>
      </c>
      <c r="V622" s="24">
        <v>583</v>
      </c>
      <c r="W622" s="47" t="s">
        <v>4610</v>
      </c>
    </row>
    <row r="623" spans="1:23">
      <c r="A623" s="23">
        <v>2</v>
      </c>
      <c r="B623" s="23">
        <v>8</v>
      </c>
      <c r="C623" s="18">
        <v>4</v>
      </c>
      <c r="D623" s="18">
        <v>4</v>
      </c>
      <c r="E623" s="20">
        <v>47</v>
      </c>
      <c r="F623" s="21">
        <f t="shared" si="28"/>
        <v>106.06529209621993</v>
      </c>
      <c r="G623" s="22">
        <v>0.41253500135092103</v>
      </c>
      <c r="H623" s="18">
        <v>1</v>
      </c>
      <c r="I623" s="18">
        <f t="shared" si="29"/>
        <v>0</v>
      </c>
      <c r="J623" s="41">
        <v>43230</v>
      </c>
      <c r="K623" s="36">
        <v>2018</v>
      </c>
      <c r="L623" s="32">
        <f t="shared" si="27"/>
        <v>43231</v>
      </c>
      <c r="M623" s="40">
        <v>0</v>
      </c>
      <c r="N623" s="33">
        <v>121</v>
      </c>
      <c r="O623" s="34">
        <f>AVERAGEIF(L3:L1205,"&lt;2018/5/10",N3:N1205)</f>
        <v>118.4</v>
      </c>
      <c r="P623" s="54">
        <v>0</v>
      </c>
      <c r="Q623" s="38">
        <f>AVERAGEIF(L3:L1205,"&lt;2018/5/10",P3:P1205)</f>
        <v>0.32566371681415929</v>
      </c>
      <c r="R623" s="38">
        <v>1</v>
      </c>
      <c r="S623" s="38">
        <f>AVERAGEIF(L3:L1205,"&lt;2018/5/10",R3:R1205)</f>
        <v>1.263716814159292</v>
      </c>
      <c r="T623" s="54">
        <v>1</v>
      </c>
      <c r="U623" s="38">
        <f>AVERAGEIF(L3:L1205,"&lt;2018/5/10",T3:T1205)</f>
        <v>7.6973451327433624</v>
      </c>
      <c r="V623" s="24">
        <v>582</v>
      </c>
      <c r="W623" s="47" t="s">
        <v>4521</v>
      </c>
    </row>
    <row r="624" spans="1:23">
      <c r="A624" s="23">
        <v>3</v>
      </c>
      <c r="B624" s="23">
        <v>26</v>
      </c>
      <c r="C624" s="18">
        <v>4</v>
      </c>
      <c r="D624" s="18">
        <v>4</v>
      </c>
      <c r="E624" s="20">
        <v>96</v>
      </c>
      <c r="F624" s="21">
        <f t="shared" si="28"/>
        <v>106.08261617900172</v>
      </c>
      <c r="G624" s="22">
        <v>0.375006009908042</v>
      </c>
      <c r="H624" s="3">
        <v>1</v>
      </c>
      <c r="I624" s="18">
        <f t="shared" si="29"/>
        <v>0</v>
      </c>
      <c r="J624" s="41">
        <v>43230</v>
      </c>
      <c r="K624" s="36">
        <v>2018</v>
      </c>
      <c r="L624" s="32">
        <f t="shared" si="27"/>
        <v>43230</v>
      </c>
      <c r="M624" s="40">
        <v>0</v>
      </c>
      <c r="N624" s="33">
        <v>288</v>
      </c>
      <c r="O624" s="34">
        <f>AVERAGEIF(L3:L1205,"&lt;2018/5/10",N3:N1205)</f>
        <v>118.4</v>
      </c>
      <c r="P624" s="54">
        <v>0</v>
      </c>
      <c r="Q624" s="38">
        <f>AVERAGEIF(L3:L1205,"&lt;2018/5/10",P3:P1205)</f>
        <v>0.32566371681415929</v>
      </c>
      <c r="R624" s="38">
        <v>1</v>
      </c>
      <c r="S624" s="38">
        <f>AVERAGEIF(L3:L1205,"&lt;2018/5/10",R3:R1205)</f>
        <v>1.263716814159292</v>
      </c>
      <c r="T624" s="54">
        <v>0</v>
      </c>
      <c r="U624" s="38">
        <f>AVERAGEIF(L3:L1205,"&lt;2018/5/10",T3:T1205)</f>
        <v>7.6973451327433624</v>
      </c>
      <c r="V624" s="24">
        <v>581</v>
      </c>
      <c r="W624" s="47" t="s">
        <v>4610</v>
      </c>
    </row>
    <row r="625" spans="1:23">
      <c r="A625" s="23">
        <v>2</v>
      </c>
      <c r="B625" s="23">
        <v>4</v>
      </c>
      <c r="C625" s="18">
        <v>5</v>
      </c>
      <c r="D625" s="18">
        <v>6</v>
      </c>
      <c r="E625" s="20">
        <v>121</v>
      </c>
      <c r="F625" s="21">
        <f t="shared" si="28"/>
        <v>106.05689655172414</v>
      </c>
      <c r="G625" s="22">
        <v>0.51358059610489304</v>
      </c>
      <c r="H625" s="18">
        <v>1</v>
      </c>
      <c r="I625" s="18">
        <f t="shared" si="29"/>
        <v>0</v>
      </c>
      <c r="J625" s="41">
        <v>43229</v>
      </c>
      <c r="K625" s="36">
        <v>2018</v>
      </c>
      <c r="L625" s="32">
        <f t="shared" si="27"/>
        <v>43230</v>
      </c>
      <c r="M625" s="40">
        <v>1</v>
      </c>
      <c r="N625" s="33">
        <v>132</v>
      </c>
      <c r="O625" s="34">
        <f>AVERAGEIF(L3:L1205,"&lt;2018/5/9",N3:N1205)</f>
        <v>118.51063829787235</v>
      </c>
      <c r="P625" s="38">
        <v>0</v>
      </c>
      <c r="Q625" s="38">
        <f>AVERAGEIF(L3:L1205,"&lt;2018/5/9",P3:P1205)</f>
        <v>0.32446808510638298</v>
      </c>
      <c r="R625" s="38">
        <v>2</v>
      </c>
      <c r="S625" s="38">
        <f>AVERAGEIF(L3:L1205,"&lt;2018/5/9",R3:R1205)</f>
        <v>1.2641843971631206</v>
      </c>
      <c r="T625" s="38">
        <v>1</v>
      </c>
      <c r="U625" s="38">
        <f>AVERAGEIF(L3:L1205,"&lt;2018/5/9",T3:T1205)</f>
        <v>7.6790780141843973</v>
      </c>
      <c r="V625" s="24">
        <v>580</v>
      </c>
      <c r="W625" s="47" t="s">
        <v>4563</v>
      </c>
    </row>
    <row r="626" spans="1:23">
      <c r="A626" s="23">
        <v>2</v>
      </c>
      <c r="B626" s="23">
        <v>7</v>
      </c>
      <c r="C626" s="18">
        <v>4</v>
      </c>
      <c r="D626" s="18">
        <v>6</v>
      </c>
      <c r="E626" s="20">
        <v>512</v>
      </c>
      <c r="F626" s="21">
        <f t="shared" si="28"/>
        <v>105.35578583765113</v>
      </c>
      <c r="G626" s="22">
        <v>0.39664404723316299</v>
      </c>
      <c r="H626" s="18">
        <v>1</v>
      </c>
      <c r="I626" s="18">
        <f t="shared" si="29"/>
        <v>0</v>
      </c>
      <c r="J626" s="41">
        <v>43229</v>
      </c>
      <c r="K626" s="36">
        <v>2018</v>
      </c>
      <c r="L626" s="32">
        <f t="shared" si="27"/>
        <v>43231</v>
      </c>
      <c r="M626" s="24">
        <v>0</v>
      </c>
      <c r="N626" s="33">
        <v>120</v>
      </c>
      <c r="O626" s="34">
        <f>AVERAGEIF(L3:L1205,"&lt;2018/5/9",N3:N1205)</f>
        <v>118.51063829787235</v>
      </c>
      <c r="P626" s="38">
        <v>0</v>
      </c>
      <c r="Q626" s="38">
        <f>AVERAGEIF(L3:L1205,"&lt;2018/5/9",P3:P1205)</f>
        <v>0.32446808510638298</v>
      </c>
      <c r="R626" s="38">
        <v>1</v>
      </c>
      <c r="S626" s="38">
        <f>AVERAGEIF(L3:L1205,"&lt;2018/5/9",R3:R1205)</f>
        <v>1.2641843971631206</v>
      </c>
      <c r="T626" s="38">
        <v>2</v>
      </c>
      <c r="U626" s="38">
        <f>AVERAGEIF(L3:L1205,"&lt;2018/5/9",T3:T1205)</f>
        <v>7.6790780141843973</v>
      </c>
      <c r="V626" s="24">
        <v>579</v>
      </c>
      <c r="W626" s="47" t="s">
        <v>4855</v>
      </c>
    </row>
    <row r="627" spans="1:23">
      <c r="A627" s="23">
        <v>2</v>
      </c>
      <c r="B627" s="23">
        <v>7</v>
      </c>
      <c r="C627" s="18">
        <v>4</v>
      </c>
      <c r="D627" s="18">
        <v>4</v>
      </c>
      <c r="E627" s="20">
        <v>59</v>
      </c>
      <c r="F627" s="21">
        <f t="shared" si="28"/>
        <v>105.43598615916954</v>
      </c>
      <c r="G627" s="22">
        <v>0.39442299954844801</v>
      </c>
      <c r="H627" s="18">
        <v>1</v>
      </c>
      <c r="I627" s="18">
        <f t="shared" si="29"/>
        <v>0</v>
      </c>
      <c r="J627" s="41">
        <v>43229</v>
      </c>
      <c r="K627" s="36">
        <v>2018</v>
      </c>
      <c r="L627" s="32">
        <f t="shared" si="27"/>
        <v>43231</v>
      </c>
      <c r="M627" s="40">
        <v>0</v>
      </c>
      <c r="N627" s="33">
        <v>120</v>
      </c>
      <c r="O627" s="34">
        <f>AVERAGEIF(L3:L1205,"&lt;2018/5/9",N3:N1205)</f>
        <v>118.51063829787235</v>
      </c>
      <c r="P627" s="54">
        <v>0</v>
      </c>
      <c r="Q627" s="38">
        <f>AVERAGEIF(L3:L1205,"&lt;2018/5/9",P3:P1205)</f>
        <v>0.32446808510638298</v>
      </c>
      <c r="R627" s="38">
        <v>1</v>
      </c>
      <c r="S627" s="38">
        <f>AVERAGEIF(L3:L1205,"&lt;2018/5/9",R3:R1205)</f>
        <v>1.2641843971631206</v>
      </c>
      <c r="T627" s="54">
        <v>2</v>
      </c>
      <c r="U627" s="38">
        <f>AVERAGEIF(L3:L1205,"&lt;2018/5/9",T3:T1205)</f>
        <v>7.6790780141843973</v>
      </c>
      <c r="V627" s="24">
        <v>578</v>
      </c>
      <c r="W627" s="47" t="s">
        <v>4550</v>
      </c>
    </row>
    <row r="628" spans="1:23">
      <c r="A628" s="23">
        <v>2</v>
      </c>
      <c r="B628" s="23">
        <v>11</v>
      </c>
      <c r="C628" s="18">
        <v>5</v>
      </c>
      <c r="D628" s="18">
        <v>4</v>
      </c>
      <c r="E628" s="20">
        <v>57</v>
      </c>
      <c r="F628" s="21">
        <f t="shared" si="28"/>
        <v>105.51993067590988</v>
      </c>
      <c r="G628" s="22">
        <v>0.37799987271902202</v>
      </c>
      <c r="H628" s="18">
        <v>1</v>
      </c>
      <c r="I628" s="18">
        <f t="shared" si="29"/>
        <v>0</v>
      </c>
      <c r="J628" s="41">
        <v>43229</v>
      </c>
      <c r="K628" s="36">
        <v>2018</v>
      </c>
      <c r="L628" s="32">
        <f t="shared" si="27"/>
        <v>43235</v>
      </c>
      <c r="M628" s="40">
        <v>1</v>
      </c>
      <c r="N628" s="33">
        <v>78</v>
      </c>
      <c r="O628" s="34">
        <f>AVERAGEIF(L3:L1205,"&lt;2018/5/9",N3:N1205)</f>
        <v>118.51063829787235</v>
      </c>
      <c r="P628" s="56">
        <v>1</v>
      </c>
      <c r="Q628" s="40">
        <f>AVERAGEIF(L3:L1205,"&lt;2018/5/9",P3:P1205)</f>
        <v>0.32446808510638298</v>
      </c>
      <c r="R628" s="40">
        <v>2</v>
      </c>
      <c r="S628" s="40">
        <f>AVERAGEIF(L3:L1205,"&lt;2018/5/9",R3:R1205)</f>
        <v>1.2641843971631206</v>
      </c>
      <c r="T628" s="56">
        <v>6</v>
      </c>
      <c r="U628" s="40">
        <f>AVERAGEIF(L3:L1205,"&lt;2018/5/9",T3:T1205)</f>
        <v>7.6790780141843973</v>
      </c>
      <c r="V628" s="24">
        <v>577</v>
      </c>
      <c r="W628" s="47" t="s">
        <v>4529</v>
      </c>
    </row>
    <row r="629" spans="1:23">
      <c r="A629" s="23">
        <v>3</v>
      </c>
      <c r="B629" s="23">
        <v>26</v>
      </c>
      <c r="C629" s="18">
        <v>4</v>
      </c>
      <c r="D629" s="18">
        <v>4</v>
      </c>
      <c r="E629" s="20">
        <v>105</v>
      </c>
      <c r="F629" s="21">
        <f t="shared" si="28"/>
        <v>105.52083333333333</v>
      </c>
      <c r="G629" s="22">
        <v>0.37676917732911103</v>
      </c>
      <c r="H629" s="3">
        <v>1</v>
      </c>
      <c r="I629" s="18">
        <f t="shared" si="29"/>
        <v>0</v>
      </c>
      <c r="J629" s="41">
        <v>43229</v>
      </c>
      <c r="K629" s="36">
        <v>2018</v>
      </c>
      <c r="L629" s="32">
        <f t="shared" si="27"/>
        <v>43230</v>
      </c>
      <c r="M629" s="40">
        <v>0</v>
      </c>
      <c r="N629" s="33">
        <v>288</v>
      </c>
      <c r="O629" s="34">
        <f>AVERAGEIF(L3:L1205,"&lt;2018/5/9",N3:N1205)</f>
        <v>118.51063829787235</v>
      </c>
      <c r="P629" s="38">
        <v>0</v>
      </c>
      <c r="Q629" s="38">
        <f>AVERAGEIF(L3:L1205,"&lt;2018/5/9",P3:P1205)</f>
        <v>0.32446808510638298</v>
      </c>
      <c r="R629" s="38">
        <v>1</v>
      </c>
      <c r="S629" s="38">
        <f>AVERAGEIF(L3:L1205,"&lt;2018/5/9",R3:R1205)</f>
        <v>1.2641843971631206</v>
      </c>
      <c r="T629" s="38">
        <v>1</v>
      </c>
      <c r="U629" s="38">
        <f>AVERAGEIF(L3:L1205,"&lt;2018/5/9",T3:T1205)</f>
        <v>7.6790780141843973</v>
      </c>
      <c r="V629" s="24">
        <v>576</v>
      </c>
      <c r="W629" s="47" t="s">
        <v>4523</v>
      </c>
    </row>
    <row r="630" spans="1:23">
      <c r="A630" s="23">
        <v>3</v>
      </c>
      <c r="B630" s="23">
        <v>26</v>
      </c>
      <c r="C630" s="18">
        <v>4</v>
      </c>
      <c r="D630" s="18">
        <v>4</v>
      </c>
      <c r="E630" s="20">
        <v>35</v>
      </c>
      <c r="F630" s="21">
        <f t="shared" si="28"/>
        <v>105.64347826086957</v>
      </c>
      <c r="G630" s="22">
        <v>0.37541415901944802</v>
      </c>
      <c r="H630" s="3">
        <v>1</v>
      </c>
      <c r="I630" s="18">
        <f t="shared" si="29"/>
        <v>0</v>
      </c>
      <c r="J630" s="41">
        <v>43229</v>
      </c>
      <c r="K630" s="36">
        <v>2018</v>
      </c>
      <c r="L630" s="32">
        <f t="shared" si="27"/>
        <v>43230</v>
      </c>
      <c r="M630" s="37">
        <v>0</v>
      </c>
      <c r="N630" s="33">
        <v>288</v>
      </c>
      <c r="O630" s="34">
        <f>AVERAGEIF(L3:L1205,"&lt;2018/5/9",N3:N1205)</f>
        <v>118.51063829787235</v>
      </c>
      <c r="P630" s="38">
        <v>0</v>
      </c>
      <c r="Q630" s="38">
        <f>AVERAGEIF(L3:L1205,"&lt;2018/5/9",P3:P1205)</f>
        <v>0.32446808510638298</v>
      </c>
      <c r="R630" s="38">
        <v>1</v>
      </c>
      <c r="S630" s="38">
        <f>AVERAGEIF(L3:L1205,"&lt;2018/5/9",R3:R1205)</f>
        <v>1.2641843971631206</v>
      </c>
      <c r="T630" s="38">
        <v>1</v>
      </c>
      <c r="U630" s="38">
        <f>AVERAGEIF(L3:L1205,"&lt;2018/5/9",T3:T1205)</f>
        <v>7.6790780141843973</v>
      </c>
      <c r="V630" s="24">
        <v>575</v>
      </c>
      <c r="W630" s="47" t="s">
        <v>4550</v>
      </c>
    </row>
    <row r="631" spans="1:23">
      <c r="A631" s="23">
        <v>3</v>
      </c>
      <c r="B631" s="23">
        <v>26</v>
      </c>
      <c r="C631" s="18">
        <v>4</v>
      </c>
      <c r="D631" s="18">
        <v>4</v>
      </c>
      <c r="E631" s="20">
        <v>47</v>
      </c>
      <c r="F631" s="21">
        <f t="shared" si="28"/>
        <v>105.74564459930313</v>
      </c>
      <c r="G631" s="22">
        <v>0.28209274503732001</v>
      </c>
      <c r="H631" s="3">
        <v>1</v>
      </c>
      <c r="I631" s="18">
        <f t="shared" si="29"/>
        <v>0</v>
      </c>
      <c r="J631" s="41">
        <v>43229</v>
      </c>
      <c r="K631" s="36">
        <v>2018</v>
      </c>
      <c r="L631" s="32">
        <f t="shared" si="27"/>
        <v>43230</v>
      </c>
      <c r="M631" s="40">
        <v>0</v>
      </c>
      <c r="N631" s="33">
        <v>288</v>
      </c>
      <c r="O631" s="34">
        <f>AVERAGEIF(L3:L1205,"&lt;2018/5/9",N3:N1205)</f>
        <v>118.51063829787235</v>
      </c>
      <c r="P631" s="38">
        <v>0</v>
      </c>
      <c r="Q631" s="38">
        <f>AVERAGEIF(L3:L1205,"&lt;2018/5/9",P3:P1205)</f>
        <v>0.32446808510638298</v>
      </c>
      <c r="R631" s="38">
        <v>1</v>
      </c>
      <c r="S631" s="38">
        <f>AVERAGEIF(L3:L1205,"&lt;2018/5/9",R3:R1205)</f>
        <v>1.2641843971631206</v>
      </c>
      <c r="T631" s="38">
        <v>1</v>
      </c>
      <c r="U631" s="38">
        <f>AVERAGEIF(L3:L1205,"&lt;2018/5/9",T3:T1205)</f>
        <v>7.6790780141843973</v>
      </c>
      <c r="V631" s="24">
        <v>574</v>
      </c>
      <c r="W631" s="47" t="s">
        <v>4521</v>
      </c>
    </row>
    <row r="632" spans="1:23">
      <c r="A632" s="23">
        <v>3</v>
      </c>
      <c r="B632" s="23">
        <v>26</v>
      </c>
      <c r="C632" s="18">
        <v>4</v>
      </c>
      <c r="D632" s="18">
        <v>4</v>
      </c>
      <c r="E632" s="20">
        <v>51</v>
      </c>
      <c r="F632" s="21">
        <f t="shared" si="28"/>
        <v>105.8411867364747</v>
      </c>
      <c r="G632" s="22">
        <v>0.341007263228922</v>
      </c>
      <c r="H632" s="3">
        <v>1</v>
      </c>
      <c r="I632" s="18">
        <f t="shared" si="29"/>
        <v>0</v>
      </c>
      <c r="J632" s="41">
        <v>43229</v>
      </c>
      <c r="K632" s="36">
        <v>2018</v>
      </c>
      <c r="L632" s="32">
        <f t="shared" si="27"/>
        <v>43230</v>
      </c>
      <c r="M632" s="40">
        <v>0</v>
      </c>
      <c r="N632" s="33">
        <v>288</v>
      </c>
      <c r="O632" s="34">
        <f>AVERAGEIF(L3:L1205,"&lt;2018/5/9",N3:N1205)</f>
        <v>118.51063829787235</v>
      </c>
      <c r="P632" s="54">
        <v>0</v>
      </c>
      <c r="Q632" s="38">
        <f>AVERAGEIF(L3:L1205,"&lt;2018/5/9",P3:P1205)</f>
        <v>0.32446808510638298</v>
      </c>
      <c r="R632" s="38">
        <v>1</v>
      </c>
      <c r="S632" s="38">
        <f>AVERAGEIF(L3:L1205,"&lt;2018/5/9",R3:R1205)</f>
        <v>1.2641843971631206</v>
      </c>
      <c r="T632" s="54">
        <v>1</v>
      </c>
      <c r="U632" s="38">
        <f>AVERAGEIF(L3:L1205,"&lt;2018/5/9",T3:T1205)</f>
        <v>7.6790780141843973</v>
      </c>
      <c r="V632" s="24">
        <v>573</v>
      </c>
      <c r="W632" s="47" t="s">
        <v>4550</v>
      </c>
    </row>
    <row r="633" spans="1:23">
      <c r="A633" s="23">
        <v>2</v>
      </c>
      <c r="B633" s="23">
        <v>14</v>
      </c>
      <c r="C633" s="18">
        <v>4</v>
      </c>
      <c r="D633" s="18">
        <v>6</v>
      </c>
      <c r="E633" s="20">
        <v>116</v>
      </c>
      <c r="F633" s="21">
        <f t="shared" si="28"/>
        <v>105.82342657342657</v>
      </c>
      <c r="G633" s="22">
        <v>0.34093866885035901</v>
      </c>
      <c r="H633" s="18">
        <v>0</v>
      </c>
      <c r="I633" s="18">
        <f t="shared" si="29"/>
        <v>1</v>
      </c>
      <c r="J633" s="41">
        <v>43228</v>
      </c>
      <c r="K633" s="36">
        <v>2018</v>
      </c>
      <c r="L633" s="32">
        <f t="shared" si="27"/>
        <v>43230</v>
      </c>
      <c r="M633" s="40">
        <v>0</v>
      </c>
      <c r="N633" s="33">
        <v>120</v>
      </c>
      <c r="O633" s="34">
        <f>AVERAGEIF(L3:L1205,"&lt;2018/5/8",N3:N1205)</f>
        <v>118.71071428571429</v>
      </c>
      <c r="P633" s="38">
        <v>0</v>
      </c>
      <c r="Q633" s="38">
        <f>AVERAGEIF(L3:L1205,"&lt;2018/5/8",P3:P1205)</f>
        <v>0.32500000000000001</v>
      </c>
      <c r="R633" s="38">
        <v>1</v>
      </c>
      <c r="S633" s="38">
        <f>AVERAGEIF(L3:L1205,"&lt;2018/5/8",R3:R1205)</f>
        <v>1.2660714285714285</v>
      </c>
      <c r="T633" s="38">
        <v>2</v>
      </c>
      <c r="U633" s="38">
        <f>AVERAGEIF(L3:L1205,"&lt;2018/5/8",T3:T1205)</f>
        <v>7.7107142857142854</v>
      </c>
      <c r="V633" s="24">
        <v>572</v>
      </c>
      <c r="W633" s="47" t="s">
        <v>4529</v>
      </c>
    </row>
    <row r="634" spans="1:23">
      <c r="A634" s="23">
        <v>4</v>
      </c>
      <c r="B634" s="23">
        <v>28</v>
      </c>
      <c r="C634" s="18">
        <v>4</v>
      </c>
      <c r="D634" s="18">
        <v>4</v>
      </c>
      <c r="E634" s="20">
        <v>146</v>
      </c>
      <c r="F634" s="21">
        <f t="shared" si="28"/>
        <v>105.75306479859896</v>
      </c>
      <c r="G634" s="22">
        <v>0.37511496763327601</v>
      </c>
      <c r="H634" s="18">
        <v>1</v>
      </c>
      <c r="I634" s="18">
        <f t="shared" si="29"/>
        <v>0</v>
      </c>
      <c r="J634" s="45">
        <v>43227</v>
      </c>
      <c r="K634" s="36">
        <v>2018</v>
      </c>
      <c r="L634" s="32">
        <f t="shared" si="27"/>
        <v>43257</v>
      </c>
      <c r="M634" s="44">
        <v>0</v>
      </c>
      <c r="N634" s="33">
        <v>384</v>
      </c>
      <c r="O634" s="34">
        <f>AVERAGEIF(L3:L1205,"&lt;2018/5/7",N3:N1205)</f>
        <v>118.8010752688172</v>
      </c>
      <c r="P634" s="38">
        <v>3</v>
      </c>
      <c r="Q634" s="38">
        <f>AVERAGEIF(L3:L1205,"&lt;2018/5/7",P3:P1205)</f>
        <v>0.32437275985663083</v>
      </c>
      <c r="R634" s="38">
        <v>1</v>
      </c>
      <c r="S634" s="38">
        <f>AVERAGEIF(L3:L1205,"&lt;2018/5/7",R3:R1205)</f>
        <v>1.2670250896057347</v>
      </c>
      <c r="T634" s="38">
        <v>30</v>
      </c>
      <c r="U634" s="38">
        <f>AVERAGEIF(L3:L1205,"&lt;2018/5/7",T3:T1205)</f>
        <v>7.7222222222222223</v>
      </c>
      <c r="V634" s="24">
        <v>571</v>
      </c>
      <c r="W634" s="47" t="s">
        <v>4634</v>
      </c>
    </row>
    <row r="635" spans="1:23">
      <c r="A635" s="17">
        <v>1</v>
      </c>
      <c r="B635" s="17">
        <v>3</v>
      </c>
      <c r="C635" s="18">
        <v>4</v>
      </c>
      <c r="D635" s="18">
        <v>4</v>
      </c>
      <c r="E635" s="20">
        <v>239</v>
      </c>
      <c r="F635" s="21">
        <f t="shared" si="28"/>
        <v>105.51929824561404</v>
      </c>
      <c r="G635" s="22">
        <v>0.46858554054704499</v>
      </c>
      <c r="H635" s="18">
        <v>1</v>
      </c>
      <c r="I635" s="18">
        <f t="shared" si="29"/>
        <v>0</v>
      </c>
      <c r="J635" s="41">
        <v>43226</v>
      </c>
      <c r="K635" s="36">
        <v>2018</v>
      </c>
      <c r="L635" s="32">
        <f t="shared" si="27"/>
        <v>43234</v>
      </c>
      <c r="M635" s="24">
        <v>1</v>
      </c>
      <c r="N635" s="33">
        <v>101</v>
      </c>
      <c r="O635" s="34">
        <f>AVERAGEIF(L3:L1205,"&lt;2018/5/6",N3:N1205)</f>
        <v>118.8010752688172</v>
      </c>
      <c r="P635" s="55">
        <v>0</v>
      </c>
      <c r="Q635" s="24">
        <f>AVERAGEIF(L3:L1205,"&lt;2018/5/6",P3:P1205)</f>
        <v>0.32437275985663083</v>
      </c>
      <c r="R635" s="24">
        <v>1</v>
      </c>
      <c r="S635" s="24">
        <f>AVERAGEIF(L3:L1205,"&lt;2018/5/6",R3:R1205)</f>
        <v>1.2670250896057347</v>
      </c>
      <c r="T635" s="55">
        <v>8</v>
      </c>
      <c r="U635" s="24">
        <f>AVERAGEIF(L3:L1205,"&lt;2018/5/6",T3:T1205)</f>
        <v>7.7222222222222223</v>
      </c>
      <c r="V635" s="24">
        <v>570</v>
      </c>
      <c r="W635" s="47" t="s">
        <v>4621</v>
      </c>
    </row>
    <row r="636" spans="1:23">
      <c r="A636" s="23">
        <v>4</v>
      </c>
      <c r="B636" s="23">
        <v>29</v>
      </c>
      <c r="C636" s="18">
        <v>4</v>
      </c>
      <c r="D636" s="18">
        <v>4</v>
      </c>
      <c r="E636" s="20">
        <v>86</v>
      </c>
      <c r="F636" s="21">
        <f t="shared" si="28"/>
        <v>105.5536028119508</v>
      </c>
      <c r="G636" s="22">
        <v>0.360927414464428</v>
      </c>
      <c r="H636" s="18">
        <v>1</v>
      </c>
      <c r="I636" s="18">
        <f t="shared" si="29"/>
        <v>0</v>
      </c>
      <c r="J636" s="45">
        <v>43226</v>
      </c>
      <c r="K636" s="36">
        <v>2018</v>
      </c>
      <c r="L636" s="32">
        <f t="shared" si="27"/>
        <v>43228</v>
      </c>
      <c r="M636" s="42">
        <v>0</v>
      </c>
      <c r="N636" s="33">
        <v>138</v>
      </c>
      <c r="O636" s="34">
        <f>AVERAGEIF(L3:L1205,"&lt;2018/5/6",N3:N1205)</f>
        <v>118.8010752688172</v>
      </c>
      <c r="P636" s="38">
        <v>0</v>
      </c>
      <c r="Q636" s="38">
        <f>AVERAGEIF(L3:L1205,"&lt;2018/5/6",P3:P1205)</f>
        <v>0.32437275985663083</v>
      </c>
      <c r="R636" s="38">
        <v>1</v>
      </c>
      <c r="S636" s="38">
        <f>AVERAGEIF(L3:L1205,"&lt;2018/5/6",R3:R1205)</f>
        <v>1.2670250896057347</v>
      </c>
      <c r="T636" s="38">
        <v>2</v>
      </c>
      <c r="U636" s="38">
        <f>AVERAGEIF(L3:L1205,"&lt;2018/5/6",T3:T1205)</f>
        <v>7.7222222222222223</v>
      </c>
      <c r="V636" s="24">
        <v>569</v>
      </c>
      <c r="W636" s="47" t="s">
        <v>4621</v>
      </c>
    </row>
    <row r="637" spans="1:23">
      <c r="A637" s="23">
        <v>2</v>
      </c>
      <c r="B637" s="23">
        <v>4</v>
      </c>
      <c r="C637" s="18">
        <v>4</v>
      </c>
      <c r="D637" s="18">
        <v>4</v>
      </c>
      <c r="E637" s="20">
        <v>109</v>
      </c>
      <c r="F637" s="21">
        <f t="shared" si="28"/>
        <v>105.5475352112676</v>
      </c>
      <c r="G637" s="22">
        <v>0.44088592394577197</v>
      </c>
      <c r="H637" s="18">
        <v>1</v>
      </c>
      <c r="I637" s="18">
        <f t="shared" si="29"/>
        <v>0</v>
      </c>
      <c r="J637" s="41">
        <v>43225</v>
      </c>
      <c r="K637" s="36">
        <v>2018</v>
      </c>
      <c r="L637" s="32">
        <f t="shared" si="27"/>
        <v>43228</v>
      </c>
      <c r="M637" s="40">
        <v>1</v>
      </c>
      <c r="N637" s="33">
        <v>92</v>
      </c>
      <c r="O637" s="34">
        <f>AVERAGEIF(L3:L1205,"&lt;2018/5/5",N3:N1205)</f>
        <v>118.8010752688172</v>
      </c>
      <c r="P637" s="38">
        <v>1</v>
      </c>
      <c r="Q637" s="38">
        <f>AVERAGEIF(L3:L1205,"&lt;2018/5/5",P3:P1205)</f>
        <v>0.32437275985663083</v>
      </c>
      <c r="R637" s="38">
        <v>1</v>
      </c>
      <c r="S637" s="38">
        <f>AVERAGEIF(L3:L1205,"&lt;2018/5/5",R3:R1205)</f>
        <v>1.2670250896057347</v>
      </c>
      <c r="T637" s="38">
        <v>3</v>
      </c>
      <c r="U637" s="38">
        <f>AVERAGEIF(L3:L1205,"&lt;2018/5/5",T3:T1205)</f>
        <v>7.7222222222222223</v>
      </c>
      <c r="V637" s="24">
        <v>568</v>
      </c>
      <c r="W637" s="47" t="s">
        <v>4550</v>
      </c>
    </row>
    <row r="638" spans="1:23">
      <c r="A638" s="23">
        <v>4</v>
      </c>
      <c r="B638" s="23">
        <v>30</v>
      </c>
      <c r="C638" s="18">
        <v>4</v>
      </c>
      <c r="D638" s="18">
        <v>4</v>
      </c>
      <c r="E638" s="20">
        <v>47</v>
      </c>
      <c r="F638" s="21">
        <f t="shared" si="28"/>
        <v>105.65079365079364</v>
      </c>
      <c r="G638" s="22">
        <v>0.37500084730394001</v>
      </c>
      <c r="H638" s="18">
        <v>1</v>
      </c>
      <c r="I638" s="18">
        <f t="shared" si="29"/>
        <v>0</v>
      </c>
      <c r="J638" s="45">
        <v>43225</v>
      </c>
      <c r="K638" s="36">
        <v>2018</v>
      </c>
      <c r="L638" s="32">
        <f t="shared" si="27"/>
        <v>43228</v>
      </c>
      <c r="M638" s="42">
        <v>0</v>
      </c>
      <c r="N638" s="33">
        <v>116</v>
      </c>
      <c r="O638" s="34">
        <f>AVERAGEIF(L3:L1205,"&lt;2018/5/5",N3:N1205)</f>
        <v>118.8010752688172</v>
      </c>
      <c r="P638" s="38">
        <v>0</v>
      </c>
      <c r="Q638" s="38">
        <f>AVERAGEIF(L3:L1205,"&lt;2018/5/5",P3:P1205)</f>
        <v>0.32437275985663083</v>
      </c>
      <c r="R638" s="38">
        <v>1</v>
      </c>
      <c r="S638" s="38">
        <f>AVERAGEIF(L3:L1205,"&lt;2018/5/5",R3:R1205)</f>
        <v>1.2670250896057347</v>
      </c>
      <c r="T638" s="38">
        <v>3</v>
      </c>
      <c r="U638" s="38">
        <f>AVERAGEIF(L3:L1205,"&lt;2018/5/5",T3:T1205)</f>
        <v>7.7222222222222223</v>
      </c>
      <c r="V638" s="24">
        <v>567</v>
      </c>
      <c r="W638" s="47" t="s">
        <v>4523</v>
      </c>
    </row>
    <row r="639" spans="1:23">
      <c r="A639" s="23">
        <v>2</v>
      </c>
      <c r="B639" s="23">
        <v>7</v>
      </c>
      <c r="C639" s="18">
        <v>4</v>
      </c>
      <c r="D639" s="18">
        <v>6</v>
      </c>
      <c r="E639" s="20">
        <v>130</v>
      </c>
      <c r="F639" s="21">
        <f t="shared" si="28"/>
        <v>105.60777385159011</v>
      </c>
      <c r="G639" s="22">
        <v>0.41249999999999998</v>
      </c>
      <c r="H639" s="18">
        <v>0</v>
      </c>
      <c r="I639" s="18">
        <f t="shared" si="29"/>
        <v>1</v>
      </c>
      <c r="J639" s="41">
        <v>43224</v>
      </c>
      <c r="K639" s="36">
        <v>2018</v>
      </c>
      <c r="L639" s="32">
        <f t="shared" si="27"/>
        <v>43237</v>
      </c>
      <c r="M639" s="40">
        <v>1</v>
      </c>
      <c r="N639" s="33">
        <v>90</v>
      </c>
      <c r="O639" s="34">
        <f>AVERAGEIF(L3:L1205,"&lt;2018/5/4",N3:N1205)</f>
        <v>118.93693693693693</v>
      </c>
      <c r="P639" s="38">
        <v>0</v>
      </c>
      <c r="Q639" s="38">
        <f>AVERAGEIF(L3:L1205,"&lt;2018/5/4",P3:P1205)</f>
        <v>0.3225225225225225</v>
      </c>
      <c r="R639" s="38">
        <v>1</v>
      </c>
      <c r="S639" s="38">
        <f>AVERAGEIF(L3:L1205,"&lt;2018/5/4",R3:R1205)</f>
        <v>1.2684684684684684</v>
      </c>
      <c r="T639" s="38">
        <v>13</v>
      </c>
      <c r="U639" s="38">
        <f>AVERAGEIF(L3:L1205,"&lt;2018/5/4",T3:T1205)</f>
        <v>7.7153153153153156</v>
      </c>
      <c r="V639" s="24">
        <v>566</v>
      </c>
      <c r="W639" s="47" t="s">
        <v>4634</v>
      </c>
    </row>
    <row r="640" spans="1:23">
      <c r="A640" s="23">
        <v>2</v>
      </c>
      <c r="B640" s="23">
        <v>6</v>
      </c>
      <c r="C640" s="18">
        <v>4</v>
      </c>
      <c r="D640" s="18">
        <v>6</v>
      </c>
      <c r="E640" s="20">
        <v>85</v>
      </c>
      <c r="F640" s="21">
        <f t="shared" si="28"/>
        <v>105.64424778761062</v>
      </c>
      <c r="G640" s="22">
        <v>0.57047833185069297</v>
      </c>
      <c r="H640" s="18">
        <v>1</v>
      </c>
      <c r="I640" s="18">
        <f t="shared" si="29"/>
        <v>0</v>
      </c>
      <c r="J640" s="41">
        <v>43223</v>
      </c>
      <c r="K640" s="36">
        <v>2018</v>
      </c>
      <c r="L640" s="32">
        <f t="shared" si="27"/>
        <v>43236</v>
      </c>
      <c r="M640" s="40">
        <v>0</v>
      </c>
      <c r="N640" s="33">
        <v>120</v>
      </c>
      <c r="O640" s="34">
        <f>AVERAGEIF(L3:L1205,"&lt;2018/5/3",N3:N1205)</f>
        <v>118.69763205828779</v>
      </c>
      <c r="P640" s="40">
        <v>0</v>
      </c>
      <c r="Q640" s="40">
        <f>AVERAGEIF(L3:L1205,"&lt;2018/5/3",P3:P1205)</f>
        <v>0.32240437158469948</v>
      </c>
      <c r="R640" s="40">
        <v>1</v>
      </c>
      <c r="S640" s="40">
        <f>AVERAGEIF(L3:L1205,"&lt;2018/5/3",R3:R1205)</f>
        <v>1.2695810564663024</v>
      </c>
      <c r="T640" s="40">
        <v>13</v>
      </c>
      <c r="U640" s="40">
        <f>AVERAGEIF(L3:L1205,"&lt;2018/5/3",T3:T1205)</f>
        <v>7.7632058287795989</v>
      </c>
      <c r="V640" s="24">
        <v>565</v>
      </c>
      <c r="W640" s="47" t="s">
        <v>4624</v>
      </c>
    </row>
    <row r="641" spans="1:23">
      <c r="A641" s="23">
        <v>2</v>
      </c>
      <c r="B641" s="23">
        <v>7</v>
      </c>
      <c r="C641" s="18">
        <v>4</v>
      </c>
      <c r="D641" s="18">
        <v>4</v>
      </c>
      <c r="E641" s="20">
        <v>46</v>
      </c>
      <c r="F641" s="21">
        <f t="shared" si="28"/>
        <v>105.75</v>
      </c>
      <c r="G641" s="22">
        <v>0.341740983244126</v>
      </c>
      <c r="H641" s="18">
        <v>1</v>
      </c>
      <c r="I641" s="18">
        <f t="shared" si="29"/>
        <v>0</v>
      </c>
      <c r="J641" s="41">
        <v>43223</v>
      </c>
      <c r="K641" s="36">
        <v>2018</v>
      </c>
      <c r="L641" s="32">
        <f t="shared" si="27"/>
        <v>43227</v>
      </c>
      <c r="M641" s="40">
        <v>0</v>
      </c>
      <c r="N641" s="33">
        <v>120</v>
      </c>
      <c r="O641" s="34">
        <f>AVERAGEIF(L3:L1205,"&lt;2018/5/3",N3:N1205)</f>
        <v>118.69763205828779</v>
      </c>
      <c r="P641" s="40">
        <v>0</v>
      </c>
      <c r="Q641" s="40">
        <f>AVERAGEIF(L3:L1205,"&lt;2018/5/3",P3:P1205)</f>
        <v>0.32240437158469948</v>
      </c>
      <c r="R641" s="40">
        <v>1</v>
      </c>
      <c r="S641" s="40">
        <f>AVERAGEIF(L3:L1205,"&lt;2018/5/3",R3:R1205)</f>
        <v>1.2695810564663024</v>
      </c>
      <c r="T641" s="40">
        <v>4</v>
      </c>
      <c r="U641" s="40">
        <f>AVERAGEIF(L3:L1205,"&lt;2018/5/3",T3:T1205)</f>
        <v>7.7632058287795989</v>
      </c>
      <c r="V641" s="24">
        <v>564</v>
      </c>
      <c r="W641" s="47" t="s">
        <v>4529</v>
      </c>
    </row>
    <row r="642" spans="1:23">
      <c r="A642" s="23">
        <v>4</v>
      </c>
      <c r="B642" s="23">
        <v>35</v>
      </c>
      <c r="C642" s="18">
        <v>4</v>
      </c>
      <c r="D642" s="18">
        <v>6</v>
      </c>
      <c r="E642" s="20">
        <v>99</v>
      </c>
      <c r="F642" s="21">
        <f t="shared" si="28"/>
        <v>105.76198934280639</v>
      </c>
      <c r="G642" s="22">
        <v>0.41258309641118701</v>
      </c>
      <c r="H642" s="18">
        <v>1</v>
      </c>
      <c r="I642" s="18">
        <f t="shared" si="29"/>
        <v>0</v>
      </c>
      <c r="J642" s="59">
        <v>43223</v>
      </c>
      <c r="K642" s="36">
        <v>2018</v>
      </c>
      <c r="L642" s="32">
        <f t="shared" si="27"/>
        <v>43228</v>
      </c>
      <c r="M642" s="42">
        <v>0</v>
      </c>
      <c r="N642" s="33">
        <v>16</v>
      </c>
      <c r="O642" s="34">
        <f>AVERAGEIF(L3:L1205,"&lt;2018/5/3",N3:N1205)</f>
        <v>118.69763205828779</v>
      </c>
      <c r="P642" s="38">
        <v>0</v>
      </c>
      <c r="Q642" s="38">
        <f>AVERAGEIF(L3:L1205,"&lt;2018/5/3",P3:P1205)</f>
        <v>0.32240437158469948</v>
      </c>
      <c r="R642" s="38">
        <v>1</v>
      </c>
      <c r="S642" s="38">
        <f>AVERAGEIF(L3:L1205,"&lt;2018/5/3",R3:R1205)</f>
        <v>1.2695810564663024</v>
      </c>
      <c r="T642" s="38">
        <v>5</v>
      </c>
      <c r="U642" s="38">
        <f>AVERAGEIF(L3:L1205,"&lt;2018/5/3",T3:T1205)</f>
        <v>7.7632058287795989</v>
      </c>
      <c r="V642" s="24">
        <v>563</v>
      </c>
      <c r="W642" s="47" t="s">
        <v>4529</v>
      </c>
    </row>
    <row r="643" spans="1:23">
      <c r="A643" s="23">
        <v>2</v>
      </c>
      <c r="B643" s="23">
        <v>4</v>
      </c>
      <c r="C643" s="18">
        <v>4</v>
      </c>
      <c r="D643" s="18">
        <v>4</v>
      </c>
      <c r="E643" s="20">
        <v>116</v>
      </c>
      <c r="F643" s="21">
        <f t="shared" si="28"/>
        <v>105.74377224199289</v>
      </c>
      <c r="G643" s="22">
        <v>0.42737415865314199</v>
      </c>
      <c r="H643" s="18">
        <v>1</v>
      </c>
      <c r="I643" s="18">
        <f t="shared" si="29"/>
        <v>0</v>
      </c>
      <c r="J643" s="41">
        <v>43222</v>
      </c>
      <c r="K643" s="36">
        <v>2018</v>
      </c>
      <c r="L643" s="32">
        <f t="shared" ref="L643:L706" si="30">J643+T643</f>
        <v>43227</v>
      </c>
      <c r="M643" s="40">
        <v>0</v>
      </c>
      <c r="N643" s="33">
        <v>67</v>
      </c>
      <c r="O643" s="34">
        <f>AVERAGEIF(L3:L1205,"&lt;2018/5/2",N3:N1205)</f>
        <v>118.03113553113553</v>
      </c>
      <c r="P643" s="38">
        <v>1</v>
      </c>
      <c r="Q643" s="38">
        <f>AVERAGEIF(L3:L1205,"&lt;2018/5/2",P3:P1205)</f>
        <v>0.32417582417582419</v>
      </c>
      <c r="R643" s="38">
        <v>1</v>
      </c>
      <c r="S643" s="38">
        <f>AVERAGEIF(L3:L1205,"&lt;2018/5/2",R3:R1205)</f>
        <v>1.271062271062271</v>
      </c>
      <c r="T643" s="38">
        <v>5</v>
      </c>
      <c r="U643" s="38">
        <f>AVERAGEIF(L3:L1205,"&lt;2018/5/2",T3:T1205)</f>
        <v>7.8058608058608057</v>
      </c>
      <c r="V643" s="24">
        <v>562</v>
      </c>
      <c r="W643" s="47" t="s">
        <v>4550</v>
      </c>
    </row>
    <row r="644" spans="1:23">
      <c r="A644" s="23">
        <v>3</v>
      </c>
      <c r="B644" s="23">
        <v>26</v>
      </c>
      <c r="C644" s="18">
        <v>4</v>
      </c>
      <c r="D644" s="18">
        <v>4</v>
      </c>
      <c r="E644" s="20">
        <v>80</v>
      </c>
      <c r="F644" s="21">
        <f t="shared" ref="F644:F707" si="31">AVERAGE(E645:E1846)</f>
        <v>105.78966131907309</v>
      </c>
      <c r="G644" s="22">
        <v>0.28834873624025797</v>
      </c>
      <c r="H644" s="3">
        <v>1</v>
      </c>
      <c r="I644" s="18">
        <f t="shared" ref="I644:I707" si="32">IF(H644=1,0,1)</f>
        <v>0</v>
      </c>
      <c r="J644" s="41">
        <v>43222</v>
      </c>
      <c r="K644" s="36">
        <v>2018</v>
      </c>
      <c r="L644" s="32">
        <f t="shared" si="30"/>
        <v>43222</v>
      </c>
      <c r="M644" s="40">
        <v>0</v>
      </c>
      <c r="N644" s="33">
        <v>255</v>
      </c>
      <c r="O644" s="34">
        <f>AVERAGEIF(L3:L1205,"&lt;2018/5/2",N3:N1205)</f>
        <v>118.03113553113553</v>
      </c>
      <c r="P644" s="38">
        <v>0</v>
      </c>
      <c r="Q644" s="38">
        <f>AVERAGEIF(L3:L1205,"&lt;2018/5/2",P3:P1205)</f>
        <v>0.32417582417582419</v>
      </c>
      <c r="R644" s="38">
        <v>1</v>
      </c>
      <c r="S644" s="38">
        <f>AVERAGEIF(L3:L1205,"&lt;2018/5/2",R3:R1205)</f>
        <v>1.271062271062271</v>
      </c>
      <c r="T644" s="38">
        <v>0</v>
      </c>
      <c r="U644" s="38">
        <f>AVERAGEIF(L3:L1205,"&lt;2018/5/2",T3:T1205)</f>
        <v>7.8058608058608057</v>
      </c>
      <c r="V644" s="24">
        <v>561</v>
      </c>
      <c r="W644" s="47" t="s">
        <v>4550</v>
      </c>
    </row>
    <row r="645" spans="1:23">
      <c r="A645" s="23">
        <v>3</v>
      </c>
      <c r="B645" s="23">
        <v>26</v>
      </c>
      <c r="C645" s="18">
        <v>4</v>
      </c>
      <c r="D645" s="18">
        <v>4</v>
      </c>
      <c r="E645" s="20">
        <v>205</v>
      </c>
      <c r="F645" s="21">
        <f t="shared" si="31"/>
        <v>105.6125</v>
      </c>
      <c r="G645" s="22">
        <v>0.41250358578859597</v>
      </c>
      <c r="H645" s="3">
        <v>1</v>
      </c>
      <c r="I645" s="18">
        <f t="shared" si="32"/>
        <v>0</v>
      </c>
      <c r="J645" s="41">
        <v>43222</v>
      </c>
      <c r="K645" s="36">
        <v>2018</v>
      </c>
      <c r="L645" s="32">
        <f t="shared" si="30"/>
        <v>43222</v>
      </c>
      <c r="M645" s="40">
        <v>0</v>
      </c>
      <c r="N645" s="33">
        <v>255</v>
      </c>
      <c r="O645" s="34">
        <f>AVERAGEIF(L3:L1205,"&lt;2018/5/2",N3:N1205)</f>
        <v>118.03113553113553</v>
      </c>
      <c r="P645" s="54">
        <v>0</v>
      </c>
      <c r="Q645" s="38">
        <f>AVERAGEIF(L3:L1205,"&lt;2018/5/2",P3:P1205)</f>
        <v>0.32417582417582419</v>
      </c>
      <c r="R645" s="38">
        <v>1</v>
      </c>
      <c r="S645" s="38">
        <f>AVERAGEIF(L3:L1205,"&lt;2018/5/2",R3:R1205)</f>
        <v>1.271062271062271</v>
      </c>
      <c r="T645" s="54">
        <v>0</v>
      </c>
      <c r="U645" s="38">
        <f>AVERAGEIF(L3:L1205,"&lt;2018/5/2",T3:T1205)</f>
        <v>7.8058608058608057</v>
      </c>
      <c r="V645" s="24">
        <v>560</v>
      </c>
      <c r="W645" s="47" t="s">
        <v>4550</v>
      </c>
    </row>
    <row r="646" spans="1:23">
      <c r="A646" s="23">
        <v>3</v>
      </c>
      <c r="B646" s="23">
        <v>26</v>
      </c>
      <c r="C646" s="18">
        <v>4</v>
      </c>
      <c r="D646" s="18">
        <v>4</v>
      </c>
      <c r="E646" s="20">
        <v>46</v>
      </c>
      <c r="F646" s="21">
        <f t="shared" si="31"/>
        <v>105.71914132379248</v>
      </c>
      <c r="G646" s="22">
        <v>0.37500000063393901</v>
      </c>
      <c r="H646" s="3">
        <v>1</v>
      </c>
      <c r="I646" s="18">
        <f t="shared" si="32"/>
        <v>0</v>
      </c>
      <c r="J646" s="41">
        <v>43222</v>
      </c>
      <c r="K646" s="36">
        <v>2018</v>
      </c>
      <c r="L646" s="32">
        <f t="shared" si="30"/>
        <v>43222</v>
      </c>
      <c r="M646" s="40">
        <v>0</v>
      </c>
      <c r="N646" s="33">
        <v>210</v>
      </c>
      <c r="O646" s="34">
        <f>AVERAGEIF(L3:L1205,"&lt;2018/5/2",N3:N1205)</f>
        <v>118.03113553113553</v>
      </c>
      <c r="P646" s="38">
        <v>0</v>
      </c>
      <c r="Q646" s="38">
        <f>AVERAGEIF(L3:L1205,"&lt;2018/5/2",P3:P1205)</f>
        <v>0.32417582417582419</v>
      </c>
      <c r="R646" s="38">
        <v>1</v>
      </c>
      <c r="S646" s="38">
        <f>AVERAGEIF(L3:L1205,"&lt;2018/5/2",R3:R1205)</f>
        <v>1.271062271062271</v>
      </c>
      <c r="T646" s="38">
        <v>0</v>
      </c>
      <c r="U646" s="38">
        <f>AVERAGEIF(L3:L1205,"&lt;2018/5/2",T3:T1205)</f>
        <v>7.8058608058608057</v>
      </c>
      <c r="V646" s="24">
        <v>559</v>
      </c>
      <c r="W646" s="47" t="s">
        <v>4523</v>
      </c>
    </row>
    <row r="647" spans="1:23">
      <c r="A647" s="23">
        <v>4</v>
      </c>
      <c r="B647" s="23">
        <v>28</v>
      </c>
      <c r="C647" s="18">
        <v>4</v>
      </c>
      <c r="D647" s="18">
        <v>6</v>
      </c>
      <c r="E647" s="20">
        <v>198</v>
      </c>
      <c r="F647" s="21">
        <f t="shared" si="31"/>
        <v>105.55376344086021</v>
      </c>
      <c r="G647" s="22">
        <v>0.309917355547222</v>
      </c>
      <c r="H647" s="18">
        <v>1</v>
      </c>
      <c r="I647" s="18">
        <f t="shared" si="32"/>
        <v>0</v>
      </c>
      <c r="J647" s="45">
        <v>43222</v>
      </c>
      <c r="K647" s="36">
        <v>2018</v>
      </c>
      <c r="L647" s="32">
        <f t="shared" si="30"/>
        <v>43235</v>
      </c>
      <c r="M647" s="20">
        <v>0</v>
      </c>
      <c r="N647" s="33">
        <v>67</v>
      </c>
      <c r="O647" s="34">
        <f>AVERAGEIF(L3:L1205,"&lt;2018/5/2",N3:N1205)</f>
        <v>118.03113553113553</v>
      </c>
      <c r="P647" s="38">
        <v>1</v>
      </c>
      <c r="Q647" s="38">
        <f>AVERAGEIF(L3:L1205,"&lt;2018/5/2",P3:P1205)</f>
        <v>0.32417582417582419</v>
      </c>
      <c r="R647" s="38">
        <v>1</v>
      </c>
      <c r="S647" s="38">
        <f>AVERAGEIF(L3:L1205,"&lt;2018/5/2",R3:R1205)</f>
        <v>1.271062271062271</v>
      </c>
      <c r="T647" s="38">
        <v>13</v>
      </c>
      <c r="U647" s="38">
        <f>AVERAGEIF(L3:L1205,"&lt;2018/5/2",T3:T1205)</f>
        <v>7.8058608058608057</v>
      </c>
      <c r="V647" s="24">
        <v>558</v>
      </c>
      <c r="W647" s="47" t="s">
        <v>4529</v>
      </c>
    </row>
    <row r="648" spans="1:23">
      <c r="A648" s="23">
        <v>2</v>
      </c>
      <c r="B648" s="23">
        <v>7</v>
      </c>
      <c r="C648" s="18">
        <v>4</v>
      </c>
      <c r="D648" s="18">
        <v>4</v>
      </c>
      <c r="E648" s="20">
        <v>43</v>
      </c>
      <c r="F648" s="21">
        <f t="shared" si="31"/>
        <v>105.66606822262119</v>
      </c>
      <c r="G648" s="22">
        <v>0.412500000020805</v>
      </c>
      <c r="H648" s="18">
        <v>1</v>
      </c>
      <c r="I648" s="18">
        <f t="shared" si="32"/>
        <v>0</v>
      </c>
      <c r="J648" s="41">
        <v>43221</v>
      </c>
      <c r="K648" s="36">
        <v>2018</v>
      </c>
      <c r="L648" s="32">
        <f t="shared" si="30"/>
        <v>43224</v>
      </c>
      <c r="M648" s="40">
        <v>0</v>
      </c>
      <c r="N648" s="33">
        <v>120</v>
      </c>
      <c r="O648" s="34">
        <f>AVERAGEIF(L3:L1205,"&lt;2018/5/1",N3:N1205)</f>
        <v>118.03113553113553</v>
      </c>
      <c r="P648" s="40">
        <v>0</v>
      </c>
      <c r="Q648" s="40">
        <f>AVERAGEIF(L3:L1205,"&lt;2018/5/1",P3:P1205)</f>
        <v>0.32417582417582419</v>
      </c>
      <c r="R648" s="40">
        <v>1</v>
      </c>
      <c r="S648" s="40">
        <f>AVERAGEIF(L3:L1205,"&lt;2018/5/1",R3:R1205)</f>
        <v>1.271062271062271</v>
      </c>
      <c r="T648" s="40">
        <v>3</v>
      </c>
      <c r="U648" s="40">
        <f>AVERAGEIF(L3:L1205,"&lt;2018/5/1",T3:T1205)</f>
        <v>7.8058608058608057</v>
      </c>
      <c r="V648" s="24">
        <v>557</v>
      </c>
      <c r="W648" s="47" t="s">
        <v>4521</v>
      </c>
    </row>
    <row r="649" spans="1:23">
      <c r="A649" s="23">
        <v>2</v>
      </c>
      <c r="B649" s="23">
        <v>4</v>
      </c>
      <c r="C649" s="18">
        <v>5</v>
      </c>
      <c r="D649" s="18">
        <v>6</v>
      </c>
      <c r="E649" s="20">
        <v>49</v>
      </c>
      <c r="F649" s="21">
        <f t="shared" si="31"/>
        <v>105.7679856115108</v>
      </c>
      <c r="G649" s="22">
        <v>0.33373078042479398</v>
      </c>
      <c r="H649" s="18">
        <v>1</v>
      </c>
      <c r="I649" s="18">
        <f t="shared" si="32"/>
        <v>0</v>
      </c>
      <c r="J649" s="41">
        <v>43220</v>
      </c>
      <c r="K649" s="36">
        <v>2018</v>
      </c>
      <c r="L649" s="32">
        <f t="shared" si="30"/>
        <v>43223</v>
      </c>
      <c r="M649" s="40">
        <v>1</v>
      </c>
      <c r="N649" s="33">
        <v>98</v>
      </c>
      <c r="O649" s="34">
        <f>AVERAGEIF(L3:L1205,"&lt;2018/4/30",N3:N1205)</f>
        <v>117.89338235294117</v>
      </c>
      <c r="P649" s="54">
        <v>2</v>
      </c>
      <c r="Q649" s="38">
        <f>AVERAGEIF(L3:L1205,"&lt;2018/4/30",P3:P1205)</f>
        <v>0.32536764705882354</v>
      </c>
      <c r="R649" s="38">
        <v>1</v>
      </c>
      <c r="S649" s="38">
        <f>AVERAGEIF(L3:L1205,"&lt;2018/4/30",R3:R1205)</f>
        <v>1.2720588235294117</v>
      </c>
      <c r="T649" s="54">
        <v>3</v>
      </c>
      <c r="U649" s="38">
        <f>AVERAGEIF(L3:L1205,"&lt;2018/4/30",T3:T1205)</f>
        <v>7.8161764705882355</v>
      </c>
      <c r="V649" s="24">
        <v>556</v>
      </c>
      <c r="W649" s="47" t="s">
        <v>4564</v>
      </c>
    </row>
    <row r="650" spans="1:23">
      <c r="A650" s="23">
        <v>2</v>
      </c>
      <c r="B650" s="23">
        <v>4</v>
      </c>
      <c r="C650" s="18">
        <v>4</v>
      </c>
      <c r="D650" s="18">
        <v>4</v>
      </c>
      <c r="E650" s="20">
        <v>57</v>
      </c>
      <c r="F650" s="21">
        <f t="shared" si="31"/>
        <v>105.85585585585585</v>
      </c>
      <c r="G650" s="22">
        <v>0.39056053852446498</v>
      </c>
      <c r="H650" s="18">
        <v>1</v>
      </c>
      <c r="I650" s="18">
        <f t="shared" si="32"/>
        <v>0</v>
      </c>
      <c r="J650" s="41">
        <v>43220</v>
      </c>
      <c r="K650" s="36">
        <v>2018</v>
      </c>
      <c r="L650" s="32">
        <f t="shared" si="30"/>
        <v>43223</v>
      </c>
      <c r="M650" s="40">
        <v>0</v>
      </c>
      <c r="N650" s="33">
        <v>114</v>
      </c>
      <c r="O650" s="34">
        <f>AVERAGEIF(L3:L1205,"&lt;2018/4/30",N3:N1205)</f>
        <v>117.89338235294117</v>
      </c>
      <c r="P650" s="54">
        <v>0</v>
      </c>
      <c r="Q650" s="38">
        <f>AVERAGEIF(L3:L1205,"&lt;2018/4/30",P3:P1205)</f>
        <v>0.32536764705882354</v>
      </c>
      <c r="R650" s="38">
        <v>1</v>
      </c>
      <c r="S650" s="38">
        <f>AVERAGEIF(L3:L1205,"&lt;2018/4/30",R3:R1205)</f>
        <v>1.2720588235294117</v>
      </c>
      <c r="T650" s="54">
        <v>3</v>
      </c>
      <c r="U650" s="38">
        <f>AVERAGEIF(L3:L1205,"&lt;2018/4/30",T3:T1205)</f>
        <v>7.8161764705882355</v>
      </c>
      <c r="V650" s="24">
        <v>555</v>
      </c>
      <c r="W650" s="47" t="s">
        <v>4621</v>
      </c>
    </row>
    <row r="651" spans="1:23">
      <c r="A651" s="23">
        <v>2</v>
      </c>
      <c r="B651" s="23">
        <v>7</v>
      </c>
      <c r="C651" s="18">
        <v>4</v>
      </c>
      <c r="D651" s="18">
        <v>6</v>
      </c>
      <c r="E651" s="20">
        <v>449</v>
      </c>
      <c r="F651" s="21">
        <f t="shared" si="31"/>
        <v>105.23646209386281</v>
      </c>
      <c r="G651" s="22">
        <v>0.41282935309152102</v>
      </c>
      <c r="H651" s="18">
        <v>1</v>
      </c>
      <c r="I651" s="18">
        <f t="shared" si="32"/>
        <v>0</v>
      </c>
      <c r="J651" s="41">
        <v>43220</v>
      </c>
      <c r="K651" s="36">
        <v>2018</v>
      </c>
      <c r="L651" s="32">
        <f t="shared" si="30"/>
        <v>43223</v>
      </c>
      <c r="M651" s="24">
        <v>0</v>
      </c>
      <c r="N651" s="33">
        <v>120</v>
      </c>
      <c r="O651" s="34">
        <f>AVERAGEIF(L3:L1205,"&lt;2018/4/30",N3:N1205)</f>
        <v>117.89338235294117</v>
      </c>
      <c r="P651" s="38">
        <v>0</v>
      </c>
      <c r="Q651" s="38">
        <f>AVERAGEIF(L3:L1205,"&lt;2018/4/30",P3:P1205)</f>
        <v>0.32536764705882354</v>
      </c>
      <c r="R651" s="38">
        <v>1</v>
      </c>
      <c r="S651" s="38">
        <f>AVERAGEIF(L3:L1205,"&lt;2018/4/30",R3:R1205)</f>
        <v>1.2720588235294117</v>
      </c>
      <c r="T651" s="38">
        <v>3</v>
      </c>
      <c r="U651" s="38">
        <f>AVERAGEIF(L3:L1205,"&lt;2018/4/30",T3:T1205)</f>
        <v>7.8161764705882355</v>
      </c>
      <c r="V651" s="24">
        <v>554</v>
      </c>
      <c r="W651" s="47" t="s">
        <v>4521</v>
      </c>
    </row>
    <row r="652" spans="1:23">
      <c r="A652" s="23">
        <v>2</v>
      </c>
      <c r="B652" s="23">
        <v>18</v>
      </c>
      <c r="C652" s="18">
        <v>4</v>
      </c>
      <c r="D652" s="18">
        <v>4</v>
      </c>
      <c r="E652" s="20">
        <v>106</v>
      </c>
      <c r="F652" s="21">
        <f t="shared" si="31"/>
        <v>105.23508137432188</v>
      </c>
      <c r="G652" s="22">
        <v>0.37500008548281699</v>
      </c>
      <c r="H652" s="18">
        <v>1</v>
      </c>
      <c r="I652" s="18">
        <f t="shared" si="32"/>
        <v>0</v>
      </c>
      <c r="J652" s="41">
        <v>43220</v>
      </c>
      <c r="K652" s="36">
        <v>2018</v>
      </c>
      <c r="L652" s="32">
        <f t="shared" si="30"/>
        <v>43223</v>
      </c>
      <c r="M652" s="40">
        <v>0</v>
      </c>
      <c r="N652" s="33">
        <v>83</v>
      </c>
      <c r="O652" s="34">
        <f>AVERAGEIF(L3:L1205,"&lt;2018/4/30",N3:N1205)</f>
        <v>117.89338235294117</v>
      </c>
      <c r="P652" s="38">
        <v>0</v>
      </c>
      <c r="Q652" s="38">
        <f>AVERAGEIF(L3:L1205,"&lt;2018/4/30",P3:P1205)</f>
        <v>0.32536764705882354</v>
      </c>
      <c r="R652" s="38">
        <v>1</v>
      </c>
      <c r="S652" s="38">
        <f>AVERAGEIF(L3:L1205,"&lt;2018/4/30",R3:R1205)</f>
        <v>1.2720588235294117</v>
      </c>
      <c r="T652" s="38">
        <v>3</v>
      </c>
      <c r="U652" s="38">
        <f>AVERAGEIF(L3:L1205,"&lt;2018/4/30",T3:T1205)</f>
        <v>7.8161764705882355</v>
      </c>
      <c r="V652" s="24">
        <v>553</v>
      </c>
      <c r="W652" s="47" t="s">
        <v>4521</v>
      </c>
    </row>
    <row r="653" spans="1:23">
      <c r="A653" s="23">
        <v>3</v>
      </c>
      <c r="B653" s="23">
        <v>19</v>
      </c>
      <c r="C653" s="18">
        <v>4</v>
      </c>
      <c r="D653" s="18">
        <v>4</v>
      </c>
      <c r="E653" s="20">
        <v>69</v>
      </c>
      <c r="F653" s="21">
        <f t="shared" si="31"/>
        <v>105.30072463768116</v>
      </c>
      <c r="G653" s="22">
        <v>0.37689855601240502</v>
      </c>
      <c r="H653" s="3">
        <v>0</v>
      </c>
      <c r="I653" s="18">
        <f t="shared" si="32"/>
        <v>1</v>
      </c>
      <c r="J653" s="41">
        <v>43219</v>
      </c>
      <c r="K653" s="36">
        <v>2018</v>
      </c>
      <c r="L653" s="32">
        <f t="shared" si="30"/>
        <v>43223</v>
      </c>
      <c r="M653" s="24">
        <v>0</v>
      </c>
      <c r="N653" s="33">
        <v>132</v>
      </c>
      <c r="O653" s="34">
        <f>AVERAGEIF(L3:L1205,"&lt;2018/4/29",N3:N1205)</f>
        <v>117.89338235294117</v>
      </c>
      <c r="P653" s="38">
        <v>0</v>
      </c>
      <c r="Q653" s="38">
        <f>AVERAGEIF(L3:L1205,"&lt;2018/4/29",P3:P1205)</f>
        <v>0.32536764705882354</v>
      </c>
      <c r="R653" s="38">
        <v>1</v>
      </c>
      <c r="S653" s="38">
        <f>AVERAGEIF(L3:L1205,"&lt;2018/4/29",R3:R1205)</f>
        <v>1.2720588235294117</v>
      </c>
      <c r="T653" s="38">
        <v>4</v>
      </c>
      <c r="U653" s="38">
        <f>AVERAGEIF(L3:L1205,"&lt;2018/4/29",T3:T1205)</f>
        <v>7.8161764705882355</v>
      </c>
      <c r="V653" s="24">
        <v>552</v>
      </c>
      <c r="W653" s="47" t="s">
        <v>4550</v>
      </c>
    </row>
    <row r="654" spans="1:23">
      <c r="A654" s="23">
        <v>4</v>
      </c>
      <c r="B654" s="23">
        <v>28</v>
      </c>
      <c r="C654" s="18">
        <v>4</v>
      </c>
      <c r="D654" s="18">
        <v>6</v>
      </c>
      <c r="E654" s="20">
        <v>497</v>
      </c>
      <c r="F654" s="21">
        <f t="shared" si="31"/>
        <v>104.58983666061707</v>
      </c>
      <c r="G654" s="22">
        <v>0.41269340148026501</v>
      </c>
      <c r="H654" s="18">
        <v>1</v>
      </c>
      <c r="I654" s="18">
        <f t="shared" si="32"/>
        <v>0</v>
      </c>
      <c r="J654" s="45">
        <v>43219</v>
      </c>
      <c r="K654" s="36">
        <v>2018</v>
      </c>
      <c r="L654" s="32">
        <f t="shared" si="30"/>
        <v>43223</v>
      </c>
      <c r="M654" s="20">
        <v>0</v>
      </c>
      <c r="N654" s="33">
        <v>298</v>
      </c>
      <c r="O654" s="34">
        <f>AVERAGEIF(L3:L1205,"&lt;2018/4/29",N3:N1205)</f>
        <v>117.89338235294117</v>
      </c>
      <c r="P654" s="54">
        <v>0</v>
      </c>
      <c r="Q654" s="38">
        <f>AVERAGEIF(L3:L1205,"&lt;2018/4/29",P3:P1205)</f>
        <v>0.32536764705882354</v>
      </c>
      <c r="R654" s="38">
        <v>2</v>
      </c>
      <c r="S654" s="38">
        <f>AVERAGEIF(L3:L1205,"&lt;2018/4/29",R3:R1205)</f>
        <v>1.2720588235294117</v>
      </c>
      <c r="T654" s="54">
        <v>4</v>
      </c>
      <c r="U654" s="38">
        <f>AVERAGEIF(L3:L1205,"&lt;2018/4/29",T3:T1205)</f>
        <v>7.8161764705882355</v>
      </c>
      <c r="V654" s="24">
        <v>551</v>
      </c>
      <c r="W654" s="47" t="s">
        <v>4618</v>
      </c>
    </row>
    <row r="655" spans="1:23">
      <c r="A655" s="23">
        <v>2</v>
      </c>
      <c r="B655" s="23">
        <v>8</v>
      </c>
      <c r="C655" s="18">
        <v>4</v>
      </c>
      <c r="D655" s="18">
        <v>6</v>
      </c>
      <c r="E655" s="20">
        <v>69</v>
      </c>
      <c r="F655" s="21">
        <f t="shared" si="31"/>
        <v>104.65454545454546</v>
      </c>
      <c r="G655" s="22">
        <v>0.435831956645995</v>
      </c>
      <c r="H655" s="18">
        <v>1</v>
      </c>
      <c r="I655" s="18">
        <f t="shared" si="32"/>
        <v>0</v>
      </c>
      <c r="J655" s="41">
        <v>43218</v>
      </c>
      <c r="K655" s="36">
        <v>2018</v>
      </c>
      <c r="L655" s="32">
        <f t="shared" si="30"/>
        <v>43224</v>
      </c>
      <c r="M655" s="40">
        <v>0</v>
      </c>
      <c r="N655" s="33">
        <v>116</v>
      </c>
      <c r="O655" s="34">
        <f>AVERAGEIF(L3:L1205,"&lt;2018/4/28",N3:N1205)</f>
        <v>117.93900184842883</v>
      </c>
      <c r="P655" s="38">
        <v>1</v>
      </c>
      <c r="Q655" s="38">
        <f>AVERAGEIF(L3:L1205,"&lt;2018/4/28",P3:P1205)</f>
        <v>0.32717190388170053</v>
      </c>
      <c r="R655" s="38">
        <v>1</v>
      </c>
      <c r="S655" s="38">
        <f>AVERAGEIF(L3:L1205,"&lt;2018/4/28",R3:R1205)</f>
        <v>1.2735674676524953</v>
      </c>
      <c r="T655" s="38">
        <v>6</v>
      </c>
      <c r="U655" s="38">
        <f>AVERAGEIF(L3:L1205,"&lt;2018/4/28",T3:T1205)</f>
        <v>7.8077634011090575</v>
      </c>
      <c r="V655" s="24">
        <v>550</v>
      </c>
      <c r="W655" s="47" t="s">
        <v>4523</v>
      </c>
    </row>
    <row r="656" spans="1:23">
      <c r="A656" s="23">
        <v>3</v>
      </c>
      <c r="B656" s="23">
        <v>26</v>
      </c>
      <c r="C656" s="18">
        <v>4</v>
      </c>
      <c r="D656" s="18">
        <v>4</v>
      </c>
      <c r="E656" s="20">
        <v>41</v>
      </c>
      <c r="F656" s="21">
        <f t="shared" si="31"/>
        <v>104.77049180327869</v>
      </c>
      <c r="G656" s="22">
        <v>0.63026265818032501</v>
      </c>
      <c r="H656" s="3">
        <v>1</v>
      </c>
      <c r="I656" s="18">
        <f t="shared" si="32"/>
        <v>0</v>
      </c>
      <c r="J656" s="41">
        <v>43217</v>
      </c>
      <c r="K656" s="36">
        <v>2018</v>
      </c>
      <c r="L656" s="32">
        <f t="shared" si="30"/>
        <v>43218</v>
      </c>
      <c r="M656" s="40">
        <v>0</v>
      </c>
      <c r="N656" s="33">
        <v>241</v>
      </c>
      <c r="O656" s="34">
        <f>AVERAGEIF(L3:L1205,"&lt;2018/4/27",N3:N1205)</f>
        <v>117.93900184842883</v>
      </c>
      <c r="P656" s="38">
        <v>0</v>
      </c>
      <c r="Q656" s="38">
        <f>AVERAGEIF(L3:L1205,"&lt;2018/4/27",P3:P1205)</f>
        <v>0.32717190388170053</v>
      </c>
      <c r="R656" s="38">
        <v>1</v>
      </c>
      <c r="S656" s="38">
        <f>AVERAGEIF(L3:L1205,"&lt;2018/4/27",R3:R1205)</f>
        <v>1.2735674676524953</v>
      </c>
      <c r="T656" s="38">
        <v>1</v>
      </c>
      <c r="U656" s="38">
        <f>AVERAGEIF(L3:L1205,"&lt;2018/4/27",T3:T1205)</f>
        <v>7.8077634011090575</v>
      </c>
      <c r="V656" s="24">
        <v>549</v>
      </c>
      <c r="W656" s="47" t="s">
        <v>4634</v>
      </c>
    </row>
    <row r="657" spans="1:23">
      <c r="A657" s="23">
        <v>4</v>
      </c>
      <c r="B657" s="23">
        <v>33</v>
      </c>
      <c r="C657" s="18">
        <v>4</v>
      </c>
      <c r="D657" s="18">
        <v>4</v>
      </c>
      <c r="E657" s="20">
        <v>81</v>
      </c>
      <c r="F657" s="21">
        <f t="shared" si="31"/>
        <v>104.81386861313868</v>
      </c>
      <c r="G657" s="22">
        <v>0.40915338355520398</v>
      </c>
      <c r="H657" s="18">
        <v>1</v>
      </c>
      <c r="I657" s="18">
        <f t="shared" si="32"/>
        <v>0</v>
      </c>
      <c r="J657" s="45">
        <v>43217</v>
      </c>
      <c r="K657" s="36">
        <v>2018</v>
      </c>
      <c r="L657" s="32">
        <f t="shared" si="30"/>
        <v>43218</v>
      </c>
      <c r="M657" s="24">
        <v>0</v>
      </c>
      <c r="N657" s="33">
        <v>44</v>
      </c>
      <c r="O657" s="34">
        <f>AVERAGEIF(L3:L1205,"&lt;2018/4/27",N3:N1205)</f>
        <v>117.93900184842883</v>
      </c>
      <c r="P657" s="38">
        <v>0</v>
      </c>
      <c r="Q657" s="38">
        <f>AVERAGEIF(L3:L1205,"&lt;2018/4/27",P3:P1205)</f>
        <v>0.32717190388170053</v>
      </c>
      <c r="R657" s="38">
        <v>1</v>
      </c>
      <c r="S657" s="38">
        <f>AVERAGEIF(L3:L1205,"&lt;2018/4/27",R3:R1205)</f>
        <v>1.2735674676524953</v>
      </c>
      <c r="T657" s="38">
        <v>1</v>
      </c>
      <c r="U657" s="38">
        <f>AVERAGEIF(L3:L1205,"&lt;2018/4/27",T3:T1205)</f>
        <v>7.8077634011090575</v>
      </c>
      <c r="V657" s="24">
        <v>548</v>
      </c>
      <c r="W657" s="47" t="s">
        <v>4659</v>
      </c>
    </row>
    <row r="658" spans="1:23">
      <c r="A658" s="23">
        <v>2</v>
      </c>
      <c r="B658" s="23">
        <v>6</v>
      </c>
      <c r="C658" s="18">
        <v>4</v>
      </c>
      <c r="D658" s="18">
        <v>4</v>
      </c>
      <c r="E658" s="20">
        <v>37</v>
      </c>
      <c r="F658" s="21">
        <f t="shared" si="31"/>
        <v>104.93784277879342</v>
      </c>
      <c r="G658" s="22">
        <v>0.51679204861116701</v>
      </c>
      <c r="H658" s="18">
        <v>1</v>
      </c>
      <c r="I658" s="18">
        <f t="shared" si="32"/>
        <v>0</v>
      </c>
      <c r="J658" s="41">
        <v>43216</v>
      </c>
      <c r="K658" s="36">
        <v>2018</v>
      </c>
      <c r="L658" s="32">
        <f t="shared" si="30"/>
        <v>43220</v>
      </c>
      <c r="M658" s="40">
        <v>0</v>
      </c>
      <c r="N658" s="33">
        <v>139</v>
      </c>
      <c r="O658" s="34">
        <f>AVERAGEIF(L3:L1205,"&lt;2018/4/26",N3:N1205)</f>
        <v>118.15111940298507</v>
      </c>
      <c r="P658" s="40">
        <v>0</v>
      </c>
      <c r="Q658" s="40">
        <f>AVERAGEIF(L3:L1205,"&lt;2018/4/26",P3:P1205)</f>
        <v>0.32462686567164178</v>
      </c>
      <c r="R658" s="40">
        <v>1</v>
      </c>
      <c r="S658" s="40">
        <f>AVERAGEIF(L3:L1205,"&lt;2018/4/26",R3:R1205)</f>
        <v>1.2761194029850746</v>
      </c>
      <c r="T658" s="40">
        <v>4</v>
      </c>
      <c r="U658" s="40">
        <f>AVERAGEIF(L3:L1205,"&lt;2018/4/26",T3:T1205)</f>
        <v>7.8246268656716422</v>
      </c>
      <c r="V658" s="24">
        <v>547</v>
      </c>
      <c r="W658" s="47" t="s">
        <v>4523</v>
      </c>
    </row>
    <row r="659" spans="1:23">
      <c r="A659" s="23">
        <v>2</v>
      </c>
      <c r="B659" s="23">
        <v>8</v>
      </c>
      <c r="C659" s="18">
        <v>4</v>
      </c>
      <c r="D659" s="18">
        <v>4</v>
      </c>
      <c r="E659" s="20">
        <v>57</v>
      </c>
      <c r="F659" s="21">
        <f t="shared" si="31"/>
        <v>105.02564102564102</v>
      </c>
      <c r="G659" s="22">
        <v>0.91142652886142295</v>
      </c>
      <c r="H659" s="18">
        <v>1</v>
      </c>
      <c r="I659" s="18">
        <f t="shared" si="32"/>
        <v>0</v>
      </c>
      <c r="J659" s="41">
        <v>43214</v>
      </c>
      <c r="K659" s="36">
        <v>2018</v>
      </c>
      <c r="L659" s="32">
        <f t="shared" si="30"/>
        <v>43220</v>
      </c>
      <c r="M659" s="24">
        <v>0</v>
      </c>
      <c r="N659" s="33">
        <v>172</v>
      </c>
      <c r="O659" s="34">
        <f>AVERAGEIF(L3:L1205,"&lt;2018/4/24",N3:N1205)</f>
        <v>118.15111940298507</v>
      </c>
      <c r="P659" s="38">
        <v>0</v>
      </c>
      <c r="Q659" s="38">
        <f>AVERAGEIF(L3:L1205,"&lt;2018/4/24",P3:P1205)</f>
        <v>0.32462686567164178</v>
      </c>
      <c r="R659" s="38">
        <v>1</v>
      </c>
      <c r="S659" s="38">
        <f>AVERAGEIF(L3:L1205,"&lt;2018/4/24",R3:R1205)</f>
        <v>1.2761194029850746</v>
      </c>
      <c r="T659" s="38">
        <v>6</v>
      </c>
      <c r="U659" s="38">
        <f>AVERAGEIF(L3:L1205,"&lt;2018/4/24",T3:T1205)</f>
        <v>7.8246268656716422</v>
      </c>
      <c r="V659" s="24">
        <v>546</v>
      </c>
      <c r="W659" s="47" t="s">
        <v>4742</v>
      </c>
    </row>
    <row r="660" spans="1:23">
      <c r="A660" s="23">
        <v>4</v>
      </c>
      <c r="B660" s="23">
        <v>36</v>
      </c>
      <c r="C660" s="18">
        <v>4</v>
      </c>
      <c r="D660" s="18">
        <v>4</v>
      </c>
      <c r="E660" s="20">
        <v>83</v>
      </c>
      <c r="F660" s="21">
        <f t="shared" si="31"/>
        <v>105.06605504587156</v>
      </c>
      <c r="G660" s="22">
        <v>0.51222768714689904</v>
      </c>
      <c r="H660" s="18">
        <v>1</v>
      </c>
      <c r="I660" s="18">
        <f t="shared" si="32"/>
        <v>0</v>
      </c>
      <c r="J660" s="45">
        <v>43214</v>
      </c>
      <c r="K660" s="36">
        <v>2018</v>
      </c>
      <c r="L660" s="32">
        <f t="shared" si="30"/>
        <v>43242</v>
      </c>
      <c r="M660" s="42">
        <v>0</v>
      </c>
      <c r="N660" s="33">
        <v>25</v>
      </c>
      <c r="O660" s="34">
        <f>AVERAGEIF(L3:L1205,"&lt;2018/4/24",N3:N1205)</f>
        <v>118.15111940298507</v>
      </c>
      <c r="P660" s="38">
        <v>1</v>
      </c>
      <c r="Q660" s="38">
        <f>AVERAGEIF(L3:L1205,"&lt;2018/4/24",P3:P1205)</f>
        <v>0.32462686567164178</v>
      </c>
      <c r="R660" s="38">
        <v>1</v>
      </c>
      <c r="S660" s="38">
        <f>AVERAGEIF(L3:L1205,"&lt;2018/4/24",R3:R1205)</f>
        <v>1.2761194029850746</v>
      </c>
      <c r="T660" s="38">
        <v>28</v>
      </c>
      <c r="U660" s="38">
        <f>AVERAGEIF(L3:L1205,"&lt;2018/4/24",T3:T1205)</f>
        <v>7.8246268656716422</v>
      </c>
      <c r="V660" s="24">
        <v>545</v>
      </c>
      <c r="W660" s="47" t="s">
        <v>4618</v>
      </c>
    </row>
    <row r="661" spans="1:23">
      <c r="A661" s="23">
        <v>2</v>
      </c>
      <c r="B661" s="23">
        <v>6</v>
      </c>
      <c r="C661" s="18">
        <v>4</v>
      </c>
      <c r="D661" s="18">
        <v>4</v>
      </c>
      <c r="E661" s="20">
        <v>57</v>
      </c>
      <c r="F661" s="21">
        <f t="shared" si="31"/>
        <v>105.15441176470588</v>
      </c>
      <c r="G661" s="22">
        <v>0.83778331614956103</v>
      </c>
      <c r="H661" s="18">
        <v>1</v>
      </c>
      <c r="I661" s="18">
        <f t="shared" si="32"/>
        <v>0</v>
      </c>
      <c r="J661" s="41">
        <v>43213</v>
      </c>
      <c r="K661" s="36">
        <v>2018</v>
      </c>
      <c r="L661" s="32">
        <f t="shared" si="30"/>
        <v>43216</v>
      </c>
      <c r="M661" s="40">
        <v>0</v>
      </c>
      <c r="N661" s="33">
        <v>99</v>
      </c>
      <c r="O661" s="34">
        <f>AVERAGEIF(L3:L1205,"&lt;2018/4/23",N3:N1205)</f>
        <v>117.99626168224299</v>
      </c>
      <c r="P661" s="40">
        <v>0</v>
      </c>
      <c r="Q661" s="40">
        <f>AVERAGEIF(L3:L1205,"&lt;2018/4/23",P3:P1205)</f>
        <v>0.3252336448598131</v>
      </c>
      <c r="R661" s="40">
        <v>1</v>
      </c>
      <c r="S661" s="40">
        <f>AVERAGEIF(L3:L1205,"&lt;2018/4/23",R3:R1205)</f>
        <v>1.2766355140186916</v>
      </c>
      <c r="T661" s="40">
        <v>3</v>
      </c>
      <c r="U661" s="40">
        <f>AVERAGEIF(L3:L1205,"&lt;2018/4/23",T3:T1205)</f>
        <v>7.8317757009345792</v>
      </c>
      <c r="V661" s="24">
        <v>544</v>
      </c>
      <c r="W661" s="47" t="s">
        <v>4550</v>
      </c>
    </row>
    <row r="662" spans="1:23">
      <c r="A662" s="23">
        <v>2</v>
      </c>
      <c r="B662" s="23">
        <v>6</v>
      </c>
      <c r="C662" s="18">
        <v>4</v>
      </c>
      <c r="D662" s="18">
        <v>4</v>
      </c>
      <c r="E662" s="20">
        <v>50</v>
      </c>
      <c r="F662" s="21">
        <f t="shared" si="31"/>
        <v>105.25598526703499</v>
      </c>
      <c r="G662" s="22">
        <v>0.51888432674894003</v>
      </c>
      <c r="H662" s="18">
        <v>1</v>
      </c>
      <c r="I662" s="18">
        <f t="shared" si="32"/>
        <v>0</v>
      </c>
      <c r="J662" s="41">
        <v>43213</v>
      </c>
      <c r="K662" s="36">
        <v>2018</v>
      </c>
      <c r="L662" s="32">
        <f t="shared" si="30"/>
        <v>43216</v>
      </c>
      <c r="M662" s="40">
        <v>0</v>
      </c>
      <c r="N662" s="33">
        <v>198</v>
      </c>
      <c r="O662" s="34">
        <f>AVERAGEIF(L3:L1205,"&lt;2018/4/23",N3:N1205)</f>
        <v>117.99626168224299</v>
      </c>
      <c r="P662" s="38">
        <v>0</v>
      </c>
      <c r="Q662" s="38">
        <f>AVERAGEIF(L3:L1205,"&lt;2018/4/23",P3:P1205)</f>
        <v>0.3252336448598131</v>
      </c>
      <c r="R662" s="38">
        <v>1</v>
      </c>
      <c r="S662" s="38">
        <f>AVERAGEIF(L3:L1205,"&lt;2018/4/23",R3:R1205)</f>
        <v>1.2766355140186916</v>
      </c>
      <c r="T662" s="38">
        <v>3</v>
      </c>
      <c r="U662" s="38">
        <f>AVERAGEIF(L3:L1205,"&lt;2018/4/23",T3:T1205)</f>
        <v>7.8317757009345792</v>
      </c>
      <c r="V662" s="24">
        <v>543</v>
      </c>
      <c r="W662" s="47" t="s">
        <v>4523</v>
      </c>
    </row>
    <row r="663" spans="1:23">
      <c r="A663" s="23">
        <v>2</v>
      </c>
      <c r="B663" s="23">
        <v>16</v>
      </c>
      <c r="C663" s="18">
        <v>5</v>
      </c>
      <c r="D663" s="18">
        <v>6</v>
      </c>
      <c r="E663" s="20">
        <v>93</v>
      </c>
      <c r="F663" s="21">
        <f t="shared" si="31"/>
        <v>105.27859778597787</v>
      </c>
      <c r="G663" s="22">
        <v>0.50278272392116896</v>
      </c>
      <c r="H663" s="18">
        <v>1</v>
      </c>
      <c r="I663" s="18">
        <f t="shared" si="32"/>
        <v>0</v>
      </c>
      <c r="J663" s="41">
        <v>43213</v>
      </c>
      <c r="K663" s="36">
        <v>2018</v>
      </c>
      <c r="L663" s="32">
        <f t="shared" si="30"/>
        <v>43313</v>
      </c>
      <c r="M663" s="40">
        <v>0</v>
      </c>
      <c r="N663" s="33">
        <v>18</v>
      </c>
      <c r="O663" s="34">
        <f>AVERAGEIF(L3:L1205,"&lt;2018/4/23",N3:N1205)</f>
        <v>117.99626168224299</v>
      </c>
      <c r="P663" s="54">
        <v>0</v>
      </c>
      <c r="Q663" s="38">
        <f>AVERAGEIF(L3:L1205,"&lt;2018/4/23",P3:P1205)</f>
        <v>0.3252336448598131</v>
      </c>
      <c r="R663" s="38">
        <v>1</v>
      </c>
      <c r="S663" s="38">
        <f>AVERAGEIF(L3:L1205,"&lt;2018/4/23",R3:R1205)</f>
        <v>1.2766355140186916</v>
      </c>
      <c r="T663" s="54">
        <v>100</v>
      </c>
      <c r="U663" s="38">
        <f>AVERAGEIF(L3:L1205,"&lt;2018/4/23",T3:T1205)</f>
        <v>7.8317757009345792</v>
      </c>
      <c r="V663" s="24">
        <v>542</v>
      </c>
      <c r="W663" s="47" t="s">
        <v>4742</v>
      </c>
    </row>
    <row r="664" spans="1:23">
      <c r="A664" s="23">
        <v>4</v>
      </c>
      <c r="B664" s="23">
        <v>36</v>
      </c>
      <c r="C664" s="18">
        <v>4</v>
      </c>
      <c r="D664" s="18">
        <v>4</v>
      </c>
      <c r="E664" s="20">
        <v>98</v>
      </c>
      <c r="F664" s="21">
        <f t="shared" si="31"/>
        <v>105.2920517560074</v>
      </c>
      <c r="G664" s="22">
        <v>0.31199341196308</v>
      </c>
      <c r="H664" s="18">
        <v>1</v>
      </c>
      <c r="I664" s="18">
        <f t="shared" si="32"/>
        <v>0</v>
      </c>
      <c r="J664" s="59">
        <v>43212</v>
      </c>
      <c r="K664" s="36">
        <v>2018</v>
      </c>
      <c r="L664" s="32">
        <f t="shared" si="30"/>
        <v>43216</v>
      </c>
      <c r="M664" s="42">
        <v>0</v>
      </c>
      <c r="N664" s="33">
        <v>38</v>
      </c>
      <c r="O664" s="34">
        <f>AVERAGEIF(L3:L1205,"&lt;2018/4/22",N3:N1205)</f>
        <v>117.99626168224299</v>
      </c>
      <c r="P664" s="54">
        <v>1</v>
      </c>
      <c r="Q664" s="38">
        <f>AVERAGEIF(L3:L1205,"&lt;2018/4/22",P3:P1205)</f>
        <v>0.3252336448598131</v>
      </c>
      <c r="R664" s="38">
        <v>1</v>
      </c>
      <c r="S664" s="38">
        <f>AVERAGEIF(L3:L1205,"&lt;2018/4/22",R3:R1205)</f>
        <v>1.2766355140186916</v>
      </c>
      <c r="T664" s="54">
        <v>4</v>
      </c>
      <c r="U664" s="38">
        <f>AVERAGEIF(L3:L1205,"&lt;2018/4/22",T3:T1205)</f>
        <v>7.8317757009345792</v>
      </c>
      <c r="V664" s="24">
        <v>541</v>
      </c>
      <c r="W664" s="47" t="s">
        <v>4974</v>
      </c>
    </row>
    <row r="665" spans="1:23">
      <c r="A665" s="23">
        <v>4</v>
      </c>
      <c r="B665" s="23">
        <v>36</v>
      </c>
      <c r="C665" s="18">
        <v>4</v>
      </c>
      <c r="D665" s="18">
        <v>6</v>
      </c>
      <c r="E665" s="20">
        <v>85</v>
      </c>
      <c r="F665" s="21">
        <f t="shared" si="31"/>
        <v>105.32962962962964</v>
      </c>
      <c r="G665" s="22">
        <v>0.83719478414625303</v>
      </c>
      <c r="H665" s="18">
        <v>1</v>
      </c>
      <c r="I665" s="18">
        <f t="shared" si="32"/>
        <v>0</v>
      </c>
      <c r="J665" s="45">
        <v>43211</v>
      </c>
      <c r="K665" s="36">
        <v>2018</v>
      </c>
      <c r="L665" s="32">
        <f t="shared" si="30"/>
        <v>43229</v>
      </c>
      <c r="M665" s="42">
        <v>0</v>
      </c>
      <c r="N665" s="33">
        <v>56</v>
      </c>
      <c r="O665" s="34">
        <f>AVERAGEIF(L3:L1205,"&lt;2018/4/21",N3:N1205)</f>
        <v>117.99626168224299</v>
      </c>
      <c r="P665" s="54">
        <v>1</v>
      </c>
      <c r="Q665" s="38">
        <f>AVERAGEIF(L3:L1205,"&lt;2018/4/21",P3:P1205)</f>
        <v>0.3252336448598131</v>
      </c>
      <c r="R665" s="38">
        <v>1</v>
      </c>
      <c r="S665" s="38">
        <f>AVERAGEIF(L3:L1205,"&lt;2018/4/21",R3:R1205)</f>
        <v>1.2766355140186916</v>
      </c>
      <c r="T665" s="54">
        <v>18</v>
      </c>
      <c r="U665" s="38">
        <f>AVERAGEIF(L3:L1205,"&lt;2018/4/21",T3:T1205)</f>
        <v>7.8317757009345792</v>
      </c>
      <c r="V665" s="24">
        <v>540</v>
      </c>
      <c r="W665" s="47" t="s">
        <v>4529</v>
      </c>
    </row>
    <row r="666" spans="1:23">
      <c r="A666" s="23">
        <v>4</v>
      </c>
      <c r="B666" s="23">
        <v>36</v>
      </c>
      <c r="C666" s="18">
        <v>4</v>
      </c>
      <c r="D666" s="18">
        <v>4</v>
      </c>
      <c r="E666" s="20">
        <v>60</v>
      </c>
      <c r="F666" s="21">
        <f t="shared" si="31"/>
        <v>105.41372912801484</v>
      </c>
      <c r="G666" s="22">
        <v>0.86160694132192095</v>
      </c>
      <c r="H666" s="18">
        <v>1</v>
      </c>
      <c r="I666" s="18">
        <f t="shared" si="32"/>
        <v>0</v>
      </c>
      <c r="J666" s="45">
        <v>43210</v>
      </c>
      <c r="K666" s="36">
        <v>2018</v>
      </c>
      <c r="L666" s="32">
        <f t="shared" si="30"/>
        <v>43216</v>
      </c>
      <c r="M666" s="42">
        <v>0</v>
      </c>
      <c r="N666" s="33">
        <v>38</v>
      </c>
      <c r="O666" s="34">
        <f>AVERAGEIF(L3:L1205,"&lt;2018/4/20",N3:N1205)</f>
        <v>117.99626168224299</v>
      </c>
      <c r="P666" s="54">
        <v>1</v>
      </c>
      <c r="Q666" s="38">
        <f>AVERAGEIF(L3:L1205,"&lt;2018/4/20",P3:P1205)</f>
        <v>0.3252336448598131</v>
      </c>
      <c r="R666" s="38">
        <v>1</v>
      </c>
      <c r="S666" s="38">
        <f>AVERAGEIF(L3:L1205,"&lt;2018/4/20",R3:R1205)</f>
        <v>1.2766355140186916</v>
      </c>
      <c r="T666" s="54">
        <v>6</v>
      </c>
      <c r="U666" s="38">
        <f>AVERAGEIF(L3:L1205,"&lt;2018/4/20",T3:T1205)</f>
        <v>7.8317757009345792</v>
      </c>
      <c r="V666" s="24">
        <v>539</v>
      </c>
      <c r="W666" s="47" t="s">
        <v>4634</v>
      </c>
    </row>
    <row r="667" spans="1:23">
      <c r="A667" s="23">
        <v>3</v>
      </c>
      <c r="B667" s="23">
        <v>19</v>
      </c>
      <c r="C667" s="18">
        <v>4</v>
      </c>
      <c r="D667" s="18">
        <v>4</v>
      </c>
      <c r="E667" s="20">
        <v>87</v>
      </c>
      <c r="F667" s="21">
        <f t="shared" si="31"/>
        <v>105.44795539033457</v>
      </c>
      <c r="G667" s="22">
        <v>0.412567955490931</v>
      </c>
      <c r="H667" s="3">
        <v>0</v>
      </c>
      <c r="I667" s="18">
        <f t="shared" si="32"/>
        <v>1</v>
      </c>
      <c r="J667" s="41">
        <v>43209</v>
      </c>
      <c r="K667" s="36">
        <v>2018</v>
      </c>
      <c r="L667" s="32">
        <f t="shared" si="30"/>
        <v>43213</v>
      </c>
      <c r="M667" s="40">
        <v>0</v>
      </c>
      <c r="N667" s="33">
        <v>201</v>
      </c>
      <c r="O667" s="34">
        <f>AVERAGEIF(L3:L1205,"&lt;2018/4/19",N3:N1205)</f>
        <v>117.3622641509434</v>
      </c>
      <c r="P667" s="38">
        <v>0</v>
      </c>
      <c r="Q667" s="38">
        <f>AVERAGEIF(L3:L1205,"&lt;2018/4/19",P3:P1205)</f>
        <v>0.32452830188679244</v>
      </c>
      <c r="R667" s="38">
        <v>1</v>
      </c>
      <c r="S667" s="38">
        <f>AVERAGEIF(L3:L1205,"&lt;2018/4/19",R3:R1205)</f>
        <v>1.2754716981132075</v>
      </c>
      <c r="T667" s="38">
        <v>4</v>
      </c>
      <c r="U667" s="38">
        <f>AVERAGEIF(L3:L1205,"&lt;2018/4/19",T3:T1205)</f>
        <v>7.8094339622641513</v>
      </c>
      <c r="V667" s="24">
        <v>538</v>
      </c>
      <c r="W667" s="47" t="s">
        <v>4553</v>
      </c>
    </row>
    <row r="668" spans="1:23">
      <c r="A668" s="17">
        <v>1</v>
      </c>
      <c r="B668" s="17">
        <v>2</v>
      </c>
      <c r="C668" s="18">
        <v>4</v>
      </c>
      <c r="D668" s="18">
        <v>6</v>
      </c>
      <c r="E668" s="20">
        <v>166</v>
      </c>
      <c r="F668" s="21">
        <f t="shared" si="31"/>
        <v>105.33519553072625</v>
      </c>
      <c r="G668" s="22">
        <v>0.37679459087508799</v>
      </c>
      <c r="H668" s="18">
        <v>1</v>
      </c>
      <c r="I668" s="18">
        <f t="shared" si="32"/>
        <v>0</v>
      </c>
      <c r="J668" s="41">
        <v>43206</v>
      </c>
      <c r="K668" s="36">
        <v>2018</v>
      </c>
      <c r="L668" s="32">
        <f t="shared" si="30"/>
        <v>43208</v>
      </c>
      <c r="M668" s="40">
        <v>0</v>
      </c>
      <c r="N668" s="33">
        <v>169</v>
      </c>
      <c r="O668" s="34">
        <f>AVERAGEIF(L3:L1205,"&lt;2018/4/16",N3:N1205)</f>
        <v>117.48190476190476</v>
      </c>
      <c r="P668" s="55">
        <v>0</v>
      </c>
      <c r="Q668" s="24">
        <f>AVERAGEIF(L3:L1205,"&lt;2018/4/16",P3:P1205)</f>
        <v>0.32</v>
      </c>
      <c r="R668" s="24">
        <v>1</v>
      </c>
      <c r="S668" s="24">
        <f>AVERAGEIF(L3:L1205,"&lt;2018/4/16",R3:R1205)</f>
        <v>1.2780952380952382</v>
      </c>
      <c r="T668" s="55">
        <v>2</v>
      </c>
      <c r="U668" s="24">
        <f>AVERAGEIF(L3:L1205,"&lt;2018/4/16",T3:T1205)</f>
        <v>7.84</v>
      </c>
      <c r="V668" s="24">
        <v>537</v>
      </c>
      <c r="W668" s="47" t="s">
        <v>4523</v>
      </c>
    </row>
    <row r="669" spans="1:23">
      <c r="A669" s="23">
        <v>2</v>
      </c>
      <c r="B669" s="23">
        <v>8</v>
      </c>
      <c r="C669" s="18">
        <v>4</v>
      </c>
      <c r="D669" s="18">
        <v>3</v>
      </c>
      <c r="E669" s="20">
        <v>32</v>
      </c>
      <c r="F669" s="21">
        <f t="shared" si="31"/>
        <v>105.47201492537313</v>
      </c>
      <c r="G669" s="22">
        <v>0.30991846142606999</v>
      </c>
      <c r="H669" s="18">
        <v>1</v>
      </c>
      <c r="I669" s="18">
        <f t="shared" si="32"/>
        <v>0</v>
      </c>
      <c r="J669" s="41">
        <v>43206</v>
      </c>
      <c r="K669" s="36">
        <v>2018</v>
      </c>
      <c r="L669" s="32">
        <f t="shared" si="30"/>
        <v>43224</v>
      </c>
      <c r="M669" s="40">
        <v>0</v>
      </c>
      <c r="N669" s="33">
        <v>45</v>
      </c>
      <c r="O669" s="34">
        <f>AVERAGEIF(L3:L1205,"&lt;2018/4/16",N3:N1205)</f>
        <v>117.48190476190476</v>
      </c>
      <c r="P669" s="40">
        <v>1</v>
      </c>
      <c r="Q669" s="40">
        <f>AVERAGEIF(L3:L1205,"&lt;2018/4/16",P3:P1205)</f>
        <v>0.32</v>
      </c>
      <c r="R669" s="40">
        <v>1</v>
      </c>
      <c r="S669" s="40">
        <f>AVERAGEIF(L3:L1205,"&lt;2018/4/16",R3:R1205)</f>
        <v>1.2780952380952382</v>
      </c>
      <c r="T669" s="40">
        <v>18</v>
      </c>
      <c r="U669" s="40">
        <f>AVERAGEIF(L3:L1205,"&lt;2018/4/16",T3:T1205)</f>
        <v>7.84</v>
      </c>
      <c r="V669" s="24">
        <v>536</v>
      </c>
      <c r="W669" s="47" t="s">
        <v>4529</v>
      </c>
    </row>
    <row r="670" spans="1:23">
      <c r="A670" s="23">
        <v>2</v>
      </c>
      <c r="B670" s="23">
        <v>8</v>
      </c>
      <c r="C670" s="18">
        <v>4</v>
      </c>
      <c r="D670" s="18">
        <v>4</v>
      </c>
      <c r="E670" s="20">
        <v>71</v>
      </c>
      <c r="F670" s="21">
        <f t="shared" si="31"/>
        <v>105.53644859813085</v>
      </c>
      <c r="G670" s="22">
        <v>0.420025016036707</v>
      </c>
      <c r="H670" s="18">
        <v>1</v>
      </c>
      <c r="I670" s="18">
        <f t="shared" si="32"/>
        <v>0</v>
      </c>
      <c r="J670" s="41">
        <v>43205</v>
      </c>
      <c r="K670" s="36">
        <v>2018</v>
      </c>
      <c r="L670" s="32">
        <f t="shared" si="30"/>
        <v>43209</v>
      </c>
      <c r="M670" s="40">
        <v>0</v>
      </c>
      <c r="N670" s="33">
        <v>189</v>
      </c>
      <c r="O670" s="34">
        <f>AVERAGEIF(L3:L1205,"&lt;2018/4/15",N3:N1205)</f>
        <v>117.48190476190476</v>
      </c>
      <c r="P670" s="38">
        <v>0</v>
      </c>
      <c r="Q670" s="38">
        <f>AVERAGEIF(L3:L1205,"&lt;2018/4/15",P3:P1205)</f>
        <v>0.32</v>
      </c>
      <c r="R670" s="38">
        <v>2</v>
      </c>
      <c r="S670" s="38">
        <f>AVERAGEIF(L3:L1205,"&lt;2018/4/15",R3:R1205)</f>
        <v>1.2780952380952382</v>
      </c>
      <c r="T670" s="38">
        <v>4</v>
      </c>
      <c r="U670" s="38">
        <f>AVERAGEIF(L3:L1205,"&lt;2018/4/15",T3:T1205)</f>
        <v>7.84</v>
      </c>
      <c r="V670" s="24">
        <v>535</v>
      </c>
      <c r="W670" s="47" t="s">
        <v>4550</v>
      </c>
    </row>
    <row r="671" spans="1:23">
      <c r="A671" s="23">
        <v>2</v>
      </c>
      <c r="B671" s="23">
        <v>13</v>
      </c>
      <c r="C671" s="18">
        <v>4</v>
      </c>
      <c r="D671" s="18">
        <v>4</v>
      </c>
      <c r="E671" s="20">
        <v>151</v>
      </c>
      <c r="F671" s="21">
        <f t="shared" si="31"/>
        <v>105.45131086142322</v>
      </c>
      <c r="G671" s="22">
        <v>0.30991735674047799</v>
      </c>
      <c r="H671" s="18">
        <v>1</v>
      </c>
      <c r="I671" s="18">
        <f t="shared" si="32"/>
        <v>0</v>
      </c>
      <c r="J671" s="41">
        <v>43205</v>
      </c>
      <c r="K671" s="36">
        <v>2018</v>
      </c>
      <c r="L671" s="32">
        <f t="shared" si="30"/>
        <v>43209</v>
      </c>
      <c r="M671" s="40">
        <v>0</v>
      </c>
      <c r="N671" s="33">
        <v>148</v>
      </c>
      <c r="O671" s="34">
        <f>AVERAGEIF(L3:L1205,"&lt;2018/4/15",N3:N1205)</f>
        <v>117.48190476190476</v>
      </c>
      <c r="P671" s="38">
        <v>0</v>
      </c>
      <c r="Q671" s="38">
        <f>AVERAGEIF(L3:L1205,"&lt;2018/4/15",P3:P1205)</f>
        <v>0.32</v>
      </c>
      <c r="R671" s="38">
        <v>1</v>
      </c>
      <c r="S671" s="38">
        <f>AVERAGEIF(L3:L1205,"&lt;2018/4/15",R3:R1205)</f>
        <v>1.2780952380952382</v>
      </c>
      <c r="T671" s="38">
        <v>4</v>
      </c>
      <c r="U671" s="38">
        <f>AVERAGEIF(L3:L1205,"&lt;2018/4/15",T3:T1205)</f>
        <v>7.84</v>
      </c>
      <c r="V671" s="24">
        <v>534</v>
      </c>
      <c r="W671" s="47" t="s">
        <v>4521</v>
      </c>
    </row>
    <row r="672" spans="1:23">
      <c r="A672" s="23">
        <v>2</v>
      </c>
      <c r="B672" s="23">
        <v>13</v>
      </c>
      <c r="C672" s="18">
        <v>4</v>
      </c>
      <c r="D672" s="18">
        <v>4</v>
      </c>
      <c r="E672" s="20">
        <v>40</v>
      </c>
      <c r="F672" s="21">
        <f t="shared" si="31"/>
        <v>105.57410881801125</v>
      </c>
      <c r="G672" s="22">
        <v>0.44802380272940101</v>
      </c>
      <c r="H672" s="18">
        <v>1</v>
      </c>
      <c r="I672" s="18">
        <f t="shared" si="32"/>
        <v>0</v>
      </c>
      <c r="J672" s="41">
        <v>43204</v>
      </c>
      <c r="K672" s="36">
        <v>2018</v>
      </c>
      <c r="L672" s="32">
        <f t="shared" si="30"/>
        <v>43209</v>
      </c>
      <c r="M672" s="40">
        <v>0</v>
      </c>
      <c r="N672" s="33">
        <v>148</v>
      </c>
      <c r="O672" s="34">
        <f>AVERAGEIF(L3:L1205,"&lt;2018/4/14",N3:N1205)</f>
        <v>117.48190476190476</v>
      </c>
      <c r="P672" s="54">
        <v>0</v>
      </c>
      <c r="Q672" s="38">
        <f>AVERAGEIF(L3:L1205,"&lt;2018/4/14",P3:P1205)</f>
        <v>0.32</v>
      </c>
      <c r="R672" s="38">
        <v>2</v>
      </c>
      <c r="S672" s="38">
        <f>AVERAGEIF(L3:L1205,"&lt;2018/4/14",R3:R1205)</f>
        <v>1.2780952380952382</v>
      </c>
      <c r="T672" s="54">
        <v>5</v>
      </c>
      <c r="U672" s="38">
        <f>AVERAGEIF(L3:L1205,"&lt;2018/4/14",T3:T1205)</f>
        <v>7.84</v>
      </c>
      <c r="V672" s="24">
        <v>533</v>
      </c>
      <c r="W672" s="47" t="s">
        <v>4523</v>
      </c>
    </row>
    <row r="673" spans="1:23">
      <c r="A673" s="17">
        <v>1</v>
      </c>
      <c r="B673" s="17">
        <v>3</v>
      </c>
      <c r="C673" s="18">
        <v>5</v>
      </c>
      <c r="D673" s="18">
        <v>4</v>
      </c>
      <c r="E673" s="20">
        <v>79</v>
      </c>
      <c r="F673" s="21">
        <f t="shared" si="31"/>
        <v>105.62406015037594</v>
      </c>
      <c r="G673" s="22">
        <v>0.86550876175450897</v>
      </c>
      <c r="H673" s="18">
        <v>1</v>
      </c>
      <c r="I673" s="18">
        <f t="shared" si="32"/>
        <v>0</v>
      </c>
      <c r="J673" s="41">
        <v>43202</v>
      </c>
      <c r="K673" s="36">
        <v>2018</v>
      </c>
      <c r="L673" s="32">
        <f t="shared" si="30"/>
        <v>43206</v>
      </c>
      <c r="M673" s="24">
        <v>1</v>
      </c>
      <c r="N673" s="33">
        <v>95</v>
      </c>
      <c r="O673" s="34">
        <f>AVERAGEIF(L3:L1205,"&lt;2018/4/12",N3:N1205)</f>
        <v>117.43785850860421</v>
      </c>
      <c r="P673" s="55">
        <v>1</v>
      </c>
      <c r="Q673" s="24">
        <f>AVERAGEIF(L3:L1205,"&lt;2018/4/12",P3:P1205)</f>
        <v>0.32122370936902483</v>
      </c>
      <c r="R673" s="24">
        <v>1</v>
      </c>
      <c r="S673" s="24">
        <f>AVERAGEIF(L3:L1205,"&lt;2018/4/12",R3:R1205)</f>
        <v>1.2772466539196941</v>
      </c>
      <c r="T673" s="55">
        <v>4</v>
      </c>
      <c r="U673" s="24">
        <f>AVERAGEIF(L3:L1205,"&lt;2018/4/12",T3:T1205)</f>
        <v>7.8642447418738053</v>
      </c>
      <c r="V673" s="24">
        <v>532</v>
      </c>
      <c r="W673" s="47" t="s">
        <v>4564</v>
      </c>
    </row>
    <row r="674" spans="1:23">
      <c r="A674" s="23">
        <v>2</v>
      </c>
      <c r="B674" s="23">
        <v>4</v>
      </c>
      <c r="C674" s="18">
        <v>4</v>
      </c>
      <c r="D674" s="18">
        <v>6</v>
      </c>
      <c r="E674" s="20">
        <v>175</v>
      </c>
      <c r="F674" s="21">
        <f t="shared" si="31"/>
        <v>105.49340866290019</v>
      </c>
      <c r="G674" s="22">
        <v>0.78832869801814398</v>
      </c>
      <c r="H674" s="18">
        <v>1</v>
      </c>
      <c r="I674" s="18">
        <f t="shared" si="32"/>
        <v>0</v>
      </c>
      <c r="J674" s="61">
        <v>43202</v>
      </c>
      <c r="K674" s="36">
        <v>2018</v>
      </c>
      <c r="L674" s="32">
        <f t="shared" si="30"/>
        <v>43216</v>
      </c>
      <c r="M674" s="40">
        <v>1</v>
      </c>
      <c r="N674" s="33">
        <v>103</v>
      </c>
      <c r="O674" s="34">
        <f>AVERAGEIF(L3:L1205,"&lt;2018/4/12",N3:N1205)</f>
        <v>117.43785850860421</v>
      </c>
      <c r="P674" s="38">
        <v>1</v>
      </c>
      <c r="Q674" s="38">
        <f>AVERAGEIF(L3:L1205,"&lt;2018/4/12",P3:P1205)</f>
        <v>0.32122370936902483</v>
      </c>
      <c r="R674" s="38">
        <v>1</v>
      </c>
      <c r="S674" s="38">
        <f>AVERAGEIF(L3:L1205,"&lt;2018/4/12",R3:R1205)</f>
        <v>1.2772466539196941</v>
      </c>
      <c r="T674" s="38">
        <v>14</v>
      </c>
      <c r="U674" s="38">
        <f>AVERAGEIF(L3:L1205,"&lt;2018/4/12",T3:T1205)</f>
        <v>7.8642447418738053</v>
      </c>
      <c r="V674" s="24">
        <v>531</v>
      </c>
      <c r="W674" s="47" t="s">
        <v>4529</v>
      </c>
    </row>
    <row r="675" spans="1:23">
      <c r="A675" s="23">
        <v>4</v>
      </c>
      <c r="B675" s="23">
        <v>29</v>
      </c>
      <c r="C675" s="18">
        <v>4</v>
      </c>
      <c r="D675" s="18">
        <v>4</v>
      </c>
      <c r="E675" s="20">
        <v>52</v>
      </c>
      <c r="F675" s="21">
        <f t="shared" si="31"/>
        <v>105.59433962264151</v>
      </c>
      <c r="G675" s="22">
        <v>0.50984148316042299</v>
      </c>
      <c r="H675" s="18">
        <v>1</v>
      </c>
      <c r="I675" s="18">
        <f t="shared" si="32"/>
        <v>0</v>
      </c>
      <c r="J675" s="45">
        <v>43202</v>
      </c>
      <c r="K675" s="36">
        <v>2018</v>
      </c>
      <c r="L675" s="32">
        <f t="shared" si="30"/>
        <v>43203</v>
      </c>
      <c r="M675" s="42">
        <v>0</v>
      </c>
      <c r="N675" s="33">
        <v>101</v>
      </c>
      <c r="O675" s="34">
        <f>AVERAGEIF(L3:L1205,"&lt;2018/4/12",N3:N1205)</f>
        <v>117.43785850860421</v>
      </c>
      <c r="P675" s="38">
        <v>0</v>
      </c>
      <c r="Q675" s="38">
        <f>AVERAGEIF(L3:L1205,"&lt;2018/4/12",P3:P1205)</f>
        <v>0.32122370936902483</v>
      </c>
      <c r="R675" s="38">
        <v>1</v>
      </c>
      <c r="S675" s="38">
        <f>AVERAGEIF(L3:L1205,"&lt;2018/4/12",R3:R1205)</f>
        <v>1.2772466539196941</v>
      </c>
      <c r="T675" s="38">
        <v>1</v>
      </c>
      <c r="U675" s="38">
        <f>AVERAGEIF(L3:L1205,"&lt;2018/4/12",T3:T1205)</f>
        <v>7.8642447418738053</v>
      </c>
      <c r="V675" s="24">
        <v>530</v>
      </c>
      <c r="W675" s="47" t="s">
        <v>4553</v>
      </c>
    </row>
    <row r="676" spans="1:23">
      <c r="A676" s="23">
        <v>2</v>
      </c>
      <c r="B676" s="23">
        <v>4</v>
      </c>
      <c r="C676" s="18">
        <v>4</v>
      </c>
      <c r="D676" s="18">
        <v>6</v>
      </c>
      <c r="E676" s="20">
        <v>122</v>
      </c>
      <c r="F676" s="21">
        <f t="shared" si="31"/>
        <v>105.5633270321361</v>
      </c>
      <c r="G676" s="22">
        <v>0.75149006716609901</v>
      </c>
      <c r="H676" s="18">
        <v>1</v>
      </c>
      <c r="I676" s="18">
        <f t="shared" si="32"/>
        <v>0</v>
      </c>
      <c r="J676" s="41">
        <v>43201</v>
      </c>
      <c r="K676" s="36">
        <v>2018</v>
      </c>
      <c r="L676" s="32">
        <f t="shared" si="30"/>
        <v>43206</v>
      </c>
      <c r="M676" s="40">
        <v>1</v>
      </c>
      <c r="N676" s="33">
        <v>55</v>
      </c>
      <c r="O676" s="34">
        <f>AVERAGEIF(L3:L1205,"&lt;2018/4/11",N3:N1205)</f>
        <v>117.39347408829174</v>
      </c>
      <c r="P676" s="38">
        <v>1</v>
      </c>
      <c r="Q676" s="38">
        <f>AVERAGEIF(L3:L1205,"&lt;2018/4/11",P3:P1205)</f>
        <v>0.32245681381957775</v>
      </c>
      <c r="R676" s="38">
        <v>1</v>
      </c>
      <c r="S676" s="38">
        <f>AVERAGEIF(L3:L1205,"&lt;2018/4/11",R3:R1205)</f>
        <v>1.2783109404990403</v>
      </c>
      <c r="T676" s="38">
        <v>5</v>
      </c>
      <c r="U676" s="38">
        <f>AVERAGEIF(L3:L1205,"&lt;2018/4/11",T3:T1205)</f>
        <v>7.884836852207294</v>
      </c>
      <c r="V676" s="24">
        <v>529</v>
      </c>
      <c r="W676" s="47" t="s">
        <v>4624</v>
      </c>
    </row>
    <row r="677" spans="1:23">
      <c r="A677" s="23">
        <v>4</v>
      </c>
      <c r="B677" s="23">
        <v>33</v>
      </c>
      <c r="C677" s="18">
        <v>4</v>
      </c>
      <c r="D677" s="18">
        <v>4</v>
      </c>
      <c r="E677" s="20">
        <v>37</v>
      </c>
      <c r="F677" s="21">
        <f t="shared" si="31"/>
        <v>105.69318181818181</v>
      </c>
      <c r="G677" s="22">
        <v>0.46945231364516898</v>
      </c>
      <c r="H677" s="18">
        <v>1</v>
      </c>
      <c r="I677" s="18">
        <f t="shared" si="32"/>
        <v>0</v>
      </c>
      <c r="J677" s="45">
        <v>43201</v>
      </c>
      <c r="K677" s="36">
        <v>2018</v>
      </c>
      <c r="L677" s="32">
        <f t="shared" si="30"/>
        <v>43208</v>
      </c>
      <c r="M677" s="42">
        <v>0</v>
      </c>
      <c r="N677" s="33">
        <v>40</v>
      </c>
      <c r="O677" s="34">
        <f>AVERAGEIF(L3:L1205,"&lt;2018/4/11",N3:N1205)</f>
        <v>117.39347408829174</v>
      </c>
      <c r="P677" s="38">
        <v>2</v>
      </c>
      <c r="Q677" s="38">
        <f>AVERAGEIF(L3:L1205,"&lt;2018/4/11",P3:P1205)</f>
        <v>0.32245681381957775</v>
      </c>
      <c r="R677" s="38">
        <v>1</v>
      </c>
      <c r="S677" s="38">
        <f>AVERAGEIF(L3:L1205,"&lt;2018/4/11",R3:R1205)</f>
        <v>1.2783109404990403</v>
      </c>
      <c r="T677" s="38">
        <v>7</v>
      </c>
      <c r="U677" s="38">
        <f>AVERAGEIF(L3:L1205,"&lt;2018/4/11",T3:T1205)</f>
        <v>7.884836852207294</v>
      </c>
      <c r="V677" s="24">
        <v>528</v>
      </c>
      <c r="W677" s="47" t="s">
        <v>4550</v>
      </c>
    </row>
    <row r="678" spans="1:23">
      <c r="A678" s="23">
        <v>4</v>
      </c>
      <c r="B678" s="23">
        <v>36</v>
      </c>
      <c r="C678" s="18">
        <v>4</v>
      </c>
      <c r="D678" s="18">
        <v>4</v>
      </c>
      <c r="E678" s="20">
        <v>45</v>
      </c>
      <c r="F678" s="21">
        <f t="shared" si="31"/>
        <v>105.80834914611006</v>
      </c>
      <c r="G678" s="22">
        <v>0.342017754424283</v>
      </c>
      <c r="H678" s="18">
        <v>1</v>
      </c>
      <c r="I678" s="18">
        <f t="shared" si="32"/>
        <v>0</v>
      </c>
      <c r="J678" s="45">
        <v>43201</v>
      </c>
      <c r="K678" s="36">
        <v>2018</v>
      </c>
      <c r="L678" s="32">
        <f t="shared" si="30"/>
        <v>43206</v>
      </c>
      <c r="M678" s="42">
        <v>0</v>
      </c>
      <c r="N678" s="33">
        <v>165</v>
      </c>
      <c r="O678" s="34">
        <f>AVERAGEIF(L3:L1205,"&lt;2018/4/11",N3:N1205)</f>
        <v>117.39347408829174</v>
      </c>
      <c r="P678" s="54">
        <v>0</v>
      </c>
      <c r="Q678" s="38">
        <f>AVERAGEIF(L3:L1205,"&lt;2018/4/11",P3:P1205)</f>
        <v>0.32245681381957775</v>
      </c>
      <c r="R678" s="38">
        <v>1</v>
      </c>
      <c r="S678" s="38">
        <f>AVERAGEIF(L3:L1205,"&lt;2018/4/11",R3:R1205)</f>
        <v>1.2783109404990403</v>
      </c>
      <c r="T678" s="54">
        <v>5</v>
      </c>
      <c r="U678" s="38">
        <f>AVERAGEIF(L3:L1205,"&lt;2018/4/11",T3:T1205)</f>
        <v>7.884836852207294</v>
      </c>
      <c r="V678" s="24">
        <v>527</v>
      </c>
      <c r="W678" s="47" t="s">
        <v>4878</v>
      </c>
    </row>
    <row r="679" spans="1:23">
      <c r="A679" s="23">
        <v>2</v>
      </c>
      <c r="B679" s="23">
        <v>13</v>
      </c>
      <c r="C679" s="18">
        <v>4</v>
      </c>
      <c r="D679" s="18">
        <v>4</v>
      </c>
      <c r="E679" s="20">
        <v>39</v>
      </c>
      <c r="F679" s="21">
        <f t="shared" si="31"/>
        <v>105.93536121673004</v>
      </c>
      <c r="G679" s="22">
        <v>0.39273128288881498</v>
      </c>
      <c r="H679" s="18">
        <v>1</v>
      </c>
      <c r="I679" s="18">
        <f t="shared" si="32"/>
        <v>0</v>
      </c>
      <c r="J679" s="41">
        <v>43200</v>
      </c>
      <c r="K679" s="36">
        <v>2018</v>
      </c>
      <c r="L679" s="32">
        <f t="shared" si="30"/>
        <v>43202</v>
      </c>
      <c r="M679" s="40">
        <v>0</v>
      </c>
      <c r="N679" s="33">
        <v>157</v>
      </c>
      <c r="O679" s="34">
        <f>AVERAGEIF(L3:L1205,"&lt;2018/4/10",N3:N1205)</f>
        <v>117.41233140655106</v>
      </c>
      <c r="P679" s="38">
        <v>0</v>
      </c>
      <c r="Q679" s="38">
        <f>AVERAGEIF(L3:L1205,"&lt;2018/4/10",P3:P1205)</f>
        <v>0.32369942196531792</v>
      </c>
      <c r="R679" s="38">
        <v>2</v>
      </c>
      <c r="S679" s="38">
        <f>AVERAGEIF(L3:L1205,"&lt;2018/4/10",R3:R1205)</f>
        <v>1.277456647398844</v>
      </c>
      <c r="T679" s="38">
        <v>2</v>
      </c>
      <c r="U679" s="38">
        <f>AVERAGEIF(L3:L1205,"&lt;2018/4/10",T3:T1205)</f>
        <v>7.9036608863198454</v>
      </c>
      <c r="V679" s="24">
        <v>526</v>
      </c>
      <c r="W679" s="47" t="s">
        <v>4878</v>
      </c>
    </row>
    <row r="680" spans="1:23">
      <c r="A680" s="23">
        <v>4</v>
      </c>
      <c r="B680" s="23">
        <v>35</v>
      </c>
      <c r="C680" s="18">
        <v>4</v>
      </c>
      <c r="D680" s="18">
        <v>6</v>
      </c>
      <c r="E680" s="20">
        <v>92</v>
      </c>
      <c r="F680" s="21">
        <f t="shared" si="31"/>
        <v>105.96190476190476</v>
      </c>
      <c r="G680" s="22">
        <v>0.23284551853854399</v>
      </c>
      <c r="H680" s="18">
        <v>1</v>
      </c>
      <c r="I680" s="18">
        <f t="shared" si="32"/>
        <v>0</v>
      </c>
      <c r="J680" s="45">
        <v>43199</v>
      </c>
      <c r="K680" s="36">
        <v>2018</v>
      </c>
      <c r="L680" s="32">
        <f t="shared" si="30"/>
        <v>43201</v>
      </c>
      <c r="M680" s="42">
        <v>0</v>
      </c>
      <c r="N680" s="33">
        <v>176</v>
      </c>
      <c r="O680" s="34">
        <f>AVERAGEIF(L3:L1205,"&lt;2018/4/9",N3:N1205)</f>
        <v>117.31528046421663</v>
      </c>
      <c r="P680" s="38">
        <v>0</v>
      </c>
      <c r="Q680" s="38">
        <f>AVERAGEIF(L3:L1205,"&lt;2018/4/9",P3:P1205)</f>
        <v>0.32495164410058025</v>
      </c>
      <c r="R680" s="38">
        <v>1</v>
      </c>
      <c r="S680" s="38">
        <f>AVERAGEIF(L3:L1205,"&lt;2018/4/9",R3:R1205)</f>
        <v>1.2785299806576402</v>
      </c>
      <c r="T680" s="38">
        <v>2</v>
      </c>
      <c r="U680" s="38">
        <f>AVERAGEIF(L3:L1205,"&lt;2018/4/9",T3:T1205)</f>
        <v>7.9226305609284333</v>
      </c>
      <c r="V680" s="24">
        <v>525</v>
      </c>
      <c r="W680" s="47" t="s">
        <v>4980</v>
      </c>
    </row>
    <row r="681" spans="1:23">
      <c r="A681" s="23">
        <v>2</v>
      </c>
      <c r="B681" s="23">
        <v>11</v>
      </c>
      <c r="C681" s="18">
        <v>4</v>
      </c>
      <c r="D681" s="18">
        <v>4</v>
      </c>
      <c r="E681" s="20">
        <v>110</v>
      </c>
      <c r="F681" s="21">
        <f t="shared" si="31"/>
        <v>105.95419847328245</v>
      </c>
      <c r="G681" s="22">
        <v>0.34345111899647501</v>
      </c>
      <c r="H681" s="18">
        <v>1</v>
      </c>
      <c r="I681" s="18">
        <f t="shared" si="32"/>
        <v>0</v>
      </c>
      <c r="J681" s="41">
        <v>43198</v>
      </c>
      <c r="K681" s="36">
        <v>2018</v>
      </c>
      <c r="L681" s="32">
        <f t="shared" si="30"/>
        <v>43200</v>
      </c>
      <c r="M681" s="40">
        <v>0</v>
      </c>
      <c r="N681" s="33">
        <v>73</v>
      </c>
      <c r="O681" s="34">
        <f>AVERAGEIF(L3:L1205,"&lt;2018/4/8",N3:N1205)</f>
        <v>117.22718446601942</v>
      </c>
      <c r="P681" s="40">
        <v>0</v>
      </c>
      <c r="Q681" s="40">
        <f>AVERAGEIF(L3:L1205,"&lt;2018/4/8",P3:P1205)</f>
        <v>0.32427184466019415</v>
      </c>
      <c r="R681" s="40">
        <v>1</v>
      </c>
      <c r="S681" s="40">
        <f>AVERAGEIF(L3:L1205,"&lt;2018/4/8",R3:R1205)</f>
        <v>1.2776699029126213</v>
      </c>
      <c r="T681" s="40">
        <v>2</v>
      </c>
      <c r="U681" s="40">
        <f>AVERAGEIF(L3:L1205,"&lt;2018/4/8",T3:T1205)</f>
        <v>7.9281553398058255</v>
      </c>
      <c r="V681" s="24">
        <v>524</v>
      </c>
      <c r="W681" s="47" t="s">
        <v>4550</v>
      </c>
    </row>
    <row r="682" spans="1:23">
      <c r="A682" s="23">
        <v>3</v>
      </c>
      <c r="B682" s="23">
        <v>19</v>
      </c>
      <c r="C682" s="18">
        <v>4</v>
      </c>
      <c r="D682" s="18">
        <v>6</v>
      </c>
      <c r="E682" s="20">
        <v>103</v>
      </c>
      <c r="F682" s="21">
        <f t="shared" si="31"/>
        <v>105.95984703632887</v>
      </c>
      <c r="G682" s="22">
        <v>0.37505743296192501</v>
      </c>
      <c r="H682" s="3">
        <v>1</v>
      </c>
      <c r="I682" s="18">
        <f t="shared" si="32"/>
        <v>0</v>
      </c>
      <c r="J682" s="41">
        <v>43198</v>
      </c>
      <c r="K682" s="36">
        <v>2018</v>
      </c>
      <c r="L682" s="32">
        <f t="shared" si="30"/>
        <v>43201</v>
      </c>
      <c r="M682" s="62">
        <v>0</v>
      </c>
      <c r="N682" s="33">
        <v>82</v>
      </c>
      <c r="O682" s="34">
        <f>AVERAGEIF(L3:L1205,"&lt;2018/4/8",N3:N1205)</f>
        <v>117.22718446601942</v>
      </c>
      <c r="P682" s="54">
        <v>0</v>
      </c>
      <c r="Q682" s="38">
        <f>AVERAGEIF(L3:L1205,"&lt;2018/4/8",P3:P1205)</f>
        <v>0.32427184466019415</v>
      </c>
      <c r="R682" s="38">
        <v>1</v>
      </c>
      <c r="S682" s="38">
        <f>AVERAGEIF(L3:L1205,"&lt;2018/4/8",R3:R1205)</f>
        <v>1.2776699029126213</v>
      </c>
      <c r="T682" s="54">
        <v>3</v>
      </c>
      <c r="U682" s="38">
        <f>AVERAGEIF(L3:L1205,"&lt;2018/4/8",T3:T1205)</f>
        <v>7.9281553398058255</v>
      </c>
      <c r="V682" s="24">
        <v>523</v>
      </c>
      <c r="W682" s="47" t="s">
        <v>4618</v>
      </c>
    </row>
    <row r="683" spans="1:23">
      <c r="A683" s="23">
        <v>4</v>
      </c>
      <c r="B683" s="23">
        <v>35</v>
      </c>
      <c r="C683" s="18">
        <v>4</v>
      </c>
      <c r="D683" s="18">
        <v>6</v>
      </c>
      <c r="E683" s="20">
        <v>144</v>
      </c>
      <c r="F683" s="21">
        <f t="shared" si="31"/>
        <v>105.88697318007662</v>
      </c>
      <c r="G683" s="22">
        <v>0.30992491305027497</v>
      </c>
      <c r="H683" s="18">
        <v>1</v>
      </c>
      <c r="I683" s="18">
        <f t="shared" si="32"/>
        <v>0</v>
      </c>
      <c r="J683" s="45">
        <v>43198</v>
      </c>
      <c r="K683" s="36">
        <v>2018</v>
      </c>
      <c r="L683" s="32">
        <f t="shared" si="30"/>
        <v>43209</v>
      </c>
      <c r="M683" s="42">
        <v>0</v>
      </c>
      <c r="N683" s="33">
        <v>187</v>
      </c>
      <c r="O683" s="34">
        <f>AVERAGEIF(L3:L1205,"&lt;2018/4/8",N3:N1205)</f>
        <v>117.22718446601942</v>
      </c>
      <c r="P683" s="54">
        <v>1</v>
      </c>
      <c r="Q683" s="38">
        <f>AVERAGEIF(L3:L1205,"&lt;2018/4/8",P3:P1205)</f>
        <v>0.32427184466019415</v>
      </c>
      <c r="R683" s="38">
        <v>1</v>
      </c>
      <c r="S683" s="38">
        <f>AVERAGEIF(L3:L1205,"&lt;2018/4/8",R3:R1205)</f>
        <v>1.2776699029126213</v>
      </c>
      <c r="T683" s="54">
        <v>11</v>
      </c>
      <c r="U683" s="38">
        <f>AVERAGEIF(L3:L1205,"&lt;2018/4/8",T3:T1205)</f>
        <v>7.9281553398058255</v>
      </c>
      <c r="V683" s="24">
        <v>522</v>
      </c>
      <c r="W683" s="47" t="s">
        <v>4521</v>
      </c>
    </row>
    <row r="684" spans="1:23">
      <c r="A684" s="23">
        <v>3</v>
      </c>
      <c r="B684" s="23">
        <v>26</v>
      </c>
      <c r="C684" s="18">
        <v>4</v>
      </c>
      <c r="D684" s="18">
        <v>4</v>
      </c>
      <c r="E684" s="20">
        <v>54</v>
      </c>
      <c r="F684" s="21">
        <f t="shared" si="31"/>
        <v>105.98656429942419</v>
      </c>
      <c r="G684" s="22">
        <v>0.41689556594341798</v>
      </c>
      <c r="H684" s="3">
        <v>1</v>
      </c>
      <c r="I684" s="18">
        <f t="shared" si="32"/>
        <v>0</v>
      </c>
      <c r="J684" s="41">
        <v>43197</v>
      </c>
      <c r="K684" s="36">
        <v>2018</v>
      </c>
      <c r="L684" s="32">
        <f t="shared" si="30"/>
        <v>43199</v>
      </c>
      <c r="M684" s="40">
        <v>0</v>
      </c>
      <c r="N684" s="33">
        <v>128</v>
      </c>
      <c r="O684" s="34">
        <f>AVERAGEIF(L3:L1205,"&lt;2018/4/7",N3:N1205)</f>
        <v>117.22718446601942</v>
      </c>
      <c r="P684" s="54">
        <v>0</v>
      </c>
      <c r="Q684" s="38">
        <f>AVERAGEIF(L3:L1205,"&lt;2018/4/7",P3:P1205)</f>
        <v>0.32427184466019415</v>
      </c>
      <c r="R684" s="38">
        <v>1</v>
      </c>
      <c r="S684" s="38">
        <f>AVERAGEIF(L3:L1205,"&lt;2018/4/7",R3:R1205)</f>
        <v>1.2776699029126213</v>
      </c>
      <c r="T684" s="54">
        <v>2</v>
      </c>
      <c r="U684" s="38">
        <f>AVERAGEIF(L3:L1205,"&lt;2018/4/7",T3:T1205)</f>
        <v>7.9281553398058255</v>
      </c>
      <c r="V684" s="24">
        <v>521</v>
      </c>
      <c r="W684" s="47" t="s">
        <v>4550</v>
      </c>
    </row>
    <row r="685" spans="1:23">
      <c r="A685" s="23">
        <v>2</v>
      </c>
      <c r="B685" s="23">
        <v>14</v>
      </c>
      <c r="C685" s="18">
        <v>4</v>
      </c>
      <c r="D685" s="18">
        <v>4</v>
      </c>
      <c r="E685" s="20">
        <v>49</v>
      </c>
      <c r="F685" s="21">
        <f t="shared" si="31"/>
        <v>106.09615384615384</v>
      </c>
      <c r="G685" s="22">
        <v>0.41263120483549898</v>
      </c>
      <c r="H685" s="18">
        <v>1</v>
      </c>
      <c r="I685" s="18">
        <f t="shared" si="32"/>
        <v>0</v>
      </c>
      <c r="J685" s="41">
        <v>43196</v>
      </c>
      <c r="K685" s="36">
        <v>2018</v>
      </c>
      <c r="L685" s="32">
        <f t="shared" si="30"/>
        <v>43200</v>
      </c>
      <c r="M685" s="40">
        <v>0</v>
      </c>
      <c r="N685" s="33">
        <v>152</v>
      </c>
      <c r="O685" s="34">
        <f>AVERAGEIF(L3:L1205,"&lt;2018/4/6",N3:N1205)</f>
        <v>117.22718446601942</v>
      </c>
      <c r="P685" s="38">
        <v>0</v>
      </c>
      <c r="Q685" s="38">
        <f>AVERAGEIF(L3:L1205,"&lt;2018/4/6",P3:P1205)</f>
        <v>0.32427184466019415</v>
      </c>
      <c r="R685" s="38">
        <v>2</v>
      </c>
      <c r="S685" s="38">
        <f>AVERAGEIF(L3:L1205,"&lt;2018/4/6",R3:R1205)</f>
        <v>1.2776699029126213</v>
      </c>
      <c r="T685" s="38">
        <v>4</v>
      </c>
      <c r="U685" s="38">
        <f>AVERAGEIF(L3:L1205,"&lt;2018/4/6",T3:T1205)</f>
        <v>7.9281553398058255</v>
      </c>
      <c r="V685" s="24">
        <v>520</v>
      </c>
      <c r="W685" s="47" t="s">
        <v>4521</v>
      </c>
    </row>
    <row r="686" spans="1:23">
      <c r="A686" s="23">
        <v>4</v>
      </c>
      <c r="B686" s="23">
        <v>29</v>
      </c>
      <c r="C686" s="18">
        <v>4</v>
      </c>
      <c r="D686" s="18">
        <v>4</v>
      </c>
      <c r="E686" s="20">
        <v>70</v>
      </c>
      <c r="F686" s="21">
        <f t="shared" si="31"/>
        <v>106.16570327552986</v>
      </c>
      <c r="G686" s="22">
        <v>0.37529457469771099</v>
      </c>
      <c r="H686" s="18">
        <v>1</v>
      </c>
      <c r="I686" s="18">
        <f t="shared" si="32"/>
        <v>0</v>
      </c>
      <c r="J686" s="45">
        <v>43195</v>
      </c>
      <c r="K686" s="36">
        <v>2018</v>
      </c>
      <c r="L686" s="32">
        <f t="shared" si="30"/>
        <v>43199</v>
      </c>
      <c r="M686" s="42">
        <v>0</v>
      </c>
      <c r="N686" s="33">
        <v>157</v>
      </c>
      <c r="O686" s="34">
        <f>AVERAGEIF(L3:L1205,"&lt;2018/4/5",N3:N1205)</f>
        <v>117.22718446601942</v>
      </c>
      <c r="P686" s="38">
        <v>0</v>
      </c>
      <c r="Q686" s="38">
        <f>AVERAGEIF(L3:L1205,"&lt;2018/4/5",P3:P1205)</f>
        <v>0.32427184466019415</v>
      </c>
      <c r="R686" s="38">
        <v>1</v>
      </c>
      <c r="S686" s="38">
        <f>AVERAGEIF(L3:L1205,"&lt;2018/4/5",R3:R1205)</f>
        <v>1.2776699029126213</v>
      </c>
      <c r="T686" s="38">
        <v>4</v>
      </c>
      <c r="U686" s="38">
        <f>AVERAGEIF(L3:L1205,"&lt;2018/4/5",T3:T1205)</f>
        <v>7.9281553398058255</v>
      </c>
      <c r="V686" s="24">
        <v>519</v>
      </c>
      <c r="W686" s="47" t="s">
        <v>4621</v>
      </c>
    </row>
    <row r="687" spans="1:23">
      <c r="A687" s="23">
        <v>2</v>
      </c>
      <c r="B687" s="23">
        <v>4</v>
      </c>
      <c r="C687" s="18">
        <v>4</v>
      </c>
      <c r="D687" s="18">
        <v>4</v>
      </c>
      <c r="E687" s="20">
        <v>65</v>
      </c>
      <c r="F687" s="21">
        <f t="shared" si="31"/>
        <v>106.24517374517374</v>
      </c>
      <c r="G687" s="22">
        <v>0.38536794199737601</v>
      </c>
      <c r="H687" s="18">
        <v>1</v>
      </c>
      <c r="I687" s="18">
        <f t="shared" si="32"/>
        <v>0</v>
      </c>
      <c r="J687" s="41">
        <v>43193</v>
      </c>
      <c r="K687" s="36">
        <v>2018</v>
      </c>
      <c r="L687" s="32">
        <f t="shared" si="30"/>
        <v>43198</v>
      </c>
      <c r="M687" s="40">
        <v>0</v>
      </c>
      <c r="N687" s="33">
        <v>159</v>
      </c>
      <c r="O687" s="34">
        <f>AVERAGEIF(L3:L1205,"&lt;2018/4/3",N3:N1205)</f>
        <v>117.25691699604744</v>
      </c>
      <c r="P687" s="54">
        <v>0</v>
      </c>
      <c r="Q687" s="38">
        <f>AVERAGEIF(L3:L1205,"&lt;2018/4/3",P3:P1205)</f>
        <v>0.33003952569169959</v>
      </c>
      <c r="R687" s="38">
        <v>2</v>
      </c>
      <c r="S687" s="38">
        <f>AVERAGEIF(L3:L1205,"&lt;2018/4/3",R3:R1205)</f>
        <v>1.2826086956521738</v>
      </c>
      <c r="T687" s="54">
        <v>5</v>
      </c>
      <c r="U687" s="38">
        <f>AVERAGEIF(L3:L1205,"&lt;2018/4/3",T3:T1205)</f>
        <v>8.0197628458498027</v>
      </c>
      <c r="V687" s="24">
        <v>518</v>
      </c>
      <c r="W687" s="47" t="s">
        <v>4521</v>
      </c>
    </row>
    <row r="688" spans="1:23">
      <c r="A688" s="23">
        <v>2</v>
      </c>
      <c r="B688" s="23">
        <v>6</v>
      </c>
      <c r="C688" s="18">
        <v>4</v>
      </c>
      <c r="D688" s="18">
        <v>4</v>
      </c>
      <c r="E688" s="20">
        <v>78</v>
      </c>
      <c r="F688" s="21">
        <f t="shared" si="31"/>
        <v>106.29980657640232</v>
      </c>
      <c r="G688" s="22">
        <v>0.38446116160130001</v>
      </c>
      <c r="H688" s="18">
        <v>1</v>
      </c>
      <c r="I688" s="18">
        <f t="shared" si="32"/>
        <v>0</v>
      </c>
      <c r="J688" s="41">
        <v>43193</v>
      </c>
      <c r="K688" s="36">
        <v>2018</v>
      </c>
      <c r="L688" s="32">
        <f t="shared" si="30"/>
        <v>43194</v>
      </c>
      <c r="M688" s="40">
        <v>0</v>
      </c>
      <c r="N688" s="33">
        <v>151</v>
      </c>
      <c r="O688" s="34">
        <f>AVERAGEIF(L3:L1205,"&lt;2018/4/3",N3:N1205)</f>
        <v>117.25691699604744</v>
      </c>
      <c r="P688" s="38">
        <v>0</v>
      </c>
      <c r="Q688" s="38">
        <f>AVERAGEIF(L3:L1205,"&lt;2018/4/3",P3:P1205)</f>
        <v>0.33003952569169959</v>
      </c>
      <c r="R688" s="38">
        <v>1</v>
      </c>
      <c r="S688" s="38">
        <f>AVERAGEIF(L3:L1205,"&lt;2018/4/3",R3:R1205)</f>
        <v>1.2826086956521738</v>
      </c>
      <c r="T688" s="38">
        <v>1</v>
      </c>
      <c r="U688" s="38">
        <f>AVERAGEIF(L3:L1205,"&lt;2018/4/3",T3:T1205)</f>
        <v>8.0197628458498027</v>
      </c>
      <c r="V688" s="24">
        <v>517</v>
      </c>
      <c r="W688" s="47" t="s">
        <v>4553</v>
      </c>
    </row>
    <row r="689" spans="1:23">
      <c r="A689" s="23">
        <v>2</v>
      </c>
      <c r="B689" s="23">
        <v>6</v>
      </c>
      <c r="C689" s="18">
        <v>4</v>
      </c>
      <c r="D689" s="18">
        <v>6</v>
      </c>
      <c r="E689" s="20">
        <v>55</v>
      </c>
      <c r="F689" s="21">
        <f t="shared" si="31"/>
        <v>106.39922480620154</v>
      </c>
      <c r="G689" s="22">
        <v>0.41851205143319897</v>
      </c>
      <c r="H689" s="18">
        <v>1</v>
      </c>
      <c r="I689" s="18">
        <f t="shared" si="32"/>
        <v>0</v>
      </c>
      <c r="J689" s="41">
        <v>43193</v>
      </c>
      <c r="K689" s="36">
        <v>2018</v>
      </c>
      <c r="L689" s="32">
        <f t="shared" si="30"/>
        <v>43194</v>
      </c>
      <c r="M689" s="40">
        <v>0</v>
      </c>
      <c r="N689" s="33">
        <v>154</v>
      </c>
      <c r="O689" s="34">
        <f>AVERAGEIF(L3:L1205,"&lt;2018/4/3",N3:N1205)</f>
        <v>117.25691699604744</v>
      </c>
      <c r="P689" s="38">
        <v>0</v>
      </c>
      <c r="Q689" s="38">
        <f>AVERAGEIF(L3:L1205,"&lt;2018/4/3",P3:P1205)</f>
        <v>0.33003952569169959</v>
      </c>
      <c r="R689" s="38">
        <v>1</v>
      </c>
      <c r="S689" s="38">
        <f>AVERAGEIF(L3:L1205,"&lt;2018/4/3",R3:R1205)</f>
        <v>1.2826086956521738</v>
      </c>
      <c r="T689" s="38">
        <v>1</v>
      </c>
      <c r="U689" s="38">
        <f>AVERAGEIF(L3:L1205,"&lt;2018/4/3",T3:T1205)</f>
        <v>8.0197628458498027</v>
      </c>
      <c r="V689" s="24">
        <v>516</v>
      </c>
      <c r="W689" s="47" t="s">
        <v>4521</v>
      </c>
    </row>
    <row r="690" spans="1:23">
      <c r="A690" s="23">
        <v>2</v>
      </c>
      <c r="B690" s="23">
        <v>7</v>
      </c>
      <c r="C690" s="18">
        <v>4</v>
      </c>
      <c r="D690" s="18">
        <v>6</v>
      </c>
      <c r="E690" s="20">
        <v>78</v>
      </c>
      <c r="F690" s="21">
        <f t="shared" si="31"/>
        <v>106.45436893203883</v>
      </c>
      <c r="G690" s="22">
        <v>0.375002789142028</v>
      </c>
      <c r="H690" s="18">
        <v>1</v>
      </c>
      <c r="I690" s="18">
        <f t="shared" si="32"/>
        <v>0</v>
      </c>
      <c r="J690" s="41">
        <v>43193</v>
      </c>
      <c r="K690" s="36">
        <v>2018</v>
      </c>
      <c r="L690" s="32">
        <f t="shared" si="30"/>
        <v>43194</v>
      </c>
      <c r="M690" s="40">
        <v>0</v>
      </c>
      <c r="N690" s="33">
        <v>151</v>
      </c>
      <c r="O690" s="34">
        <f>AVERAGEIF(L3:L1205,"&lt;2018/4/3",N3:N1205)</f>
        <v>117.25691699604744</v>
      </c>
      <c r="P690" s="40">
        <v>0</v>
      </c>
      <c r="Q690" s="40">
        <f>AVERAGEIF(L3:L1205,"&lt;2018/4/3",P3:P1205)</f>
        <v>0.33003952569169959</v>
      </c>
      <c r="R690" s="40">
        <v>1</v>
      </c>
      <c r="S690" s="40">
        <f>AVERAGEIF(L3:L1205,"&lt;2018/4/3",R3:R1205)</f>
        <v>1.2826086956521738</v>
      </c>
      <c r="T690" s="40">
        <v>1</v>
      </c>
      <c r="U690" s="40">
        <f>AVERAGEIF(L3:L1205,"&lt;2018/4/3",T3:T1205)</f>
        <v>8.0197628458498027</v>
      </c>
      <c r="V690" s="24">
        <v>515</v>
      </c>
      <c r="W690" s="47" t="s">
        <v>4553</v>
      </c>
    </row>
    <row r="691" spans="1:23">
      <c r="A691" s="23">
        <v>2</v>
      </c>
      <c r="B691" s="23">
        <v>7</v>
      </c>
      <c r="C691" s="18">
        <v>4</v>
      </c>
      <c r="D691" s="18">
        <v>6</v>
      </c>
      <c r="E691" s="20">
        <v>55</v>
      </c>
      <c r="F691" s="21">
        <f t="shared" si="31"/>
        <v>106.55447470817121</v>
      </c>
      <c r="G691" s="22">
        <v>0.41250001897473398</v>
      </c>
      <c r="H691" s="18">
        <v>1</v>
      </c>
      <c r="I691" s="18">
        <f t="shared" si="32"/>
        <v>0</v>
      </c>
      <c r="J691" s="41">
        <v>43193</v>
      </c>
      <c r="K691" s="36">
        <v>2018</v>
      </c>
      <c r="L691" s="32">
        <f t="shared" si="30"/>
        <v>43194</v>
      </c>
      <c r="M691" s="40">
        <v>0</v>
      </c>
      <c r="N691" s="33">
        <v>154</v>
      </c>
      <c r="O691" s="34">
        <f>AVERAGEIF(L3:L1205,"&lt;2018/4/3",N3:N1205)</f>
        <v>117.25691699604744</v>
      </c>
      <c r="P691" s="40">
        <v>0</v>
      </c>
      <c r="Q691" s="40">
        <f>AVERAGEIF(L3:L1205,"&lt;2018/4/3",P3:P1205)</f>
        <v>0.33003952569169959</v>
      </c>
      <c r="R691" s="40">
        <v>1</v>
      </c>
      <c r="S691" s="40">
        <f>AVERAGEIF(L3:L1205,"&lt;2018/4/3",R3:R1205)</f>
        <v>1.2826086956521738</v>
      </c>
      <c r="T691" s="40">
        <v>1</v>
      </c>
      <c r="U691" s="40">
        <f>AVERAGEIF(L3:L1205,"&lt;2018/4/3",T3:T1205)</f>
        <v>8.0197628458498027</v>
      </c>
      <c r="V691" s="24">
        <v>514</v>
      </c>
      <c r="W691" s="47" t="s">
        <v>4521</v>
      </c>
    </row>
    <row r="692" spans="1:23">
      <c r="A692" s="23">
        <v>3</v>
      </c>
      <c r="B692" s="23">
        <v>25</v>
      </c>
      <c r="C692" s="18">
        <v>4</v>
      </c>
      <c r="D692" s="18">
        <v>6</v>
      </c>
      <c r="E692" s="20">
        <v>301</v>
      </c>
      <c r="F692" s="21">
        <f t="shared" si="31"/>
        <v>106.17543859649123</v>
      </c>
      <c r="G692" s="22">
        <v>0.41249999999999998</v>
      </c>
      <c r="H692" s="3">
        <v>0</v>
      </c>
      <c r="I692" s="18">
        <f t="shared" si="32"/>
        <v>1</v>
      </c>
      <c r="J692" s="41">
        <v>43193</v>
      </c>
      <c r="K692" s="36">
        <v>2018</v>
      </c>
      <c r="L692" s="32">
        <f t="shared" si="30"/>
        <v>43194</v>
      </c>
      <c r="M692" s="40">
        <v>0</v>
      </c>
      <c r="N692" s="33">
        <v>167</v>
      </c>
      <c r="O692" s="34">
        <f>AVERAGEIF(L3:L1205,"&lt;2018/4/3",N3:N1205)</f>
        <v>117.25691699604744</v>
      </c>
      <c r="P692" s="38">
        <v>0</v>
      </c>
      <c r="Q692" s="38">
        <f>AVERAGEIF(L3:L1205,"&lt;2018/4/3",P3:P1205)</f>
        <v>0.33003952569169959</v>
      </c>
      <c r="R692" s="38">
        <v>1</v>
      </c>
      <c r="S692" s="38">
        <f>AVERAGEIF(L3:L1205,"&lt;2018/4/3",R3:R1205)</f>
        <v>1.2826086956521738</v>
      </c>
      <c r="T692" s="38">
        <v>1</v>
      </c>
      <c r="U692" s="38">
        <f>AVERAGEIF(L3:L1205,"&lt;2018/4/3",T3:T1205)</f>
        <v>8.0197628458498027</v>
      </c>
      <c r="V692" s="24">
        <v>513</v>
      </c>
      <c r="W692" s="47" t="s">
        <v>4893</v>
      </c>
    </row>
    <row r="693" spans="1:23">
      <c r="A693" s="23">
        <v>4</v>
      </c>
      <c r="B693" s="23">
        <v>35</v>
      </c>
      <c r="C693" s="18">
        <v>4</v>
      </c>
      <c r="D693" s="18">
        <v>4</v>
      </c>
      <c r="E693" s="20">
        <v>81</v>
      </c>
      <c r="F693" s="21">
        <f t="shared" si="31"/>
        <v>106.224609375</v>
      </c>
      <c r="G693" s="22">
        <v>0.40915338355520398</v>
      </c>
      <c r="H693" s="18">
        <v>1</v>
      </c>
      <c r="I693" s="18">
        <f t="shared" si="32"/>
        <v>0</v>
      </c>
      <c r="J693" s="45">
        <v>43192</v>
      </c>
      <c r="K693" s="36">
        <v>2018</v>
      </c>
      <c r="L693" s="32">
        <f t="shared" si="30"/>
        <v>43218</v>
      </c>
      <c r="M693" s="24">
        <v>0</v>
      </c>
      <c r="N693" s="33">
        <v>44</v>
      </c>
      <c r="O693" s="34">
        <f>AVERAGEIF(L3:L1205,"&lt;2018/4/2",N3:N1205)</f>
        <v>117.37425742574257</v>
      </c>
      <c r="P693" s="38">
        <v>0</v>
      </c>
      <c r="Q693" s="38">
        <f>AVERAGEIF(L3:L1205,"&lt;2018/4/2",P3:P1205)</f>
        <v>0.33069306930693071</v>
      </c>
      <c r="R693" s="38">
        <v>1</v>
      </c>
      <c r="S693" s="38">
        <f>AVERAGEIF(L3:L1205,"&lt;2018/4/2",R3:R1205)</f>
        <v>1.2831683168316832</v>
      </c>
      <c r="T693" s="38">
        <v>26</v>
      </c>
      <c r="U693" s="38">
        <f>AVERAGEIF(L3:L1205,"&lt;2018/4/2",T3:T1205)</f>
        <v>8.013861386138613</v>
      </c>
      <c r="V693" s="24">
        <v>512</v>
      </c>
      <c r="W693" s="47" t="s">
        <v>4659</v>
      </c>
    </row>
    <row r="694" spans="1:23">
      <c r="A694" s="17">
        <v>1</v>
      </c>
      <c r="B694" s="17">
        <v>2</v>
      </c>
      <c r="C694" s="18">
        <v>4</v>
      </c>
      <c r="D694" s="18">
        <v>6</v>
      </c>
      <c r="E694" s="20">
        <v>160</v>
      </c>
      <c r="F694" s="21">
        <f t="shared" si="31"/>
        <v>106.11937377690802</v>
      </c>
      <c r="G694" s="22">
        <v>0.72608510779369795</v>
      </c>
      <c r="H694" s="18">
        <v>1</v>
      </c>
      <c r="I694" s="18">
        <f t="shared" si="32"/>
        <v>0</v>
      </c>
      <c r="J694" s="41">
        <v>43191</v>
      </c>
      <c r="K694" s="36">
        <v>2018</v>
      </c>
      <c r="L694" s="32">
        <f t="shared" si="30"/>
        <v>43194</v>
      </c>
      <c r="M694" s="24">
        <v>0</v>
      </c>
      <c r="N694" s="33">
        <v>131</v>
      </c>
      <c r="O694" s="34">
        <f>AVERAGEIF(L3:L1205,"&lt;2018/4/1",N3:N1205)</f>
        <v>117.37425742574257</v>
      </c>
      <c r="P694" s="55">
        <v>0</v>
      </c>
      <c r="Q694" s="24">
        <f>AVERAGEIF(L3:L1205,"&lt;2018/4/1",P3:P1205)</f>
        <v>0.33069306930693071</v>
      </c>
      <c r="R694" s="24">
        <v>1</v>
      </c>
      <c r="S694" s="24">
        <f>AVERAGEIF(L3:L1205,"&lt;2018/4/1",R3:R1205)</f>
        <v>1.2831683168316832</v>
      </c>
      <c r="T694" s="55">
        <v>3</v>
      </c>
      <c r="U694" s="24">
        <f>AVERAGEIF(L3:L1205,"&lt;2018/4/1",T3:T1205)</f>
        <v>8.013861386138613</v>
      </c>
      <c r="V694" s="24">
        <v>511</v>
      </c>
      <c r="W694" s="47" t="s">
        <v>4949</v>
      </c>
    </row>
    <row r="695" spans="1:23">
      <c r="A695" s="23">
        <v>3</v>
      </c>
      <c r="B695" s="23">
        <v>26</v>
      </c>
      <c r="C695" s="18">
        <v>4</v>
      </c>
      <c r="D695" s="18">
        <v>4</v>
      </c>
      <c r="E695" s="20">
        <v>46</v>
      </c>
      <c r="F695" s="21">
        <f t="shared" si="31"/>
        <v>106.23725490196078</v>
      </c>
      <c r="G695" s="22">
        <v>0.43192299954844798</v>
      </c>
      <c r="H695" s="3">
        <v>1</v>
      </c>
      <c r="I695" s="18">
        <f t="shared" si="32"/>
        <v>0</v>
      </c>
      <c r="J695" s="41">
        <v>43191</v>
      </c>
      <c r="K695" s="36">
        <v>2018</v>
      </c>
      <c r="L695" s="32">
        <f t="shared" si="30"/>
        <v>43193</v>
      </c>
      <c r="M695" s="40">
        <v>0</v>
      </c>
      <c r="N695" s="33">
        <v>53</v>
      </c>
      <c r="O695" s="34">
        <f>AVERAGEIF(L3:L1205,"&lt;2018/4/1",N3:N1205)</f>
        <v>117.37425742574257</v>
      </c>
      <c r="P695" s="38">
        <v>0</v>
      </c>
      <c r="Q695" s="38">
        <f>AVERAGEIF(L3:L1205,"&lt;2018/4/1",P3:P1205)</f>
        <v>0.33069306930693071</v>
      </c>
      <c r="R695" s="38">
        <v>1</v>
      </c>
      <c r="S695" s="38">
        <f>AVERAGEIF(L3:L1205,"&lt;2018/4/1",R3:R1205)</f>
        <v>1.2831683168316832</v>
      </c>
      <c r="T695" s="38">
        <v>2</v>
      </c>
      <c r="U695" s="38">
        <f>AVERAGEIF(L3:L1205,"&lt;2018/4/1",T3:T1205)</f>
        <v>8.013861386138613</v>
      </c>
      <c r="V695" s="24">
        <v>510</v>
      </c>
      <c r="W695" s="47" t="s">
        <v>4553</v>
      </c>
    </row>
    <row r="696" spans="1:23">
      <c r="A696" s="23">
        <v>3</v>
      </c>
      <c r="B696" s="23">
        <v>26</v>
      </c>
      <c r="C696" s="18">
        <v>4</v>
      </c>
      <c r="D696" s="18">
        <v>4</v>
      </c>
      <c r="E696" s="20">
        <v>41</v>
      </c>
      <c r="F696" s="21">
        <f t="shared" si="31"/>
        <v>106.36542239685659</v>
      </c>
      <c r="G696" s="22">
        <v>0.19243457165603001</v>
      </c>
      <c r="H696" s="3">
        <v>1</v>
      </c>
      <c r="I696" s="18">
        <f t="shared" si="32"/>
        <v>0</v>
      </c>
      <c r="J696" s="41">
        <v>43191</v>
      </c>
      <c r="K696" s="36">
        <v>2018</v>
      </c>
      <c r="L696" s="32">
        <f t="shared" si="30"/>
        <v>43193</v>
      </c>
      <c r="M696" s="40">
        <v>0</v>
      </c>
      <c r="N696" s="33">
        <v>53</v>
      </c>
      <c r="O696" s="34">
        <f>AVERAGEIF(L3:L1205,"&lt;2018/4/1",N3:N1205)</f>
        <v>117.37425742574257</v>
      </c>
      <c r="P696" s="38">
        <v>0</v>
      </c>
      <c r="Q696" s="38">
        <f>AVERAGEIF(L3:L1205,"&lt;2018/4/1",P3:P1205)</f>
        <v>0.33069306930693071</v>
      </c>
      <c r="R696" s="38">
        <v>1</v>
      </c>
      <c r="S696" s="38">
        <f>AVERAGEIF(L3:L1205,"&lt;2018/4/1",R3:R1205)</f>
        <v>1.2831683168316832</v>
      </c>
      <c r="T696" s="38">
        <v>2</v>
      </c>
      <c r="U696" s="38">
        <f>AVERAGEIF(L3:L1205,"&lt;2018/4/1",T3:T1205)</f>
        <v>8.013861386138613</v>
      </c>
      <c r="V696" s="24">
        <v>509</v>
      </c>
      <c r="W696" s="47" t="s">
        <v>4523</v>
      </c>
    </row>
    <row r="697" spans="1:23">
      <c r="A697" s="23">
        <v>2</v>
      </c>
      <c r="B697" s="23">
        <v>6</v>
      </c>
      <c r="C697" s="18">
        <v>4</v>
      </c>
      <c r="D697" s="18">
        <v>4</v>
      </c>
      <c r="E697" s="20">
        <v>60</v>
      </c>
      <c r="F697" s="21">
        <f t="shared" si="31"/>
        <v>106.45669291338582</v>
      </c>
      <c r="G697" s="22">
        <v>0.48756719791894099</v>
      </c>
      <c r="H697" s="18">
        <v>1</v>
      </c>
      <c r="I697" s="18">
        <f t="shared" si="32"/>
        <v>0</v>
      </c>
      <c r="J697" s="41">
        <v>43190</v>
      </c>
      <c r="K697" s="36">
        <v>2018</v>
      </c>
      <c r="L697" s="32">
        <f t="shared" si="30"/>
        <v>43198</v>
      </c>
      <c r="M697" s="40">
        <v>0</v>
      </c>
      <c r="N697" s="33">
        <v>121</v>
      </c>
      <c r="O697" s="34">
        <f>AVERAGEIF(L3:L1205,"&lt;2018/3/31",N3:N1205)</f>
        <v>117.29960317460318</v>
      </c>
      <c r="P697" s="38">
        <v>1</v>
      </c>
      <c r="Q697" s="38">
        <f>AVERAGEIF(L3:L1205,"&lt;2018/3/31",P3:P1205)</f>
        <v>0.33134920634920634</v>
      </c>
      <c r="R697" s="38">
        <v>1</v>
      </c>
      <c r="S697" s="38">
        <f>AVERAGEIF(L3:L1205,"&lt;2018/3/31",R3:R1205)</f>
        <v>1.2817460317460319</v>
      </c>
      <c r="T697" s="38">
        <v>8</v>
      </c>
      <c r="U697" s="38">
        <f>AVERAGEIF(L3:L1205,"&lt;2018/3/31",T3:T1205)</f>
        <v>8.0218253968253972</v>
      </c>
      <c r="V697" s="24">
        <v>508</v>
      </c>
      <c r="W697" s="47" t="s">
        <v>4521</v>
      </c>
    </row>
    <row r="698" spans="1:23">
      <c r="A698" s="23">
        <v>2</v>
      </c>
      <c r="B698" s="23">
        <v>4</v>
      </c>
      <c r="C698" s="18">
        <v>4</v>
      </c>
      <c r="D698" s="18">
        <v>4</v>
      </c>
      <c r="E698" s="20">
        <v>98</v>
      </c>
      <c r="F698" s="21">
        <f t="shared" si="31"/>
        <v>106.47337278106509</v>
      </c>
      <c r="G698" s="22">
        <v>0.414334546825602</v>
      </c>
      <c r="H698" s="18">
        <v>1</v>
      </c>
      <c r="I698" s="18">
        <f t="shared" si="32"/>
        <v>0</v>
      </c>
      <c r="J698" s="41">
        <v>43186</v>
      </c>
      <c r="K698" s="36">
        <v>2018</v>
      </c>
      <c r="L698" s="32">
        <f t="shared" si="30"/>
        <v>43190</v>
      </c>
      <c r="M698" s="40">
        <v>0</v>
      </c>
      <c r="N698" s="33">
        <v>155</v>
      </c>
      <c r="O698" s="34">
        <f>AVERAGEIF(L3:L1205,"&lt;2018/3/27",N3:N1205)</f>
        <v>117.38336713995943</v>
      </c>
      <c r="P698" s="38">
        <v>0</v>
      </c>
      <c r="Q698" s="38">
        <f>AVERAGEIF(L3:L1205,"&lt;2018/3/27",P3:P1205)</f>
        <v>0.33062880324543609</v>
      </c>
      <c r="R698" s="38">
        <v>2</v>
      </c>
      <c r="S698" s="38">
        <f>AVERAGEIF(L3:L1205,"&lt;2018/3/27",R3:R1205)</f>
        <v>1.2738336713995944</v>
      </c>
      <c r="T698" s="38">
        <v>4</v>
      </c>
      <c r="U698" s="38">
        <f>AVERAGEIF(L3:L1205,"&lt;2018/3/27",T3:T1205)</f>
        <v>8.0649087221095339</v>
      </c>
      <c r="V698" s="24">
        <v>507</v>
      </c>
      <c r="W698" s="47" t="s">
        <v>4610</v>
      </c>
    </row>
    <row r="699" spans="1:23">
      <c r="A699" s="23">
        <v>2</v>
      </c>
      <c r="B699" s="23">
        <v>4</v>
      </c>
      <c r="C699" s="18">
        <v>4</v>
      </c>
      <c r="D699" s="18">
        <v>4</v>
      </c>
      <c r="E699" s="20">
        <v>45</v>
      </c>
      <c r="F699" s="21">
        <f t="shared" si="31"/>
        <v>106.59486166007905</v>
      </c>
      <c r="G699" s="22">
        <v>0.37528287160760598</v>
      </c>
      <c r="H699" s="18">
        <v>1</v>
      </c>
      <c r="I699" s="18">
        <f t="shared" si="32"/>
        <v>0</v>
      </c>
      <c r="J699" s="41">
        <v>43186</v>
      </c>
      <c r="K699" s="36">
        <v>2018</v>
      </c>
      <c r="L699" s="32">
        <f t="shared" si="30"/>
        <v>43188</v>
      </c>
      <c r="M699" s="40">
        <v>0</v>
      </c>
      <c r="N699" s="33">
        <v>91</v>
      </c>
      <c r="O699" s="34">
        <f>AVERAGEIF(L3:L1205,"&lt;2018/3/27",N3:N1205)</f>
        <v>117.38336713995943</v>
      </c>
      <c r="P699" s="38">
        <v>0</v>
      </c>
      <c r="Q699" s="38">
        <f>AVERAGEIF(L3:L1205,"&lt;2018/3/27",P3:P1205)</f>
        <v>0.33062880324543609</v>
      </c>
      <c r="R699" s="38">
        <v>2</v>
      </c>
      <c r="S699" s="38">
        <f>AVERAGEIF(L3:L1205,"&lt;2018/3/27",R3:R1205)</f>
        <v>1.2738336713995944</v>
      </c>
      <c r="T699" s="38">
        <v>2</v>
      </c>
      <c r="U699" s="38">
        <f>AVERAGEIF(L3:L1205,"&lt;2018/3/27",T3:T1205)</f>
        <v>8.0649087221095339</v>
      </c>
      <c r="V699" s="24">
        <v>506</v>
      </c>
      <c r="W699" s="47" t="s">
        <v>4624</v>
      </c>
    </row>
    <row r="700" spans="1:23">
      <c r="A700" s="23">
        <v>2</v>
      </c>
      <c r="B700" s="23">
        <v>4</v>
      </c>
      <c r="C700" s="18">
        <v>4</v>
      </c>
      <c r="D700" s="18">
        <v>6</v>
      </c>
      <c r="E700" s="20">
        <v>126</v>
      </c>
      <c r="F700" s="21">
        <f t="shared" si="31"/>
        <v>106.55643564356436</v>
      </c>
      <c r="G700" s="22">
        <v>0.37500222142105399</v>
      </c>
      <c r="H700" s="18">
        <v>0</v>
      </c>
      <c r="I700" s="18">
        <f t="shared" si="32"/>
        <v>1</v>
      </c>
      <c r="J700" s="41">
        <v>43186</v>
      </c>
      <c r="K700" s="36">
        <v>2018</v>
      </c>
      <c r="L700" s="32">
        <f t="shared" si="30"/>
        <v>43188</v>
      </c>
      <c r="M700" s="40">
        <v>0</v>
      </c>
      <c r="N700" s="33">
        <v>153</v>
      </c>
      <c r="O700" s="34">
        <f>AVERAGEIF(L3:L1205,"&lt;2018/3/27",N3:N1205)</f>
        <v>117.38336713995943</v>
      </c>
      <c r="P700" s="54">
        <v>0</v>
      </c>
      <c r="Q700" s="38">
        <f>AVERAGEIF(L3:L1205,"&lt;2018/3/27",P3:P1205)</f>
        <v>0.33062880324543609</v>
      </c>
      <c r="R700" s="38">
        <v>2</v>
      </c>
      <c r="S700" s="38">
        <f>AVERAGEIF(L3:L1205,"&lt;2018/3/27",R3:R1205)</f>
        <v>1.2738336713995944</v>
      </c>
      <c r="T700" s="54">
        <v>2</v>
      </c>
      <c r="U700" s="38">
        <f>AVERAGEIF(L3:L1205,"&lt;2018/3/27",T3:T1205)</f>
        <v>8.0649087221095339</v>
      </c>
      <c r="V700" s="24">
        <v>505</v>
      </c>
      <c r="W700" s="47" t="s">
        <v>4553</v>
      </c>
    </row>
    <row r="701" spans="1:23">
      <c r="A701" s="17">
        <v>1</v>
      </c>
      <c r="B701" s="17">
        <v>2</v>
      </c>
      <c r="C701" s="18">
        <v>5</v>
      </c>
      <c r="D701" s="18">
        <v>6</v>
      </c>
      <c r="E701" s="20">
        <v>81</v>
      </c>
      <c r="F701" s="21">
        <f t="shared" si="31"/>
        <v>106.60714285714286</v>
      </c>
      <c r="G701" s="22">
        <v>0.48138441959223</v>
      </c>
      <c r="H701" s="18">
        <v>1</v>
      </c>
      <c r="I701" s="18">
        <f t="shared" si="32"/>
        <v>0</v>
      </c>
      <c r="J701" s="41">
        <v>43185</v>
      </c>
      <c r="K701" s="36">
        <v>2018</v>
      </c>
      <c r="L701" s="32">
        <f t="shared" si="30"/>
        <v>43186</v>
      </c>
      <c r="M701" s="40">
        <v>0</v>
      </c>
      <c r="N701" s="33">
        <v>89</v>
      </c>
      <c r="O701" s="34">
        <f>AVERAGEIF(L3:L1205,"&lt;2018/3/26",N3:N1205)</f>
        <v>117.4939024390244</v>
      </c>
      <c r="P701" s="24">
        <v>0</v>
      </c>
      <c r="Q701" s="24">
        <f>AVERAGEIF(L3:L1205,"&lt;2018/3/26",P3:P1205)</f>
        <v>0.33130081300813008</v>
      </c>
      <c r="R701" s="24">
        <v>1</v>
      </c>
      <c r="S701" s="24">
        <f>AVERAGEIF(L3:L1205,"&lt;2018/3/26",R3:R1205)</f>
        <v>1.274390243902439</v>
      </c>
      <c r="T701" s="24">
        <v>1</v>
      </c>
      <c r="U701" s="24">
        <f>AVERAGEIF(L3:L1205,"&lt;2018/3/26",T3:T1205)</f>
        <v>8.0813008130081307</v>
      </c>
      <c r="V701" s="24">
        <v>504</v>
      </c>
      <c r="W701" s="47" t="s">
        <v>4564</v>
      </c>
    </row>
    <row r="702" spans="1:23">
      <c r="A702" s="23">
        <v>2</v>
      </c>
      <c r="B702" s="23">
        <v>7</v>
      </c>
      <c r="C702" s="18">
        <v>4</v>
      </c>
      <c r="D702" s="18">
        <v>4</v>
      </c>
      <c r="E702" s="20">
        <v>74</v>
      </c>
      <c r="F702" s="21">
        <f t="shared" si="31"/>
        <v>106.67196819085487</v>
      </c>
      <c r="G702" s="22">
        <v>0.42718847382233199</v>
      </c>
      <c r="H702" s="18">
        <v>1</v>
      </c>
      <c r="I702" s="18">
        <f t="shared" si="32"/>
        <v>0</v>
      </c>
      <c r="J702" s="41">
        <v>43185</v>
      </c>
      <c r="K702" s="36">
        <v>2018</v>
      </c>
      <c r="L702" s="32">
        <f t="shared" si="30"/>
        <v>43188</v>
      </c>
      <c r="M702" s="40">
        <v>0</v>
      </c>
      <c r="N702" s="33">
        <v>146</v>
      </c>
      <c r="O702" s="34">
        <f>AVERAGEIF(L3:L1205,"&lt;2018/3/26",N3:N1205)</f>
        <v>117.4939024390244</v>
      </c>
      <c r="P702" s="40">
        <v>0</v>
      </c>
      <c r="Q702" s="40">
        <f>AVERAGEIF(L3:L1205,"&lt;2018/3/26",P3:P1205)</f>
        <v>0.33130081300813008</v>
      </c>
      <c r="R702" s="40">
        <v>2</v>
      </c>
      <c r="S702" s="40">
        <f>AVERAGEIF(L3:L1205,"&lt;2018/3/26",R3:R1205)</f>
        <v>1.274390243902439</v>
      </c>
      <c r="T702" s="40">
        <v>3</v>
      </c>
      <c r="U702" s="40">
        <f>AVERAGEIF(L3:L1205,"&lt;2018/3/26",T3:T1205)</f>
        <v>8.0813008130081307</v>
      </c>
      <c r="V702" s="24">
        <v>503</v>
      </c>
      <c r="W702" s="47" t="s">
        <v>4521</v>
      </c>
    </row>
    <row r="703" spans="1:23">
      <c r="A703" s="23">
        <v>2</v>
      </c>
      <c r="B703" s="23">
        <v>11</v>
      </c>
      <c r="C703" s="18">
        <v>4</v>
      </c>
      <c r="D703" s="18">
        <v>4</v>
      </c>
      <c r="E703" s="20">
        <v>61</v>
      </c>
      <c r="F703" s="21">
        <f t="shared" si="31"/>
        <v>106.76294820717132</v>
      </c>
      <c r="G703" s="22">
        <v>0.42196116160129998</v>
      </c>
      <c r="H703" s="18">
        <v>1</v>
      </c>
      <c r="I703" s="18">
        <f t="shared" si="32"/>
        <v>0</v>
      </c>
      <c r="J703" s="41">
        <v>43185</v>
      </c>
      <c r="K703" s="36">
        <v>2018</v>
      </c>
      <c r="L703" s="32">
        <f t="shared" si="30"/>
        <v>43185</v>
      </c>
      <c r="M703" s="40">
        <v>1</v>
      </c>
      <c r="N703" s="33">
        <v>63</v>
      </c>
      <c r="O703" s="34">
        <f>AVERAGEIF(L3:L1205,"&lt;2018/3/26",N3:N1205)</f>
        <v>117.4939024390244</v>
      </c>
      <c r="P703" s="38">
        <v>0</v>
      </c>
      <c r="Q703" s="38">
        <f>AVERAGEIF(L3:L1205,"&lt;2018/3/26",P3:P1205)</f>
        <v>0.33130081300813008</v>
      </c>
      <c r="R703" s="38">
        <v>1</v>
      </c>
      <c r="S703" s="38">
        <f>AVERAGEIF(L3:L1205,"&lt;2018/3/26",R3:R1205)</f>
        <v>1.274390243902439</v>
      </c>
      <c r="T703" s="38">
        <v>0</v>
      </c>
      <c r="U703" s="38">
        <f>AVERAGEIF(L3:L1205,"&lt;2018/3/26",T3:T1205)</f>
        <v>8.0813008130081307</v>
      </c>
      <c r="V703" s="24">
        <v>502</v>
      </c>
      <c r="W703" s="47" t="s">
        <v>4550</v>
      </c>
    </row>
    <row r="704" spans="1:23">
      <c r="A704" s="23">
        <v>2</v>
      </c>
      <c r="B704" s="23">
        <v>6</v>
      </c>
      <c r="C704" s="18">
        <v>4</v>
      </c>
      <c r="D704" s="18">
        <v>4</v>
      </c>
      <c r="E704" s="20">
        <v>51</v>
      </c>
      <c r="F704" s="21">
        <f t="shared" si="31"/>
        <v>106.87425149700599</v>
      </c>
      <c r="G704" s="22">
        <v>0.57629650288868495</v>
      </c>
      <c r="H704" s="18">
        <v>1</v>
      </c>
      <c r="I704" s="18">
        <f t="shared" si="32"/>
        <v>0</v>
      </c>
      <c r="J704" s="41">
        <v>43184</v>
      </c>
      <c r="K704" s="36">
        <v>2018</v>
      </c>
      <c r="L704" s="32">
        <f t="shared" si="30"/>
        <v>43188</v>
      </c>
      <c r="M704" s="40">
        <v>0</v>
      </c>
      <c r="N704" s="33">
        <v>168</v>
      </c>
      <c r="O704" s="34">
        <f>AVERAGEIF(L3:L1205,"&lt;2018/3/25",N3:N1205)</f>
        <v>117.4939024390244</v>
      </c>
      <c r="P704" s="38">
        <v>0</v>
      </c>
      <c r="Q704" s="38">
        <f>AVERAGEIF(L3:L1205,"&lt;2018/3/25",P3:P1205)</f>
        <v>0.33130081300813008</v>
      </c>
      <c r="R704" s="38">
        <v>2</v>
      </c>
      <c r="S704" s="38">
        <f>AVERAGEIF(L3:L1205,"&lt;2018/3/25",R3:R1205)</f>
        <v>1.274390243902439</v>
      </c>
      <c r="T704" s="38">
        <v>4</v>
      </c>
      <c r="U704" s="38">
        <f>AVERAGEIF(L3:L1205,"&lt;2018/3/25",T3:T1205)</f>
        <v>8.0813008130081307</v>
      </c>
      <c r="V704" s="24">
        <v>501</v>
      </c>
      <c r="W704" s="47" t="s">
        <v>4878</v>
      </c>
    </row>
    <row r="705" spans="1:23">
      <c r="A705" s="23">
        <v>2</v>
      </c>
      <c r="B705" s="23">
        <v>7</v>
      </c>
      <c r="C705" s="18">
        <v>4</v>
      </c>
      <c r="D705" s="18">
        <v>4</v>
      </c>
      <c r="E705" s="20">
        <v>48</v>
      </c>
      <c r="F705" s="21">
        <f t="shared" si="31"/>
        <v>106.992</v>
      </c>
      <c r="G705" s="22">
        <v>0.38101205143319899</v>
      </c>
      <c r="H705" s="18">
        <v>1</v>
      </c>
      <c r="I705" s="18">
        <f t="shared" si="32"/>
        <v>0</v>
      </c>
      <c r="J705" s="41">
        <v>43184</v>
      </c>
      <c r="K705" s="36">
        <v>2018</v>
      </c>
      <c r="L705" s="32">
        <f t="shared" si="30"/>
        <v>43188</v>
      </c>
      <c r="M705" s="40">
        <v>0</v>
      </c>
      <c r="N705" s="33">
        <v>155</v>
      </c>
      <c r="O705" s="34">
        <f>AVERAGEIF(L3:L1205,"&lt;2018/3/25",N3:N1205)</f>
        <v>117.4939024390244</v>
      </c>
      <c r="P705" s="40">
        <v>0</v>
      </c>
      <c r="Q705" s="40">
        <f>AVERAGEIF(L3:L1205,"&lt;2018/3/25",P3:P1205)</f>
        <v>0.33130081300813008</v>
      </c>
      <c r="R705" s="40">
        <v>2</v>
      </c>
      <c r="S705" s="40">
        <f>AVERAGEIF(L3:L1205,"&lt;2018/3/25",R3:R1205)</f>
        <v>1.274390243902439</v>
      </c>
      <c r="T705" s="40">
        <v>4</v>
      </c>
      <c r="U705" s="40">
        <f>AVERAGEIF(L3:L1205,"&lt;2018/3/25",T3:T1205)</f>
        <v>8.0813008130081307</v>
      </c>
      <c r="V705" s="24">
        <v>500</v>
      </c>
      <c r="W705" s="47" t="s">
        <v>4521</v>
      </c>
    </row>
    <row r="706" spans="1:23">
      <c r="A706" s="23">
        <v>2</v>
      </c>
      <c r="B706" s="23">
        <v>4</v>
      </c>
      <c r="C706" s="18">
        <v>4</v>
      </c>
      <c r="D706" s="18">
        <v>4</v>
      </c>
      <c r="E706" s="20">
        <v>157</v>
      </c>
      <c r="F706" s="21">
        <f t="shared" si="31"/>
        <v>106.89178356713427</v>
      </c>
      <c r="G706" s="22">
        <v>0.41250000098529999</v>
      </c>
      <c r="H706" s="18">
        <v>1</v>
      </c>
      <c r="I706" s="18">
        <f t="shared" si="32"/>
        <v>0</v>
      </c>
      <c r="J706" s="41">
        <v>43183</v>
      </c>
      <c r="K706" s="36">
        <v>2018</v>
      </c>
      <c r="L706" s="32">
        <f t="shared" si="30"/>
        <v>43188</v>
      </c>
      <c r="M706" s="40">
        <v>0</v>
      </c>
      <c r="N706" s="33">
        <v>157</v>
      </c>
      <c r="O706" s="34">
        <f>AVERAGEIF(L3:L1205,"&lt;2018/3/24",N3:N1205)</f>
        <v>117.4939024390244</v>
      </c>
      <c r="P706" s="54">
        <v>0</v>
      </c>
      <c r="Q706" s="38">
        <f>AVERAGEIF(L3:L1205,"&lt;2018/3/24",P3:P1205)</f>
        <v>0.33130081300813008</v>
      </c>
      <c r="R706" s="38">
        <v>2</v>
      </c>
      <c r="S706" s="38">
        <f>AVERAGEIF(L3:L1205,"&lt;2018/3/24",R3:R1205)</f>
        <v>1.274390243902439</v>
      </c>
      <c r="T706" s="54">
        <v>5</v>
      </c>
      <c r="U706" s="38">
        <f>AVERAGEIF(L3:L1205,"&lt;2018/3/24",T3:T1205)</f>
        <v>8.0813008130081307</v>
      </c>
      <c r="V706" s="24">
        <v>499</v>
      </c>
      <c r="W706" s="47" t="s">
        <v>4521</v>
      </c>
    </row>
    <row r="707" spans="1:23">
      <c r="A707" s="23">
        <v>3</v>
      </c>
      <c r="B707" s="23">
        <v>26</v>
      </c>
      <c r="C707" s="18">
        <v>4</v>
      </c>
      <c r="D707" s="18">
        <v>4</v>
      </c>
      <c r="E707" s="20">
        <v>47</v>
      </c>
      <c r="F707" s="21">
        <f t="shared" si="31"/>
        <v>107.01204819277109</v>
      </c>
      <c r="G707" s="22">
        <v>0.78174194377292805</v>
      </c>
      <c r="H707" s="3">
        <v>1</v>
      </c>
      <c r="I707" s="18">
        <f t="shared" si="32"/>
        <v>0</v>
      </c>
      <c r="J707" s="41">
        <v>43182</v>
      </c>
      <c r="K707" s="36">
        <v>2018</v>
      </c>
      <c r="L707" s="32">
        <f t="shared" ref="L707:L770" si="33">J707+T707</f>
        <v>43186</v>
      </c>
      <c r="M707" s="40">
        <v>0</v>
      </c>
      <c r="N707" s="33">
        <v>80</v>
      </c>
      <c r="O707" s="34">
        <f>AVERAGEIF(L3:L1205,"&lt;2018/3/23",N3:N1205)</f>
        <v>117.51124744376278</v>
      </c>
      <c r="P707" s="38">
        <v>0</v>
      </c>
      <c r="Q707" s="38">
        <f>AVERAGEIF(L3:L1205,"&lt;2018/3/23",P3:P1205)</f>
        <v>0.32310838445807771</v>
      </c>
      <c r="R707" s="38">
        <v>1</v>
      </c>
      <c r="S707" s="38">
        <f>AVERAGEIF(L3:L1205,"&lt;2018/3/23",R3:R1205)</f>
        <v>1.2760736196319018</v>
      </c>
      <c r="T707" s="38">
        <v>4</v>
      </c>
      <c r="U707" s="38">
        <f>AVERAGEIF(L3:L1205,"&lt;2018/3/23",T3:T1205)</f>
        <v>8.1042944785276081</v>
      </c>
      <c r="V707" s="24">
        <v>498</v>
      </c>
      <c r="W707" s="47" t="s">
        <v>4550</v>
      </c>
    </row>
    <row r="708" spans="1:23">
      <c r="A708" s="23">
        <v>4</v>
      </c>
      <c r="B708" s="23">
        <v>35</v>
      </c>
      <c r="C708" s="18">
        <v>4</v>
      </c>
      <c r="D708" s="18">
        <v>6</v>
      </c>
      <c r="E708" s="20">
        <v>187</v>
      </c>
      <c r="F708" s="21">
        <f t="shared" ref="F708:F771" si="34">AVERAGE(E709:E1910)</f>
        <v>106.85110663983903</v>
      </c>
      <c r="G708" s="22">
        <v>0.50107727179399897</v>
      </c>
      <c r="H708" s="18">
        <v>1</v>
      </c>
      <c r="I708" s="18">
        <f t="shared" ref="I708:I771" si="35">IF(H708=1,0,1)</f>
        <v>0</v>
      </c>
      <c r="J708" s="45">
        <v>43182</v>
      </c>
      <c r="K708" s="36">
        <v>2018</v>
      </c>
      <c r="L708" s="32">
        <f t="shared" si="33"/>
        <v>43209</v>
      </c>
      <c r="M708" s="42">
        <v>1</v>
      </c>
      <c r="N708" s="33">
        <v>254</v>
      </c>
      <c r="O708" s="34">
        <f>AVERAGEIF(L3:L1205,"&lt;2018/3/23",N3:N1205)</f>
        <v>117.51124744376278</v>
      </c>
      <c r="P708" s="38">
        <v>1</v>
      </c>
      <c r="Q708" s="38">
        <f>AVERAGEIF(L3:L1205,"&lt;2018/3/23",P3:P1205)</f>
        <v>0.32310838445807771</v>
      </c>
      <c r="R708" s="38">
        <v>1</v>
      </c>
      <c r="S708" s="38">
        <f>AVERAGEIF(L3:L1205,"&lt;2018/3/23",R3:R1205)</f>
        <v>1.2760736196319018</v>
      </c>
      <c r="T708" s="38">
        <v>27</v>
      </c>
      <c r="U708" s="38">
        <f>AVERAGEIF(L3:L1205,"&lt;2018/3/23",T3:T1205)</f>
        <v>8.1042944785276081</v>
      </c>
      <c r="V708" s="24">
        <v>497</v>
      </c>
      <c r="W708" s="47" t="s">
        <v>4988</v>
      </c>
    </row>
    <row r="709" spans="1:23">
      <c r="A709" s="23">
        <v>2</v>
      </c>
      <c r="B709" s="23">
        <v>4</v>
      </c>
      <c r="C709" s="18">
        <v>4</v>
      </c>
      <c r="D709" s="18">
        <v>6</v>
      </c>
      <c r="E709" s="20">
        <v>254</v>
      </c>
      <c r="F709" s="21">
        <f t="shared" si="34"/>
        <v>106.55443548387096</v>
      </c>
      <c r="G709" s="22">
        <v>0.34471105617345799</v>
      </c>
      <c r="H709" s="18">
        <v>1</v>
      </c>
      <c r="I709" s="18">
        <f t="shared" si="35"/>
        <v>0</v>
      </c>
      <c r="J709" s="41">
        <v>43181</v>
      </c>
      <c r="K709" s="36">
        <v>2018</v>
      </c>
      <c r="L709" s="32">
        <f t="shared" si="33"/>
        <v>43194</v>
      </c>
      <c r="M709" s="40">
        <v>1</v>
      </c>
      <c r="N709" s="33">
        <v>26</v>
      </c>
      <c r="O709" s="34">
        <f>AVERAGEIF(L3:L1205,"&lt;2018/3/22",N3:N1205)</f>
        <v>117.70696721311475</v>
      </c>
      <c r="P709" s="38">
        <v>0</v>
      </c>
      <c r="Q709" s="38">
        <f>AVERAGEIF(L3:L1205,"&lt;2018/3/22",P3:P1205)</f>
        <v>0.32377049180327871</v>
      </c>
      <c r="R709" s="38">
        <v>1</v>
      </c>
      <c r="S709" s="38">
        <f>AVERAGEIF(L3:L1205,"&lt;2018/3/22",R3:R1205)</f>
        <v>1.276639344262295</v>
      </c>
      <c r="T709" s="38">
        <v>13</v>
      </c>
      <c r="U709" s="38">
        <f>AVERAGEIF(L3:L1205,"&lt;2018/3/22",T3:T1205)</f>
        <v>8.1147540983606561</v>
      </c>
      <c r="V709" s="24">
        <v>496</v>
      </c>
      <c r="W709" s="47" t="s">
        <v>4638</v>
      </c>
    </row>
    <row r="710" spans="1:23">
      <c r="A710" s="23">
        <v>5</v>
      </c>
      <c r="B710" s="23">
        <v>38</v>
      </c>
      <c r="C710" s="18">
        <v>4</v>
      </c>
      <c r="D710" s="18">
        <v>6</v>
      </c>
      <c r="E710" s="20">
        <v>71</v>
      </c>
      <c r="F710" s="21">
        <f t="shared" si="34"/>
        <v>106.62626262626263</v>
      </c>
      <c r="G710" s="22">
        <v>0.375000000051739</v>
      </c>
      <c r="H710" s="18">
        <v>0</v>
      </c>
      <c r="I710" s="18">
        <f t="shared" si="35"/>
        <v>1</v>
      </c>
      <c r="J710" s="41">
        <v>43181</v>
      </c>
      <c r="K710" s="36">
        <v>2018</v>
      </c>
      <c r="L710" s="32">
        <f t="shared" si="33"/>
        <v>43192</v>
      </c>
      <c r="M710" s="40">
        <v>0</v>
      </c>
      <c r="N710" s="33">
        <v>58</v>
      </c>
      <c r="O710" s="34">
        <f>AVERAGEIF(L3:L1205,"&lt;2018/3/22",N3:N1205)</f>
        <v>117.70696721311475</v>
      </c>
      <c r="P710" s="40">
        <v>0</v>
      </c>
      <c r="Q710" s="40">
        <f>AVERAGEIF(L3:L1205,"&lt;2018/3/22",P3:P1205)</f>
        <v>0.32377049180327871</v>
      </c>
      <c r="R710" s="40">
        <v>1</v>
      </c>
      <c r="S710" s="40">
        <f>AVERAGEIF(L3:L1205,"&lt;2018/3/22",R3:R1205)</f>
        <v>1.276639344262295</v>
      </c>
      <c r="T710" s="40">
        <v>11</v>
      </c>
      <c r="U710" s="40">
        <f>AVERAGEIF(L3:L1205,"&lt;2018/3/22",T3:T1205)</f>
        <v>8.1147540983606561</v>
      </c>
      <c r="V710" s="24">
        <v>495</v>
      </c>
      <c r="W710" s="47" t="s">
        <v>4990</v>
      </c>
    </row>
    <row r="711" spans="1:23">
      <c r="A711" s="23">
        <v>2</v>
      </c>
      <c r="B711" s="23">
        <v>4</v>
      </c>
      <c r="C711" s="18">
        <v>4</v>
      </c>
      <c r="D711" s="18">
        <v>6</v>
      </c>
      <c r="E711" s="20">
        <v>108</v>
      </c>
      <c r="F711" s="21">
        <f t="shared" si="34"/>
        <v>106.62348178137651</v>
      </c>
      <c r="G711" s="22">
        <v>0.78174305030047897</v>
      </c>
      <c r="H711" s="18">
        <v>0</v>
      </c>
      <c r="I711" s="18">
        <f t="shared" si="35"/>
        <v>1</v>
      </c>
      <c r="J711" s="41">
        <v>43179</v>
      </c>
      <c r="K711" s="36">
        <v>2018</v>
      </c>
      <c r="L711" s="32">
        <f t="shared" si="33"/>
        <v>43182</v>
      </c>
      <c r="M711" s="40">
        <v>1</v>
      </c>
      <c r="N711" s="33">
        <v>78</v>
      </c>
      <c r="O711" s="34">
        <f>AVERAGEIF(L3:L1205,"&lt;2018/3/20",N3:N1205)</f>
        <v>117.8721649484536</v>
      </c>
      <c r="P711" s="38">
        <v>1</v>
      </c>
      <c r="Q711" s="38">
        <f>AVERAGEIF(L3:L1205,"&lt;2018/3/20",P3:P1205)</f>
        <v>0.3216494845360825</v>
      </c>
      <c r="R711" s="38">
        <v>1</v>
      </c>
      <c r="S711" s="38">
        <f>AVERAGEIF(L3:L1205,"&lt;2018/3/20",R3:R1205)</f>
        <v>1.2762886597938143</v>
      </c>
      <c r="T711" s="38">
        <v>3</v>
      </c>
      <c r="U711" s="38">
        <f>AVERAGEIF(L3:L1205,"&lt;2018/3/20",T3:T1205)</f>
        <v>8.1381443298969067</v>
      </c>
      <c r="V711" s="24">
        <v>494</v>
      </c>
      <c r="W711" s="47" t="s">
        <v>4624</v>
      </c>
    </row>
    <row r="712" spans="1:23">
      <c r="A712" s="23">
        <v>2</v>
      </c>
      <c r="B712" s="23">
        <v>13</v>
      </c>
      <c r="C712" s="18">
        <v>4</v>
      </c>
      <c r="D712" s="18">
        <v>4</v>
      </c>
      <c r="E712" s="20">
        <v>159</v>
      </c>
      <c r="F712" s="21">
        <f t="shared" si="34"/>
        <v>106.51724137931035</v>
      </c>
      <c r="G712" s="22">
        <v>0.61838644980905699</v>
      </c>
      <c r="H712" s="18">
        <v>1</v>
      </c>
      <c r="I712" s="18">
        <f t="shared" si="35"/>
        <v>0</v>
      </c>
      <c r="J712" s="41">
        <v>43179</v>
      </c>
      <c r="K712" s="36">
        <v>2018</v>
      </c>
      <c r="L712" s="32">
        <f t="shared" si="33"/>
        <v>43182</v>
      </c>
      <c r="M712" s="40">
        <v>1</v>
      </c>
      <c r="N712" s="33">
        <v>77</v>
      </c>
      <c r="O712" s="34">
        <f>AVERAGEIF(L3:L1205,"&lt;2018/3/20",N3:N1205)</f>
        <v>117.8721649484536</v>
      </c>
      <c r="P712" s="38">
        <v>1</v>
      </c>
      <c r="Q712" s="38">
        <f>AVERAGEIF(L3:L1205,"&lt;2018/3/20",P3:P1205)</f>
        <v>0.3216494845360825</v>
      </c>
      <c r="R712" s="38">
        <v>1</v>
      </c>
      <c r="S712" s="38">
        <f>AVERAGEIF(L3:L1205,"&lt;2018/3/20",R3:R1205)</f>
        <v>1.2762886597938143</v>
      </c>
      <c r="T712" s="38">
        <v>3</v>
      </c>
      <c r="U712" s="38">
        <f>AVERAGEIF(L3:L1205,"&lt;2018/3/20",T3:T1205)</f>
        <v>8.1381443298969067</v>
      </c>
      <c r="V712" s="24">
        <v>493</v>
      </c>
      <c r="W712" s="47" t="s">
        <v>4550</v>
      </c>
    </row>
    <row r="713" spans="1:23">
      <c r="A713" s="23">
        <v>2</v>
      </c>
      <c r="B713" s="23">
        <v>6</v>
      </c>
      <c r="C713" s="18">
        <v>1</v>
      </c>
      <c r="D713" s="18">
        <v>6</v>
      </c>
      <c r="E713" s="20">
        <v>160</v>
      </c>
      <c r="F713" s="21">
        <f t="shared" si="34"/>
        <v>106.40853658536585</v>
      </c>
      <c r="G713" s="22">
        <v>0.870831552350257</v>
      </c>
      <c r="H713" s="18">
        <v>0</v>
      </c>
      <c r="I713" s="18">
        <f t="shared" si="35"/>
        <v>1</v>
      </c>
      <c r="J713" s="41">
        <v>43178</v>
      </c>
      <c r="K713" s="36">
        <v>2018</v>
      </c>
      <c r="L713" s="32">
        <f t="shared" si="33"/>
        <v>43188</v>
      </c>
      <c r="M713" s="40">
        <v>1</v>
      </c>
      <c r="N713" s="33">
        <v>41</v>
      </c>
      <c r="O713" s="34">
        <f>AVERAGEIF(L3:L1205,"&lt;2018/3/19",N3:N1205)</f>
        <v>117.63636363636364</v>
      </c>
      <c r="P713" s="38">
        <v>1</v>
      </c>
      <c r="Q713" s="38">
        <f>AVERAGEIF(L3:L1205,"&lt;2018/3/19",P3:P1205)</f>
        <v>0.32231404958677684</v>
      </c>
      <c r="R713" s="38">
        <v>2</v>
      </c>
      <c r="S713" s="38">
        <f>AVERAGEIF(L3:L1205,"&lt;2018/3/19",R3:R1205)</f>
        <v>1.274793388429752</v>
      </c>
      <c r="T713" s="38">
        <v>10</v>
      </c>
      <c r="U713" s="38">
        <f>AVERAGEIF(L3:L1205,"&lt;2018/3/19",T3:T1205)</f>
        <v>8.1404958677685944</v>
      </c>
      <c r="V713" s="24">
        <v>492</v>
      </c>
      <c r="W713" s="47" t="s">
        <v>4690</v>
      </c>
    </row>
    <row r="714" spans="1:23">
      <c r="A714" s="23">
        <v>2</v>
      </c>
      <c r="B714" s="23">
        <v>9</v>
      </c>
      <c r="C714" s="18">
        <v>4</v>
      </c>
      <c r="D714" s="18">
        <v>6</v>
      </c>
      <c r="E714" s="20">
        <v>95</v>
      </c>
      <c r="F714" s="21">
        <f t="shared" si="34"/>
        <v>106.43177189409369</v>
      </c>
      <c r="G714" s="22">
        <v>0.72160272130215897</v>
      </c>
      <c r="H714" s="18">
        <v>1</v>
      </c>
      <c r="I714" s="18">
        <f t="shared" si="35"/>
        <v>0</v>
      </c>
      <c r="J714" s="63">
        <v>43178</v>
      </c>
      <c r="K714" s="36">
        <v>2018</v>
      </c>
      <c r="L714" s="32">
        <f t="shared" si="33"/>
        <v>43181</v>
      </c>
      <c r="M714" s="40">
        <v>1</v>
      </c>
      <c r="N714" s="33">
        <v>22</v>
      </c>
      <c r="O714" s="34">
        <f>AVERAGEIF(L3:L1205,"&lt;2018/3/19",N3:N1205)</f>
        <v>117.63636363636364</v>
      </c>
      <c r="P714" s="38">
        <v>0</v>
      </c>
      <c r="Q714" s="38">
        <f>AVERAGEIF(L3:L1205,"&lt;2018/3/19",P3:P1205)</f>
        <v>0.32231404958677684</v>
      </c>
      <c r="R714" s="38">
        <v>1</v>
      </c>
      <c r="S714" s="38">
        <f>AVERAGEIF(L3:L1205,"&lt;2018/3/19",R3:R1205)</f>
        <v>1.274793388429752</v>
      </c>
      <c r="T714" s="38">
        <v>3</v>
      </c>
      <c r="U714" s="38">
        <f>AVERAGEIF(L3:L1205,"&lt;2018/3/19",T3:T1205)</f>
        <v>8.1404958677685944</v>
      </c>
      <c r="V714" s="24">
        <v>491</v>
      </c>
      <c r="W714" s="47" t="s">
        <v>4563</v>
      </c>
    </row>
    <row r="715" spans="1:23">
      <c r="A715" s="23">
        <v>3</v>
      </c>
      <c r="B715" s="23">
        <v>19</v>
      </c>
      <c r="C715" s="18">
        <v>4</v>
      </c>
      <c r="D715" s="18">
        <v>6</v>
      </c>
      <c r="E715" s="20">
        <v>160</v>
      </c>
      <c r="F715" s="21">
        <f t="shared" si="34"/>
        <v>106.32244897959184</v>
      </c>
      <c r="G715" s="22">
        <v>0.82461761891889596</v>
      </c>
      <c r="H715" s="3">
        <v>1</v>
      </c>
      <c r="I715" s="18">
        <f t="shared" si="35"/>
        <v>0</v>
      </c>
      <c r="J715" s="41">
        <v>43178</v>
      </c>
      <c r="K715" s="36">
        <v>2018</v>
      </c>
      <c r="L715" s="32">
        <f t="shared" si="33"/>
        <v>43180</v>
      </c>
      <c r="M715" s="24">
        <v>0</v>
      </c>
      <c r="N715" s="33">
        <v>56</v>
      </c>
      <c r="O715" s="34">
        <f>AVERAGEIF(L3:L1205,"&lt;2018/3/19",N3:N1205)</f>
        <v>117.63636363636364</v>
      </c>
      <c r="P715" s="38">
        <v>0</v>
      </c>
      <c r="Q715" s="38">
        <f>AVERAGEIF(L3:L1205,"&lt;2018/3/19",P3:P1205)</f>
        <v>0.32231404958677684</v>
      </c>
      <c r="R715" s="38">
        <v>1</v>
      </c>
      <c r="S715" s="38">
        <f>AVERAGEIF(L3:L1205,"&lt;2018/3/19",R3:R1205)</f>
        <v>1.274793388429752</v>
      </c>
      <c r="T715" s="38">
        <v>2</v>
      </c>
      <c r="U715" s="38">
        <f>AVERAGEIF(L3:L1205,"&lt;2018/3/19",T3:T1205)</f>
        <v>8.1404958677685944</v>
      </c>
      <c r="V715" s="24">
        <v>490</v>
      </c>
      <c r="W715" s="47" t="s">
        <v>4550</v>
      </c>
    </row>
    <row r="716" spans="1:23">
      <c r="A716" s="23">
        <v>3</v>
      </c>
      <c r="B716" s="23">
        <v>25</v>
      </c>
      <c r="C716" s="18">
        <v>4</v>
      </c>
      <c r="D716" s="18">
        <v>6</v>
      </c>
      <c r="E716" s="20">
        <v>60</v>
      </c>
      <c r="F716" s="21">
        <f t="shared" si="34"/>
        <v>106.41717791411043</v>
      </c>
      <c r="G716" s="22">
        <v>0.43713180975101401</v>
      </c>
      <c r="H716" s="3">
        <v>1</v>
      </c>
      <c r="I716" s="18">
        <f t="shared" si="35"/>
        <v>0</v>
      </c>
      <c r="J716" s="41">
        <v>43178</v>
      </c>
      <c r="K716" s="36">
        <v>2018</v>
      </c>
      <c r="L716" s="32">
        <f t="shared" si="33"/>
        <v>43180</v>
      </c>
      <c r="M716" s="40">
        <v>0</v>
      </c>
      <c r="N716" s="33">
        <v>122</v>
      </c>
      <c r="O716" s="34">
        <f>AVERAGEIF(L3:L1205,"&lt;2018/3/19",N3:N1205)</f>
        <v>117.63636363636364</v>
      </c>
      <c r="P716" s="38">
        <v>1</v>
      </c>
      <c r="Q716" s="38">
        <f>AVERAGEIF(L3:L1205,"&lt;2018/3/19",P3:P1205)</f>
        <v>0.32231404958677684</v>
      </c>
      <c r="R716" s="38">
        <v>1</v>
      </c>
      <c r="S716" s="38">
        <f>AVERAGEIF(L3:L1205,"&lt;2018/3/19",R3:R1205)</f>
        <v>1.274793388429752</v>
      </c>
      <c r="T716" s="38">
        <v>2</v>
      </c>
      <c r="U716" s="38">
        <f>AVERAGEIF(L3:L1205,"&lt;2018/3/19",T3:T1205)</f>
        <v>8.1404958677685944</v>
      </c>
      <c r="V716" s="24">
        <v>489</v>
      </c>
      <c r="W716" s="47" t="s">
        <v>4529</v>
      </c>
    </row>
    <row r="717" spans="1:23">
      <c r="A717" s="23">
        <v>2</v>
      </c>
      <c r="B717" s="23">
        <v>5</v>
      </c>
      <c r="C717" s="18">
        <v>4</v>
      </c>
      <c r="D717" s="18">
        <v>5</v>
      </c>
      <c r="E717" s="20">
        <v>173</v>
      </c>
      <c r="F717" s="21">
        <f t="shared" si="34"/>
        <v>106.28073770491804</v>
      </c>
      <c r="G717" s="22">
        <v>0.238544500306024</v>
      </c>
      <c r="H717" s="18">
        <v>1</v>
      </c>
      <c r="I717" s="18">
        <f t="shared" si="35"/>
        <v>0</v>
      </c>
      <c r="J717" s="52">
        <v>43175</v>
      </c>
      <c r="K717" s="36">
        <v>2018</v>
      </c>
      <c r="L717" s="32">
        <f t="shared" si="33"/>
        <v>43182</v>
      </c>
      <c r="M717" s="40">
        <v>0</v>
      </c>
      <c r="N717" s="33">
        <v>189</v>
      </c>
      <c r="O717" s="34">
        <f>AVERAGEIF(L3:L1205,"&lt;2018/3/16",N3:N1205)</f>
        <v>117.78467908902691</v>
      </c>
      <c r="P717" s="38">
        <v>3</v>
      </c>
      <c r="Q717" s="38">
        <f>AVERAGEIF(L3:L1205,"&lt;2018/3/16",P3:P1205)</f>
        <v>0.32298136645962733</v>
      </c>
      <c r="R717" s="38">
        <v>1</v>
      </c>
      <c r="S717" s="38">
        <f>AVERAGEIF(L3:L1205,"&lt;2018/3/16",R3:R1205)</f>
        <v>1.2753623188405796</v>
      </c>
      <c r="T717" s="38">
        <v>7</v>
      </c>
      <c r="U717" s="38">
        <f>AVERAGEIF(L3:L1205,"&lt;2018/3/16",T3:T1205)</f>
        <v>8.1532091097308488</v>
      </c>
      <c r="V717" s="24">
        <v>488</v>
      </c>
      <c r="W717" s="47" t="s">
        <v>4542</v>
      </c>
    </row>
    <row r="718" spans="1:23">
      <c r="A718" s="23">
        <v>4</v>
      </c>
      <c r="B718" s="23">
        <v>37</v>
      </c>
      <c r="C718" s="18">
        <v>4</v>
      </c>
      <c r="D718" s="18">
        <v>6</v>
      </c>
      <c r="E718" s="20">
        <v>107</v>
      </c>
      <c r="F718" s="21">
        <f t="shared" si="34"/>
        <v>106.27926078028747</v>
      </c>
      <c r="G718" s="22">
        <v>0.34157358946641198</v>
      </c>
      <c r="H718" s="18">
        <v>1</v>
      </c>
      <c r="I718" s="18">
        <f t="shared" si="35"/>
        <v>0</v>
      </c>
      <c r="J718" s="45">
        <v>43175</v>
      </c>
      <c r="K718" s="36">
        <v>2018</v>
      </c>
      <c r="L718" s="32">
        <f t="shared" si="33"/>
        <v>43187</v>
      </c>
      <c r="M718" s="42">
        <v>1</v>
      </c>
      <c r="N718" s="33">
        <v>75</v>
      </c>
      <c r="O718" s="34">
        <f>AVERAGEIF(L3:L1205,"&lt;2018/3/16",N3:N1205)</f>
        <v>117.78467908902691</v>
      </c>
      <c r="P718" s="38">
        <v>1</v>
      </c>
      <c r="Q718" s="38">
        <f>AVERAGEIF(L3:L1205,"&lt;2018/3/16",P3:P1205)</f>
        <v>0.32298136645962733</v>
      </c>
      <c r="R718" s="38">
        <v>1</v>
      </c>
      <c r="S718" s="38">
        <f>AVERAGEIF(L3:L1205,"&lt;2018/3/16",R3:R1205)</f>
        <v>1.2753623188405796</v>
      </c>
      <c r="T718" s="38">
        <v>12</v>
      </c>
      <c r="U718" s="38">
        <f>AVERAGEIF(L3:L1205,"&lt;2018/3/16",T3:T1205)</f>
        <v>8.1532091097308488</v>
      </c>
      <c r="V718" s="24">
        <v>487</v>
      </c>
      <c r="W718" s="47" t="s">
        <v>4991</v>
      </c>
    </row>
    <row r="719" spans="1:23">
      <c r="A719" s="23">
        <v>3</v>
      </c>
      <c r="B719" s="23">
        <v>26</v>
      </c>
      <c r="C719" s="18">
        <v>4</v>
      </c>
      <c r="D719" s="18">
        <v>4</v>
      </c>
      <c r="E719" s="20">
        <v>47</v>
      </c>
      <c r="F719" s="21">
        <f t="shared" si="34"/>
        <v>106.40123456790124</v>
      </c>
      <c r="G719" s="22">
        <v>0.41306584007413799</v>
      </c>
      <c r="H719" s="3">
        <v>1</v>
      </c>
      <c r="I719" s="18">
        <f t="shared" si="35"/>
        <v>0</v>
      </c>
      <c r="J719" s="41">
        <v>43173</v>
      </c>
      <c r="K719" s="36">
        <v>2018</v>
      </c>
      <c r="L719" s="32">
        <f t="shared" si="33"/>
        <v>43174</v>
      </c>
      <c r="M719" s="40">
        <v>0</v>
      </c>
      <c r="N719" s="33">
        <v>74</v>
      </c>
      <c r="O719" s="34">
        <f>AVERAGEIF(L3:L1205,"&lt;2018/3/14",N3:N1205)</f>
        <v>118.12526096033403</v>
      </c>
      <c r="P719" s="38">
        <v>0</v>
      </c>
      <c r="Q719" s="38">
        <f>AVERAGEIF(L3:L1205,"&lt;2018/3/14",P3:P1205)</f>
        <v>0.32359081419624219</v>
      </c>
      <c r="R719" s="38">
        <v>1</v>
      </c>
      <c r="S719" s="38">
        <f>AVERAGEIF(L3:L1205,"&lt;2018/3/14",R3:R1205)</f>
        <v>1.2713987473903967</v>
      </c>
      <c r="T719" s="38">
        <v>1</v>
      </c>
      <c r="U719" s="38">
        <f>AVERAGEIF(L3:L1205,"&lt;2018/3/14",T3:T1205)</f>
        <v>8.2004175365344469</v>
      </c>
      <c r="V719" s="24">
        <v>486</v>
      </c>
      <c r="W719" s="47" t="s">
        <v>4550</v>
      </c>
    </row>
    <row r="720" spans="1:23">
      <c r="A720" s="23">
        <v>5</v>
      </c>
      <c r="B720" s="23">
        <v>38</v>
      </c>
      <c r="C720" s="18">
        <v>4</v>
      </c>
      <c r="D720" s="18">
        <v>6</v>
      </c>
      <c r="E720" s="20">
        <v>40</v>
      </c>
      <c r="F720" s="21">
        <f t="shared" si="34"/>
        <v>106.53814432989691</v>
      </c>
      <c r="G720" s="22">
        <v>0.41278310602153201</v>
      </c>
      <c r="H720" s="18">
        <v>1</v>
      </c>
      <c r="I720" s="18">
        <f t="shared" si="35"/>
        <v>0</v>
      </c>
      <c r="J720" s="41">
        <v>43173</v>
      </c>
      <c r="K720" s="36">
        <v>2018</v>
      </c>
      <c r="L720" s="32">
        <f t="shared" si="33"/>
        <v>43175</v>
      </c>
      <c r="M720" s="40">
        <v>0</v>
      </c>
      <c r="N720" s="33">
        <v>46</v>
      </c>
      <c r="O720" s="34">
        <f>AVERAGEIF(L3:L1205,"&lt;2018/3/14",N3:N1205)</f>
        <v>118.12526096033403</v>
      </c>
      <c r="P720" s="38">
        <v>0</v>
      </c>
      <c r="Q720" s="38">
        <f>AVERAGEIF(L3:L1205,"&lt;2018/3/14",P3:P1205)</f>
        <v>0.32359081419624219</v>
      </c>
      <c r="R720" s="38">
        <v>1</v>
      </c>
      <c r="S720" s="38">
        <f>AVERAGEIF(L3:L1205,"&lt;2018/3/14",R3:R1205)</f>
        <v>1.2713987473903967</v>
      </c>
      <c r="T720" s="38">
        <v>2</v>
      </c>
      <c r="U720" s="38">
        <f>AVERAGEIF(L3:L1205,"&lt;2018/3/14",T3:T1205)</f>
        <v>8.2004175365344469</v>
      </c>
      <c r="V720" s="24">
        <v>485</v>
      </c>
      <c r="W720" s="47" t="s">
        <v>4618</v>
      </c>
    </row>
    <row r="721" spans="1:23">
      <c r="A721" s="23">
        <v>2</v>
      </c>
      <c r="B721" s="23">
        <v>5</v>
      </c>
      <c r="C721" s="18">
        <v>4</v>
      </c>
      <c r="D721" s="18">
        <v>5</v>
      </c>
      <c r="E721" s="20">
        <v>129</v>
      </c>
      <c r="F721" s="21">
        <f t="shared" si="34"/>
        <v>106.49173553719008</v>
      </c>
      <c r="G721" s="22">
        <v>0.28174403116077101</v>
      </c>
      <c r="H721" s="18">
        <v>1</v>
      </c>
      <c r="I721" s="18">
        <f t="shared" si="35"/>
        <v>0</v>
      </c>
      <c r="J721" s="50">
        <v>43172</v>
      </c>
      <c r="K721" s="36">
        <v>2018</v>
      </c>
      <c r="L721" s="32">
        <f t="shared" si="33"/>
        <v>43173</v>
      </c>
      <c r="M721" s="40">
        <v>1</v>
      </c>
      <c r="N721" s="33">
        <v>102</v>
      </c>
      <c r="O721" s="34">
        <f>AVERAGEIF(L3:L1205,"&lt;2018/3/13",N3:N1205)</f>
        <v>118.36134453781513</v>
      </c>
      <c r="P721" s="38">
        <v>1</v>
      </c>
      <c r="Q721" s="38">
        <f>AVERAGEIF(L3:L1205,"&lt;2018/3/13",P3:P1205)</f>
        <v>0.32563025210084034</v>
      </c>
      <c r="R721" s="38">
        <v>3</v>
      </c>
      <c r="S721" s="38">
        <f>AVERAGEIF(L3:L1205,"&lt;2018/3/13",R3:R1205)</f>
        <v>1.2710084033613445</v>
      </c>
      <c r="T721" s="38">
        <v>1</v>
      </c>
      <c r="U721" s="38">
        <f>AVERAGEIF(L3:L1205,"&lt;2018/3/13",T3:T1205)</f>
        <v>8.2310924369747891</v>
      </c>
      <c r="V721" s="24">
        <v>484</v>
      </c>
      <c r="W721" s="47" t="s">
        <v>4618</v>
      </c>
    </row>
    <row r="722" spans="1:23">
      <c r="A722" s="23">
        <v>2</v>
      </c>
      <c r="B722" s="23">
        <v>8</v>
      </c>
      <c r="C722" s="18">
        <v>4</v>
      </c>
      <c r="D722" s="18">
        <v>4</v>
      </c>
      <c r="E722" s="20">
        <v>63</v>
      </c>
      <c r="F722" s="21">
        <f t="shared" si="34"/>
        <v>106.58178053830228</v>
      </c>
      <c r="G722" s="22">
        <v>0.41262803575266899</v>
      </c>
      <c r="H722" s="18">
        <v>1</v>
      </c>
      <c r="I722" s="18">
        <f t="shared" si="35"/>
        <v>0</v>
      </c>
      <c r="J722" s="41">
        <v>43171</v>
      </c>
      <c r="K722" s="36">
        <v>2018</v>
      </c>
      <c r="L722" s="32">
        <f t="shared" si="33"/>
        <v>43178</v>
      </c>
      <c r="M722" s="40">
        <v>0</v>
      </c>
      <c r="N722" s="33">
        <v>232</v>
      </c>
      <c r="O722" s="34">
        <f>AVERAGEIF(L3:L1205,"&lt;2018/3/12",N3:N1205)</f>
        <v>118.50105263157894</v>
      </c>
      <c r="P722" s="54">
        <v>0</v>
      </c>
      <c r="Q722" s="38">
        <f>AVERAGEIF(L3:L1205,"&lt;2018/3/12",P3:P1205)</f>
        <v>0.32631578947368423</v>
      </c>
      <c r="R722" s="38">
        <v>2</v>
      </c>
      <c r="S722" s="38">
        <f>AVERAGEIF(L3:L1205,"&lt;2018/3/12",R3:R1205)</f>
        <v>1.2715789473684211</v>
      </c>
      <c r="T722" s="54">
        <v>7</v>
      </c>
      <c r="U722" s="38">
        <f>AVERAGEIF(L3:L1205,"&lt;2018/3/12",T3:T1205)</f>
        <v>8.24</v>
      </c>
      <c r="V722" s="24">
        <v>483</v>
      </c>
      <c r="W722" s="47" t="s">
        <v>4634</v>
      </c>
    </row>
    <row r="723" spans="1:23">
      <c r="A723" s="23">
        <v>3</v>
      </c>
      <c r="B723" s="23">
        <v>26</v>
      </c>
      <c r="C723" s="18">
        <v>4</v>
      </c>
      <c r="D723" s="18">
        <v>4</v>
      </c>
      <c r="E723" s="20">
        <v>84</v>
      </c>
      <c r="F723" s="21">
        <f t="shared" si="34"/>
        <v>106.62863070539419</v>
      </c>
      <c r="G723" s="22">
        <v>0.41258990761080999</v>
      </c>
      <c r="H723" s="3">
        <v>1</v>
      </c>
      <c r="I723" s="18">
        <f t="shared" si="35"/>
        <v>0</v>
      </c>
      <c r="J723" s="41">
        <v>43171</v>
      </c>
      <c r="K723" s="36">
        <v>2018</v>
      </c>
      <c r="L723" s="32">
        <f t="shared" si="33"/>
        <v>43180</v>
      </c>
      <c r="M723" s="40">
        <v>1</v>
      </c>
      <c r="N723" s="33">
        <v>95</v>
      </c>
      <c r="O723" s="34">
        <f>AVERAGEIF(L3:L1205,"&lt;2018/3/12",N3:N1205)</f>
        <v>118.50105263157894</v>
      </c>
      <c r="P723" s="38">
        <v>1</v>
      </c>
      <c r="Q723" s="38">
        <f>AVERAGEIF(L3:L1205,"&lt;2018/3/12",P3:P1205)</f>
        <v>0.32631578947368423</v>
      </c>
      <c r="R723" s="38">
        <v>2</v>
      </c>
      <c r="S723" s="38">
        <f>AVERAGEIF(L3:L1205,"&lt;2018/3/12",R3:R1205)</f>
        <v>1.2715789473684211</v>
      </c>
      <c r="T723" s="38">
        <v>9</v>
      </c>
      <c r="U723" s="38">
        <f>AVERAGEIF(L3:L1205,"&lt;2018/3/12",T3:T1205)</f>
        <v>8.24</v>
      </c>
      <c r="V723" s="24">
        <v>482</v>
      </c>
      <c r="W723" s="47" t="s">
        <v>4550</v>
      </c>
    </row>
    <row r="724" spans="1:23">
      <c r="A724" s="17">
        <v>1</v>
      </c>
      <c r="B724" s="17">
        <v>3</v>
      </c>
      <c r="C724" s="18">
        <v>5</v>
      </c>
      <c r="D724" s="18">
        <v>4</v>
      </c>
      <c r="E724" s="20">
        <v>85</v>
      </c>
      <c r="F724" s="21">
        <f t="shared" si="34"/>
        <v>106.67359667359668</v>
      </c>
      <c r="G724" s="22">
        <v>0.78153209623502795</v>
      </c>
      <c r="H724" s="18">
        <v>1</v>
      </c>
      <c r="I724" s="18">
        <f t="shared" si="35"/>
        <v>0</v>
      </c>
      <c r="J724" s="32">
        <v>43170</v>
      </c>
      <c r="K724" s="36">
        <v>2018</v>
      </c>
      <c r="L724" s="32">
        <f t="shared" si="33"/>
        <v>43173</v>
      </c>
      <c r="M724" s="24">
        <v>1</v>
      </c>
      <c r="N724" s="33">
        <v>93</v>
      </c>
      <c r="O724" s="34">
        <f>AVERAGEIF(L3:L1205,"&lt;2018/3/11",N3:N1205)</f>
        <v>118.50105263157894</v>
      </c>
      <c r="P724" s="24">
        <v>0</v>
      </c>
      <c r="Q724" s="24">
        <f>AVERAGEIF(L3:L1205,"&lt;2018/3/11",P3:P1205)</f>
        <v>0.32631578947368423</v>
      </c>
      <c r="R724" s="24">
        <v>1</v>
      </c>
      <c r="S724" s="24">
        <f>AVERAGEIF(L3:L1205,"&lt;2018/3/11",R3:R1205)</f>
        <v>1.2715789473684211</v>
      </c>
      <c r="T724" s="24">
        <v>3</v>
      </c>
      <c r="U724" s="24">
        <f>AVERAGEIF(L3:L1205,"&lt;2018/3/11",T3:T1205)</f>
        <v>8.24</v>
      </c>
      <c r="V724" s="24">
        <v>481</v>
      </c>
      <c r="W724" s="47" t="s">
        <v>4529</v>
      </c>
    </row>
    <row r="725" spans="1:23">
      <c r="A725" s="23">
        <v>3</v>
      </c>
      <c r="B725" s="23">
        <v>26</v>
      </c>
      <c r="C725" s="18">
        <v>4</v>
      </c>
      <c r="D725" s="18">
        <v>4</v>
      </c>
      <c r="E725" s="20">
        <v>52</v>
      </c>
      <c r="F725" s="21">
        <f t="shared" si="34"/>
        <v>106.78749999999999</v>
      </c>
      <c r="G725" s="22">
        <v>0.66010272682050597</v>
      </c>
      <c r="H725" s="3">
        <v>1</v>
      </c>
      <c r="I725" s="18">
        <f t="shared" si="35"/>
        <v>0</v>
      </c>
      <c r="J725" s="41">
        <v>43170</v>
      </c>
      <c r="K725" s="36">
        <v>2018</v>
      </c>
      <c r="L725" s="32">
        <f t="shared" si="33"/>
        <v>43172</v>
      </c>
      <c r="M725" s="40">
        <v>0</v>
      </c>
      <c r="N725" s="33">
        <v>54</v>
      </c>
      <c r="O725" s="34">
        <f>AVERAGEIF(L3:L1205,"&lt;2018/3/11",N3:N1205)</f>
        <v>118.50105263157894</v>
      </c>
      <c r="P725" s="38">
        <v>0</v>
      </c>
      <c r="Q725" s="38">
        <f>AVERAGEIF(L3:L1205,"&lt;2018/3/11",P3:P1205)</f>
        <v>0.32631578947368423</v>
      </c>
      <c r="R725" s="38">
        <v>1</v>
      </c>
      <c r="S725" s="38">
        <f>AVERAGEIF(L3:L1205,"&lt;2018/3/11",R3:R1205)</f>
        <v>1.2715789473684211</v>
      </c>
      <c r="T725" s="38">
        <v>2</v>
      </c>
      <c r="U725" s="38">
        <f>AVERAGEIF(L3:L1205,"&lt;2018/3/11",T3:T1205)</f>
        <v>8.24</v>
      </c>
      <c r="V725" s="24">
        <v>480</v>
      </c>
      <c r="W725" s="47" t="s">
        <v>4542</v>
      </c>
    </row>
    <row r="726" spans="1:23">
      <c r="A726" s="23">
        <v>3</v>
      </c>
      <c r="B726" s="23">
        <v>27</v>
      </c>
      <c r="C726" s="18">
        <v>4</v>
      </c>
      <c r="D726" s="18">
        <v>4</v>
      </c>
      <c r="E726" s="20">
        <v>38</v>
      </c>
      <c r="F726" s="21">
        <f t="shared" si="34"/>
        <v>106.93110647181628</v>
      </c>
      <c r="G726" s="22">
        <v>0.42121870405155698</v>
      </c>
      <c r="H726" s="3">
        <v>1</v>
      </c>
      <c r="I726" s="18">
        <f t="shared" si="35"/>
        <v>0</v>
      </c>
      <c r="J726" s="41">
        <v>43170</v>
      </c>
      <c r="K726" s="36">
        <v>2018</v>
      </c>
      <c r="L726" s="32">
        <f t="shared" si="33"/>
        <v>43172</v>
      </c>
      <c r="M726" s="37">
        <v>0</v>
      </c>
      <c r="N726" s="33">
        <v>47</v>
      </c>
      <c r="O726" s="34">
        <f>AVERAGEIF(L3:L1205,"&lt;2018/3/11",N3:N1205)</f>
        <v>118.50105263157894</v>
      </c>
      <c r="P726" s="38">
        <v>0</v>
      </c>
      <c r="Q726" s="38">
        <f>AVERAGEIF(L3:L1205,"&lt;2018/3/11",P3:P1205)</f>
        <v>0.32631578947368423</v>
      </c>
      <c r="R726" s="38">
        <v>1</v>
      </c>
      <c r="S726" s="38">
        <f>AVERAGEIF(L3:L1205,"&lt;2018/3/11",R3:R1205)</f>
        <v>1.2715789473684211</v>
      </c>
      <c r="T726" s="38">
        <v>2</v>
      </c>
      <c r="U726" s="38">
        <f>AVERAGEIF(L3:L1205,"&lt;2018/3/11",T3:T1205)</f>
        <v>8.24</v>
      </c>
      <c r="V726" s="24">
        <v>479</v>
      </c>
      <c r="W726" s="47" t="s">
        <v>4550</v>
      </c>
    </row>
    <row r="727" spans="1:23">
      <c r="A727" s="23">
        <v>2</v>
      </c>
      <c r="B727" s="23">
        <v>7</v>
      </c>
      <c r="C727" s="18">
        <v>4</v>
      </c>
      <c r="D727" s="18">
        <v>6</v>
      </c>
      <c r="E727" s="20">
        <v>174</v>
      </c>
      <c r="F727" s="21">
        <f t="shared" si="34"/>
        <v>106.79079497907949</v>
      </c>
      <c r="G727" s="22">
        <v>0.31042682471393102</v>
      </c>
      <c r="H727" s="18">
        <v>1</v>
      </c>
      <c r="I727" s="18">
        <f t="shared" si="35"/>
        <v>0</v>
      </c>
      <c r="J727" s="48">
        <v>43168</v>
      </c>
      <c r="K727" s="36">
        <v>2018</v>
      </c>
      <c r="L727" s="32">
        <f t="shared" si="33"/>
        <v>43173</v>
      </c>
      <c r="M727" s="40">
        <v>0</v>
      </c>
      <c r="N727" s="33">
        <v>39</v>
      </c>
      <c r="O727" s="34">
        <f>AVERAGEIF(L3:L1205,"&lt;2018/3/9",N3:N1205)</f>
        <v>118.50105263157894</v>
      </c>
      <c r="P727" s="38">
        <v>0</v>
      </c>
      <c r="Q727" s="38">
        <f>AVERAGEIF(L3:L1205,"&lt;2018/3/9",P3:P1205)</f>
        <v>0.32631578947368423</v>
      </c>
      <c r="R727" s="38">
        <v>2</v>
      </c>
      <c r="S727" s="38">
        <f>AVERAGEIF(L3:L1205,"&lt;2018/3/9",R3:R1205)</f>
        <v>1.2715789473684211</v>
      </c>
      <c r="T727" s="38">
        <v>5</v>
      </c>
      <c r="U727" s="38">
        <f>AVERAGEIF(L3:L1205,"&lt;2018/3/9",T3:T1205)</f>
        <v>8.24</v>
      </c>
      <c r="V727" s="24">
        <v>478</v>
      </c>
      <c r="W727" s="47" t="s">
        <v>4563</v>
      </c>
    </row>
    <row r="728" spans="1:23">
      <c r="A728" s="23">
        <v>2</v>
      </c>
      <c r="B728" s="23">
        <v>7</v>
      </c>
      <c r="C728" s="18">
        <v>4</v>
      </c>
      <c r="D728" s="18">
        <v>6</v>
      </c>
      <c r="E728" s="20">
        <v>175</v>
      </c>
      <c r="F728" s="21">
        <f t="shared" si="34"/>
        <v>106.64779874213836</v>
      </c>
      <c r="G728" s="22">
        <v>0.491448539448814</v>
      </c>
      <c r="H728" s="18">
        <v>1</v>
      </c>
      <c r="I728" s="18">
        <f t="shared" si="35"/>
        <v>0</v>
      </c>
      <c r="J728" s="41">
        <v>43167</v>
      </c>
      <c r="K728" s="36">
        <v>2018</v>
      </c>
      <c r="L728" s="32">
        <f t="shared" si="33"/>
        <v>43187</v>
      </c>
      <c r="M728" s="24">
        <v>1</v>
      </c>
      <c r="N728" s="33">
        <v>94</v>
      </c>
      <c r="O728" s="34">
        <f>AVERAGEIF(L3:L1205,"&lt;2018/3/8",N3:N1205)</f>
        <v>118.5506329113924</v>
      </c>
      <c r="P728" s="38">
        <v>2</v>
      </c>
      <c r="Q728" s="38">
        <f>AVERAGEIF(L3:L1205,"&lt;2018/3/8",P3:P1205)</f>
        <v>0.3270042194092827</v>
      </c>
      <c r="R728" s="38">
        <v>1</v>
      </c>
      <c r="S728" s="38">
        <f>AVERAGEIF(L3:L1205,"&lt;2018/3/8",R3:R1205)</f>
        <v>1.2721518987341771</v>
      </c>
      <c r="T728" s="38">
        <v>20</v>
      </c>
      <c r="U728" s="38">
        <f>AVERAGEIF(L3:L1205,"&lt;2018/3/8",T3:T1205)</f>
        <v>8.2531645569620249</v>
      </c>
      <c r="V728" s="24">
        <v>477</v>
      </c>
      <c r="W728" s="47" t="s">
        <v>4550</v>
      </c>
    </row>
    <row r="729" spans="1:23">
      <c r="A729" s="23">
        <v>3</v>
      </c>
      <c r="B729" s="23">
        <v>26</v>
      </c>
      <c r="C729" s="18">
        <v>4</v>
      </c>
      <c r="D729" s="18">
        <v>4</v>
      </c>
      <c r="E729" s="20">
        <v>43</v>
      </c>
      <c r="F729" s="21">
        <f t="shared" si="34"/>
        <v>106.78151260504201</v>
      </c>
      <c r="G729" s="22">
        <v>9.4986419731265898E-2</v>
      </c>
      <c r="H729" s="3">
        <v>1</v>
      </c>
      <c r="I729" s="18">
        <f t="shared" si="35"/>
        <v>0</v>
      </c>
      <c r="J729" s="41">
        <v>43167</v>
      </c>
      <c r="K729" s="36">
        <v>2018</v>
      </c>
      <c r="L729" s="32">
        <f t="shared" si="33"/>
        <v>43171</v>
      </c>
      <c r="M729" s="40">
        <v>0</v>
      </c>
      <c r="N729" s="33">
        <v>52</v>
      </c>
      <c r="O729" s="34">
        <f>AVERAGEIF(L3:L1205,"&lt;2018/3/8",N3:N1205)</f>
        <v>118.5506329113924</v>
      </c>
      <c r="P729" s="38">
        <v>0</v>
      </c>
      <c r="Q729" s="38">
        <f>AVERAGEIF(L3:L1205,"&lt;2018/3/8",P3:P1205)</f>
        <v>0.3270042194092827</v>
      </c>
      <c r="R729" s="38">
        <v>1</v>
      </c>
      <c r="S729" s="38">
        <f>AVERAGEIF(L3:L1205,"&lt;2018/3/8",R3:R1205)</f>
        <v>1.2721518987341771</v>
      </c>
      <c r="T729" s="38">
        <v>4</v>
      </c>
      <c r="U729" s="38">
        <f>AVERAGEIF(L3:L1205,"&lt;2018/3/8",T3:T1205)</f>
        <v>8.2531645569620249</v>
      </c>
      <c r="V729" s="24">
        <v>476</v>
      </c>
      <c r="W729" s="47" t="s">
        <v>4521</v>
      </c>
    </row>
    <row r="730" spans="1:23">
      <c r="A730" s="23">
        <v>2</v>
      </c>
      <c r="B730" s="23">
        <v>4</v>
      </c>
      <c r="C730" s="18">
        <v>4</v>
      </c>
      <c r="D730" s="18">
        <v>6</v>
      </c>
      <c r="E730" s="20">
        <v>189</v>
      </c>
      <c r="F730" s="21">
        <f t="shared" si="34"/>
        <v>106.60842105263158</v>
      </c>
      <c r="G730" s="22">
        <v>0.55956929376669795</v>
      </c>
      <c r="H730" s="18">
        <v>1</v>
      </c>
      <c r="I730" s="18">
        <f t="shared" si="35"/>
        <v>0</v>
      </c>
      <c r="J730" s="41">
        <v>43166</v>
      </c>
      <c r="K730" s="36">
        <v>2018</v>
      </c>
      <c r="L730" s="32">
        <f t="shared" si="33"/>
        <v>43172</v>
      </c>
      <c r="M730" s="40">
        <v>0</v>
      </c>
      <c r="N730" s="33">
        <v>141</v>
      </c>
      <c r="O730" s="34">
        <f>AVERAGEIF(L3:L1205,"&lt;2018/3/7",N3:N1205)</f>
        <v>118.79872881355932</v>
      </c>
      <c r="P730" s="38">
        <v>0</v>
      </c>
      <c r="Q730" s="38">
        <f>AVERAGEIF(L3:L1205,"&lt;2018/3/7",P3:P1205)</f>
        <v>0.32627118644067798</v>
      </c>
      <c r="R730" s="38">
        <v>2</v>
      </c>
      <c r="S730" s="38">
        <f>AVERAGEIF(L3:L1205,"&lt;2018/3/7",R3:R1205)</f>
        <v>1.2733050847457628</v>
      </c>
      <c r="T730" s="38">
        <v>6</v>
      </c>
      <c r="U730" s="38">
        <f>AVERAGEIF(L3:L1205,"&lt;2018/3/7",T3:T1205)</f>
        <v>8.2584745762711869</v>
      </c>
      <c r="V730" s="24">
        <v>475</v>
      </c>
      <c r="W730" s="47" t="s">
        <v>4805</v>
      </c>
    </row>
    <row r="731" spans="1:23">
      <c r="A731" s="23">
        <v>3</v>
      </c>
      <c r="B731" s="23">
        <v>19</v>
      </c>
      <c r="C731" s="18">
        <v>4</v>
      </c>
      <c r="D731" s="18">
        <v>6</v>
      </c>
      <c r="E731" s="20">
        <v>62</v>
      </c>
      <c r="F731" s="21">
        <f t="shared" si="34"/>
        <v>106.70253164556962</v>
      </c>
      <c r="G731" s="22">
        <v>0.343553316596164</v>
      </c>
      <c r="H731" s="3">
        <v>1</v>
      </c>
      <c r="I731" s="18">
        <f t="shared" si="35"/>
        <v>0</v>
      </c>
      <c r="J731" s="41">
        <v>43165</v>
      </c>
      <c r="K731" s="36">
        <v>2018</v>
      </c>
      <c r="L731" s="32">
        <f t="shared" si="33"/>
        <v>43167</v>
      </c>
      <c r="M731" s="24">
        <v>0</v>
      </c>
      <c r="N731" s="33">
        <v>95</v>
      </c>
      <c r="O731" s="34">
        <f>AVERAGEIF(L3:L1205,"&lt;2018/3/6",N3:N1205)</f>
        <v>118.79957356076758</v>
      </c>
      <c r="P731" s="38">
        <v>0</v>
      </c>
      <c r="Q731" s="38">
        <f>AVERAGEIF(L3:L1205,"&lt;2018/3/6",P3:P1205)</f>
        <v>0.32409381663113007</v>
      </c>
      <c r="R731" s="38">
        <v>1</v>
      </c>
      <c r="S731" s="38">
        <f>AVERAGEIF(L3:L1205,"&lt;2018/3/6",R3:R1205)</f>
        <v>1.2750533049040511</v>
      </c>
      <c r="T731" s="38">
        <v>2</v>
      </c>
      <c r="U731" s="38">
        <f>AVERAGEIF(L3:L1205,"&lt;2018/3/6",T3:T1205)</f>
        <v>8.272921108742004</v>
      </c>
      <c r="V731" s="24">
        <v>474</v>
      </c>
      <c r="W731" s="47" t="s">
        <v>4624</v>
      </c>
    </row>
    <row r="732" spans="1:23">
      <c r="A732" s="23">
        <v>3</v>
      </c>
      <c r="B732" s="23">
        <v>26</v>
      </c>
      <c r="C732" s="18">
        <v>4</v>
      </c>
      <c r="D732" s="18">
        <v>4</v>
      </c>
      <c r="E732" s="20">
        <v>39</v>
      </c>
      <c r="F732" s="21">
        <f t="shared" si="34"/>
        <v>106.84566596194503</v>
      </c>
      <c r="G732" s="22">
        <v>0.38123234917342502</v>
      </c>
      <c r="H732" s="3">
        <v>1</v>
      </c>
      <c r="I732" s="18">
        <f t="shared" si="35"/>
        <v>0</v>
      </c>
      <c r="J732" s="41">
        <v>43164</v>
      </c>
      <c r="K732" s="36">
        <v>2018</v>
      </c>
      <c r="L732" s="32">
        <f t="shared" si="33"/>
        <v>43165</v>
      </c>
      <c r="M732" s="40">
        <v>0</v>
      </c>
      <c r="N732" s="33">
        <v>106</v>
      </c>
      <c r="O732" s="34">
        <f>AVERAGEIF(L3:L1205,"&lt;2018/3/5",N3:N1205)</f>
        <v>118.79957356076758</v>
      </c>
      <c r="P732" s="54">
        <v>0</v>
      </c>
      <c r="Q732" s="38">
        <f>AVERAGEIF(L3:L1205,"&lt;2018/3/5",P3:P1205)</f>
        <v>0.32409381663113007</v>
      </c>
      <c r="R732" s="38">
        <v>1</v>
      </c>
      <c r="S732" s="38">
        <f>AVERAGEIF(L3:L1205,"&lt;2018/3/5",R3:R1205)</f>
        <v>1.2750533049040511</v>
      </c>
      <c r="T732" s="54">
        <v>1</v>
      </c>
      <c r="U732" s="38">
        <f>AVERAGEIF(L3:L1205,"&lt;2018/3/5",T3:T1205)</f>
        <v>8.272921108742004</v>
      </c>
      <c r="V732" s="24">
        <v>473</v>
      </c>
      <c r="W732" s="47" t="s">
        <v>4878</v>
      </c>
    </row>
    <row r="733" spans="1:23">
      <c r="A733" s="23">
        <v>4</v>
      </c>
      <c r="B733" s="23">
        <v>29</v>
      </c>
      <c r="C733" s="18">
        <v>5</v>
      </c>
      <c r="D733" s="18">
        <v>6</v>
      </c>
      <c r="E733" s="20">
        <v>63</v>
      </c>
      <c r="F733" s="21">
        <f t="shared" si="34"/>
        <v>106.9385593220339</v>
      </c>
      <c r="G733" s="22">
        <v>0.83628017657376996</v>
      </c>
      <c r="H733" s="18">
        <v>1</v>
      </c>
      <c r="I733" s="18">
        <f t="shared" si="35"/>
        <v>0</v>
      </c>
      <c r="J733" s="45">
        <v>43163</v>
      </c>
      <c r="K733" s="36">
        <v>2018</v>
      </c>
      <c r="L733" s="32">
        <f t="shared" si="33"/>
        <v>43166</v>
      </c>
      <c r="M733" s="42">
        <v>1</v>
      </c>
      <c r="N733" s="33">
        <v>42</v>
      </c>
      <c r="O733" s="34">
        <f>AVERAGEIF(L3:L1205,"&lt;2018/3/4",N3:N1205)</f>
        <v>118.79957356076758</v>
      </c>
      <c r="P733" s="54">
        <v>1</v>
      </c>
      <c r="Q733" s="38">
        <f>AVERAGEIF(L3:L1205,"&lt;2018/3/5",P3:P1205)</f>
        <v>0.32409381663113007</v>
      </c>
      <c r="R733" s="38">
        <v>1</v>
      </c>
      <c r="S733" s="38">
        <f>AVERAGEIF(L3:L1205,"&lt;2018/3/4",R3:R1205)</f>
        <v>1.2750533049040511</v>
      </c>
      <c r="T733" s="54">
        <v>3</v>
      </c>
      <c r="U733" s="38">
        <f>AVERAGEIF(L3:L1205,"&lt;2018/3/4",T3:T1205)</f>
        <v>8.272921108742004</v>
      </c>
      <c r="V733" s="24">
        <v>472</v>
      </c>
      <c r="W733" s="47" t="s">
        <v>4529</v>
      </c>
    </row>
    <row r="734" spans="1:23">
      <c r="A734" s="17">
        <v>1</v>
      </c>
      <c r="B734" s="17">
        <v>2</v>
      </c>
      <c r="C734" s="18">
        <v>4</v>
      </c>
      <c r="D734" s="18">
        <v>6</v>
      </c>
      <c r="E734" s="20">
        <v>242</v>
      </c>
      <c r="F734" s="21">
        <f t="shared" si="34"/>
        <v>106.65180467091295</v>
      </c>
      <c r="G734" s="22">
        <v>0.63287224999624003</v>
      </c>
      <c r="H734" s="18">
        <v>1</v>
      </c>
      <c r="I734" s="18">
        <f t="shared" si="35"/>
        <v>0</v>
      </c>
      <c r="J734" s="53">
        <v>43158</v>
      </c>
      <c r="K734" s="36">
        <v>2018</v>
      </c>
      <c r="L734" s="32">
        <f t="shared" si="33"/>
        <v>43161</v>
      </c>
      <c r="M734" s="24">
        <v>0</v>
      </c>
      <c r="N734" s="33">
        <v>116</v>
      </c>
      <c r="O734" s="34">
        <f>AVERAGEIF(L3:L1205,"&lt;2018/2/27",N3:N1205)</f>
        <v>118.79229122055675</v>
      </c>
      <c r="P734" s="24">
        <v>0</v>
      </c>
      <c r="Q734" s="24">
        <f>AVERAGEIF(L3:L1205,"&lt;2018/2/27",P3:P1205)</f>
        <v>0.32334047109207709</v>
      </c>
      <c r="R734" s="24">
        <v>1</v>
      </c>
      <c r="S734" s="24">
        <f>AVERAGEIF(L3:L1205,"&lt;2018/2/27",R3:R1205)</f>
        <v>1.2762312633832977</v>
      </c>
      <c r="T734" s="24">
        <v>3</v>
      </c>
      <c r="U734" s="24">
        <f>AVERAGEIF(L3:L1205,"&lt;2018/2/27",T3:T1205)</f>
        <v>8.2955032119914343</v>
      </c>
      <c r="V734" s="24">
        <v>471</v>
      </c>
      <c r="W734" s="47" t="s">
        <v>4999</v>
      </c>
    </row>
    <row r="735" spans="1:23">
      <c r="A735" s="23">
        <v>2</v>
      </c>
      <c r="B735" s="23">
        <v>7</v>
      </c>
      <c r="C735" s="18">
        <v>5</v>
      </c>
      <c r="D735" s="18">
        <v>6</v>
      </c>
      <c r="E735" s="20">
        <v>221</v>
      </c>
      <c r="F735" s="21">
        <f t="shared" si="34"/>
        <v>106.40851063829787</v>
      </c>
      <c r="G735" s="22">
        <v>0.340909092726426</v>
      </c>
      <c r="H735" s="18">
        <v>1</v>
      </c>
      <c r="I735" s="18">
        <f t="shared" si="35"/>
        <v>0</v>
      </c>
      <c r="J735" s="41">
        <v>43158</v>
      </c>
      <c r="K735" s="36">
        <v>2018</v>
      </c>
      <c r="L735" s="32">
        <f t="shared" si="33"/>
        <v>43161</v>
      </c>
      <c r="M735" s="40">
        <v>0</v>
      </c>
      <c r="N735" s="33">
        <v>125</v>
      </c>
      <c r="O735" s="34">
        <f>AVERAGEIF(L3:L1205,"&lt;2018/2/27",N3:N1205)</f>
        <v>118.79229122055675</v>
      </c>
      <c r="P735" s="38">
        <v>1</v>
      </c>
      <c r="Q735" s="38">
        <f>AVERAGEIF(L3:L1205,"&lt;2018/2/27",P3:P1205)</f>
        <v>0.32334047109207709</v>
      </c>
      <c r="R735" s="38">
        <v>1</v>
      </c>
      <c r="S735" s="38">
        <f>AVERAGEIF(L3:L1205,"&lt;2018/2/27",R3:R1205)</f>
        <v>1.2762312633832977</v>
      </c>
      <c r="T735" s="38">
        <v>3</v>
      </c>
      <c r="U735" s="38">
        <f>AVERAGEIF(L3:L1205,"&lt;2018/2/27",T3:T1205)</f>
        <v>8.2955032119914343</v>
      </c>
      <c r="V735" s="24">
        <v>470</v>
      </c>
      <c r="W735" s="47" t="s">
        <v>4618</v>
      </c>
    </row>
    <row r="736" spans="1:23">
      <c r="A736" s="23">
        <v>2</v>
      </c>
      <c r="B736" s="23">
        <v>7</v>
      </c>
      <c r="C736" s="18">
        <v>4</v>
      </c>
      <c r="D736" s="18">
        <v>6</v>
      </c>
      <c r="E736" s="20">
        <v>215</v>
      </c>
      <c r="F736" s="21">
        <f t="shared" si="34"/>
        <v>106.17697228144989</v>
      </c>
      <c r="G736" s="22">
        <v>0.37500000000002298</v>
      </c>
      <c r="H736" s="18">
        <v>1</v>
      </c>
      <c r="I736" s="18">
        <f t="shared" si="35"/>
        <v>0</v>
      </c>
      <c r="J736" s="41">
        <v>43157</v>
      </c>
      <c r="K736" s="36">
        <v>2018</v>
      </c>
      <c r="L736" s="32">
        <f t="shared" si="33"/>
        <v>43165</v>
      </c>
      <c r="M736" s="40">
        <v>0</v>
      </c>
      <c r="N736" s="33">
        <v>125</v>
      </c>
      <c r="O736" s="34">
        <f>AVERAGEIF(L3:L1205,"&lt;2018/2/26",N3:N1205)</f>
        <v>118.79229122055675</v>
      </c>
      <c r="P736" s="38">
        <v>1</v>
      </c>
      <c r="Q736" s="38">
        <f>AVERAGEIF(L3:L1205,"&lt;2018/2/26",P3:P1205)</f>
        <v>0.32334047109207709</v>
      </c>
      <c r="R736" s="38">
        <v>1</v>
      </c>
      <c r="S736" s="38">
        <f>AVERAGEIF(L3:L1205,"&lt;2018/2/26",R3:R1205)</f>
        <v>1.2762312633832977</v>
      </c>
      <c r="T736" s="38">
        <v>8</v>
      </c>
      <c r="U736" s="38">
        <f>AVERAGEIF(L3:L1205,"&lt;2018/2/26",T3:T1205)</f>
        <v>8.2955032119914343</v>
      </c>
      <c r="V736" s="24">
        <v>469</v>
      </c>
      <c r="W736" s="47" t="s">
        <v>4618</v>
      </c>
    </row>
    <row r="737" spans="1:23">
      <c r="A737" s="23">
        <v>2</v>
      </c>
      <c r="B737" s="23">
        <v>7</v>
      </c>
      <c r="C737" s="18">
        <v>4</v>
      </c>
      <c r="D737" s="18">
        <v>6</v>
      </c>
      <c r="E737" s="20">
        <v>215</v>
      </c>
      <c r="F737" s="21">
        <f t="shared" si="34"/>
        <v>105.94444444444444</v>
      </c>
      <c r="G737" s="22">
        <v>0.87403856615696796</v>
      </c>
      <c r="H737" s="18">
        <v>0</v>
      </c>
      <c r="I737" s="18">
        <f t="shared" si="35"/>
        <v>1</v>
      </c>
      <c r="J737" s="41">
        <v>43156</v>
      </c>
      <c r="K737" s="36">
        <v>2018</v>
      </c>
      <c r="L737" s="32">
        <f t="shared" si="33"/>
        <v>43165</v>
      </c>
      <c r="M737" s="40">
        <v>0</v>
      </c>
      <c r="N737" s="33">
        <v>125</v>
      </c>
      <c r="O737" s="34">
        <f>AVERAGEIF(L3:L1205,"&lt;2018/2/25",N3:N1205)</f>
        <v>118.79229122055675</v>
      </c>
      <c r="P737" s="38">
        <v>1</v>
      </c>
      <c r="Q737" s="38">
        <f>AVERAGEIF(L3:L1205,"&lt;2018/2/25",P3:P1205)</f>
        <v>0.32334047109207709</v>
      </c>
      <c r="R737" s="38">
        <v>1</v>
      </c>
      <c r="S737" s="38">
        <f>AVERAGEIF(L3:L1205,"&lt;2018/2/25",R3:R1205)</f>
        <v>1.2762312633832977</v>
      </c>
      <c r="T737" s="38">
        <v>9</v>
      </c>
      <c r="U737" s="38">
        <f>AVERAGEIF(L3:L1205,"&lt;2018/2/25",T3:T1205)</f>
        <v>8.2955032119914343</v>
      </c>
      <c r="V737" s="24">
        <v>468</v>
      </c>
      <c r="W737" s="47" t="s">
        <v>4618</v>
      </c>
    </row>
    <row r="738" spans="1:23">
      <c r="A738" s="23">
        <v>2</v>
      </c>
      <c r="B738" s="23">
        <v>5</v>
      </c>
      <c r="C738" s="18">
        <v>5</v>
      </c>
      <c r="D738" s="18">
        <v>6</v>
      </c>
      <c r="E738" s="20">
        <v>91</v>
      </c>
      <c r="F738" s="21">
        <f t="shared" si="34"/>
        <v>105.97644539614561</v>
      </c>
      <c r="G738" s="22">
        <v>0.87499282882546103</v>
      </c>
      <c r="H738" s="18">
        <v>1</v>
      </c>
      <c r="I738" s="18">
        <f t="shared" si="35"/>
        <v>0</v>
      </c>
      <c r="J738" s="41">
        <v>43155</v>
      </c>
      <c r="K738" s="36">
        <v>2018</v>
      </c>
      <c r="L738" s="32">
        <f t="shared" si="33"/>
        <v>43166</v>
      </c>
      <c r="M738" s="40">
        <v>1</v>
      </c>
      <c r="N738" s="33">
        <v>78</v>
      </c>
      <c r="O738" s="34">
        <f>AVERAGEIF(L3:L1205,"&lt;2018/2/24",N3:N1205)</f>
        <v>118.79229122055675</v>
      </c>
      <c r="P738" s="40">
        <v>0</v>
      </c>
      <c r="Q738" s="40">
        <f>AVERAGEIF(L3:L1205,"&lt;2018/2/24",P3:P1205)</f>
        <v>0.32334047109207709</v>
      </c>
      <c r="R738" s="40">
        <v>1</v>
      </c>
      <c r="S738" s="40">
        <f>AVERAGEIF(L3:L1205,"&lt;2018/2/24",R3:R1205)</f>
        <v>1.2762312633832977</v>
      </c>
      <c r="T738" s="40">
        <v>11</v>
      </c>
      <c r="U738" s="40">
        <f>AVERAGEIF(L3:L1205,"&lt;2018/2/24",T3:T1205)</f>
        <v>8.2955032119914343</v>
      </c>
      <c r="V738" s="24">
        <v>467</v>
      </c>
      <c r="W738" s="47" t="s">
        <v>4688</v>
      </c>
    </row>
    <row r="739" spans="1:23">
      <c r="A739" s="23">
        <v>2</v>
      </c>
      <c r="B739" s="23">
        <v>12</v>
      </c>
      <c r="C739" s="18">
        <v>4</v>
      </c>
      <c r="D739" s="18">
        <v>6</v>
      </c>
      <c r="E739" s="20">
        <v>82</v>
      </c>
      <c r="F739" s="21">
        <f t="shared" si="34"/>
        <v>106.02789699570816</v>
      </c>
      <c r="G739" s="22">
        <v>0.86755961406621296</v>
      </c>
      <c r="H739" s="18">
        <v>1</v>
      </c>
      <c r="I739" s="18">
        <f t="shared" si="35"/>
        <v>0</v>
      </c>
      <c r="J739" s="41">
        <v>43137</v>
      </c>
      <c r="K739" s="36">
        <v>2018</v>
      </c>
      <c r="L739" s="32">
        <f t="shared" si="33"/>
        <v>43142</v>
      </c>
      <c r="M739" s="40">
        <v>0</v>
      </c>
      <c r="N739" s="33">
        <v>38</v>
      </c>
      <c r="O739" s="34">
        <f>AVERAGEIF(L3:L1205,"&lt;2018/2/6",N3:N1205)</f>
        <v>118.81209503239741</v>
      </c>
      <c r="P739" s="37">
        <v>1</v>
      </c>
      <c r="Q739" s="37">
        <f>AVERAGEIF(L3:L1205,"&lt;2018/2/6",P3:P1205)</f>
        <v>0.31317494600431967</v>
      </c>
      <c r="R739" s="37">
        <v>2</v>
      </c>
      <c r="S739" s="37">
        <f>AVERAGEIF(L3:L1205,"&lt;2018/2/6",R3:R1205)</f>
        <v>1.2742980561555075</v>
      </c>
      <c r="T739" s="37">
        <v>5</v>
      </c>
      <c r="U739" s="37">
        <f>AVERAGEIF(L3:L1205,"&lt;2018/2/6",T3:T1205)</f>
        <v>8.3369330453563713</v>
      </c>
      <c r="V739" s="24">
        <v>466</v>
      </c>
      <c r="W739" s="47" t="s">
        <v>4550</v>
      </c>
    </row>
    <row r="740" spans="1:23">
      <c r="A740" s="17">
        <v>1</v>
      </c>
      <c r="B740" s="17">
        <v>3</v>
      </c>
      <c r="C740" s="18">
        <v>4</v>
      </c>
      <c r="D740" s="18">
        <v>6</v>
      </c>
      <c r="E740" s="20">
        <v>81</v>
      </c>
      <c r="F740" s="21">
        <f t="shared" si="34"/>
        <v>106.08172043010752</v>
      </c>
      <c r="G740" s="22">
        <v>0.108624145221524</v>
      </c>
      <c r="H740" s="18">
        <v>1</v>
      </c>
      <c r="I740" s="18">
        <f t="shared" si="35"/>
        <v>0</v>
      </c>
      <c r="J740" s="41">
        <v>43136</v>
      </c>
      <c r="K740" s="36">
        <v>2018</v>
      </c>
      <c r="L740" s="32">
        <f t="shared" si="33"/>
        <v>43137</v>
      </c>
      <c r="M740" s="24">
        <v>0</v>
      </c>
      <c r="N740" s="33">
        <v>106</v>
      </c>
      <c r="O740" s="34">
        <f>AVERAGEIF(L3:L1205,"&lt;2018/2/5",N3:N1205)</f>
        <v>118.86363636363636</v>
      </c>
      <c r="P740" s="24">
        <v>1</v>
      </c>
      <c r="Q740" s="24">
        <f>AVERAGEIF(L3:L1205,"&lt;2018/2/5",P3:P1205)</f>
        <v>0.31385281385281383</v>
      </c>
      <c r="R740" s="24">
        <v>1</v>
      </c>
      <c r="S740" s="24">
        <f>AVERAGEIF(L3:L1205,"&lt;2018/2/5",R3:R1205)</f>
        <v>1.274891774891775</v>
      </c>
      <c r="T740" s="24">
        <v>1</v>
      </c>
      <c r="U740" s="24">
        <f>AVERAGEIF(L3:L1205,"&lt;2018/2/5",T3:T1205)</f>
        <v>8.324675324675324</v>
      </c>
      <c r="V740" s="24">
        <v>465</v>
      </c>
      <c r="W740" s="47" t="s">
        <v>4550</v>
      </c>
    </row>
    <row r="741" spans="1:23">
      <c r="A741" s="23">
        <v>3</v>
      </c>
      <c r="B741" s="23">
        <v>25</v>
      </c>
      <c r="C741" s="18">
        <v>4</v>
      </c>
      <c r="D741" s="18">
        <v>4</v>
      </c>
      <c r="E741" s="20">
        <v>52</v>
      </c>
      <c r="F741" s="21">
        <f t="shared" si="34"/>
        <v>106.19827586206897</v>
      </c>
      <c r="G741" s="22">
        <v>0.31265591228135903</v>
      </c>
      <c r="H741" s="3">
        <v>1</v>
      </c>
      <c r="I741" s="18">
        <f t="shared" si="35"/>
        <v>0</v>
      </c>
      <c r="J741" s="41">
        <v>43135</v>
      </c>
      <c r="K741" s="36">
        <v>2018</v>
      </c>
      <c r="L741" s="32">
        <f t="shared" si="33"/>
        <v>43139</v>
      </c>
      <c r="M741" s="40">
        <v>1</v>
      </c>
      <c r="N741" s="33">
        <v>177</v>
      </c>
      <c r="O741" s="34">
        <f>AVERAGEIF(L3:L1205,"&lt;2018/2/4",N3:N1205)</f>
        <v>118.86363636363636</v>
      </c>
      <c r="P741" s="38">
        <v>3</v>
      </c>
      <c r="Q741" s="38">
        <f>AVERAGEIF(L3:L1205,"&lt;2018/2/4",P3:P1205)</f>
        <v>0.31385281385281383</v>
      </c>
      <c r="R741" s="38">
        <v>2</v>
      </c>
      <c r="S741" s="38">
        <f>AVERAGEIF(L3:L1205,"&lt;2018/2/4",R3:R1205)</f>
        <v>1.274891774891775</v>
      </c>
      <c r="T741" s="38">
        <v>4</v>
      </c>
      <c r="U741" s="38">
        <f>AVERAGEIF(L3:L1205,"&lt;2018/2/4",T3:T1205)</f>
        <v>8.324675324675324</v>
      </c>
      <c r="V741" s="24">
        <v>464</v>
      </c>
      <c r="W741" s="47" t="s">
        <v>4550</v>
      </c>
    </row>
    <row r="742" spans="1:23">
      <c r="A742" s="23">
        <v>4</v>
      </c>
      <c r="B742" s="23">
        <v>30</v>
      </c>
      <c r="C742" s="18">
        <v>4</v>
      </c>
      <c r="D742" s="18">
        <v>6</v>
      </c>
      <c r="E742" s="20">
        <v>46</v>
      </c>
      <c r="F742" s="21">
        <f t="shared" si="34"/>
        <v>106.32829373650108</v>
      </c>
      <c r="G742" s="22">
        <v>0.41252745467045099</v>
      </c>
      <c r="H742" s="18">
        <v>0</v>
      </c>
      <c r="I742" s="18">
        <f t="shared" si="35"/>
        <v>1</v>
      </c>
      <c r="J742" s="45">
        <v>43135</v>
      </c>
      <c r="K742" s="36">
        <v>2018</v>
      </c>
      <c r="L742" s="32">
        <f t="shared" si="33"/>
        <v>43139</v>
      </c>
      <c r="M742" s="42">
        <v>0</v>
      </c>
      <c r="N742" s="33">
        <v>145</v>
      </c>
      <c r="O742" s="34">
        <f>AVERAGEIF(L3:L1205,"&lt;2018/2/4",N3:N1205)</f>
        <v>118.86363636363636</v>
      </c>
      <c r="P742" s="38">
        <v>1</v>
      </c>
      <c r="Q742" s="38">
        <f>AVERAGEIF(L3:L1205,"&lt;2018/2/4",P3:P1205)</f>
        <v>0.31385281385281383</v>
      </c>
      <c r="R742" s="38">
        <v>1</v>
      </c>
      <c r="S742" s="38">
        <f>AVERAGEIF(L3:L1205,"&lt;2018/2/4",R3:R1205)</f>
        <v>1.274891774891775</v>
      </c>
      <c r="T742" s="38">
        <v>4</v>
      </c>
      <c r="U742" s="38">
        <f>AVERAGEIF(L3:L1205,"&lt;2018/2/4",T3:T1205)</f>
        <v>8.324675324675324</v>
      </c>
      <c r="V742" s="24">
        <v>463</v>
      </c>
      <c r="W742" s="47" t="s">
        <v>4563</v>
      </c>
    </row>
    <row r="743" spans="1:23">
      <c r="A743" s="23">
        <v>2</v>
      </c>
      <c r="B743" s="23">
        <v>4</v>
      </c>
      <c r="C743" s="18">
        <v>4</v>
      </c>
      <c r="D743" s="18">
        <v>4</v>
      </c>
      <c r="E743" s="20">
        <v>53</v>
      </c>
      <c r="F743" s="21">
        <f t="shared" si="34"/>
        <v>106.44372294372295</v>
      </c>
      <c r="G743" s="22">
        <v>0.44094110343499998</v>
      </c>
      <c r="H743" s="18">
        <v>0</v>
      </c>
      <c r="I743" s="18">
        <f t="shared" si="35"/>
        <v>1</v>
      </c>
      <c r="J743" s="41">
        <v>43125</v>
      </c>
      <c r="K743" s="36">
        <v>2018</v>
      </c>
      <c r="L743" s="32">
        <f t="shared" si="33"/>
        <v>43130</v>
      </c>
      <c r="M743" s="40">
        <v>0</v>
      </c>
      <c r="N743" s="33">
        <v>54</v>
      </c>
      <c r="O743" s="34">
        <f>AVERAGEIF(L3:L1205,"&lt;2018/1/25",N3:N1205)</f>
        <v>119.3859649122807</v>
      </c>
      <c r="P743" s="38">
        <v>0</v>
      </c>
      <c r="Q743" s="38">
        <f>AVERAGEIF(L3:L1205,"&lt;2018/1/25",P3:P1205)</f>
        <v>0.31359649122807015</v>
      </c>
      <c r="R743" s="38">
        <v>1</v>
      </c>
      <c r="S743" s="38">
        <f>AVERAGEIF(L3:L1205,"&lt;2018/1/25",R3:R1205)</f>
        <v>1.2763157894736843</v>
      </c>
      <c r="T743" s="38">
        <v>5</v>
      </c>
      <c r="U743" s="38">
        <f>AVERAGEIF(L3:L1205,"&lt;2018/1/25",T3:T1205)</f>
        <v>8.2938596491228065</v>
      </c>
      <c r="V743" s="24">
        <v>462</v>
      </c>
      <c r="W743" s="47" t="s">
        <v>4529</v>
      </c>
    </row>
    <row r="744" spans="1:23">
      <c r="A744" s="23">
        <v>3</v>
      </c>
      <c r="B744" s="23">
        <v>25</v>
      </c>
      <c r="C744" s="18">
        <v>1</v>
      </c>
      <c r="D744" s="18">
        <v>6</v>
      </c>
      <c r="E744" s="20">
        <v>41</v>
      </c>
      <c r="F744" s="21">
        <f t="shared" si="34"/>
        <v>106.58568329718004</v>
      </c>
      <c r="G744" s="22">
        <v>0.50885985763452501</v>
      </c>
      <c r="H744" s="3">
        <v>1</v>
      </c>
      <c r="I744" s="18">
        <f t="shared" si="35"/>
        <v>0</v>
      </c>
      <c r="J744" s="41">
        <v>43124</v>
      </c>
      <c r="K744" s="36">
        <v>2018</v>
      </c>
      <c r="L744" s="32">
        <f t="shared" si="33"/>
        <v>43130</v>
      </c>
      <c r="M744" s="40">
        <v>1</v>
      </c>
      <c r="N744" s="33">
        <v>53</v>
      </c>
      <c r="O744" s="34">
        <f>AVERAGEIF(L3:L1205,"&lt;2018/1/24",N3:N1205)</f>
        <v>119.35384615384615</v>
      </c>
      <c r="P744" s="38">
        <v>0</v>
      </c>
      <c r="Q744" s="38">
        <f>AVERAGEIF(L3:L1205,"&lt;2018/1/24",P3:P1205)</f>
        <v>0.31428571428571428</v>
      </c>
      <c r="R744" s="38">
        <v>1</v>
      </c>
      <c r="S744" s="38">
        <f>AVERAGEIF(L3:L1205,"&lt;2018/1/24",R3:R1205)</f>
        <v>1.2769230769230768</v>
      </c>
      <c r="T744" s="38">
        <v>6</v>
      </c>
      <c r="U744" s="38">
        <f>AVERAGEIF(L3:L1205,"&lt;2018/1/24",T3:T1205)</f>
        <v>8.3010989010989018</v>
      </c>
      <c r="V744" s="24">
        <v>461</v>
      </c>
      <c r="W744" s="47" t="s">
        <v>4563</v>
      </c>
    </row>
    <row r="745" spans="1:23">
      <c r="A745" s="23">
        <v>4</v>
      </c>
      <c r="B745" s="23">
        <v>28</v>
      </c>
      <c r="C745" s="18">
        <v>4</v>
      </c>
      <c r="D745" s="18">
        <v>6</v>
      </c>
      <c r="E745" s="20">
        <v>138</v>
      </c>
      <c r="F745" s="21">
        <f t="shared" si="34"/>
        <v>106.51739130434783</v>
      </c>
      <c r="G745" s="22">
        <v>0.78664199709054605</v>
      </c>
      <c r="H745" s="18">
        <v>1</v>
      </c>
      <c r="I745" s="18">
        <f t="shared" si="35"/>
        <v>0</v>
      </c>
      <c r="J745" s="45">
        <v>43123</v>
      </c>
      <c r="K745" s="36">
        <v>2018</v>
      </c>
      <c r="L745" s="32">
        <f t="shared" si="33"/>
        <v>43131</v>
      </c>
      <c r="M745" s="44">
        <v>1</v>
      </c>
      <c r="N745" s="33">
        <v>95</v>
      </c>
      <c r="O745" s="34">
        <f>AVERAGEIF(L3:L1205,"&lt;2018/1/23",N3:N1205)</f>
        <v>119.39427312775331</v>
      </c>
      <c r="P745" s="38">
        <v>1</v>
      </c>
      <c r="Q745" s="38">
        <f>AVERAGEIF(L3:L1205,"&lt;2018/1/23",P3:P1205)</f>
        <v>0.31277533039647576</v>
      </c>
      <c r="R745" s="38">
        <v>1</v>
      </c>
      <c r="S745" s="38">
        <f>AVERAGEIF(L3:L1205,"&lt;2018/1/23",R3:R1205)</f>
        <v>1.277533039647577</v>
      </c>
      <c r="T745" s="38">
        <v>8</v>
      </c>
      <c r="U745" s="38">
        <f>AVERAGEIF(L3:L1205,"&lt;2018/1/23",T3:T1205)</f>
        <v>8.3083700440528627</v>
      </c>
      <c r="V745" s="24">
        <v>460</v>
      </c>
      <c r="W745" s="47" t="s">
        <v>4529</v>
      </c>
    </row>
    <row r="746" spans="1:23">
      <c r="A746" s="23">
        <v>4</v>
      </c>
      <c r="B746" s="23">
        <v>31</v>
      </c>
      <c r="C746" s="18">
        <v>4</v>
      </c>
      <c r="D746" s="18">
        <v>6</v>
      </c>
      <c r="E746" s="20">
        <v>77</v>
      </c>
      <c r="F746" s="21">
        <f t="shared" si="34"/>
        <v>106.58169934640523</v>
      </c>
      <c r="G746" s="22">
        <v>0.505350520221161</v>
      </c>
      <c r="H746" s="18">
        <v>1</v>
      </c>
      <c r="I746" s="18">
        <f t="shared" si="35"/>
        <v>0</v>
      </c>
      <c r="J746" s="45">
        <v>43123</v>
      </c>
      <c r="K746" s="36">
        <v>2018</v>
      </c>
      <c r="L746" s="32">
        <f t="shared" si="33"/>
        <v>43131</v>
      </c>
      <c r="M746" s="42">
        <v>0</v>
      </c>
      <c r="N746" s="33">
        <v>94</v>
      </c>
      <c r="O746" s="34">
        <f>AVERAGEIF(L3:L1205,"&lt;2018/1/22",N3:N1205)</f>
        <v>119.47240618101546</v>
      </c>
      <c r="P746" s="38">
        <v>0</v>
      </c>
      <c r="Q746" s="38">
        <f>AVERAGEIF(L3:L1205,"&lt;2018/1/23",P3:P1205)</f>
        <v>0.31277533039647576</v>
      </c>
      <c r="R746" s="38">
        <v>2</v>
      </c>
      <c r="S746" s="38">
        <f>AVERAGEIF(L3:L1205,"&lt;2018/1/23",R3:R1205)</f>
        <v>1.277533039647577</v>
      </c>
      <c r="T746" s="38">
        <v>8</v>
      </c>
      <c r="U746" s="38">
        <f>AVERAGEIF(L3:L1205,"&lt;2018/1/23",T3:T1205)</f>
        <v>8.3083700440528627</v>
      </c>
      <c r="V746" s="24">
        <v>459</v>
      </c>
      <c r="W746" s="47" t="s">
        <v>4742</v>
      </c>
    </row>
    <row r="747" spans="1:23">
      <c r="A747" s="23">
        <v>2</v>
      </c>
      <c r="B747" s="23">
        <v>17</v>
      </c>
      <c r="C747" s="18">
        <v>4</v>
      </c>
      <c r="D747" s="18">
        <v>6</v>
      </c>
      <c r="E747" s="20">
        <v>48</v>
      </c>
      <c r="F747" s="21">
        <f t="shared" si="34"/>
        <v>106.70960698689956</v>
      </c>
      <c r="G747" s="22">
        <v>0.375000032243131</v>
      </c>
      <c r="H747" s="18">
        <v>1</v>
      </c>
      <c r="I747" s="18">
        <f t="shared" si="35"/>
        <v>0</v>
      </c>
      <c r="J747" s="41">
        <v>43122</v>
      </c>
      <c r="K747" s="36">
        <v>2018</v>
      </c>
      <c r="L747" s="32">
        <f t="shared" si="33"/>
        <v>43136</v>
      </c>
      <c r="M747" s="24">
        <v>1</v>
      </c>
      <c r="N747" s="33">
        <v>95</v>
      </c>
      <c r="O747" s="34">
        <f>AVERAGEIF(L3:L1205,"&lt;2018/1/22",N3:N1205)</f>
        <v>119.47240618101546</v>
      </c>
      <c r="P747" s="38">
        <v>0</v>
      </c>
      <c r="Q747" s="38">
        <f>AVERAGEIF(L3:L1205,"&lt;2018/1/22",P3:P1205)</f>
        <v>0.31346578366445915</v>
      </c>
      <c r="R747" s="38">
        <v>1</v>
      </c>
      <c r="S747" s="38">
        <f>AVERAGEIF(L3:L1205,"&lt;2018/1/22",R3:R1205)</f>
        <v>1.2781456953642385</v>
      </c>
      <c r="T747" s="38">
        <v>14</v>
      </c>
      <c r="U747" s="38">
        <f>AVERAGEIF(L3:L1205,"&lt;2018/1/22",T3:T1205)</f>
        <v>8.3178807947019866</v>
      </c>
      <c r="V747" s="24">
        <v>458</v>
      </c>
      <c r="W747" s="47" t="s">
        <v>4529</v>
      </c>
    </row>
    <row r="748" spans="1:23">
      <c r="A748" s="23">
        <v>3</v>
      </c>
      <c r="B748" s="23">
        <v>25</v>
      </c>
      <c r="C748" s="18">
        <v>4</v>
      </c>
      <c r="D748" s="18">
        <v>4</v>
      </c>
      <c r="E748" s="20">
        <v>59</v>
      </c>
      <c r="F748" s="21">
        <f t="shared" si="34"/>
        <v>106.81400437636762</v>
      </c>
      <c r="G748" s="22">
        <v>0.61078342160820298</v>
      </c>
      <c r="H748" s="3">
        <v>1</v>
      </c>
      <c r="I748" s="18">
        <f t="shared" si="35"/>
        <v>0</v>
      </c>
      <c r="J748" s="41">
        <v>43120</v>
      </c>
      <c r="K748" s="36">
        <v>2018</v>
      </c>
      <c r="L748" s="32">
        <f t="shared" si="33"/>
        <v>43132</v>
      </c>
      <c r="M748" s="40">
        <v>0</v>
      </c>
      <c r="N748" s="33">
        <v>45</v>
      </c>
      <c r="O748" s="34">
        <f>AVERAGEIF(L3:L1205,"&lt;2018/1/20",N3:N1205)</f>
        <v>119.47240618101546</v>
      </c>
      <c r="P748" s="38">
        <v>0</v>
      </c>
      <c r="Q748" s="38">
        <f>AVERAGEIF(L3:L1205,"&lt;2018/1/20",P3:P1205)</f>
        <v>0.31346578366445915</v>
      </c>
      <c r="R748" s="38">
        <v>1</v>
      </c>
      <c r="S748" s="38">
        <f>AVERAGEIF(L3:L1205,"&lt;2018/1/20",R3:R1205)</f>
        <v>1.2781456953642385</v>
      </c>
      <c r="T748" s="38">
        <v>12</v>
      </c>
      <c r="U748" s="38">
        <f>AVERAGEIF(L3:L1205,"&lt;2018/1/20",T3:T1205)</f>
        <v>8.3178807947019866</v>
      </c>
      <c r="V748" s="24">
        <v>457</v>
      </c>
      <c r="W748" s="47" t="s">
        <v>4634</v>
      </c>
    </row>
    <row r="749" spans="1:23">
      <c r="A749" s="23">
        <v>2</v>
      </c>
      <c r="B749" s="23">
        <v>4</v>
      </c>
      <c r="C749" s="18">
        <v>4</v>
      </c>
      <c r="D749" s="18">
        <v>4</v>
      </c>
      <c r="E749" s="20">
        <v>91</v>
      </c>
      <c r="F749" s="21">
        <f t="shared" si="34"/>
        <v>106.84868421052632</v>
      </c>
      <c r="G749" s="22">
        <v>0.37909028932250399</v>
      </c>
      <c r="H749" s="18">
        <v>0</v>
      </c>
      <c r="I749" s="18">
        <f t="shared" si="35"/>
        <v>1</v>
      </c>
      <c r="J749" s="41">
        <v>43119</v>
      </c>
      <c r="K749" s="36">
        <v>2018</v>
      </c>
      <c r="L749" s="32">
        <f t="shared" si="33"/>
        <v>43124</v>
      </c>
      <c r="M749" s="40">
        <v>0</v>
      </c>
      <c r="N749" s="33">
        <v>134</v>
      </c>
      <c r="O749" s="34">
        <f>AVERAGEIF(L3:L1205,"&lt;2018/1/19",N3:N1205)</f>
        <v>119.47240618101546</v>
      </c>
      <c r="P749" s="38">
        <v>0</v>
      </c>
      <c r="Q749" s="38">
        <f>AVERAGEIF(L3:L1205,"&lt;2018/1/19",P3:P1205)</f>
        <v>0.31346578366445915</v>
      </c>
      <c r="R749" s="38">
        <v>1</v>
      </c>
      <c r="S749" s="38">
        <f>AVERAGEIF(L3:L1205,"&lt;2018/1/19",R3:R1205)</f>
        <v>1.2781456953642385</v>
      </c>
      <c r="T749" s="38">
        <v>5</v>
      </c>
      <c r="U749" s="38">
        <f>AVERAGEIF(L3:L1205,"&lt;2018/1/19",T3:T1205)</f>
        <v>8.3178807947019866</v>
      </c>
      <c r="V749" s="24">
        <v>456</v>
      </c>
      <c r="W749" s="47" t="s">
        <v>4550</v>
      </c>
    </row>
    <row r="750" spans="1:23">
      <c r="A750" s="17">
        <v>1</v>
      </c>
      <c r="B750" s="17">
        <v>2</v>
      </c>
      <c r="C750" s="18">
        <v>5</v>
      </c>
      <c r="D750" s="18">
        <v>6</v>
      </c>
      <c r="E750" s="20">
        <v>30</v>
      </c>
      <c r="F750" s="21">
        <f t="shared" si="34"/>
        <v>107.01758241758242</v>
      </c>
      <c r="G750" s="22">
        <v>0.412858695708262</v>
      </c>
      <c r="H750" s="18">
        <v>1</v>
      </c>
      <c r="I750" s="18">
        <f t="shared" si="35"/>
        <v>0</v>
      </c>
      <c r="J750" s="41">
        <v>43118</v>
      </c>
      <c r="K750" s="36">
        <v>2018</v>
      </c>
      <c r="L750" s="32">
        <f t="shared" si="33"/>
        <v>43122</v>
      </c>
      <c r="M750" s="24">
        <v>1</v>
      </c>
      <c r="N750" s="33">
        <v>84</v>
      </c>
      <c r="O750" s="34">
        <f>AVERAGEIF(L3:L1205,"&lt;2018/1/18",N3:N1205)</f>
        <v>119.60176991150442</v>
      </c>
      <c r="P750" s="55">
        <v>0</v>
      </c>
      <c r="Q750" s="24">
        <f>AVERAGEIF(L3:L1205,"&lt;2018/1/18",P3:P1205)</f>
        <v>0.31194690265486724</v>
      </c>
      <c r="R750" s="24">
        <v>1</v>
      </c>
      <c r="S750" s="24">
        <f>AVERAGEIF(L3:L1205,"&lt;2018/1/18",R3:R1205)</f>
        <v>1.2787610619469028</v>
      </c>
      <c r="T750" s="55">
        <v>4</v>
      </c>
      <c r="U750" s="24">
        <f>AVERAGEIF(L3:L1205,"&lt;2018/1/18",T3:T1205)</f>
        <v>8.3053097345132745</v>
      </c>
      <c r="V750" s="24">
        <v>455</v>
      </c>
      <c r="W750" s="47" t="s">
        <v>4563</v>
      </c>
    </row>
    <row r="751" spans="1:23">
      <c r="A751" s="23">
        <v>2</v>
      </c>
      <c r="B751" s="23">
        <v>7</v>
      </c>
      <c r="C751" s="18">
        <v>4</v>
      </c>
      <c r="D751" s="18">
        <v>4</v>
      </c>
      <c r="E751" s="20">
        <v>62</v>
      </c>
      <c r="F751" s="21">
        <f t="shared" si="34"/>
        <v>107.11674008810573</v>
      </c>
      <c r="G751" s="22">
        <v>0.28177182423482</v>
      </c>
      <c r="H751" s="18">
        <v>1</v>
      </c>
      <c r="I751" s="18">
        <f t="shared" si="35"/>
        <v>0</v>
      </c>
      <c r="J751" s="41">
        <v>43118</v>
      </c>
      <c r="K751" s="36">
        <v>2018</v>
      </c>
      <c r="L751" s="32">
        <f t="shared" si="33"/>
        <v>43123</v>
      </c>
      <c r="M751" s="40">
        <v>0</v>
      </c>
      <c r="N751" s="33">
        <v>101</v>
      </c>
      <c r="O751" s="34">
        <f>AVERAGEIF(L3:L1205,"&lt;2018/1/18",N3:N1205)</f>
        <v>119.60176991150442</v>
      </c>
      <c r="P751" s="54">
        <v>1</v>
      </c>
      <c r="Q751" s="38">
        <f>AVERAGEIF(L3:L1205,"&lt;2018/1/18",P3:P1205)</f>
        <v>0.31194690265486724</v>
      </c>
      <c r="R751" s="38">
        <v>1</v>
      </c>
      <c r="S751" s="38">
        <f>AVERAGEIF(L3:L1205,"&lt;2018/1/18",R3:R1205)</f>
        <v>1.2787610619469028</v>
      </c>
      <c r="T751" s="54">
        <v>5</v>
      </c>
      <c r="U751" s="38">
        <f>AVERAGEIF(L3:L1205,"&lt;2018/1/18",T3:T1205)</f>
        <v>8.3053097345132745</v>
      </c>
      <c r="V751" s="24">
        <v>454</v>
      </c>
      <c r="W751" s="47" t="s">
        <v>4550</v>
      </c>
    </row>
    <row r="752" spans="1:23">
      <c r="A752" s="17">
        <v>1</v>
      </c>
      <c r="B752" s="17">
        <v>3</v>
      </c>
      <c r="C752" s="18">
        <v>4</v>
      </c>
      <c r="D752" s="18">
        <v>4</v>
      </c>
      <c r="E752" s="20">
        <v>69</v>
      </c>
      <c r="F752" s="21">
        <f t="shared" si="34"/>
        <v>107.2008830022075</v>
      </c>
      <c r="G752" s="22">
        <v>0.38901488648864802</v>
      </c>
      <c r="H752" s="18">
        <v>1</v>
      </c>
      <c r="I752" s="18">
        <f t="shared" si="35"/>
        <v>0</v>
      </c>
      <c r="J752" s="41">
        <v>43116</v>
      </c>
      <c r="K752" s="36">
        <v>2018</v>
      </c>
      <c r="L752" s="32">
        <f t="shared" si="33"/>
        <v>43117</v>
      </c>
      <c r="M752" s="40">
        <v>0</v>
      </c>
      <c r="N752" s="33">
        <v>140</v>
      </c>
      <c r="O752" s="34">
        <f>AVERAGEIF(L3:L1205,"&lt;2018/1/16",N3:N1205)</f>
        <v>119.63777777777777</v>
      </c>
      <c r="P752" s="24">
        <v>0</v>
      </c>
      <c r="Q752" s="24">
        <f>AVERAGEIF(L3:L1205,"&lt;2018/1/16",P3:P1205)</f>
        <v>0.31111111111111112</v>
      </c>
      <c r="R752" s="24">
        <v>1</v>
      </c>
      <c r="S752" s="24">
        <f>AVERAGEIF(L3:L1205,"&lt;2018/1/16",R3:R1205)</f>
        <v>1.28</v>
      </c>
      <c r="T752" s="24">
        <v>1</v>
      </c>
      <c r="U752" s="24">
        <f>AVERAGEIF(L3:L1205,"&lt;2018/1/16",T3:T1205)</f>
        <v>8.3355555555555547</v>
      </c>
      <c r="V752" s="24">
        <v>453</v>
      </c>
      <c r="W752" s="47" t="s">
        <v>4618</v>
      </c>
    </row>
    <row r="753" spans="1:23">
      <c r="A753" s="17">
        <v>1</v>
      </c>
      <c r="B753" s="17">
        <v>2</v>
      </c>
      <c r="C753" s="18">
        <v>1</v>
      </c>
      <c r="D753" s="18">
        <v>6</v>
      </c>
      <c r="E753" s="20">
        <v>168</v>
      </c>
      <c r="F753" s="21">
        <f t="shared" si="34"/>
        <v>107.06637168141593</v>
      </c>
      <c r="G753" s="22">
        <v>0.31007815878810002</v>
      </c>
      <c r="H753" s="18">
        <v>1</v>
      </c>
      <c r="I753" s="18">
        <f t="shared" si="35"/>
        <v>0</v>
      </c>
      <c r="J753" s="41">
        <v>43114</v>
      </c>
      <c r="K753" s="36">
        <v>2018</v>
      </c>
      <c r="L753" s="32">
        <f t="shared" si="33"/>
        <v>43116</v>
      </c>
      <c r="M753" s="40">
        <v>1</v>
      </c>
      <c r="N753" s="33">
        <v>83</v>
      </c>
      <c r="O753" s="34">
        <f>AVERAGEIF(L3:L1205,"&lt;2018/1/14",N3:N1205)</f>
        <v>119.84855233853007</v>
      </c>
      <c r="P753" s="24">
        <v>1</v>
      </c>
      <c r="Q753" s="24">
        <f>AVERAGEIF(L3:L1205,"&lt;2018/1/14",P3:P1205)</f>
        <v>0.30957683741648107</v>
      </c>
      <c r="R753" s="24">
        <v>1</v>
      </c>
      <c r="S753" s="24">
        <f>AVERAGEIF(L3:L1205,"&lt;2018/1/14",R3:R1205)</f>
        <v>1.2806236080178173</v>
      </c>
      <c r="T753" s="24">
        <v>2</v>
      </c>
      <c r="U753" s="24">
        <f>AVERAGEIF(L3:L1205,"&lt;2018/1/14",T3:T1205)</f>
        <v>8.3340757238307344</v>
      </c>
      <c r="V753" s="24">
        <v>452</v>
      </c>
      <c r="W753" s="47" t="s">
        <v>4624</v>
      </c>
    </row>
    <row r="754" spans="1:23">
      <c r="A754" s="23">
        <v>4</v>
      </c>
      <c r="B754" s="23">
        <v>33</v>
      </c>
      <c r="C754" s="18">
        <v>4</v>
      </c>
      <c r="D754" s="18">
        <v>4</v>
      </c>
      <c r="E754" s="20">
        <v>56</v>
      </c>
      <c r="F754" s="21">
        <f t="shared" si="34"/>
        <v>107.17960088691795</v>
      </c>
      <c r="G754" s="22">
        <v>0.45730916614230399</v>
      </c>
      <c r="H754" s="18">
        <v>1</v>
      </c>
      <c r="I754" s="18">
        <f t="shared" si="35"/>
        <v>0</v>
      </c>
      <c r="J754" s="45">
        <v>43106</v>
      </c>
      <c r="K754" s="36">
        <v>2018</v>
      </c>
      <c r="L754" s="32">
        <f t="shared" si="33"/>
        <v>43115</v>
      </c>
      <c r="M754" s="42">
        <v>0</v>
      </c>
      <c r="N754" s="33">
        <v>25</v>
      </c>
      <c r="O754" s="34">
        <f>AVERAGEIF(L3:L1205,"&lt;2018/1/6",N3:N1205)</f>
        <v>120.19047619047619</v>
      </c>
      <c r="P754" s="38">
        <v>1</v>
      </c>
      <c r="Q754" s="38">
        <f>AVERAGEIF(L3:L1205,"&lt;2018/1/6",P3:P1205)</f>
        <v>0.31292517006802723</v>
      </c>
      <c r="R754" s="38">
        <v>1</v>
      </c>
      <c r="S754" s="38">
        <f>AVERAGEIF(L3:L1205,"&lt;2018/1/6",R3:R1205)</f>
        <v>1.2857142857142858</v>
      </c>
      <c r="T754" s="38">
        <v>9</v>
      </c>
      <c r="U754" s="38">
        <f>AVERAGEIF(L3:L1205,"&lt;2018/1/6",T3:T1205)</f>
        <v>8.3492063492063497</v>
      </c>
      <c r="V754" s="24">
        <v>451</v>
      </c>
      <c r="W754" s="47" t="s">
        <v>4579</v>
      </c>
    </row>
    <row r="755" spans="1:23">
      <c r="A755" s="23">
        <v>2</v>
      </c>
      <c r="B755" s="23">
        <v>7</v>
      </c>
      <c r="C755" s="18">
        <v>4</v>
      </c>
      <c r="D755" s="18">
        <v>6</v>
      </c>
      <c r="E755" s="20">
        <v>150</v>
      </c>
      <c r="F755" s="21">
        <f t="shared" si="34"/>
        <v>107.08444444444444</v>
      </c>
      <c r="G755" s="22">
        <v>0.83994765706605901</v>
      </c>
      <c r="H755" s="18">
        <v>1</v>
      </c>
      <c r="I755" s="18">
        <f t="shared" si="35"/>
        <v>0</v>
      </c>
      <c r="J755" s="41">
        <v>43104</v>
      </c>
      <c r="K755" s="36">
        <v>2018</v>
      </c>
      <c r="L755" s="32">
        <f t="shared" si="33"/>
        <v>43108</v>
      </c>
      <c r="M755" s="40">
        <v>1</v>
      </c>
      <c r="N755" s="33">
        <v>58</v>
      </c>
      <c r="O755" s="34">
        <f>AVERAGEIF(L3:L1205,"&lt;2018/1/4",N3:N1205)</f>
        <v>120.4703196347032</v>
      </c>
      <c r="P755" s="38">
        <v>0</v>
      </c>
      <c r="Q755" s="38">
        <f>AVERAGEIF(L3:L1205,"&lt;2018/1/4",P3:P1205)</f>
        <v>0.31050228310502281</v>
      </c>
      <c r="R755" s="38">
        <v>1</v>
      </c>
      <c r="S755" s="38">
        <f>AVERAGEIF(L3:L1205,"&lt;2018/1/4",R3:R1205)</f>
        <v>1.2853881278538812</v>
      </c>
      <c r="T755" s="38">
        <v>4</v>
      </c>
      <c r="U755" s="38">
        <f>AVERAGEIF(L3:L1205,"&lt;2018/1/4",T3:T1205)</f>
        <v>8.3333333333333339</v>
      </c>
      <c r="V755" s="24">
        <v>450</v>
      </c>
      <c r="W755" s="47" t="s">
        <v>4563</v>
      </c>
    </row>
    <row r="756" spans="1:23">
      <c r="A756" s="23">
        <v>2</v>
      </c>
      <c r="B756" s="23">
        <v>7</v>
      </c>
      <c r="C756" s="18">
        <v>4</v>
      </c>
      <c r="D756" s="18">
        <v>6</v>
      </c>
      <c r="E756" s="20">
        <v>311</v>
      </c>
      <c r="F756" s="21">
        <f t="shared" si="34"/>
        <v>106.63028953229399</v>
      </c>
      <c r="G756" s="22">
        <v>0.63047377846248998</v>
      </c>
      <c r="H756" s="18">
        <v>1</v>
      </c>
      <c r="I756" s="18">
        <f t="shared" si="35"/>
        <v>0</v>
      </c>
      <c r="J756" s="41">
        <v>43104</v>
      </c>
      <c r="K756" s="36">
        <v>2018</v>
      </c>
      <c r="L756" s="32">
        <f t="shared" si="33"/>
        <v>43108</v>
      </c>
      <c r="M756" s="40">
        <v>1</v>
      </c>
      <c r="N756" s="33">
        <v>72</v>
      </c>
      <c r="O756" s="34">
        <f>AVERAGEIF(L3:L1205,"&lt;2018/1/4",N3:N1205)</f>
        <v>120.4703196347032</v>
      </c>
      <c r="P756" s="38">
        <v>0</v>
      </c>
      <c r="Q756" s="38">
        <f>AVERAGEIF(L3:L1205,"&lt;2018/1/4",P3:P1205)</f>
        <v>0.31050228310502281</v>
      </c>
      <c r="R756" s="38">
        <v>1</v>
      </c>
      <c r="S756" s="38">
        <f>AVERAGEIF(L3:L1205,"&lt;2018/1/4",R3:R1205)</f>
        <v>1.2853881278538812</v>
      </c>
      <c r="T756" s="38">
        <v>4</v>
      </c>
      <c r="U756" s="38">
        <f>AVERAGEIF(L3:L1205,"&lt;2018/1/4",T3:T1205)</f>
        <v>8.3333333333333339</v>
      </c>
      <c r="V756" s="24">
        <v>449</v>
      </c>
      <c r="W756" s="47" t="s">
        <v>4550</v>
      </c>
    </row>
    <row r="757" spans="1:23">
      <c r="A757" s="23">
        <v>2</v>
      </c>
      <c r="B757" s="23">
        <v>17</v>
      </c>
      <c r="C757" s="18">
        <v>5</v>
      </c>
      <c r="D757" s="18">
        <v>6</v>
      </c>
      <c r="E757" s="20">
        <v>150</v>
      </c>
      <c r="F757" s="21">
        <f t="shared" si="34"/>
        <v>106.53348214285714</v>
      </c>
      <c r="G757" s="22">
        <v>0.75554610043161896</v>
      </c>
      <c r="H757" s="18">
        <v>1</v>
      </c>
      <c r="I757" s="18">
        <f t="shared" si="35"/>
        <v>0</v>
      </c>
      <c r="J757" s="41">
        <v>43104</v>
      </c>
      <c r="K757" s="36">
        <v>2018</v>
      </c>
      <c r="L757" s="32">
        <f t="shared" si="33"/>
        <v>43108</v>
      </c>
      <c r="M757" s="40">
        <v>1</v>
      </c>
      <c r="N757" s="33">
        <v>58</v>
      </c>
      <c r="O757" s="34">
        <f>AVERAGEIF(L3:L1205,"&lt;2018/1/4",N3:N1205)</f>
        <v>120.4703196347032</v>
      </c>
      <c r="P757" s="38">
        <v>0</v>
      </c>
      <c r="Q757" s="38">
        <f>AVERAGEIF(L3:L1205,"&lt;2018/1/4",P3:P1205)</f>
        <v>0.31050228310502281</v>
      </c>
      <c r="R757" s="38">
        <v>1</v>
      </c>
      <c r="S757" s="38">
        <f>AVERAGEIF(L3:L1205,"&lt;2018/1/4",R3:R1205)</f>
        <v>1.2853881278538812</v>
      </c>
      <c r="T757" s="38">
        <v>4</v>
      </c>
      <c r="U757" s="38">
        <f>AVERAGEIF(L3:L1205,"&lt;2018/1/4",T3:T1205)</f>
        <v>8.3333333333333339</v>
      </c>
      <c r="V757" s="24">
        <v>448</v>
      </c>
      <c r="W757" s="47" t="s">
        <v>4563</v>
      </c>
    </row>
    <row r="758" spans="1:23">
      <c r="A758" s="23">
        <v>4</v>
      </c>
      <c r="B758" s="23">
        <v>28</v>
      </c>
      <c r="C758" s="18">
        <v>4</v>
      </c>
      <c r="D758" s="18">
        <v>4</v>
      </c>
      <c r="E758" s="20">
        <v>126</v>
      </c>
      <c r="F758" s="21">
        <f t="shared" si="34"/>
        <v>106.48993288590604</v>
      </c>
      <c r="G758" s="22">
        <v>0.67634964537563902</v>
      </c>
      <c r="H758" s="18">
        <v>1</v>
      </c>
      <c r="I758" s="18">
        <f t="shared" si="35"/>
        <v>0</v>
      </c>
      <c r="J758" s="45">
        <v>43104</v>
      </c>
      <c r="K758" s="36">
        <v>2018</v>
      </c>
      <c r="L758" s="32">
        <f t="shared" si="33"/>
        <v>43118</v>
      </c>
      <c r="M758" s="44">
        <v>1</v>
      </c>
      <c r="N758" s="33">
        <v>61</v>
      </c>
      <c r="O758" s="34">
        <f>AVERAGEIF(L3:L1205,"&lt;2018/1/4",N3:N1205)</f>
        <v>120.4703196347032</v>
      </c>
      <c r="P758" s="38">
        <v>1</v>
      </c>
      <c r="Q758" s="38">
        <f>AVERAGEIF(L3:L1205,"&lt;2018/1/4",P3:P1205)</f>
        <v>0.31050228310502281</v>
      </c>
      <c r="R758" s="38">
        <v>1</v>
      </c>
      <c r="S758" s="38">
        <f>AVERAGEIF(L3:L1205,"&lt;2018/1/4",R3:R1205)</f>
        <v>1.2853881278538812</v>
      </c>
      <c r="T758" s="38">
        <v>14</v>
      </c>
      <c r="U758" s="38">
        <f>AVERAGEIF(L3:L1205,"&lt;2018/1/4",T3:T1205)</f>
        <v>8.3333333333333339</v>
      </c>
      <c r="V758" s="24">
        <v>447</v>
      </c>
      <c r="W758" s="47" t="s">
        <v>4529</v>
      </c>
    </row>
    <row r="759" spans="1:23">
      <c r="A759" s="23">
        <v>4</v>
      </c>
      <c r="B759" s="23">
        <v>30</v>
      </c>
      <c r="C759" s="18">
        <v>4</v>
      </c>
      <c r="D759" s="18">
        <v>6</v>
      </c>
      <c r="E759" s="20">
        <v>87</v>
      </c>
      <c r="F759" s="21">
        <f t="shared" si="34"/>
        <v>106.53363228699551</v>
      </c>
      <c r="G759" s="22">
        <v>0.28209562736410798</v>
      </c>
      <c r="H759" s="18">
        <v>0</v>
      </c>
      <c r="I759" s="18">
        <f t="shared" si="35"/>
        <v>1</v>
      </c>
      <c r="J759" s="45">
        <v>43104</v>
      </c>
      <c r="K759" s="36">
        <v>2018</v>
      </c>
      <c r="L759" s="32">
        <f t="shared" si="33"/>
        <v>43129</v>
      </c>
      <c r="M759" s="24">
        <v>0</v>
      </c>
      <c r="N759" s="33">
        <v>134</v>
      </c>
      <c r="O759" s="34">
        <f>AVERAGEIF(L3:L1205,"&lt;2018/1/4",N3:N1205)</f>
        <v>120.4703196347032</v>
      </c>
      <c r="P759" s="38">
        <v>1</v>
      </c>
      <c r="Q759" s="38">
        <f>AVERAGEIF(L3:L1205,"&lt;2018/1/4",P3:P1205)</f>
        <v>0.31050228310502281</v>
      </c>
      <c r="R759" s="38">
        <v>1</v>
      </c>
      <c r="S759" s="38">
        <f>AVERAGEIF(L3:L1205,"&lt;2018/1/4",R3:R1205)</f>
        <v>1.2853881278538812</v>
      </c>
      <c r="T759" s="38">
        <v>25</v>
      </c>
      <c r="U759" s="38">
        <f>AVERAGEIF(L3:L1205,"&lt;2018/1/4",T3:T1205)</f>
        <v>8.3333333333333339</v>
      </c>
      <c r="V759" s="24">
        <v>446</v>
      </c>
      <c r="W759" s="47" t="s">
        <v>4529</v>
      </c>
    </row>
    <row r="760" spans="1:23">
      <c r="A760" s="17">
        <v>1</v>
      </c>
      <c r="B760" s="17">
        <v>2</v>
      </c>
      <c r="C760" s="18">
        <v>4</v>
      </c>
      <c r="D760" s="18">
        <v>6</v>
      </c>
      <c r="E760" s="20">
        <v>152</v>
      </c>
      <c r="F760" s="21">
        <f t="shared" si="34"/>
        <v>106.43146067415731</v>
      </c>
      <c r="G760" s="22">
        <v>0.273135328338584</v>
      </c>
      <c r="H760" s="18">
        <v>1</v>
      </c>
      <c r="I760" s="18">
        <f t="shared" si="35"/>
        <v>0</v>
      </c>
      <c r="J760" s="41">
        <v>43103</v>
      </c>
      <c r="K760" s="36">
        <v>2018</v>
      </c>
      <c r="L760" s="32">
        <f t="shared" si="33"/>
        <v>43108</v>
      </c>
      <c r="M760" s="24">
        <v>1</v>
      </c>
      <c r="N760" s="33">
        <v>139</v>
      </c>
      <c r="O760" s="34">
        <f>AVERAGEIF(L3:L1205,"&lt;2018/1/3",N3:N1205)</f>
        <v>120.52173913043478</v>
      </c>
      <c r="P760" s="24">
        <v>0</v>
      </c>
      <c r="Q760" s="24">
        <f>AVERAGEIF(L3:L1205,"&lt;2018/1/3",P3:P1205)</f>
        <v>0.31121281464530892</v>
      </c>
      <c r="R760" s="24">
        <v>1</v>
      </c>
      <c r="S760" s="24">
        <f>AVERAGEIF(L3:L1205,"&lt;2018/1/3",R3:R1205)</f>
        <v>1.2860411899313502</v>
      </c>
      <c r="T760" s="24">
        <v>5</v>
      </c>
      <c r="U760" s="24">
        <f>AVERAGEIF(L3:L1205,"&lt;2018/1/3",T3:T1205)</f>
        <v>8.3432494279176197</v>
      </c>
      <c r="V760" s="24">
        <v>445</v>
      </c>
      <c r="W760" s="47" t="s">
        <v>4650</v>
      </c>
    </row>
    <row r="761" spans="1:23">
      <c r="A761" s="23">
        <v>4</v>
      </c>
      <c r="B761" s="23">
        <v>35</v>
      </c>
      <c r="C761" s="18">
        <v>4</v>
      </c>
      <c r="D761" s="18">
        <v>6</v>
      </c>
      <c r="E761" s="20">
        <v>108</v>
      </c>
      <c r="F761" s="21">
        <f t="shared" si="34"/>
        <v>106.42792792792793</v>
      </c>
      <c r="G761" s="22">
        <v>0.41320947266694102</v>
      </c>
      <c r="H761" s="18">
        <v>1</v>
      </c>
      <c r="I761" s="18">
        <f t="shared" si="35"/>
        <v>0</v>
      </c>
      <c r="J761" s="45">
        <v>43103</v>
      </c>
      <c r="K761" s="36">
        <v>2018</v>
      </c>
      <c r="L761" s="32">
        <f t="shared" si="33"/>
        <v>43108</v>
      </c>
      <c r="M761" s="42">
        <v>0</v>
      </c>
      <c r="N761" s="33">
        <v>169</v>
      </c>
      <c r="O761" s="34">
        <f>AVERAGEIF(L3:L1205,"&lt;2018/1/3",N3:N1205)</f>
        <v>120.52173913043478</v>
      </c>
      <c r="P761" s="38">
        <v>0</v>
      </c>
      <c r="Q761" s="38">
        <f>AVERAGEIF(L3:L1205,"&lt;2018/1/3",P3:P1205)</f>
        <v>0.31121281464530892</v>
      </c>
      <c r="R761" s="38">
        <v>1</v>
      </c>
      <c r="S761" s="38">
        <f>AVERAGEIF(L3:L1205,"&lt;2018/1/3",R3:R1205)</f>
        <v>1.2860411899313502</v>
      </c>
      <c r="T761" s="38">
        <v>5</v>
      </c>
      <c r="U761" s="38">
        <f>AVERAGEIF(L3:L1205,"&lt;2018/1/3",T3:T1205)</f>
        <v>8.3432494279176197</v>
      </c>
      <c r="V761" s="24">
        <v>444</v>
      </c>
      <c r="W761" s="47" t="s">
        <v>4550</v>
      </c>
    </row>
    <row r="762" spans="1:23">
      <c r="A762" s="17">
        <v>1</v>
      </c>
      <c r="B762" s="17">
        <v>2</v>
      </c>
      <c r="C762" s="18">
        <v>5</v>
      </c>
      <c r="D762" s="18">
        <v>6</v>
      </c>
      <c r="E762" s="20">
        <v>140</v>
      </c>
      <c r="F762" s="21">
        <f t="shared" si="34"/>
        <v>106.35214446952595</v>
      </c>
      <c r="G762" s="22">
        <v>0.37649728028835699</v>
      </c>
      <c r="H762" s="18">
        <v>1</v>
      </c>
      <c r="I762" s="18">
        <f t="shared" si="35"/>
        <v>0</v>
      </c>
      <c r="J762" s="41">
        <v>43102</v>
      </c>
      <c r="K762" s="36">
        <v>2018</v>
      </c>
      <c r="L762" s="32">
        <f t="shared" si="33"/>
        <v>43104</v>
      </c>
      <c r="M762" s="24">
        <v>1</v>
      </c>
      <c r="N762" s="33">
        <v>98</v>
      </c>
      <c r="O762" s="34">
        <f>AVERAGEIF(L3:L1205,"&lt;2018/1/2",N3:N1205)</f>
        <v>120.52173913043478</v>
      </c>
      <c r="P762" s="55">
        <v>0</v>
      </c>
      <c r="Q762" s="24">
        <f>AVERAGEIF(L3:L1205,"&lt;2018/1/2",P3:P1205)</f>
        <v>0.31121281464530892</v>
      </c>
      <c r="R762" s="24">
        <v>1</v>
      </c>
      <c r="S762" s="24">
        <f>AVERAGEIF(L3:L1205,"&lt;2018/1/2",R3:R1205)</f>
        <v>1.2860411899313502</v>
      </c>
      <c r="T762" s="55">
        <v>2</v>
      </c>
      <c r="U762" s="24">
        <f>AVERAGEIF(L3:L1205,"&lt;2018/1/2",T3:T1205)</f>
        <v>8.3432494279176197</v>
      </c>
      <c r="V762" s="24">
        <v>443</v>
      </c>
      <c r="W762" s="47" t="s">
        <v>4949</v>
      </c>
    </row>
    <row r="763" spans="1:23">
      <c r="A763" s="23">
        <v>4</v>
      </c>
      <c r="B763" s="23">
        <v>33</v>
      </c>
      <c r="C763" s="18">
        <v>4</v>
      </c>
      <c r="D763" s="18">
        <v>6</v>
      </c>
      <c r="E763" s="20">
        <v>146</v>
      </c>
      <c r="F763" s="21">
        <f t="shared" si="34"/>
        <v>106.26244343891403</v>
      </c>
      <c r="G763" s="22">
        <v>0.41982359205654302</v>
      </c>
      <c r="H763" s="18">
        <v>0</v>
      </c>
      <c r="I763" s="18">
        <f t="shared" si="35"/>
        <v>1</v>
      </c>
      <c r="J763" s="45">
        <v>43102</v>
      </c>
      <c r="K763" s="36">
        <v>2018</v>
      </c>
      <c r="L763" s="32">
        <f t="shared" si="33"/>
        <v>43111</v>
      </c>
      <c r="M763" s="42">
        <v>0</v>
      </c>
      <c r="N763" s="33">
        <v>23</v>
      </c>
      <c r="O763" s="34">
        <f>AVERAGEIF(L3:L1205,"&lt;2018/1/2",N3:N1205)</f>
        <v>120.52173913043478</v>
      </c>
      <c r="P763" s="38">
        <v>1</v>
      </c>
      <c r="Q763" s="38">
        <f>AVERAGEIF(L3:L1205,"&lt;2018/1/2",P3:P1205)</f>
        <v>0.31121281464530892</v>
      </c>
      <c r="R763" s="38">
        <v>1</v>
      </c>
      <c r="S763" s="38">
        <f>AVERAGEIF(L3:L1205,"&lt;2018/1/2",R3:R1205)</f>
        <v>1.2860411899313502</v>
      </c>
      <c r="T763" s="38">
        <v>9</v>
      </c>
      <c r="U763" s="38">
        <f>AVERAGEIF(L3:L1205,"&lt;2018/1/2",T3:T1205)</f>
        <v>8.3432494279176197</v>
      </c>
      <c r="V763" s="24">
        <v>442</v>
      </c>
      <c r="W763" s="47" t="s">
        <v>4742</v>
      </c>
    </row>
    <row r="764" spans="1:23">
      <c r="A764" s="23">
        <v>3</v>
      </c>
      <c r="B764" s="23">
        <v>26</v>
      </c>
      <c r="C764" s="18">
        <v>4</v>
      </c>
      <c r="D764" s="18">
        <v>4</v>
      </c>
      <c r="E764" s="20">
        <v>57</v>
      </c>
      <c r="F764" s="21">
        <f t="shared" si="34"/>
        <v>106.37414965986395</v>
      </c>
      <c r="G764" s="22">
        <v>0.41285533597519503</v>
      </c>
      <c r="H764" s="3">
        <v>1</v>
      </c>
      <c r="I764" s="18">
        <f t="shared" si="35"/>
        <v>0</v>
      </c>
      <c r="J764" s="41">
        <v>43100</v>
      </c>
      <c r="K764" s="36">
        <v>2017</v>
      </c>
      <c r="L764" s="32">
        <f t="shared" si="33"/>
        <v>43104</v>
      </c>
      <c r="M764" s="40">
        <v>1</v>
      </c>
      <c r="N764" s="33">
        <v>106</v>
      </c>
      <c r="O764" s="34">
        <f>AVERAGEIF(L3:L1205,"&lt;2017/12/31",N3:N1205)</f>
        <v>120.52173913043478</v>
      </c>
      <c r="P764" s="54">
        <v>2</v>
      </c>
      <c r="Q764" s="38">
        <f>AVERAGEIF(L3:L1205,"&lt;2017/12/31",P3:P1205)</f>
        <v>0.31121281464530892</v>
      </c>
      <c r="R764" s="38">
        <v>1</v>
      </c>
      <c r="S764" s="38">
        <f>AVERAGEIF(L3:L1205,"&lt;2017/12/31",R3:R1205)</f>
        <v>1.2860411899313502</v>
      </c>
      <c r="T764" s="54">
        <v>4</v>
      </c>
      <c r="U764" s="38">
        <f>AVERAGEIF(L3:L1205,"&lt;2017/12/31",T3:T1205)</f>
        <v>8.3432494279176197</v>
      </c>
      <c r="V764" s="24">
        <v>441</v>
      </c>
      <c r="W764" s="47" t="s">
        <v>4558</v>
      </c>
    </row>
    <row r="765" spans="1:23">
      <c r="A765" s="23">
        <v>5</v>
      </c>
      <c r="B765" s="23">
        <v>38</v>
      </c>
      <c r="C765" s="18">
        <v>4</v>
      </c>
      <c r="D765" s="18">
        <v>6</v>
      </c>
      <c r="E765" s="20">
        <v>112</v>
      </c>
      <c r="F765" s="21">
        <f t="shared" si="34"/>
        <v>106.36136363636363</v>
      </c>
      <c r="G765" s="22">
        <v>0.75613000293983901</v>
      </c>
      <c r="H765" s="18">
        <v>1</v>
      </c>
      <c r="I765" s="18">
        <f t="shared" si="35"/>
        <v>0</v>
      </c>
      <c r="J765" s="41">
        <v>43099</v>
      </c>
      <c r="K765" s="36">
        <v>2017</v>
      </c>
      <c r="L765" s="32">
        <f t="shared" si="33"/>
        <v>43103</v>
      </c>
      <c r="M765" s="38">
        <v>1</v>
      </c>
      <c r="N765" s="33">
        <v>98</v>
      </c>
      <c r="O765" s="34">
        <f>AVERAGEIF(L3:L1205,"&lt;2017/12/30",N3:N1205)</f>
        <v>120.52173913043478</v>
      </c>
      <c r="P765" s="40">
        <v>0</v>
      </c>
      <c r="Q765" s="40">
        <f>AVERAGEIF(L3:L1205,"&lt;2017/12/30",P3:P1205)</f>
        <v>0.31121281464530892</v>
      </c>
      <c r="R765" s="40">
        <v>1</v>
      </c>
      <c r="S765" s="40">
        <f>AVERAGEIF(L3:L1205,"&lt;2017/12/30",R3:R1205)</f>
        <v>1.2860411899313502</v>
      </c>
      <c r="T765" s="40">
        <v>4</v>
      </c>
      <c r="U765" s="40">
        <f>AVERAGEIF(L3:L1205,"&lt;2017/12/30",T3:T1205)</f>
        <v>8.3432494279176197</v>
      </c>
      <c r="V765" s="24">
        <v>440</v>
      </c>
      <c r="W765" s="47" t="s">
        <v>4529</v>
      </c>
    </row>
    <row r="766" spans="1:23">
      <c r="A766" s="23">
        <v>2</v>
      </c>
      <c r="B766" s="23">
        <v>4</v>
      </c>
      <c r="C766" s="18">
        <v>4</v>
      </c>
      <c r="D766" s="18">
        <v>4</v>
      </c>
      <c r="E766" s="20">
        <v>67</v>
      </c>
      <c r="F766" s="21">
        <f t="shared" si="34"/>
        <v>106.45102505694761</v>
      </c>
      <c r="G766" s="22">
        <v>0.28329710579345602</v>
      </c>
      <c r="H766" s="18">
        <v>1</v>
      </c>
      <c r="I766" s="18">
        <f t="shared" si="35"/>
        <v>0</v>
      </c>
      <c r="J766" s="41">
        <v>43096</v>
      </c>
      <c r="K766" s="36">
        <v>2017</v>
      </c>
      <c r="L766" s="32">
        <f t="shared" si="33"/>
        <v>43098</v>
      </c>
      <c r="M766" s="40">
        <v>0</v>
      </c>
      <c r="N766" s="33">
        <v>160</v>
      </c>
      <c r="O766" s="34">
        <f>AVERAGEIF(L3:L1205,"&lt;2017/12/27",N3:N1205)</f>
        <v>120.42790697674418</v>
      </c>
      <c r="P766" s="38">
        <v>0</v>
      </c>
      <c r="Q766" s="38">
        <f>AVERAGEIF(L3:L1205,"&lt;2017/12/27",P3:P1205)</f>
        <v>0.31627906976744186</v>
      </c>
      <c r="R766" s="38">
        <v>1</v>
      </c>
      <c r="S766" s="38">
        <f>AVERAGEIF(L3:L1205,"&lt;2017/12/27",R3:R1205)</f>
        <v>1.2837209302325581</v>
      </c>
      <c r="T766" s="38">
        <v>2</v>
      </c>
      <c r="U766" s="38">
        <f>AVERAGEIF(L3:L1205,"&lt;2017/12/27",T3:T1205)</f>
        <v>8.4465116279069772</v>
      </c>
      <c r="V766" s="24">
        <v>439</v>
      </c>
      <c r="W766" s="47" t="s">
        <v>4523</v>
      </c>
    </row>
    <row r="767" spans="1:23">
      <c r="A767" s="23">
        <v>2</v>
      </c>
      <c r="B767" s="23">
        <v>16</v>
      </c>
      <c r="C767" s="18">
        <v>5</v>
      </c>
      <c r="D767" s="18">
        <v>6</v>
      </c>
      <c r="E767" s="20">
        <v>282</v>
      </c>
      <c r="F767" s="21">
        <f t="shared" si="34"/>
        <v>106.05022831050228</v>
      </c>
      <c r="G767" s="22">
        <v>0.41253267453261799</v>
      </c>
      <c r="H767" s="18">
        <v>1</v>
      </c>
      <c r="I767" s="18">
        <f t="shared" si="35"/>
        <v>0</v>
      </c>
      <c r="J767" s="41">
        <v>43096</v>
      </c>
      <c r="K767" s="36">
        <v>2017</v>
      </c>
      <c r="L767" s="32">
        <f t="shared" si="33"/>
        <v>43097</v>
      </c>
      <c r="M767" s="24">
        <v>1</v>
      </c>
      <c r="N767" s="33">
        <v>132</v>
      </c>
      <c r="O767" s="34">
        <f>AVERAGEIF(L3:L1205,"&lt;2017/12/27",N3:N1205)</f>
        <v>120.42790697674418</v>
      </c>
      <c r="P767" s="40">
        <v>0</v>
      </c>
      <c r="Q767" s="40">
        <f>AVERAGEIF(L3:L1205,"&lt;2017/12/27",P3:P1205)</f>
        <v>0.31627906976744186</v>
      </c>
      <c r="R767" s="40">
        <v>4</v>
      </c>
      <c r="S767" s="40">
        <f>AVERAGEIF(L3:L1205,"&lt;2017/12/27",R3:R1205)</f>
        <v>1.2837209302325581</v>
      </c>
      <c r="T767" s="40">
        <v>1</v>
      </c>
      <c r="U767" s="40">
        <f>AVERAGEIF(L3:L1205,"&lt;2017/12/27",T3:T1205)</f>
        <v>8.4465116279069772</v>
      </c>
      <c r="V767" s="24">
        <v>438</v>
      </c>
      <c r="W767" s="47" t="s">
        <v>4529</v>
      </c>
    </row>
    <row r="768" spans="1:23">
      <c r="A768" s="23">
        <v>3</v>
      </c>
      <c r="B768" s="23">
        <v>24</v>
      </c>
      <c r="C768" s="18">
        <v>4</v>
      </c>
      <c r="D768" s="18">
        <v>6</v>
      </c>
      <c r="E768" s="20">
        <v>166</v>
      </c>
      <c r="F768" s="21">
        <f t="shared" si="34"/>
        <v>105.91304347826087</v>
      </c>
      <c r="G768" s="22">
        <v>0.37501900101451102</v>
      </c>
      <c r="H768" s="3">
        <v>1</v>
      </c>
      <c r="I768" s="18">
        <f t="shared" si="35"/>
        <v>0</v>
      </c>
      <c r="J768" s="41">
        <v>43096</v>
      </c>
      <c r="K768" s="36">
        <v>2017</v>
      </c>
      <c r="L768" s="32">
        <f t="shared" si="33"/>
        <v>43098</v>
      </c>
      <c r="M768" s="40">
        <v>0</v>
      </c>
      <c r="N768" s="33">
        <v>52</v>
      </c>
      <c r="O768" s="34">
        <f>AVERAGEIF(L3:L1205,"&lt;2017/12/27",N3:N1205)</f>
        <v>120.42790697674418</v>
      </c>
      <c r="P768" s="54">
        <v>0</v>
      </c>
      <c r="Q768" s="38">
        <f>AVERAGEIF(L3:L1205,"&lt;2017/12/27",P3:P1205)</f>
        <v>0.31627906976744186</v>
      </c>
      <c r="R768" s="38">
        <v>1</v>
      </c>
      <c r="S768" s="38">
        <f>AVERAGEIF(L3:L1205,"&lt;2017/12/27",R3:R1205)</f>
        <v>1.2837209302325581</v>
      </c>
      <c r="T768" s="54">
        <v>2</v>
      </c>
      <c r="U768" s="38">
        <f>AVERAGEIF(L3:L1205,"&lt;2017/12/27",T3:T1205)</f>
        <v>8.4465116279069772</v>
      </c>
      <c r="V768" s="24">
        <v>437</v>
      </c>
      <c r="W768" s="47" t="s">
        <v>4553</v>
      </c>
    </row>
    <row r="769" spans="1:23">
      <c r="A769" s="23">
        <v>4</v>
      </c>
      <c r="B769" s="23">
        <v>35</v>
      </c>
      <c r="C769" s="18">
        <v>4</v>
      </c>
      <c r="D769" s="18">
        <v>7</v>
      </c>
      <c r="E769" s="20">
        <v>77</v>
      </c>
      <c r="F769" s="21">
        <f t="shared" si="34"/>
        <v>105.97935779816514</v>
      </c>
      <c r="G769" s="22">
        <v>0.30991755864756598</v>
      </c>
      <c r="H769" s="18">
        <v>1</v>
      </c>
      <c r="I769" s="18">
        <f t="shared" si="35"/>
        <v>0</v>
      </c>
      <c r="J769" s="45">
        <v>43096</v>
      </c>
      <c r="K769" s="36">
        <v>2017</v>
      </c>
      <c r="L769" s="32">
        <f t="shared" si="33"/>
        <v>43098</v>
      </c>
      <c r="M769" s="42">
        <v>0</v>
      </c>
      <c r="N769" s="33">
        <v>184</v>
      </c>
      <c r="O769" s="34">
        <f>AVERAGEIF(L3:L1205,"&lt;2017/12/27",N3:N1205)</f>
        <v>120.42790697674418</v>
      </c>
      <c r="P769" s="38">
        <v>0</v>
      </c>
      <c r="Q769" s="38">
        <f>AVERAGEIF(L3:L1205,"&lt;2017/12/27",P3:P1205)</f>
        <v>0.31627906976744186</v>
      </c>
      <c r="R769" s="38">
        <v>1</v>
      </c>
      <c r="S769" s="38">
        <f>AVERAGEIF(L3:L1205,"&lt;2017/12/27",R3:R1205)</f>
        <v>1.2837209302325581</v>
      </c>
      <c r="T769" s="38">
        <v>2</v>
      </c>
      <c r="U769" s="38">
        <f>AVERAGEIF(L3:L1205,"&lt;2017/12/27",T3:T1205)</f>
        <v>8.4465116279069772</v>
      </c>
      <c r="V769" s="24">
        <v>436</v>
      </c>
      <c r="W769" s="47" t="s">
        <v>4624</v>
      </c>
    </row>
    <row r="770" spans="1:23">
      <c r="A770" s="23">
        <v>2</v>
      </c>
      <c r="B770" s="23">
        <v>9</v>
      </c>
      <c r="C770" s="18">
        <v>4</v>
      </c>
      <c r="D770" s="18">
        <v>4</v>
      </c>
      <c r="E770" s="20">
        <v>25</v>
      </c>
      <c r="F770" s="21">
        <f t="shared" si="34"/>
        <v>106.16551724137931</v>
      </c>
      <c r="G770" s="22">
        <v>0.71548507088104696</v>
      </c>
      <c r="H770" s="18">
        <v>1</v>
      </c>
      <c r="I770" s="18">
        <f t="shared" si="35"/>
        <v>0</v>
      </c>
      <c r="J770" s="41">
        <v>43094</v>
      </c>
      <c r="K770" s="36">
        <v>2017</v>
      </c>
      <c r="L770" s="32">
        <f t="shared" si="33"/>
        <v>43094</v>
      </c>
      <c r="M770" s="40">
        <v>1</v>
      </c>
      <c r="N770" s="33">
        <v>52</v>
      </c>
      <c r="O770" s="34">
        <f>AVERAGEIF(L3:L1205,"&lt;2017/12/25",N3:N1205)</f>
        <v>120.62529274004685</v>
      </c>
      <c r="P770" s="56">
        <v>0</v>
      </c>
      <c r="Q770" s="40">
        <f>AVERAGEIF(L3:L1205,"&lt;2017/12/25",P3:P1205)</f>
        <v>0.31615925058548011</v>
      </c>
      <c r="R770" s="40">
        <v>2</v>
      </c>
      <c r="S770" s="40">
        <f>AVERAGEIF(L3:L1205,"&lt;2017/12/25",R3:R1205)</f>
        <v>1.2833723653395785</v>
      </c>
      <c r="T770" s="56">
        <v>0</v>
      </c>
      <c r="U770" s="40">
        <f>AVERAGEIF(L3:L1205,"&lt;2017/12/25",T3:T1205)</f>
        <v>8.4613583138173301</v>
      </c>
      <c r="V770" s="24">
        <v>435</v>
      </c>
      <c r="W770" s="47" t="s">
        <v>4550</v>
      </c>
    </row>
    <row r="771" spans="1:23">
      <c r="A771" s="23">
        <v>3</v>
      </c>
      <c r="B771" s="23">
        <v>24</v>
      </c>
      <c r="C771" s="18">
        <v>4</v>
      </c>
      <c r="D771" s="18">
        <v>4</v>
      </c>
      <c r="E771" s="20">
        <v>57</v>
      </c>
      <c r="F771" s="21">
        <f t="shared" si="34"/>
        <v>106.27880184331798</v>
      </c>
      <c r="G771" s="22">
        <v>0.463754149220308</v>
      </c>
      <c r="H771" s="3">
        <v>1</v>
      </c>
      <c r="I771" s="18">
        <f t="shared" si="35"/>
        <v>0</v>
      </c>
      <c r="J771" s="41">
        <v>43094</v>
      </c>
      <c r="K771" s="36">
        <v>2017</v>
      </c>
      <c r="L771" s="32">
        <f t="shared" ref="L771:L834" si="36">J771+T771</f>
        <v>43096</v>
      </c>
      <c r="M771" s="40">
        <v>0</v>
      </c>
      <c r="N771" s="33">
        <v>52</v>
      </c>
      <c r="O771" s="34">
        <f>AVERAGEIF(L3:L1205,"&lt;2017/12/25",N3:N1205)</f>
        <v>120.62529274004685</v>
      </c>
      <c r="P771" s="38">
        <v>0</v>
      </c>
      <c r="Q771" s="38">
        <f>AVERAGEIF(L3:L1205,"&lt;2017/12/25",P3:P1205)</f>
        <v>0.31615925058548011</v>
      </c>
      <c r="R771" s="38">
        <v>1</v>
      </c>
      <c r="S771" s="38">
        <f>AVERAGEIF(L3:L1205,"&lt;2017/12/25",R3:R1205)</f>
        <v>1.2833723653395785</v>
      </c>
      <c r="T771" s="38">
        <v>2</v>
      </c>
      <c r="U771" s="38">
        <f>AVERAGEIF(L3:L1205,"&lt;2017/12/25",T3:T1205)</f>
        <v>8.4613583138173301</v>
      </c>
      <c r="V771" s="24">
        <v>434</v>
      </c>
      <c r="W771" s="47" t="s">
        <v>4624</v>
      </c>
    </row>
    <row r="772" spans="1:23">
      <c r="A772" s="23">
        <v>4</v>
      </c>
      <c r="B772" s="23">
        <v>35</v>
      </c>
      <c r="C772" s="18">
        <v>4</v>
      </c>
      <c r="D772" s="18">
        <v>7</v>
      </c>
      <c r="E772" s="20">
        <v>41</v>
      </c>
      <c r="F772" s="21">
        <f t="shared" ref="F772:F835" si="37">AVERAGE(E773:E1974)</f>
        <v>106.42956120092379</v>
      </c>
      <c r="G772" s="22">
        <v>0.48134641326435801</v>
      </c>
      <c r="H772" s="18">
        <v>1</v>
      </c>
      <c r="I772" s="18">
        <f t="shared" ref="I772:I835" si="38">IF(H772=1,0,1)</f>
        <v>0</v>
      </c>
      <c r="J772" s="45">
        <v>43094</v>
      </c>
      <c r="K772" s="36">
        <v>2017</v>
      </c>
      <c r="L772" s="32">
        <f t="shared" si="36"/>
        <v>43108</v>
      </c>
      <c r="M772" s="42">
        <v>0</v>
      </c>
      <c r="N772" s="33">
        <v>118</v>
      </c>
      <c r="O772" s="34">
        <f>AVERAGEIF(L3:L1205,"&lt;2017/12/25",N3:N1205)</f>
        <v>120.62529274004685</v>
      </c>
      <c r="P772" s="54">
        <v>0</v>
      </c>
      <c r="Q772" s="38">
        <f>AVERAGEIF(L3:L1205,"&lt;2017/12/25",P3:P1205)</f>
        <v>0.31615925058548011</v>
      </c>
      <c r="R772" s="38">
        <v>1</v>
      </c>
      <c r="S772" s="38">
        <f>AVERAGEIF(L3:L1205,"&lt;2017/12/25",R3:R1205)</f>
        <v>1.2833723653395785</v>
      </c>
      <c r="T772" s="54">
        <v>14</v>
      </c>
      <c r="U772" s="38">
        <f>AVERAGEIF(L3:L1205,"&lt;2017/12/25",T3:T1205)</f>
        <v>8.4613583138173301</v>
      </c>
      <c r="V772" s="24">
        <v>433</v>
      </c>
      <c r="W772" s="47" t="s">
        <v>4557</v>
      </c>
    </row>
    <row r="773" spans="1:23">
      <c r="A773" s="23">
        <v>4</v>
      </c>
      <c r="B773" s="23">
        <v>35</v>
      </c>
      <c r="C773" s="18">
        <v>4</v>
      </c>
      <c r="D773" s="18">
        <v>4</v>
      </c>
      <c r="E773" s="20">
        <v>43</v>
      </c>
      <c r="F773" s="21">
        <f t="shared" si="37"/>
        <v>106.57638888888889</v>
      </c>
      <c r="G773" s="22">
        <v>0.433717453267291</v>
      </c>
      <c r="H773" s="18">
        <v>1</v>
      </c>
      <c r="I773" s="18">
        <f t="shared" si="38"/>
        <v>0</v>
      </c>
      <c r="J773" s="45">
        <v>43094</v>
      </c>
      <c r="K773" s="36">
        <v>2017</v>
      </c>
      <c r="L773" s="32">
        <f t="shared" si="36"/>
        <v>43097</v>
      </c>
      <c r="M773" s="42">
        <v>0</v>
      </c>
      <c r="N773" s="33">
        <v>171</v>
      </c>
      <c r="O773" s="34">
        <f>AVERAGEIF(L3:L1205,"&lt;2017/12/25",N3:N1205)</f>
        <v>120.62529274004685</v>
      </c>
      <c r="P773" s="38">
        <v>0</v>
      </c>
      <c r="Q773" s="38">
        <f>AVERAGEIF(L3:L1205,"&lt;2017/12/25",P3:P1205)</f>
        <v>0.31615925058548011</v>
      </c>
      <c r="R773" s="38">
        <v>1</v>
      </c>
      <c r="S773" s="38">
        <f>AVERAGEIF(L3:L1205,"&lt;2017/12/25",R3:R1205)</f>
        <v>1.2833723653395785</v>
      </c>
      <c r="T773" s="38">
        <v>3</v>
      </c>
      <c r="U773" s="38">
        <f>AVERAGEIF(L3:L1205,"&lt;2017/12/25",T3:T1205)</f>
        <v>8.4613583138173301</v>
      </c>
      <c r="V773" s="24">
        <v>432</v>
      </c>
      <c r="W773" s="47" t="s">
        <v>4521</v>
      </c>
    </row>
    <row r="774" spans="1:23">
      <c r="A774" s="23">
        <v>4</v>
      </c>
      <c r="B774" s="23">
        <v>35</v>
      </c>
      <c r="C774" s="18">
        <v>4</v>
      </c>
      <c r="D774" s="18">
        <v>6</v>
      </c>
      <c r="E774" s="20">
        <v>37</v>
      </c>
      <c r="F774" s="21">
        <f t="shared" si="37"/>
        <v>106.73781902552204</v>
      </c>
      <c r="G774" s="22">
        <v>0.412537366961236</v>
      </c>
      <c r="H774" s="18">
        <v>0</v>
      </c>
      <c r="I774" s="18">
        <f t="shared" si="38"/>
        <v>1</v>
      </c>
      <c r="J774" s="45">
        <v>43094</v>
      </c>
      <c r="K774" s="36">
        <v>2017</v>
      </c>
      <c r="L774" s="32">
        <f t="shared" si="36"/>
        <v>43096</v>
      </c>
      <c r="M774" s="42">
        <v>0</v>
      </c>
      <c r="N774" s="33">
        <v>133</v>
      </c>
      <c r="O774" s="34">
        <f>AVERAGEIF(L3:L1205,"&lt;2017/12/25",N3:N1205)</f>
        <v>120.62529274004685</v>
      </c>
      <c r="P774" s="38">
        <v>0</v>
      </c>
      <c r="Q774" s="38">
        <f>AVERAGEIF(L3:L1205,"&lt;2017/12/25",P3:P1205)</f>
        <v>0.31615925058548011</v>
      </c>
      <c r="R774" s="38">
        <v>1</v>
      </c>
      <c r="S774" s="38">
        <f>AVERAGEIF(L3:L1205,"&lt;2017/12/25",R3:R1205)</f>
        <v>1.2833723653395785</v>
      </c>
      <c r="T774" s="38">
        <v>2</v>
      </c>
      <c r="U774" s="38">
        <f>AVERAGEIF(L3:L1205,"&lt;2017/12/25",T3:T1205)</f>
        <v>8.4613583138173301</v>
      </c>
      <c r="V774" s="24">
        <v>431</v>
      </c>
      <c r="W774" s="47" t="s">
        <v>4855</v>
      </c>
    </row>
    <row r="775" spans="1:23">
      <c r="A775" s="23">
        <v>4</v>
      </c>
      <c r="B775" s="23">
        <v>35</v>
      </c>
      <c r="C775" s="18">
        <v>4</v>
      </c>
      <c r="D775" s="18">
        <v>4</v>
      </c>
      <c r="E775" s="20">
        <v>45</v>
      </c>
      <c r="F775" s="21">
        <f t="shared" si="37"/>
        <v>106.88139534883722</v>
      </c>
      <c r="G775" s="22">
        <v>0.50156581204263295</v>
      </c>
      <c r="H775" s="18">
        <v>1</v>
      </c>
      <c r="I775" s="18">
        <f t="shared" si="38"/>
        <v>0</v>
      </c>
      <c r="J775" s="59">
        <v>43093</v>
      </c>
      <c r="K775" s="36">
        <v>2017</v>
      </c>
      <c r="L775" s="32">
        <f t="shared" si="36"/>
        <v>43108</v>
      </c>
      <c r="M775" s="42">
        <v>0</v>
      </c>
      <c r="N775" s="33">
        <v>171</v>
      </c>
      <c r="O775" s="34">
        <f>AVERAGEIF(L3:L1205,"&lt;2017/12/24",N3:N1205)</f>
        <v>120.62529274004685</v>
      </c>
      <c r="P775" s="38">
        <v>0</v>
      </c>
      <c r="Q775" s="38">
        <f>AVERAGEIF(L3:L1205,"&lt;2017/12/24",P3:P1205)</f>
        <v>0.31615925058548011</v>
      </c>
      <c r="R775" s="38">
        <v>1</v>
      </c>
      <c r="S775" s="38">
        <f>AVERAGEIF(L3:L1205,"&lt;2017/12/24",R3:R1205)</f>
        <v>1.2833723653395785</v>
      </c>
      <c r="T775" s="38">
        <v>15</v>
      </c>
      <c r="U775" s="38">
        <f>AVERAGEIF(L3:L1205,"&lt;2017/12/24",T3:T1205)</f>
        <v>8.4613583138173301</v>
      </c>
      <c r="V775" s="24">
        <v>430</v>
      </c>
      <c r="W775" s="47" t="s">
        <v>4878</v>
      </c>
    </row>
    <row r="776" spans="1:23">
      <c r="A776" s="23">
        <v>2</v>
      </c>
      <c r="B776" s="23">
        <v>4</v>
      </c>
      <c r="C776" s="18">
        <v>4</v>
      </c>
      <c r="D776" s="18">
        <v>4</v>
      </c>
      <c r="E776" s="20">
        <v>48</v>
      </c>
      <c r="F776" s="21">
        <f t="shared" si="37"/>
        <v>107.01864801864802</v>
      </c>
      <c r="G776" s="22">
        <v>0.57148793918229301</v>
      </c>
      <c r="H776" s="18">
        <v>1</v>
      </c>
      <c r="I776" s="18">
        <f t="shared" si="38"/>
        <v>0</v>
      </c>
      <c r="J776" s="50">
        <v>43089</v>
      </c>
      <c r="K776" s="36">
        <v>2017</v>
      </c>
      <c r="L776" s="32">
        <f t="shared" si="36"/>
        <v>43094</v>
      </c>
      <c r="M776" s="24">
        <v>0</v>
      </c>
      <c r="N776" s="33">
        <v>102</v>
      </c>
      <c r="O776" s="34">
        <f>AVERAGEIF(L3:L1205,"&lt;2017/12/20",N3:N1205)</f>
        <v>119.81204819277109</v>
      </c>
      <c r="P776" s="38">
        <v>0</v>
      </c>
      <c r="Q776" s="38">
        <f>AVERAGEIF(L3:L1205,"&lt;2017/12/20",P3:P1205)</f>
        <v>0.32289156626506021</v>
      </c>
      <c r="R776" s="38">
        <v>1</v>
      </c>
      <c r="S776" s="38">
        <f>AVERAGEIF(L3:L1205,"&lt;2017/12/20",R3:R1205)</f>
        <v>1.2915662650602409</v>
      </c>
      <c r="T776" s="38">
        <v>5</v>
      </c>
      <c r="U776" s="38">
        <f>AVERAGEIF(L3:L1205,"&lt;2017/12/20",T3:T1205)</f>
        <v>8.5132530120481924</v>
      </c>
      <c r="V776" s="24">
        <v>429</v>
      </c>
      <c r="W776" s="47" t="s">
        <v>4523</v>
      </c>
    </row>
    <row r="777" spans="1:23">
      <c r="A777" s="23">
        <v>2</v>
      </c>
      <c r="B777" s="23">
        <v>4</v>
      </c>
      <c r="C777" s="18">
        <v>4</v>
      </c>
      <c r="D777" s="18">
        <v>4</v>
      </c>
      <c r="E777" s="20">
        <v>113</v>
      </c>
      <c r="F777" s="21">
        <f t="shared" si="37"/>
        <v>107.00467289719626</v>
      </c>
      <c r="G777" s="22">
        <v>0.247432711838076</v>
      </c>
      <c r="H777" s="18">
        <v>1</v>
      </c>
      <c r="I777" s="18">
        <f t="shared" si="38"/>
        <v>0</v>
      </c>
      <c r="J777" s="41">
        <v>43089</v>
      </c>
      <c r="K777" s="36">
        <v>2017</v>
      </c>
      <c r="L777" s="32">
        <f t="shared" si="36"/>
        <v>43091</v>
      </c>
      <c r="M777" s="40">
        <v>0</v>
      </c>
      <c r="N777" s="33">
        <v>184</v>
      </c>
      <c r="O777" s="34">
        <f>AVERAGEIF(L3:L1205,"&lt;2017/12/20",N3:N1205)</f>
        <v>119.81204819277109</v>
      </c>
      <c r="P777" s="38">
        <v>0</v>
      </c>
      <c r="Q777" s="38">
        <f>AVERAGEIF(L3:L1205,"&lt;2017/12/20",P3:P1205)</f>
        <v>0.32289156626506021</v>
      </c>
      <c r="R777" s="38">
        <v>1</v>
      </c>
      <c r="S777" s="38">
        <f>AVERAGEIF(L3:L1205,"&lt;2017/12/20",R3:R1205)</f>
        <v>1.2915662650602409</v>
      </c>
      <c r="T777" s="38">
        <v>2</v>
      </c>
      <c r="U777" s="38">
        <f>AVERAGEIF(L3:L1205,"&lt;2017/12/20",T3:T1205)</f>
        <v>8.5132530120481924</v>
      </c>
      <c r="V777" s="24">
        <v>428</v>
      </c>
      <c r="W777" s="47" t="s">
        <v>4521</v>
      </c>
    </row>
    <row r="778" spans="1:23">
      <c r="A778" s="23">
        <v>3</v>
      </c>
      <c r="B778" s="23">
        <v>19</v>
      </c>
      <c r="C778" s="18">
        <v>4</v>
      </c>
      <c r="D778" s="18">
        <v>7</v>
      </c>
      <c r="E778" s="20">
        <v>216</v>
      </c>
      <c r="F778" s="21">
        <f t="shared" si="37"/>
        <v>106.74941451990632</v>
      </c>
      <c r="G778" s="22">
        <v>0.41250118902843702</v>
      </c>
      <c r="H778" s="3">
        <v>1</v>
      </c>
      <c r="I778" s="18">
        <f t="shared" si="38"/>
        <v>0</v>
      </c>
      <c r="J778" s="41">
        <v>43089</v>
      </c>
      <c r="K778" s="36">
        <v>2017</v>
      </c>
      <c r="L778" s="32">
        <f t="shared" si="36"/>
        <v>43090</v>
      </c>
      <c r="M778" s="24">
        <v>0</v>
      </c>
      <c r="N778" s="33">
        <v>193</v>
      </c>
      <c r="O778" s="34">
        <f>AVERAGEIF(L3:L1205,"&lt;2017/12/20",N3:N1205)</f>
        <v>119.81204819277109</v>
      </c>
      <c r="P778" s="54">
        <v>0</v>
      </c>
      <c r="Q778" s="38">
        <f>AVERAGEIF(L3:L1205,"&lt;2017/12/20",P3:P1205)</f>
        <v>0.32289156626506021</v>
      </c>
      <c r="R778" s="38">
        <v>1</v>
      </c>
      <c r="S778" s="38">
        <f>AVERAGEIF(L3:L1205,"&lt;2017/12/20",R3:R1205)</f>
        <v>1.2915662650602409</v>
      </c>
      <c r="T778" s="54">
        <v>1</v>
      </c>
      <c r="U778" s="38">
        <f>AVERAGEIF(L3:L1205,"&lt;2017/12/20",T3:T1205)</f>
        <v>8.5132530120481924</v>
      </c>
      <c r="V778" s="24">
        <v>427</v>
      </c>
      <c r="W778" s="47" t="s">
        <v>4557</v>
      </c>
    </row>
    <row r="779" spans="1:23">
      <c r="A779" s="23">
        <v>3</v>
      </c>
      <c r="B779" s="23">
        <v>27</v>
      </c>
      <c r="C779" s="18">
        <v>4</v>
      </c>
      <c r="D779" s="18">
        <v>6</v>
      </c>
      <c r="E779" s="20">
        <v>166</v>
      </c>
      <c r="F779" s="21">
        <f t="shared" si="37"/>
        <v>106.61032863849765</v>
      </c>
      <c r="G779" s="22">
        <v>0.19243429433655801</v>
      </c>
      <c r="H779" s="3">
        <v>1</v>
      </c>
      <c r="I779" s="18">
        <f t="shared" si="38"/>
        <v>0</v>
      </c>
      <c r="J779" s="41">
        <v>43088</v>
      </c>
      <c r="K779" s="36">
        <v>2017</v>
      </c>
      <c r="L779" s="32">
        <f t="shared" si="36"/>
        <v>43091</v>
      </c>
      <c r="M779" s="40">
        <v>0</v>
      </c>
      <c r="N779" s="33">
        <v>131</v>
      </c>
      <c r="O779" s="34">
        <f>AVERAGEIF(L3:L1205,"&lt;2017/12/19",N3:N1205)</f>
        <v>119.79176755447942</v>
      </c>
      <c r="P779" s="38">
        <v>0</v>
      </c>
      <c r="Q779" s="38">
        <f>AVERAGEIF(L3:L1205,"&lt;2017/12/19",P3:P1205)</f>
        <v>0.32445520581113801</v>
      </c>
      <c r="R779" s="38">
        <v>1</v>
      </c>
      <c r="S779" s="38">
        <f>AVERAGEIF(L3:L1205,"&lt;2017/12/19",R3:R1205)</f>
        <v>1.2929782082324455</v>
      </c>
      <c r="T779" s="38">
        <v>3</v>
      </c>
      <c r="U779" s="38">
        <f>AVERAGEIF(L3:L1205,"&lt;2017/12/19",T3:T1205)</f>
        <v>8.5108958837772395</v>
      </c>
      <c r="V779" s="24">
        <v>426</v>
      </c>
      <c r="W779" s="47" t="s">
        <v>4899</v>
      </c>
    </row>
    <row r="780" spans="1:23">
      <c r="A780" s="23">
        <v>3</v>
      </c>
      <c r="B780" s="23">
        <v>27</v>
      </c>
      <c r="C780" s="18">
        <v>4</v>
      </c>
      <c r="D780" s="18">
        <v>6</v>
      </c>
      <c r="E780" s="20">
        <v>463</v>
      </c>
      <c r="F780" s="21">
        <f t="shared" si="37"/>
        <v>105.77176470588235</v>
      </c>
      <c r="G780" s="22">
        <v>0.211677723770166</v>
      </c>
      <c r="H780" s="3">
        <v>1</v>
      </c>
      <c r="I780" s="18">
        <f t="shared" si="38"/>
        <v>0</v>
      </c>
      <c r="J780" s="41">
        <v>43088</v>
      </c>
      <c r="K780" s="36">
        <v>2017</v>
      </c>
      <c r="L780" s="32">
        <f t="shared" si="36"/>
        <v>43091</v>
      </c>
      <c r="M780" s="40">
        <v>0</v>
      </c>
      <c r="N780" s="33">
        <v>131</v>
      </c>
      <c r="O780" s="34">
        <f>AVERAGEIF(L3:L1205,"&lt;2017/12/19",N3:N1205)</f>
        <v>119.79176755447942</v>
      </c>
      <c r="P780" s="54">
        <v>0</v>
      </c>
      <c r="Q780" s="38">
        <f>AVERAGEIF(L3:L1205,"&lt;2017/12/19",P3:P1205)</f>
        <v>0.32445520581113801</v>
      </c>
      <c r="R780" s="38">
        <v>1</v>
      </c>
      <c r="S780" s="38">
        <f>AVERAGEIF(L3:L1205,"&lt;2017/12/19",R3:R1205)</f>
        <v>1.2929782082324455</v>
      </c>
      <c r="T780" s="54">
        <v>3</v>
      </c>
      <c r="U780" s="38">
        <f>AVERAGEIF(L3:L1205,"&lt;2017/12/19",T3:T1205)</f>
        <v>8.5108958837772395</v>
      </c>
      <c r="V780" s="24">
        <v>425</v>
      </c>
      <c r="W780" s="47" t="s">
        <v>4899</v>
      </c>
    </row>
    <row r="781" spans="1:23">
      <c r="A781" s="23">
        <v>2</v>
      </c>
      <c r="B781" s="23">
        <v>4</v>
      </c>
      <c r="C781" s="18">
        <v>4</v>
      </c>
      <c r="D781" s="18">
        <v>6</v>
      </c>
      <c r="E781" s="20">
        <v>89</v>
      </c>
      <c r="F781" s="21">
        <f t="shared" si="37"/>
        <v>105.81132075471699</v>
      </c>
      <c r="G781" s="22">
        <v>0.46176587094836402</v>
      </c>
      <c r="H781" s="18">
        <v>1</v>
      </c>
      <c r="I781" s="18">
        <f t="shared" si="38"/>
        <v>0</v>
      </c>
      <c r="J781" s="41">
        <v>43087</v>
      </c>
      <c r="K781" s="36">
        <v>2017</v>
      </c>
      <c r="L781" s="32">
        <f t="shared" si="36"/>
        <v>43089</v>
      </c>
      <c r="M781" s="40">
        <v>0</v>
      </c>
      <c r="N781" s="33">
        <v>142</v>
      </c>
      <c r="O781" s="34">
        <f>AVERAGEIF(L3:L1205,"&lt;2017/12/18",N3:N1205)</f>
        <v>119.48774509803921</v>
      </c>
      <c r="P781" s="38">
        <v>0</v>
      </c>
      <c r="Q781" s="38">
        <f>AVERAGEIF(L3:L1205,"&lt;2017/12/18",P3:P1205)</f>
        <v>0.32843137254901961</v>
      </c>
      <c r="R781" s="38">
        <v>1</v>
      </c>
      <c r="S781" s="38">
        <f>AVERAGEIF(L3:L1205,"&lt;2017/12/18",R3:R1205)</f>
        <v>1.2965686274509804</v>
      </c>
      <c r="T781" s="38">
        <v>2</v>
      </c>
      <c r="U781" s="38">
        <f>AVERAGEIF(L3:L1205,"&lt;2017/12/18",T3:T1205)</f>
        <v>8.492647058823529</v>
      </c>
      <c r="V781" s="24">
        <v>424</v>
      </c>
      <c r="W781" s="47" t="s">
        <v>4558</v>
      </c>
    </row>
    <row r="782" spans="1:23">
      <c r="A782" s="23">
        <v>2</v>
      </c>
      <c r="B782" s="23">
        <v>4</v>
      </c>
      <c r="C782" s="18">
        <v>4</v>
      </c>
      <c r="D782" s="18">
        <v>4</v>
      </c>
      <c r="E782" s="20">
        <v>39</v>
      </c>
      <c r="F782" s="21">
        <f t="shared" si="37"/>
        <v>105.96926713947991</v>
      </c>
      <c r="G782" s="22">
        <v>0.38350610841726601</v>
      </c>
      <c r="H782" s="18">
        <v>1</v>
      </c>
      <c r="I782" s="18">
        <f t="shared" si="38"/>
        <v>0</v>
      </c>
      <c r="J782" s="41">
        <v>43085</v>
      </c>
      <c r="K782" s="36">
        <v>2017</v>
      </c>
      <c r="L782" s="32">
        <f t="shared" si="36"/>
        <v>43089</v>
      </c>
      <c r="M782" s="40">
        <v>0</v>
      </c>
      <c r="N782" s="33">
        <v>142</v>
      </c>
      <c r="O782" s="34">
        <f>AVERAGEIF(L3:L1205,"&lt;2017/12/16",N3:N1205)</f>
        <v>119.48774509803921</v>
      </c>
      <c r="P782" s="38">
        <v>0</v>
      </c>
      <c r="Q782" s="38">
        <f>AVERAGEIF(L3:L1205,"&lt;2017/12/16",P3:P1205)</f>
        <v>0.32843137254901961</v>
      </c>
      <c r="R782" s="38">
        <v>1</v>
      </c>
      <c r="S782" s="38">
        <f>AVERAGEIF(L3:L1205,"&lt;2017/12/16",R3:R1205)</f>
        <v>1.2965686274509804</v>
      </c>
      <c r="T782" s="38">
        <v>4</v>
      </c>
      <c r="U782" s="38">
        <f>AVERAGEIF(L3:L1205,"&lt;2017/12/16",T3:T1205)</f>
        <v>8.492647058823529</v>
      </c>
      <c r="V782" s="24">
        <v>423</v>
      </c>
      <c r="W782" s="47" t="s">
        <v>4878</v>
      </c>
    </row>
    <row r="783" spans="1:23">
      <c r="A783" s="23">
        <v>2</v>
      </c>
      <c r="B783" s="23">
        <v>7</v>
      </c>
      <c r="C783" s="18">
        <v>4</v>
      </c>
      <c r="D783" s="18">
        <v>6</v>
      </c>
      <c r="E783" s="20">
        <v>166</v>
      </c>
      <c r="F783" s="21">
        <f t="shared" si="37"/>
        <v>105.82701421800948</v>
      </c>
      <c r="G783" s="22">
        <v>0.28174702468684498</v>
      </c>
      <c r="H783" s="18">
        <v>1</v>
      </c>
      <c r="I783" s="18">
        <f t="shared" si="38"/>
        <v>0</v>
      </c>
      <c r="J783" s="41">
        <v>43085</v>
      </c>
      <c r="K783" s="36">
        <v>2017</v>
      </c>
      <c r="L783" s="32">
        <f t="shared" si="36"/>
        <v>43089</v>
      </c>
      <c r="M783" s="40">
        <v>0</v>
      </c>
      <c r="N783" s="33">
        <v>17</v>
      </c>
      <c r="O783" s="34">
        <f>AVERAGEIF(L3:L1205,"&lt;2017/12/16",N3:N1205)</f>
        <v>119.48774509803921</v>
      </c>
      <c r="P783" s="38">
        <v>0</v>
      </c>
      <c r="Q783" s="38">
        <f>AVERAGEIF(L3:L1205,"&lt;2017/12/16",P3:P1205)</f>
        <v>0.32843137254901961</v>
      </c>
      <c r="R783" s="38">
        <v>1</v>
      </c>
      <c r="S783" s="38">
        <f>AVERAGEIF(L3:L1205,"&lt;2017/12/16",R3:R1205)</f>
        <v>1.2965686274509804</v>
      </c>
      <c r="T783" s="38">
        <v>4</v>
      </c>
      <c r="U783" s="38">
        <f>AVERAGEIF(L3:L1205,"&lt;2017/12/16",T3:T1205)</f>
        <v>8.492647058823529</v>
      </c>
      <c r="V783" s="24">
        <v>422</v>
      </c>
      <c r="W783" s="47" t="s">
        <v>4550</v>
      </c>
    </row>
    <row r="784" spans="1:23">
      <c r="A784" s="23">
        <v>3</v>
      </c>
      <c r="B784" s="23">
        <v>19</v>
      </c>
      <c r="C784" s="18">
        <v>4</v>
      </c>
      <c r="D784" s="18">
        <v>7</v>
      </c>
      <c r="E784" s="20">
        <v>33</v>
      </c>
      <c r="F784" s="21">
        <f t="shared" si="37"/>
        <v>106</v>
      </c>
      <c r="G784" s="22">
        <v>0.34091107342432603</v>
      </c>
      <c r="H784" s="3">
        <v>1</v>
      </c>
      <c r="I784" s="18">
        <f t="shared" si="38"/>
        <v>0</v>
      </c>
      <c r="J784" s="41">
        <v>43084</v>
      </c>
      <c r="K784" s="36">
        <v>2017</v>
      </c>
      <c r="L784" s="32">
        <f t="shared" si="36"/>
        <v>43091</v>
      </c>
      <c r="M784" s="37">
        <v>0</v>
      </c>
      <c r="N784" s="33">
        <v>182</v>
      </c>
      <c r="O784" s="34">
        <f>AVERAGEIF(L3:L1205,"&lt;2017/12/15",N3:N1205)</f>
        <v>119.65110565110565</v>
      </c>
      <c r="P784" s="38">
        <v>0</v>
      </c>
      <c r="Q784" s="38">
        <f>AVERAGEIF(L3:L1205,"&lt;2017/12/15",P3:P1205)</f>
        <v>0.32923832923832924</v>
      </c>
      <c r="R784" s="38">
        <v>1</v>
      </c>
      <c r="S784" s="38">
        <f>AVERAGEIF(L3:L1205,"&lt;2017/12/15",R3:R1205)</f>
        <v>1.2972972972972974</v>
      </c>
      <c r="T784" s="38">
        <v>7</v>
      </c>
      <c r="U784" s="38">
        <f>AVERAGEIF(L3:L1205,"&lt;2017/12/15",T3:T1205)</f>
        <v>8.5085995085995094</v>
      </c>
      <c r="V784" s="24">
        <v>421</v>
      </c>
      <c r="W784" s="47" t="s">
        <v>4523</v>
      </c>
    </row>
    <row r="785" spans="1:23">
      <c r="A785" s="23">
        <v>2</v>
      </c>
      <c r="B785" s="23">
        <v>4</v>
      </c>
      <c r="C785" s="18">
        <v>4</v>
      </c>
      <c r="D785" s="18">
        <v>4</v>
      </c>
      <c r="E785" s="20">
        <v>67</v>
      </c>
      <c r="F785" s="21">
        <f t="shared" si="37"/>
        <v>106.09285714285714</v>
      </c>
      <c r="G785" s="22">
        <v>0.45931350807979199</v>
      </c>
      <c r="H785" s="18">
        <v>1</v>
      </c>
      <c r="I785" s="18">
        <f t="shared" si="38"/>
        <v>0</v>
      </c>
      <c r="J785" s="41">
        <v>43083</v>
      </c>
      <c r="K785" s="36">
        <v>2017</v>
      </c>
      <c r="L785" s="32">
        <f t="shared" si="36"/>
        <v>43088</v>
      </c>
      <c r="M785" s="24">
        <v>0</v>
      </c>
      <c r="N785" s="33">
        <v>151</v>
      </c>
      <c r="O785" s="34">
        <f>AVERAGEIF(L3:L1205,"&lt;2017/12/14",N3:N1205)</f>
        <v>119.65110565110565</v>
      </c>
      <c r="P785" s="38">
        <v>0</v>
      </c>
      <c r="Q785" s="38">
        <f>AVERAGEIF(L3:L1205,"&lt;2017/12/14",P3:P1205)</f>
        <v>0.32923832923832924</v>
      </c>
      <c r="R785" s="38">
        <v>1</v>
      </c>
      <c r="S785" s="38">
        <f>AVERAGEIF(L3:L1205,"&lt;2017/12/14",R3:R1205)</f>
        <v>1.2972972972972974</v>
      </c>
      <c r="T785" s="38">
        <v>5</v>
      </c>
      <c r="U785" s="38">
        <f>AVERAGEIF(L3:L1205,"&lt;2017/12/14",T3:T1205)</f>
        <v>8.5085995085995094</v>
      </c>
      <c r="V785" s="24">
        <v>420</v>
      </c>
      <c r="W785" s="47" t="s">
        <v>4521</v>
      </c>
    </row>
    <row r="786" spans="1:23">
      <c r="A786" s="23">
        <v>3</v>
      </c>
      <c r="B786" s="23">
        <v>19</v>
      </c>
      <c r="C786" s="18">
        <v>4</v>
      </c>
      <c r="D786" s="18">
        <v>4</v>
      </c>
      <c r="E786" s="20">
        <v>61</v>
      </c>
      <c r="F786" s="21">
        <f t="shared" si="37"/>
        <v>106.20047732696898</v>
      </c>
      <c r="G786" s="22">
        <v>0.420428051489173</v>
      </c>
      <c r="H786" s="3">
        <v>1</v>
      </c>
      <c r="I786" s="18">
        <f t="shared" si="38"/>
        <v>0</v>
      </c>
      <c r="J786" s="41">
        <v>43083</v>
      </c>
      <c r="K786" s="36">
        <v>2017</v>
      </c>
      <c r="L786" s="32">
        <f t="shared" si="36"/>
        <v>43087</v>
      </c>
      <c r="M786" s="24">
        <v>0</v>
      </c>
      <c r="N786" s="33">
        <v>160</v>
      </c>
      <c r="O786" s="34">
        <f>AVERAGEIF(L3:L1205,"&lt;2017/12/14",N3:N1205)</f>
        <v>119.65110565110565</v>
      </c>
      <c r="P786" s="38">
        <v>0</v>
      </c>
      <c r="Q786" s="38">
        <f>AVERAGEIF(L3:L1205,"&lt;2017/12/14",P3:P1205)</f>
        <v>0.32923832923832924</v>
      </c>
      <c r="R786" s="38">
        <v>1</v>
      </c>
      <c r="S786" s="38">
        <f>AVERAGEIF(L3:L1205,"&lt;2017/12/14",R3:R1205)</f>
        <v>1.2972972972972974</v>
      </c>
      <c r="T786" s="38">
        <v>4</v>
      </c>
      <c r="U786" s="38">
        <f>AVERAGEIF(L3:L1205,"&lt;2017/12/14",T3:T1205)</f>
        <v>8.5085995085995094</v>
      </c>
      <c r="V786" s="24">
        <v>419</v>
      </c>
      <c r="W786" s="47" t="s">
        <v>4523</v>
      </c>
    </row>
    <row r="787" spans="1:23">
      <c r="A787" s="23">
        <v>3</v>
      </c>
      <c r="B787" s="23">
        <v>19</v>
      </c>
      <c r="C787" s="18">
        <v>4</v>
      </c>
      <c r="D787" s="18">
        <v>7</v>
      </c>
      <c r="E787" s="20">
        <v>216</v>
      </c>
      <c r="F787" s="21">
        <f t="shared" si="37"/>
        <v>105.9377990430622</v>
      </c>
      <c r="G787" s="22">
        <v>0.41443322193898202</v>
      </c>
      <c r="H787" s="3">
        <v>1</v>
      </c>
      <c r="I787" s="18">
        <f t="shared" si="38"/>
        <v>0</v>
      </c>
      <c r="J787" s="41">
        <v>43083</v>
      </c>
      <c r="K787" s="36">
        <v>2017</v>
      </c>
      <c r="L787" s="32">
        <f t="shared" si="36"/>
        <v>43087</v>
      </c>
      <c r="M787" s="24">
        <v>0</v>
      </c>
      <c r="N787" s="33">
        <v>193</v>
      </c>
      <c r="O787" s="34">
        <f>AVERAGEIF(L3:L1205,"&lt;2017/12/14",N3:N1205)</f>
        <v>119.65110565110565</v>
      </c>
      <c r="P787" s="38">
        <v>0</v>
      </c>
      <c r="Q787" s="38">
        <f>AVERAGEIF(L3:L1205,"&lt;2017/12/14",P3:P1205)</f>
        <v>0.32923832923832924</v>
      </c>
      <c r="R787" s="38">
        <v>1</v>
      </c>
      <c r="S787" s="38">
        <f>AVERAGEIF(L3:L1205,"&lt;2017/12/14",R3:R1205)</f>
        <v>1.2972972972972974</v>
      </c>
      <c r="T787" s="38">
        <v>4</v>
      </c>
      <c r="U787" s="38">
        <f>AVERAGEIF(L3:L1205,"&lt;2017/12/14",T3:T1205)</f>
        <v>8.5085995085995094</v>
      </c>
      <c r="V787" s="24">
        <v>418</v>
      </c>
      <c r="W787" s="47" t="s">
        <v>4557</v>
      </c>
    </row>
    <row r="788" spans="1:23">
      <c r="A788" s="23">
        <v>4</v>
      </c>
      <c r="B788" s="23">
        <v>32</v>
      </c>
      <c r="C788" s="18">
        <v>4</v>
      </c>
      <c r="D788" s="18">
        <v>6</v>
      </c>
      <c r="E788" s="20">
        <v>69</v>
      </c>
      <c r="F788" s="21">
        <f t="shared" si="37"/>
        <v>106.02637889688249</v>
      </c>
      <c r="G788" s="22">
        <v>0.87403886530697095</v>
      </c>
      <c r="H788" s="18">
        <v>1</v>
      </c>
      <c r="I788" s="18">
        <f t="shared" si="38"/>
        <v>0</v>
      </c>
      <c r="J788" s="45">
        <v>43082</v>
      </c>
      <c r="K788" s="36">
        <v>2017</v>
      </c>
      <c r="L788" s="32">
        <f t="shared" si="36"/>
        <v>43084</v>
      </c>
      <c r="M788" s="42">
        <v>1</v>
      </c>
      <c r="N788" s="33">
        <v>53</v>
      </c>
      <c r="O788" s="34">
        <f>AVERAGEIF(L3:L1205,"&lt;2017/12/13",N3:N1205)</f>
        <v>119.55802469135803</v>
      </c>
      <c r="P788" s="38">
        <v>0</v>
      </c>
      <c r="Q788" s="38">
        <f>AVERAGEIF(L3:L1205,"&lt;2017/12/13",P3:P1205)</f>
        <v>0.33086419753086421</v>
      </c>
      <c r="R788" s="38">
        <v>1</v>
      </c>
      <c r="S788" s="38">
        <f>AVERAGEIF(L3:L1205,"&lt;2017/12/13",R3:R1205)</f>
        <v>1.2987654320987654</v>
      </c>
      <c r="T788" s="38">
        <v>2</v>
      </c>
      <c r="U788" s="38">
        <f>AVERAGEIF(L3:L1205,"&lt;2017/12/13",T3:T1205)</f>
        <v>8.5407407407407412</v>
      </c>
      <c r="V788" s="24">
        <v>417</v>
      </c>
      <c r="W788" s="47" t="s">
        <v>4563</v>
      </c>
    </row>
    <row r="789" spans="1:23">
      <c r="A789" s="23">
        <v>4</v>
      </c>
      <c r="B789" s="23">
        <v>28</v>
      </c>
      <c r="C789" s="18">
        <v>4</v>
      </c>
      <c r="D789" s="18">
        <v>4</v>
      </c>
      <c r="E789" s="20">
        <v>66</v>
      </c>
      <c r="F789" s="21">
        <f t="shared" si="37"/>
        <v>106.12259615384616</v>
      </c>
      <c r="G789" s="22">
        <v>0.75929965638772201</v>
      </c>
      <c r="H789" s="18">
        <v>1</v>
      </c>
      <c r="I789" s="18">
        <f t="shared" si="38"/>
        <v>0</v>
      </c>
      <c r="J789" s="45">
        <v>43081</v>
      </c>
      <c r="K789" s="36">
        <v>2017</v>
      </c>
      <c r="L789" s="32">
        <f t="shared" si="36"/>
        <v>43095</v>
      </c>
      <c r="M789" s="44">
        <v>1</v>
      </c>
      <c r="N789" s="33">
        <v>123</v>
      </c>
      <c r="O789" s="34">
        <f>AVERAGEIF(L3:L1205,"&lt;2017/12/12",N3:N1205)</f>
        <v>119.45843828715365</v>
      </c>
      <c r="P789" s="38">
        <v>1</v>
      </c>
      <c r="Q789" s="38">
        <f>AVERAGEIF(L3:L1205,"&lt;2017/12/12",P3:P1205)</f>
        <v>0.33753148614609574</v>
      </c>
      <c r="R789" s="38">
        <v>1</v>
      </c>
      <c r="S789" s="38">
        <f>AVERAGEIF(L3:L1205,"&lt;2017/12/12",R3:R1205)</f>
        <v>1.3022670025188916</v>
      </c>
      <c r="T789" s="38">
        <v>14</v>
      </c>
      <c r="U789" s="38">
        <f>AVERAGEIF(L3:L1205,"&lt;2017/12/12",T3:T1205)</f>
        <v>8.5465994962216616</v>
      </c>
      <c r="V789" s="24">
        <v>416</v>
      </c>
      <c r="W789" s="47" t="s">
        <v>4618</v>
      </c>
    </row>
    <row r="790" spans="1:23">
      <c r="A790" s="23">
        <v>2</v>
      </c>
      <c r="B790" s="23">
        <v>13</v>
      </c>
      <c r="C790" s="18">
        <v>4</v>
      </c>
      <c r="D790" s="18">
        <v>4</v>
      </c>
      <c r="E790" s="20">
        <v>45</v>
      </c>
      <c r="F790" s="21">
        <f t="shared" si="37"/>
        <v>106.26987951807229</v>
      </c>
      <c r="G790" s="22">
        <v>0.41317809705394898</v>
      </c>
      <c r="H790" s="18">
        <v>1</v>
      </c>
      <c r="I790" s="18">
        <f t="shared" si="38"/>
        <v>0</v>
      </c>
      <c r="J790" s="41">
        <v>43080</v>
      </c>
      <c r="K790" s="36">
        <v>2017</v>
      </c>
      <c r="L790" s="32">
        <f t="shared" si="36"/>
        <v>43082</v>
      </c>
      <c r="M790" s="40">
        <v>0</v>
      </c>
      <c r="N790" s="33">
        <v>179</v>
      </c>
      <c r="O790" s="34">
        <f>AVERAGEIF(L3:L1205,"&lt;2017/12/11",N3:N1205)</f>
        <v>119.3756345177665</v>
      </c>
      <c r="P790" s="38">
        <v>0</v>
      </c>
      <c r="Q790" s="38">
        <f>AVERAGEIF(L3:L1205,"&lt;2017/12/11",P3:P1205)</f>
        <v>0.33756345177664976</v>
      </c>
      <c r="R790" s="38">
        <v>1</v>
      </c>
      <c r="S790" s="38">
        <f>AVERAGEIF(L3:L1205,"&lt;2017/12/11",R3:R1205)</f>
        <v>1.3045685279187818</v>
      </c>
      <c r="T790" s="38">
        <v>2</v>
      </c>
      <c r="U790" s="38">
        <f>AVERAGEIF(L3:L1205,"&lt;2017/12/11",T3:T1205)</f>
        <v>8.5431472081218267</v>
      </c>
      <c r="V790" s="24">
        <v>415</v>
      </c>
      <c r="W790" s="47" t="s">
        <v>4529</v>
      </c>
    </row>
    <row r="791" spans="1:23">
      <c r="A791" s="23">
        <v>3</v>
      </c>
      <c r="B791" s="23">
        <v>19</v>
      </c>
      <c r="C791" s="18">
        <v>4</v>
      </c>
      <c r="D791" s="18">
        <v>7</v>
      </c>
      <c r="E791" s="20">
        <v>67</v>
      </c>
      <c r="F791" s="21">
        <f t="shared" si="37"/>
        <v>106.36473429951691</v>
      </c>
      <c r="G791" s="22">
        <v>0.41250198251523501</v>
      </c>
      <c r="H791" s="3">
        <v>1</v>
      </c>
      <c r="I791" s="18">
        <f t="shared" si="38"/>
        <v>0</v>
      </c>
      <c r="J791" s="57">
        <v>43080</v>
      </c>
      <c r="K791" s="36">
        <v>2017</v>
      </c>
      <c r="L791" s="32">
        <f t="shared" si="36"/>
        <v>43082</v>
      </c>
      <c r="M791" s="24">
        <v>0</v>
      </c>
      <c r="N791" s="33">
        <v>98</v>
      </c>
      <c r="O791" s="34">
        <f>AVERAGEIF(L3:L1205,"&lt;2017/12/11",N3:N1205)</f>
        <v>119.3756345177665</v>
      </c>
      <c r="P791" s="38">
        <v>0</v>
      </c>
      <c r="Q791" s="38">
        <f>AVERAGEIF(L3:L1205,"&lt;2017/12/11",P3:P1205)</f>
        <v>0.33756345177664976</v>
      </c>
      <c r="R791" s="38">
        <v>1</v>
      </c>
      <c r="S791" s="38">
        <f>AVERAGEIF(L3:L1205,"&lt;2017/12/11",R3:R1205)</f>
        <v>1.3045685279187818</v>
      </c>
      <c r="T791" s="38">
        <v>2</v>
      </c>
      <c r="U791" s="38">
        <f>AVERAGEIF(L3:L1205,"&lt;2017/12/11",T3:T1205)</f>
        <v>8.5431472081218267</v>
      </c>
      <c r="V791" s="24">
        <v>414</v>
      </c>
      <c r="W791" s="47" t="s">
        <v>4624</v>
      </c>
    </row>
    <row r="792" spans="1:23">
      <c r="A792" s="17">
        <v>1</v>
      </c>
      <c r="B792" s="17">
        <v>2</v>
      </c>
      <c r="C792" s="18">
        <v>5</v>
      </c>
      <c r="D792" s="18">
        <v>6</v>
      </c>
      <c r="E792" s="20">
        <v>46</v>
      </c>
      <c r="F792" s="21">
        <f t="shared" si="37"/>
        <v>106.51089588377724</v>
      </c>
      <c r="G792" s="22">
        <v>0.32803545609064499</v>
      </c>
      <c r="H792" s="18">
        <v>1</v>
      </c>
      <c r="I792" s="18">
        <f t="shared" si="38"/>
        <v>0</v>
      </c>
      <c r="J792" s="32">
        <v>43079</v>
      </c>
      <c r="K792" s="36">
        <v>2017</v>
      </c>
      <c r="L792" s="32">
        <f t="shared" si="36"/>
        <v>43081</v>
      </c>
      <c r="M792" s="24">
        <v>1</v>
      </c>
      <c r="N792" s="33">
        <v>81</v>
      </c>
      <c r="O792" s="34">
        <f>AVERAGEIF(L3:L1205,"&lt;2017/12/10",N3:N1205)</f>
        <v>119.3756345177665</v>
      </c>
      <c r="P792" s="55">
        <v>0</v>
      </c>
      <c r="Q792" s="24">
        <f>AVERAGEIF(L3:L1205,"&lt;2017/12/10",P3:P1205)</f>
        <v>0.33756345177664976</v>
      </c>
      <c r="R792" s="24">
        <v>1</v>
      </c>
      <c r="S792" s="24">
        <f>AVERAGEIF(L3:L1205,"&lt;2017/12/10",R3:R1205)</f>
        <v>1.3045685279187818</v>
      </c>
      <c r="T792" s="55">
        <v>2</v>
      </c>
      <c r="U792" s="24">
        <f>AVERAGEIF(L3:L1205,"&lt;2017/12/10",T3:T1205)</f>
        <v>8.5431472081218267</v>
      </c>
      <c r="V792" s="24">
        <v>413</v>
      </c>
      <c r="W792" s="47" t="s">
        <v>4564</v>
      </c>
    </row>
    <row r="793" spans="1:23">
      <c r="A793" s="23">
        <v>2</v>
      </c>
      <c r="B793" s="23">
        <v>6</v>
      </c>
      <c r="C793" s="18">
        <v>4</v>
      </c>
      <c r="D793" s="18">
        <v>4</v>
      </c>
      <c r="E793" s="20">
        <v>42</v>
      </c>
      <c r="F793" s="21">
        <f t="shared" si="37"/>
        <v>106.66747572815534</v>
      </c>
      <c r="G793" s="22">
        <v>0.38937494876414802</v>
      </c>
      <c r="H793" s="18">
        <v>1</v>
      </c>
      <c r="I793" s="18">
        <f t="shared" si="38"/>
        <v>0</v>
      </c>
      <c r="J793" s="41">
        <v>43079</v>
      </c>
      <c r="K793" s="36">
        <v>2017</v>
      </c>
      <c r="L793" s="32">
        <f t="shared" si="36"/>
        <v>43089</v>
      </c>
      <c r="M793" s="40">
        <v>0</v>
      </c>
      <c r="N793" s="33">
        <v>124</v>
      </c>
      <c r="O793" s="34">
        <f>AVERAGEIF(L3:L1205,"&lt;2017/12/10",N3:N1205)</f>
        <v>119.3756345177665</v>
      </c>
      <c r="P793" s="54">
        <v>0</v>
      </c>
      <c r="Q793" s="38">
        <f>AVERAGEIF(L3:L1205,"&lt;2017/12/10",P3:P1205)</f>
        <v>0.33756345177664976</v>
      </c>
      <c r="R793" s="38">
        <v>1</v>
      </c>
      <c r="S793" s="38">
        <f>AVERAGEIF(L3:L1205,"&lt;2017/12/10",R3:R1205)</f>
        <v>1.3045685279187818</v>
      </c>
      <c r="T793" s="54">
        <v>10</v>
      </c>
      <c r="U793" s="38">
        <f>AVERAGEIF(L3:L1205,"&lt;2017/12/10",T3:T1205)</f>
        <v>8.5431472081218267</v>
      </c>
      <c r="V793" s="24">
        <v>412</v>
      </c>
      <c r="W793" s="47" t="s">
        <v>4878</v>
      </c>
    </row>
    <row r="794" spans="1:23">
      <c r="A794" s="23">
        <v>2</v>
      </c>
      <c r="B794" s="23">
        <v>8</v>
      </c>
      <c r="C794" s="18">
        <v>4</v>
      </c>
      <c r="D794" s="18">
        <v>4</v>
      </c>
      <c r="E794" s="20">
        <v>87</v>
      </c>
      <c r="F794" s="21">
        <f t="shared" si="37"/>
        <v>106.71532846715328</v>
      </c>
      <c r="G794" s="22">
        <v>0.38253845866341502</v>
      </c>
      <c r="H794" s="18">
        <v>1</v>
      </c>
      <c r="I794" s="18">
        <f t="shared" si="38"/>
        <v>0</v>
      </c>
      <c r="J794" s="41">
        <v>43079</v>
      </c>
      <c r="K794" s="36">
        <v>2017</v>
      </c>
      <c r="L794" s="32">
        <f t="shared" si="36"/>
        <v>43105</v>
      </c>
      <c r="M794" s="40">
        <v>0</v>
      </c>
      <c r="N794" s="33">
        <v>34</v>
      </c>
      <c r="O794" s="34">
        <f>AVERAGEIF(L3:L1205,"&lt;2017/12/10",N3:N1205)</f>
        <v>119.3756345177665</v>
      </c>
      <c r="P794" s="38">
        <v>0</v>
      </c>
      <c r="Q794" s="38">
        <f>AVERAGEIF(L3:L1205,"&lt;2017/12/10",P3:P1205)</f>
        <v>0.33756345177664976</v>
      </c>
      <c r="R794" s="38">
        <v>2</v>
      </c>
      <c r="S794" s="38">
        <f>AVERAGEIF(L3:L1205,"&lt;2017/12/10",R3:R1205)</f>
        <v>1.3045685279187818</v>
      </c>
      <c r="T794" s="38">
        <v>26</v>
      </c>
      <c r="U794" s="38">
        <f>AVERAGEIF(L3:L1205,"&lt;2017/12/10",T3:T1205)</f>
        <v>8.5431472081218267</v>
      </c>
      <c r="V794" s="24">
        <v>411</v>
      </c>
      <c r="W794" s="47" t="s">
        <v>4634</v>
      </c>
    </row>
    <row r="795" spans="1:23">
      <c r="A795" s="23">
        <v>3</v>
      </c>
      <c r="B795" s="23">
        <v>19</v>
      </c>
      <c r="C795" s="18">
        <v>4</v>
      </c>
      <c r="D795" s="18">
        <v>4</v>
      </c>
      <c r="E795" s="20">
        <v>71</v>
      </c>
      <c r="F795" s="21">
        <f t="shared" si="37"/>
        <v>106.80243902439024</v>
      </c>
      <c r="G795" s="22">
        <v>0.37500562393365999</v>
      </c>
      <c r="H795" s="3">
        <v>1</v>
      </c>
      <c r="I795" s="18">
        <f t="shared" si="38"/>
        <v>0</v>
      </c>
      <c r="J795" s="57">
        <v>43077</v>
      </c>
      <c r="K795" s="36">
        <v>2017</v>
      </c>
      <c r="L795" s="32">
        <f t="shared" si="36"/>
        <v>43081</v>
      </c>
      <c r="M795" s="24">
        <v>0</v>
      </c>
      <c r="N795" s="33">
        <v>99</v>
      </c>
      <c r="O795" s="34">
        <f>AVERAGEIF(L3:L1205,"&lt;2017/12/8",N3:N1205)</f>
        <v>119.13299232736573</v>
      </c>
      <c r="P795" s="38">
        <v>0</v>
      </c>
      <c r="Q795" s="38">
        <f>AVERAGEIF(L3:L1205,"&lt;2017/12/8",P3:P1205)</f>
        <v>0.34015345268542202</v>
      </c>
      <c r="R795" s="38">
        <v>1</v>
      </c>
      <c r="S795" s="38">
        <f>AVERAGEIF(L3:L1205,"&lt;2017/12/8",R3:R1205)</f>
        <v>1.3069053708439897</v>
      </c>
      <c r="T795" s="38">
        <v>4</v>
      </c>
      <c r="U795" s="38">
        <f>AVERAGEIF(L3:L1205,"&lt;2017/12/8",T3:T1205)</f>
        <v>8.5498721227621477</v>
      </c>
      <c r="V795" s="24">
        <v>410</v>
      </c>
      <c r="W795" s="47" t="s">
        <v>4550</v>
      </c>
    </row>
    <row r="796" spans="1:23">
      <c r="A796" s="17">
        <v>1</v>
      </c>
      <c r="B796" s="17">
        <v>2</v>
      </c>
      <c r="C796" s="18">
        <v>5</v>
      </c>
      <c r="D796" s="18">
        <v>6</v>
      </c>
      <c r="E796" s="20">
        <v>21</v>
      </c>
      <c r="F796" s="21">
        <f t="shared" si="37"/>
        <v>107.01222493887531</v>
      </c>
      <c r="G796" s="22">
        <v>0.56193583842217598</v>
      </c>
      <c r="H796" s="18">
        <v>1</v>
      </c>
      <c r="I796" s="18">
        <f t="shared" si="38"/>
        <v>0</v>
      </c>
      <c r="J796" s="32">
        <v>43076</v>
      </c>
      <c r="K796" s="36">
        <v>2017</v>
      </c>
      <c r="L796" s="32">
        <f t="shared" si="36"/>
        <v>43077</v>
      </c>
      <c r="M796" s="24">
        <v>1</v>
      </c>
      <c r="N796" s="33">
        <v>99</v>
      </c>
      <c r="O796" s="34">
        <f>AVERAGEIF(L3:L1205,"&lt;2017/12/7",N3:N1205)</f>
        <v>119.13299232736573</v>
      </c>
      <c r="P796" s="24">
        <v>0</v>
      </c>
      <c r="Q796" s="24">
        <f>AVERAGEIF(L3:L1205,"&lt;2017/12/7",P3:P1205)</f>
        <v>0.34015345268542202</v>
      </c>
      <c r="R796" s="24">
        <v>1</v>
      </c>
      <c r="S796" s="24">
        <f>AVERAGEIF(L3:L1205,"&lt;2017/12/7",R3:R1205)</f>
        <v>1.3069053708439897</v>
      </c>
      <c r="T796" s="24">
        <v>1</v>
      </c>
      <c r="U796" s="24">
        <f>AVERAGEIF(L3:L1205,"&lt;2017/12/7",T3:T1205)</f>
        <v>8.5498721227621477</v>
      </c>
      <c r="V796" s="24">
        <v>409</v>
      </c>
      <c r="W796" s="47" t="s">
        <v>4563</v>
      </c>
    </row>
    <row r="797" spans="1:23">
      <c r="A797" s="23">
        <v>2</v>
      </c>
      <c r="B797" s="23">
        <v>4</v>
      </c>
      <c r="C797" s="18">
        <v>4</v>
      </c>
      <c r="D797" s="18">
        <v>4</v>
      </c>
      <c r="E797" s="20">
        <v>45</v>
      </c>
      <c r="F797" s="21">
        <f t="shared" si="37"/>
        <v>107.16421568627452</v>
      </c>
      <c r="G797" s="22">
        <v>0.45837267935817</v>
      </c>
      <c r="H797" s="18">
        <v>1</v>
      </c>
      <c r="I797" s="18">
        <f t="shared" si="38"/>
        <v>0</v>
      </c>
      <c r="J797" s="41">
        <v>43076</v>
      </c>
      <c r="K797" s="36">
        <v>2017</v>
      </c>
      <c r="L797" s="32">
        <f t="shared" si="36"/>
        <v>43081</v>
      </c>
      <c r="M797" s="40">
        <v>0</v>
      </c>
      <c r="N797" s="33">
        <v>157</v>
      </c>
      <c r="O797" s="34">
        <f>AVERAGEIF(L3:L1205,"&lt;2017/12/7",N3:N1205)</f>
        <v>119.13299232736573</v>
      </c>
      <c r="P797" s="38">
        <v>0</v>
      </c>
      <c r="Q797" s="38">
        <f>AVERAGEIF(L3:L1205,"&lt;2017/12/7",P3:P1205)</f>
        <v>0.34015345268542202</v>
      </c>
      <c r="R797" s="38">
        <v>1</v>
      </c>
      <c r="S797" s="38">
        <f>AVERAGEIF(L3:L1205,"&lt;2017/12/7",R3:R1205)</f>
        <v>1.3069053708439897</v>
      </c>
      <c r="T797" s="38">
        <v>5</v>
      </c>
      <c r="U797" s="38">
        <f>AVERAGEIF(L3:L1205,"&lt;2017/12/7",T3:T1205)</f>
        <v>8.5498721227621477</v>
      </c>
      <c r="V797" s="24">
        <v>408</v>
      </c>
      <c r="W797" s="47" t="s">
        <v>4529</v>
      </c>
    </row>
    <row r="798" spans="1:23">
      <c r="A798" s="23">
        <v>2</v>
      </c>
      <c r="B798" s="23">
        <v>4</v>
      </c>
      <c r="C798" s="18">
        <v>4</v>
      </c>
      <c r="D798" s="18">
        <v>6</v>
      </c>
      <c r="E798" s="20">
        <v>93</v>
      </c>
      <c r="F798" s="21">
        <f t="shared" si="37"/>
        <v>107.19901719901721</v>
      </c>
      <c r="G798" s="22">
        <v>0.37481231528216902</v>
      </c>
      <c r="H798" s="18">
        <v>1</v>
      </c>
      <c r="I798" s="18">
        <f t="shared" si="38"/>
        <v>0</v>
      </c>
      <c r="J798" s="41">
        <v>43076</v>
      </c>
      <c r="K798" s="36">
        <v>2017</v>
      </c>
      <c r="L798" s="32">
        <f t="shared" si="36"/>
        <v>43080</v>
      </c>
      <c r="M798" s="40">
        <v>1</v>
      </c>
      <c r="N798" s="33">
        <v>53</v>
      </c>
      <c r="O798" s="34">
        <f>AVERAGEIF(L3:L1205,"&lt;2017/12/7",N3:N1205)</f>
        <v>119.13299232736573</v>
      </c>
      <c r="P798" s="54">
        <v>0</v>
      </c>
      <c r="Q798" s="38">
        <f>AVERAGEIF(L3:L1205,"&lt;2017/12/7",P3:P1205)</f>
        <v>0.34015345268542202</v>
      </c>
      <c r="R798" s="38">
        <v>1</v>
      </c>
      <c r="S798" s="38">
        <f>AVERAGEIF(L3:L1205,"&lt;2017/12/7",R3:R1205)</f>
        <v>1.3069053708439897</v>
      </c>
      <c r="T798" s="54">
        <v>4</v>
      </c>
      <c r="U798" s="38">
        <f>AVERAGEIF(L3:L1205,"&lt;2017/12/7",T3:T1205)</f>
        <v>8.5498721227621477</v>
      </c>
      <c r="V798" s="24">
        <v>407</v>
      </c>
      <c r="W798" s="47" t="s">
        <v>4579</v>
      </c>
    </row>
    <row r="799" spans="1:23">
      <c r="A799" s="23">
        <v>2</v>
      </c>
      <c r="B799" s="23">
        <v>6</v>
      </c>
      <c r="C799" s="18">
        <v>4</v>
      </c>
      <c r="D799" s="18">
        <v>4</v>
      </c>
      <c r="E799" s="20">
        <v>95</v>
      </c>
      <c r="F799" s="21">
        <f t="shared" si="37"/>
        <v>107.22906403940887</v>
      </c>
      <c r="G799" s="22">
        <v>0.43440800238038102</v>
      </c>
      <c r="H799" s="18">
        <v>1</v>
      </c>
      <c r="I799" s="18">
        <f t="shared" si="38"/>
        <v>0</v>
      </c>
      <c r="J799" s="41">
        <v>43076</v>
      </c>
      <c r="K799" s="36">
        <v>2017</v>
      </c>
      <c r="L799" s="32">
        <f t="shared" si="36"/>
        <v>43081</v>
      </c>
      <c r="M799" s="40">
        <v>0</v>
      </c>
      <c r="N799" s="33">
        <v>125</v>
      </c>
      <c r="O799" s="34">
        <f>AVERAGEIF(L3:L1205,"&lt;2017/12/7",N3:N1205)</f>
        <v>119.13299232736573</v>
      </c>
      <c r="P799" s="38">
        <v>0</v>
      </c>
      <c r="Q799" s="38">
        <f>AVERAGEIF(L3:L1205,"&lt;2017/12/7",P3:P1205)</f>
        <v>0.34015345268542202</v>
      </c>
      <c r="R799" s="38">
        <v>1</v>
      </c>
      <c r="S799" s="38">
        <f>AVERAGEIF(L3:L1205,"&lt;2017/12/7",R3:R1205)</f>
        <v>1.3069053708439897</v>
      </c>
      <c r="T799" s="38">
        <v>5</v>
      </c>
      <c r="U799" s="38">
        <f>AVERAGEIF(L3:L1205,"&lt;2017/12/7",T3:T1205)</f>
        <v>8.5498721227621477</v>
      </c>
      <c r="V799" s="24">
        <v>406</v>
      </c>
      <c r="W799" s="47" t="s">
        <v>4553</v>
      </c>
    </row>
    <row r="800" spans="1:23">
      <c r="A800" s="23">
        <v>3</v>
      </c>
      <c r="B800" s="23">
        <v>20</v>
      </c>
      <c r="C800" s="18">
        <v>4</v>
      </c>
      <c r="D800" s="18">
        <v>6</v>
      </c>
      <c r="E800" s="20">
        <v>74</v>
      </c>
      <c r="F800" s="21">
        <f t="shared" si="37"/>
        <v>107.31111111111112</v>
      </c>
      <c r="G800" s="22">
        <v>0.38490273511029199</v>
      </c>
      <c r="H800" s="3">
        <v>1</v>
      </c>
      <c r="I800" s="18">
        <f t="shared" si="38"/>
        <v>0</v>
      </c>
      <c r="J800" s="57">
        <v>43076</v>
      </c>
      <c r="K800" s="36">
        <v>2017</v>
      </c>
      <c r="L800" s="32">
        <f t="shared" si="36"/>
        <v>43089</v>
      </c>
      <c r="M800" s="24">
        <v>0</v>
      </c>
      <c r="N800" s="33">
        <v>97</v>
      </c>
      <c r="O800" s="34">
        <f>AVERAGEIF(L3:L1205,"&lt;2017/12/7",N3:N1205)</f>
        <v>119.13299232736573</v>
      </c>
      <c r="P800" s="38">
        <v>0</v>
      </c>
      <c r="Q800" s="38">
        <f>AVERAGEIF(L3:L1205,"&lt;2017/12/7",P3:P1205)</f>
        <v>0.34015345268542202</v>
      </c>
      <c r="R800" s="38">
        <v>1</v>
      </c>
      <c r="S800" s="38">
        <f>AVERAGEIF(L3:L1205,"&lt;2017/12/7",R3:R1205)</f>
        <v>1.3069053708439897</v>
      </c>
      <c r="T800" s="38">
        <v>13</v>
      </c>
      <c r="U800" s="38">
        <f>AVERAGEIF(L3:L1205,"&lt;2017/12/7",T3:T1205)</f>
        <v>8.5498721227621477</v>
      </c>
      <c r="V800" s="24">
        <v>405</v>
      </c>
      <c r="W800" s="47" t="s">
        <v>4557</v>
      </c>
    </row>
    <row r="801" spans="1:23">
      <c r="A801" s="23">
        <v>3</v>
      </c>
      <c r="B801" s="23">
        <v>19</v>
      </c>
      <c r="C801" s="18">
        <v>4</v>
      </c>
      <c r="D801" s="18">
        <v>4</v>
      </c>
      <c r="E801" s="20">
        <v>69</v>
      </c>
      <c r="F801" s="21">
        <f t="shared" si="37"/>
        <v>107.4059405940594</v>
      </c>
      <c r="G801" s="22">
        <v>0.38324569441433198</v>
      </c>
      <c r="H801" s="3">
        <v>1</v>
      </c>
      <c r="I801" s="18">
        <f t="shared" si="38"/>
        <v>0</v>
      </c>
      <c r="J801" s="41">
        <v>43075</v>
      </c>
      <c r="K801" s="36">
        <v>2017</v>
      </c>
      <c r="L801" s="32">
        <f t="shared" si="36"/>
        <v>43089</v>
      </c>
      <c r="M801" s="24">
        <v>0</v>
      </c>
      <c r="N801" s="33">
        <v>98</v>
      </c>
      <c r="O801" s="34">
        <f>AVERAGEIF(L3:L1205,"&lt;2017/12/6",N3:N1205)</f>
        <v>118.86118251928021</v>
      </c>
      <c r="P801" s="38">
        <v>0</v>
      </c>
      <c r="Q801" s="38">
        <f>AVERAGEIF(L3:L1205,"&lt;2017/12/6",P3:P1205)</f>
        <v>0.33933161953727509</v>
      </c>
      <c r="R801" s="38">
        <v>1</v>
      </c>
      <c r="S801" s="38">
        <f>AVERAGEIF(L3:L1205,"&lt;2017/12/6",R3:R1205)</f>
        <v>1.3084832904884318</v>
      </c>
      <c r="T801" s="38">
        <v>14</v>
      </c>
      <c r="U801" s="38">
        <f>AVERAGEIF(L3:L1205,"&lt;2017/12/6",T3:T1205)</f>
        <v>8.5732647814910017</v>
      </c>
      <c r="V801" s="24">
        <v>404</v>
      </c>
      <c r="W801" s="47" t="s">
        <v>4550</v>
      </c>
    </row>
    <row r="802" spans="1:23">
      <c r="A802" s="23">
        <v>3</v>
      </c>
      <c r="B802" s="23">
        <v>20</v>
      </c>
      <c r="C802" s="18">
        <v>4</v>
      </c>
      <c r="D802" s="18">
        <v>6</v>
      </c>
      <c r="E802" s="20">
        <v>134</v>
      </c>
      <c r="F802" s="21">
        <f t="shared" si="37"/>
        <v>107.33995037220843</v>
      </c>
      <c r="G802" s="22">
        <v>0.381831756380067</v>
      </c>
      <c r="H802" s="3">
        <v>1</v>
      </c>
      <c r="I802" s="18">
        <f t="shared" si="38"/>
        <v>0</v>
      </c>
      <c r="J802" s="57">
        <v>43075</v>
      </c>
      <c r="K802" s="36">
        <v>2017</v>
      </c>
      <c r="L802" s="32">
        <f t="shared" si="36"/>
        <v>43088</v>
      </c>
      <c r="M802" s="40">
        <v>0</v>
      </c>
      <c r="N802" s="33">
        <v>97</v>
      </c>
      <c r="O802" s="34">
        <f>AVERAGEIF(L3:L1205,"&lt;2017/12/6",N3:N1205)</f>
        <v>118.86118251928021</v>
      </c>
      <c r="P802" s="38">
        <v>0</v>
      </c>
      <c r="Q802" s="38">
        <f>AVERAGEIF(L3:L1205,"&lt;2017/12/6",P3:P1205)</f>
        <v>0.33933161953727509</v>
      </c>
      <c r="R802" s="38">
        <v>1</v>
      </c>
      <c r="S802" s="38">
        <f>AVERAGEIF(L3:L1205,"&lt;2017/12/6",R3:R1205)</f>
        <v>1.3084832904884318</v>
      </c>
      <c r="T802" s="38">
        <v>13</v>
      </c>
      <c r="U802" s="38">
        <f>AVERAGEIF(L3:L1205,"&lt;2017/12/6",T3:T1205)</f>
        <v>8.5732647814910017</v>
      </c>
      <c r="V802" s="24">
        <v>403</v>
      </c>
      <c r="W802" s="47" t="s">
        <v>5014</v>
      </c>
    </row>
    <row r="803" spans="1:23">
      <c r="A803" s="23">
        <v>3</v>
      </c>
      <c r="B803" s="23">
        <v>19</v>
      </c>
      <c r="C803" s="18">
        <v>4</v>
      </c>
      <c r="D803" s="18">
        <v>4</v>
      </c>
      <c r="E803" s="20">
        <v>43</v>
      </c>
      <c r="F803" s="21">
        <f t="shared" si="37"/>
        <v>107.5</v>
      </c>
      <c r="G803" s="22">
        <v>0.376210670181651</v>
      </c>
      <c r="H803" s="3">
        <v>1</v>
      </c>
      <c r="I803" s="18">
        <f t="shared" si="38"/>
        <v>0</v>
      </c>
      <c r="J803" s="41">
        <v>43074</v>
      </c>
      <c r="K803" s="36">
        <v>2017</v>
      </c>
      <c r="L803" s="32">
        <f t="shared" si="36"/>
        <v>43087</v>
      </c>
      <c r="M803" s="24">
        <v>0</v>
      </c>
      <c r="N803" s="33">
        <v>98</v>
      </c>
      <c r="O803" s="34">
        <f>AVERAGEIF(L3:L1205,"&lt;2017/12/5",N3:N1205)</f>
        <v>118.86493506493507</v>
      </c>
      <c r="P803" s="38">
        <v>0</v>
      </c>
      <c r="Q803" s="38">
        <f>AVERAGEIF(L3:L1205,"&lt;2017/12/5",P3:P1205)</f>
        <v>0.34285714285714286</v>
      </c>
      <c r="R803" s="38">
        <v>1</v>
      </c>
      <c r="S803" s="38">
        <f>AVERAGEIF(L3:L1205,"&lt;2017/12/5",R3:R1205)</f>
        <v>1.3116883116883118</v>
      </c>
      <c r="T803" s="38">
        <v>13</v>
      </c>
      <c r="U803" s="38">
        <f>AVERAGEIF(L3:L1205,"&lt;2017/12/5",T3:T1205)</f>
        <v>8.6025974025974019</v>
      </c>
      <c r="V803" s="24">
        <v>402</v>
      </c>
      <c r="W803" s="47" t="s">
        <v>4521</v>
      </c>
    </row>
    <row r="804" spans="1:23">
      <c r="A804" s="23">
        <v>3</v>
      </c>
      <c r="B804" s="23">
        <v>21</v>
      </c>
      <c r="C804" s="18">
        <v>4</v>
      </c>
      <c r="D804" s="18">
        <v>4</v>
      </c>
      <c r="E804" s="20">
        <v>53</v>
      </c>
      <c r="F804" s="21">
        <f t="shared" si="37"/>
        <v>107.6359102244389</v>
      </c>
      <c r="G804" s="22">
        <v>0.41252365921983197</v>
      </c>
      <c r="H804" s="3">
        <v>1</v>
      </c>
      <c r="I804" s="18">
        <f t="shared" si="38"/>
        <v>0</v>
      </c>
      <c r="J804" s="41">
        <v>43074</v>
      </c>
      <c r="K804" s="36">
        <v>2017</v>
      </c>
      <c r="L804" s="32">
        <f t="shared" si="36"/>
        <v>43087</v>
      </c>
      <c r="M804" s="40">
        <v>0</v>
      </c>
      <c r="N804" s="33">
        <v>134</v>
      </c>
      <c r="O804" s="34">
        <f>AVERAGEIF(L3:L1205,"&lt;2017/12/5",N3:N1205)</f>
        <v>118.86493506493507</v>
      </c>
      <c r="P804" s="38">
        <v>0</v>
      </c>
      <c r="Q804" s="38">
        <f>AVERAGEIF(L3:L1205,"&lt;2017/12/5",P3:P1205)</f>
        <v>0.34285714285714286</v>
      </c>
      <c r="R804" s="38">
        <v>1</v>
      </c>
      <c r="S804" s="38">
        <f>AVERAGEIF(L3:L1205,"&lt;2017/12/5",R3:R1205)</f>
        <v>1.3116883116883118</v>
      </c>
      <c r="T804" s="38">
        <v>13</v>
      </c>
      <c r="U804" s="38">
        <f>AVERAGEIF(L3:L1205,"&lt;2017/12/5",T3:T1205)</f>
        <v>8.6025974025974019</v>
      </c>
      <c r="V804" s="24">
        <v>401</v>
      </c>
      <c r="W804" s="47" t="s">
        <v>4878</v>
      </c>
    </row>
    <row r="805" spans="1:23">
      <c r="A805" s="23">
        <v>4</v>
      </c>
      <c r="B805" s="23">
        <v>28</v>
      </c>
      <c r="C805" s="18">
        <v>4</v>
      </c>
      <c r="D805" s="18">
        <v>4</v>
      </c>
      <c r="E805" s="20">
        <v>176</v>
      </c>
      <c r="F805" s="21">
        <f t="shared" si="37"/>
        <v>107.465</v>
      </c>
      <c r="G805" s="22">
        <v>0.247049559533671</v>
      </c>
      <c r="H805" s="18">
        <v>1</v>
      </c>
      <c r="I805" s="18">
        <f t="shared" si="38"/>
        <v>0</v>
      </c>
      <c r="J805" s="45">
        <v>43073</v>
      </c>
      <c r="K805" s="36">
        <v>2017</v>
      </c>
      <c r="L805" s="32">
        <f t="shared" si="36"/>
        <v>43090</v>
      </c>
      <c r="M805" s="44">
        <v>0</v>
      </c>
      <c r="N805" s="33">
        <v>344</v>
      </c>
      <c r="O805" s="34">
        <f>AVERAGEIF(L3:L1205,"&lt;2017/12/4",N3:N1205)</f>
        <v>118.81462140992167</v>
      </c>
      <c r="P805" s="38">
        <v>1</v>
      </c>
      <c r="Q805" s="38">
        <f>AVERAGEIF(L3:L1205,"&lt;2017/12/4",P3:P1205)</f>
        <v>0.34203655352480417</v>
      </c>
      <c r="R805" s="38">
        <v>1</v>
      </c>
      <c r="S805" s="38">
        <f>AVERAGEIF(L3:L1205,"&lt;2017/12/4",R3:R1205)</f>
        <v>1.3133159268929504</v>
      </c>
      <c r="T805" s="38">
        <v>17</v>
      </c>
      <c r="U805" s="38">
        <f>AVERAGEIF(L3:L1205,"&lt;2017/12/4",T3:T1205)</f>
        <v>8.6214099216710185</v>
      </c>
      <c r="V805" s="24">
        <v>400</v>
      </c>
      <c r="W805" s="47" t="s">
        <v>4621</v>
      </c>
    </row>
    <row r="806" spans="1:23">
      <c r="A806" s="23">
        <v>2</v>
      </c>
      <c r="B806" s="23">
        <v>13</v>
      </c>
      <c r="C806" s="18">
        <v>4</v>
      </c>
      <c r="D806" s="18">
        <v>6</v>
      </c>
      <c r="E806" s="20">
        <v>87</v>
      </c>
      <c r="F806" s="21">
        <f t="shared" si="37"/>
        <v>107.51629072681705</v>
      </c>
      <c r="G806" s="22">
        <v>0.37608012738186403</v>
      </c>
      <c r="H806" s="18">
        <v>1</v>
      </c>
      <c r="I806" s="18">
        <f t="shared" si="38"/>
        <v>0</v>
      </c>
      <c r="J806" s="41">
        <v>43072</v>
      </c>
      <c r="K806" s="36">
        <v>2017</v>
      </c>
      <c r="L806" s="32">
        <f t="shared" si="36"/>
        <v>43074</v>
      </c>
      <c r="M806" s="40">
        <v>0</v>
      </c>
      <c r="N806" s="33">
        <v>152</v>
      </c>
      <c r="O806" s="34">
        <f>AVERAGEIF(L3:L1205,"&lt;2017/12/3",N3:N1205)</f>
        <v>118.81462140992167</v>
      </c>
      <c r="P806" s="38">
        <v>0</v>
      </c>
      <c r="Q806" s="38">
        <f>AVERAGEIF(L3:L1205,"&lt;2017/12/3",P3:P1205)</f>
        <v>0.34203655352480417</v>
      </c>
      <c r="R806" s="38">
        <v>1</v>
      </c>
      <c r="S806" s="38">
        <f>AVERAGEIF(L3:L1205,"&lt;2017/12/3",R3:R1205)</f>
        <v>1.3133159268929504</v>
      </c>
      <c r="T806" s="38">
        <v>2</v>
      </c>
      <c r="U806" s="38">
        <f>AVERAGEIF(L3:L1205,"&lt;2017/12/3",T3:T1205)</f>
        <v>8.6214099216710185</v>
      </c>
      <c r="V806" s="24">
        <v>399</v>
      </c>
      <c r="W806" s="47" t="s">
        <v>4550</v>
      </c>
    </row>
    <row r="807" spans="1:23">
      <c r="A807" s="23">
        <v>2</v>
      </c>
      <c r="B807" s="23">
        <v>8</v>
      </c>
      <c r="C807" s="18">
        <v>4</v>
      </c>
      <c r="D807" s="18">
        <v>4</v>
      </c>
      <c r="E807" s="20">
        <v>124</v>
      </c>
      <c r="F807" s="21">
        <f t="shared" si="37"/>
        <v>107.4748743718593</v>
      </c>
      <c r="G807" s="22">
        <v>0.41287816005398198</v>
      </c>
      <c r="H807" s="18">
        <v>1</v>
      </c>
      <c r="I807" s="18">
        <f t="shared" si="38"/>
        <v>0</v>
      </c>
      <c r="J807" s="41">
        <v>43071</v>
      </c>
      <c r="K807" s="36">
        <v>2017</v>
      </c>
      <c r="L807" s="32">
        <f t="shared" si="36"/>
        <v>43075</v>
      </c>
      <c r="M807" s="40">
        <v>0</v>
      </c>
      <c r="N807" s="33">
        <v>160</v>
      </c>
      <c r="O807" s="34">
        <f>AVERAGEIF(L3:L1205,"&lt;2017/12/2",N3:N1205)</f>
        <v>118.96062992125984</v>
      </c>
      <c r="P807" s="38">
        <v>0</v>
      </c>
      <c r="Q807" s="38">
        <f>AVERAGEIF(L3:L1205,"&lt;2017/12/2",P3:P1205)</f>
        <v>0.34383202099737531</v>
      </c>
      <c r="R807" s="38">
        <v>1</v>
      </c>
      <c r="S807" s="38">
        <f>AVERAGEIF(L3:L1205,"&lt;2017/12/2",R3:R1205)</f>
        <v>1.3149606299212599</v>
      </c>
      <c r="T807" s="38">
        <v>4</v>
      </c>
      <c r="U807" s="38">
        <f>AVERAGEIF(L3:L1205,"&lt;2017/12/2",T3:T1205)</f>
        <v>8.6509186351706031</v>
      </c>
      <c r="V807" s="24">
        <v>398</v>
      </c>
      <c r="W807" s="47" t="s">
        <v>4550</v>
      </c>
    </row>
    <row r="808" spans="1:23">
      <c r="A808" s="23">
        <v>2</v>
      </c>
      <c r="B808" s="23">
        <v>13</v>
      </c>
      <c r="C808" s="18">
        <v>4</v>
      </c>
      <c r="D808" s="18">
        <v>4</v>
      </c>
      <c r="E808" s="20">
        <v>56</v>
      </c>
      <c r="F808" s="21">
        <f t="shared" si="37"/>
        <v>107.60453400503778</v>
      </c>
      <c r="G808" s="22">
        <v>0.41250377137388999</v>
      </c>
      <c r="H808" s="18">
        <v>1</v>
      </c>
      <c r="I808" s="18">
        <f t="shared" si="38"/>
        <v>0</v>
      </c>
      <c r="J808" s="41">
        <v>43071</v>
      </c>
      <c r="K808" s="36">
        <v>2017</v>
      </c>
      <c r="L808" s="32">
        <f t="shared" si="36"/>
        <v>43075</v>
      </c>
      <c r="M808" s="40">
        <v>0</v>
      </c>
      <c r="N808" s="33">
        <v>184</v>
      </c>
      <c r="O808" s="34">
        <f>AVERAGEIF(L3:L1205,"&lt;2017/12/2",N3:N1205)</f>
        <v>118.96062992125984</v>
      </c>
      <c r="P808" s="38">
        <v>1</v>
      </c>
      <c r="Q808" s="38">
        <f>AVERAGEIF(L3:L1205,"&lt;2017/12/2",P3:P1205)</f>
        <v>0.34383202099737531</v>
      </c>
      <c r="R808" s="38">
        <v>1</v>
      </c>
      <c r="S808" s="38">
        <f>AVERAGEIF(L3:L1205,"&lt;2017/12/2",R3:R1205)</f>
        <v>1.3149606299212599</v>
      </c>
      <c r="T808" s="38">
        <v>4</v>
      </c>
      <c r="U808" s="38">
        <f>AVERAGEIF(L3:L1205,"&lt;2017/12/2",T3:T1205)</f>
        <v>8.6509186351706031</v>
      </c>
      <c r="V808" s="24">
        <v>397</v>
      </c>
      <c r="W808" s="47" t="s">
        <v>4550</v>
      </c>
    </row>
    <row r="809" spans="1:23">
      <c r="A809" s="23">
        <v>3</v>
      </c>
      <c r="B809" s="23">
        <v>27</v>
      </c>
      <c r="C809" s="18">
        <v>4</v>
      </c>
      <c r="D809" s="18">
        <v>6</v>
      </c>
      <c r="E809" s="20">
        <v>202</v>
      </c>
      <c r="F809" s="21">
        <f t="shared" si="37"/>
        <v>107.36616161616162</v>
      </c>
      <c r="G809" s="22">
        <v>0.309917355372061</v>
      </c>
      <c r="H809" s="3">
        <v>1</v>
      </c>
      <c r="I809" s="18">
        <f t="shared" si="38"/>
        <v>0</v>
      </c>
      <c r="J809" s="41">
        <v>43071</v>
      </c>
      <c r="K809" s="36">
        <v>2017</v>
      </c>
      <c r="L809" s="32">
        <f t="shared" si="36"/>
        <v>43087</v>
      </c>
      <c r="M809" s="40">
        <v>0</v>
      </c>
      <c r="N809" s="33">
        <v>138</v>
      </c>
      <c r="O809" s="34">
        <f>AVERAGEIF(L3:L1205,"&lt;2017/12/2",N3:N1205)</f>
        <v>118.96062992125984</v>
      </c>
      <c r="P809" s="38">
        <v>0</v>
      </c>
      <c r="Q809" s="38">
        <f>AVERAGEIF(L3:L1205,"&lt;2017/12/2",P3:P1205)</f>
        <v>0.34383202099737531</v>
      </c>
      <c r="R809" s="38">
        <v>1</v>
      </c>
      <c r="S809" s="38">
        <f>AVERAGEIF(L3:L1205,"&lt;2017/12/2",R3:R1205)</f>
        <v>1.3149606299212599</v>
      </c>
      <c r="T809" s="38">
        <v>16</v>
      </c>
      <c r="U809" s="38">
        <f>AVERAGEIF(L3:L1205,"&lt;2017/12/2",T3:T1205)</f>
        <v>8.6509186351706031</v>
      </c>
      <c r="V809" s="24">
        <v>396</v>
      </c>
      <c r="W809" s="47" t="s">
        <v>4557</v>
      </c>
    </row>
    <row r="810" spans="1:23">
      <c r="A810" s="23">
        <v>2</v>
      </c>
      <c r="B810" s="23">
        <v>6</v>
      </c>
      <c r="C810" s="18">
        <v>4</v>
      </c>
      <c r="D810" s="18">
        <v>4</v>
      </c>
      <c r="E810" s="20">
        <v>54</v>
      </c>
      <c r="F810" s="21">
        <f t="shared" si="37"/>
        <v>107.50126582278482</v>
      </c>
      <c r="G810" s="22">
        <v>0.43569124694965999</v>
      </c>
      <c r="H810" s="18">
        <v>1</v>
      </c>
      <c r="I810" s="18">
        <f t="shared" si="38"/>
        <v>0</v>
      </c>
      <c r="J810" s="41">
        <v>43070</v>
      </c>
      <c r="K810" s="36">
        <v>2017</v>
      </c>
      <c r="L810" s="32">
        <f t="shared" si="36"/>
        <v>43074</v>
      </c>
      <c r="M810" s="40">
        <v>0</v>
      </c>
      <c r="N810" s="33">
        <v>55</v>
      </c>
      <c r="O810" s="34">
        <f>AVERAGEIF(L3:L1205,"&lt;2017/12/1",N3:N1205)</f>
        <v>118.96062992125984</v>
      </c>
      <c r="P810" s="38">
        <v>0</v>
      </c>
      <c r="Q810" s="38">
        <f>AVERAGEIF(L3:L1205,"&lt;2017/12/1",P3:P1205)</f>
        <v>0.34383202099737531</v>
      </c>
      <c r="R810" s="38">
        <v>1</v>
      </c>
      <c r="S810" s="38">
        <f>AVERAGEIF(L3:L1205,"&lt;2017/12/1",R3:R1205)</f>
        <v>1.3149606299212599</v>
      </c>
      <c r="T810" s="38">
        <v>4</v>
      </c>
      <c r="U810" s="38">
        <f>AVERAGEIF(L3:L1205,"&lt;2017/12/1",T3:T1205)</f>
        <v>8.6509186351706031</v>
      </c>
      <c r="V810" s="24">
        <v>395</v>
      </c>
      <c r="W810" s="47" t="s">
        <v>4553</v>
      </c>
    </row>
    <row r="811" spans="1:23">
      <c r="A811" s="23">
        <v>2</v>
      </c>
      <c r="B811" s="23">
        <v>8</v>
      </c>
      <c r="C811" s="18">
        <v>4</v>
      </c>
      <c r="D811" s="18">
        <v>4</v>
      </c>
      <c r="E811" s="20">
        <v>63</v>
      </c>
      <c r="F811" s="21">
        <f t="shared" si="37"/>
        <v>107.61421319796955</v>
      </c>
      <c r="G811" s="22">
        <v>0.340990423682346</v>
      </c>
      <c r="H811" s="18">
        <v>1</v>
      </c>
      <c r="I811" s="18">
        <f t="shared" si="38"/>
        <v>0</v>
      </c>
      <c r="J811" s="41">
        <v>43070</v>
      </c>
      <c r="K811" s="36">
        <v>2017</v>
      </c>
      <c r="L811" s="32">
        <f t="shared" si="36"/>
        <v>43080</v>
      </c>
      <c r="M811" s="40">
        <v>0</v>
      </c>
      <c r="N811" s="33">
        <v>160</v>
      </c>
      <c r="O811" s="34">
        <f>AVERAGEIF(L3:L1205,"&lt;2017/12/1",N3:N1205)</f>
        <v>118.96062992125984</v>
      </c>
      <c r="P811" s="40">
        <v>0</v>
      </c>
      <c r="Q811" s="40">
        <f>AVERAGEIF(L3:L1205,"&lt;2017/12/1",P3:P1205)</f>
        <v>0.34383202099737531</v>
      </c>
      <c r="R811" s="40">
        <v>1</v>
      </c>
      <c r="S811" s="40">
        <f>AVERAGEIF(L3:L1205,"&lt;2017/12/1",R3:R1205)</f>
        <v>1.3149606299212599</v>
      </c>
      <c r="T811" s="40">
        <v>10</v>
      </c>
      <c r="U811" s="40">
        <f>AVERAGEIF(L3:L1205,"&lt;2017/12/1",T3:T1205)</f>
        <v>8.6509186351706031</v>
      </c>
      <c r="V811" s="24">
        <v>394</v>
      </c>
      <c r="W811" s="47" t="s">
        <v>4529</v>
      </c>
    </row>
    <row r="812" spans="1:23">
      <c r="A812" s="23">
        <v>4</v>
      </c>
      <c r="B812" s="23">
        <v>37</v>
      </c>
      <c r="C812" s="18">
        <v>4</v>
      </c>
      <c r="D812" s="18">
        <v>6</v>
      </c>
      <c r="E812" s="20">
        <v>171</v>
      </c>
      <c r="F812" s="21">
        <f t="shared" si="37"/>
        <v>107.45292620865141</v>
      </c>
      <c r="G812" s="22">
        <v>0.41252384798695002</v>
      </c>
      <c r="H812" s="18">
        <v>1</v>
      </c>
      <c r="I812" s="18">
        <f t="shared" si="38"/>
        <v>0</v>
      </c>
      <c r="J812" s="45">
        <v>43070</v>
      </c>
      <c r="K812" s="36">
        <v>2017</v>
      </c>
      <c r="L812" s="32">
        <f t="shared" si="36"/>
        <v>43081</v>
      </c>
      <c r="M812" s="42">
        <v>1</v>
      </c>
      <c r="N812" s="33">
        <v>279</v>
      </c>
      <c r="O812" s="34">
        <f>AVERAGEIF(L3:L1205,"&lt;2017/12/1",N3:N1205)</f>
        <v>118.96062992125984</v>
      </c>
      <c r="P812" s="38">
        <v>0</v>
      </c>
      <c r="Q812" s="38">
        <f>AVERAGEIF(L3:L1205,"&lt;2017/12/1",P3:P1205)</f>
        <v>0.34383202099737531</v>
      </c>
      <c r="R812" s="38">
        <v>2</v>
      </c>
      <c r="S812" s="38">
        <f>AVERAGEIF(L3:L1205,"&lt;2017/12/1",R3:R1205)</f>
        <v>1.3149606299212599</v>
      </c>
      <c r="T812" s="38">
        <v>11</v>
      </c>
      <c r="U812" s="38">
        <f>AVERAGEIF(L3:L1205,"&lt;2017/12/1",T3:T1205)</f>
        <v>8.6509186351706031</v>
      </c>
      <c r="V812" s="24">
        <v>393</v>
      </c>
      <c r="W812" s="47" t="s">
        <v>5020</v>
      </c>
    </row>
    <row r="813" spans="1:23">
      <c r="A813" s="23">
        <v>2</v>
      </c>
      <c r="B813" s="23">
        <v>7</v>
      </c>
      <c r="C813" s="18">
        <v>4</v>
      </c>
      <c r="D813" s="18">
        <v>4</v>
      </c>
      <c r="E813" s="20">
        <v>148</v>
      </c>
      <c r="F813" s="21">
        <f t="shared" si="37"/>
        <v>107.34948979591837</v>
      </c>
      <c r="G813" s="22">
        <v>0.37500563676771798</v>
      </c>
      <c r="H813" s="18">
        <v>1</v>
      </c>
      <c r="I813" s="18">
        <f t="shared" si="38"/>
        <v>0</v>
      </c>
      <c r="J813" s="41">
        <v>43069</v>
      </c>
      <c r="K813" s="36">
        <v>2017</v>
      </c>
      <c r="L813" s="32">
        <f t="shared" si="36"/>
        <v>43074</v>
      </c>
      <c r="M813" s="40">
        <v>0</v>
      </c>
      <c r="N813" s="33">
        <v>160</v>
      </c>
      <c r="O813" s="34">
        <f>AVERAGEIF(L3:L1205,"&lt;2017/11/30",N3:N1205)</f>
        <v>118.65608465608466</v>
      </c>
      <c r="P813" s="40">
        <v>0</v>
      </c>
      <c r="Q813" s="40">
        <f>AVERAGEIF(L3:L1205,"&lt;2017/11/30",P3:P1205)</f>
        <v>0.3439153439153439</v>
      </c>
      <c r="R813" s="40">
        <v>1</v>
      </c>
      <c r="S813" s="40">
        <f>AVERAGEIF(L3:L1205,"&lt;2017/11/30",R3:R1205)</f>
        <v>1.3174603174603174</v>
      </c>
      <c r="T813" s="40">
        <v>5</v>
      </c>
      <c r="U813" s="40">
        <f>AVERAGEIF(L3:L1205,"&lt;2017/11/30",T3:T1205)</f>
        <v>8.6904761904761898</v>
      </c>
      <c r="V813" s="24">
        <v>392</v>
      </c>
      <c r="W813" s="47" t="s">
        <v>4634</v>
      </c>
    </row>
    <row r="814" spans="1:23">
      <c r="A814" s="23">
        <v>2</v>
      </c>
      <c r="B814" s="23">
        <v>8</v>
      </c>
      <c r="C814" s="18">
        <v>4</v>
      </c>
      <c r="D814" s="18">
        <v>4</v>
      </c>
      <c r="E814" s="20">
        <v>59</v>
      </c>
      <c r="F814" s="21">
        <f t="shared" si="37"/>
        <v>107.47314578005115</v>
      </c>
      <c r="G814" s="22">
        <v>0.74481440561610401</v>
      </c>
      <c r="H814" s="18">
        <v>1</v>
      </c>
      <c r="I814" s="18">
        <f t="shared" si="38"/>
        <v>0</v>
      </c>
      <c r="J814" s="41">
        <v>43068</v>
      </c>
      <c r="K814" s="36">
        <v>2017</v>
      </c>
      <c r="L814" s="32">
        <f t="shared" si="36"/>
        <v>43073</v>
      </c>
      <c r="M814" s="40">
        <v>0</v>
      </c>
      <c r="N814" s="33">
        <v>185</v>
      </c>
      <c r="O814" s="34">
        <f>AVERAGEIF(L3:L1205,"&lt;2017/11/29",N3:N1205)</f>
        <v>118.57599999999999</v>
      </c>
      <c r="P814" s="40">
        <v>0</v>
      </c>
      <c r="Q814" s="40">
        <f>AVERAGEIF(L3:L1205,"&lt;2017/11/29",P3:P1205)</f>
        <v>0.34666666666666668</v>
      </c>
      <c r="R814" s="40">
        <v>1</v>
      </c>
      <c r="S814" s="40">
        <f>AVERAGEIF(L3:L1205,"&lt;2017/11/29",R3:R1205)</f>
        <v>1.32</v>
      </c>
      <c r="T814" s="40">
        <v>5</v>
      </c>
      <c r="U814" s="40">
        <f>AVERAGEIF(L3:L1205,"&lt;2017/11/29",T3:T1205)</f>
        <v>8.7093333333333334</v>
      </c>
      <c r="V814" s="24">
        <v>391</v>
      </c>
      <c r="W814" s="47" t="s">
        <v>4542</v>
      </c>
    </row>
    <row r="815" spans="1:23">
      <c r="A815" s="23">
        <v>3</v>
      </c>
      <c r="B815" s="23">
        <v>19</v>
      </c>
      <c r="C815" s="18">
        <v>4</v>
      </c>
      <c r="D815" s="18">
        <v>6</v>
      </c>
      <c r="E815" s="20">
        <v>137</v>
      </c>
      <c r="F815" s="21">
        <f t="shared" si="37"/>
        <v>107.3974358974359</v>
      </c>
      <c r="G815" s="22">
        <v>0.66116380755804305</v>
      </c>
      <c r="H815" s="3">
        <v>1</v>
      </c>
      <c r="I815" s="18">
        <f t="shared" si="38"/>
        <v>0</v>
      </c>
      <c r="J815" s="41">
        <v>43068</v>
      </c>
      <c r="K815" s="36">
        <v>2017</v>
      </c>
      <c r="L815" s="32">
        <f t="shared" si="36"/>
        <v>43081</v>
      </c>
      <c r="M815" s="24">
        <v>0</v>
      </c>
      <c r="N815" s="33">
        <v>60</v>
      </c>
      <c r="O815" s="34">
        <f>AVERAGEIF(L3:L1205,"&lt;2017/11/29",N3:N1205)</f>
        <v>118.57599999999999</v>
      </c>
      <c r="P815" s="38">
        <v>0</v>
      </c>
      <c r="Q815" s="38">
        <f>AVERAGEIF(L3:L1205,"&lt;2017/11/29",P3:P1205)</f>
        <v>0.34666666666666668</v>
      </c>
      <c r="R815" s="38">
        <v>1</v>
      </c>
      <c r="S815" s="38">
        <f>AVERAGEIF(L3:L1205,"&lt;2017/11/29",R3:R1205)</f>
        <v>1.32</v>
      </c>
      <c r="T815" s="38">
        <v>13</v>
      </c>
      <c r="U815" s="38">
        <f>AVERAGEIF(L3:L1205,"&lt;2017/11/29",T3:T1205)</f>
        <v>8.7093333333333334</v>
      </c>
      <c r="V815" s="24">
        <v>390</v>
      </c>
      <c r="W815" s="47" t="s">
        <v>4903</v>
      </c>
    </row>
    <row r="816" spans="1:23">
      <c r="A816" s="23">
        <v>3</v>
      </c>
      <c r="B816" s="23">
        <v>20</v>
      </c>
      <c r="C816" s="18">
        <v>4</v>
      </c>
      <c r="D816" s="18">
        <v>4</v>
      </c>
      <c r="E816" s="20">
        <v>71</v>
      </c>
      <c r="F816" s="21">
        <f t="shared" si="37"/>
        <v>107.49100257069409</v>
      </c>
      <c r="G816" s="22">
        <v>0.46400074852141798</v>
      </c>
      <c r="H816" s="3">
        <v>1</v>
      </c>
      <c r="I816" s="18">
        <f t="shared" si="38"/>
        <v>0</v>
      </c>
      <c r="J816" s="41">
        <v>43068</v>
      </c>
      <c r="K816" s="36">
        <v>2017</v>
      </c>
      <c r="L816" s="32">
        <f t="shared" si="36"/>
        <v>43081</v>
      </c>
      <c r="M816" s="24">
        <v>0</v>
      </c>
      <c r="N816" s="33">
        <v>97</v>
      </c>
      <c r="O816" s="34">
        <f>AVERAGEIF(L3:L1205,"&lt;2017/11/29",N3:N1205)</f>
        <v>118.57599999999999</v>
      </c>
      <c r="P816" s="38">
        <v>0</v>
      </c>
      <c r="Q816" s="38">
        <f>AVERAGEIF(L3:L1205,"&lt;2017/11/29",P3:P1205)</f>
        <v>0.34666666666666668</v>
      </c>
      <c r="R816" s="38">
        <v>1</v>
      </c>
      <c r="S816" s="38">
        <f>AVERAGEIF(L3:L1205,"&lt;2017/11/29",R3:R1205)</f>
        <v>1.32</v>
      </c>
      <c r="T816" s="38">
        <v>13</v>
      </c>
      <c r="U816" s="38">
        <f>AVERAGEIF(L3:L1205,"&lt;2017/11/29",T3:T1205)</f>
        <v>8.7093333333333334</v>
      </c>
      <c r="V816" s="24">
        <v>389</v>
      </c>
      <c r="W816" s="47" t="s">
        <v>4521</v>
      </c>
    </row>
    <row r="817" spans="1:23">
      <c r="A817" s="23">
        <v>3</v>
      </c>
      <c r="B817" s="23">
        <v>20</v>
      </c>
      <c r="C817" s="18">
        <v>4</v>
      </c>
      <c r="D817" s="18">
        <v>6</v>
      </c>
      <c r="E817" s="20">
        <v>96</v>
      </c>
      <c r="F817" s="21">
        <f t="shared" si="37"/>
        <v>107.52061855670104</v>
      </c>
      <c r="G817" s="22">
        <v>0.42517416131054597</v>
      </c>
      <c r="H817" s="3">
        <v>0</v>
      </c>
      <c r="I817" s="18">
        <f t="shared" si="38"/>
        <v>1</v>
      </c>
      <c r="J817" s="41">
        <v>43068</v>
      </c>
      <c r="K817" s="36">
        <v>2017</v>
      </c>
      <c r="L817" s="32">
        <f t="shared" si="36"/>
        <v>43071</v>
      </c>
      <c r="M817" s="40">
        <v>0</v>
      </c>
      <c r="N817" s="33">
        <v>91</v>
      </c>
      <c r="O817" s="34">
        <f>AVERAGEIF(L3:L1205,"&lt;2017/11/29",N3:N1205)</f>
        <v>118.57599999999999</v>
      </c>
      <c r="P817" s="38">
        <v>0</v>
      </c>
      <c r="Q817" s="38">
        <f>AVERAGEIF(L3:L1205,"&lt;2017/11/29",P3:P1205)</f>
        <v>0.34666666666666668</v>
      </c>
      <c r="R817" s="38">
        <v>1</v>
      </c>
      <c r="S817" s="38">
        <f>AVERAGEIF(L3:L1205,"&lt;2017/11/29",R3:R1205)</f>
        <v>1.32</v>
      </c>
      <c r="T817" s="38">
        <v>3</v>
      </c>
      <c r="U817" s="38">
        <f>AVERAGEIF(L3:L1205,"&lt;2017/11/29",T3:T1205)</f>
        <v>8.7093333333333334</v>
      </c>
      <c r="V817" s="24">
        <v>388</v>
      </c>
      <c r="W817" s="47" t="s">
        <v>4523</v>
      </c>
    </row>
    <row r="818" spans="1:23">
      <c r="A818" s="23">
        <v>3</v>
      </c>
      <c r="B818" s="23">
        <v>20</v>
      </c>
      <c r="C818" s="18">
        <v>4</v>
      </c>
      <c r="D818" s="18">
        <v>6</v>
      </c>
      <c r="E818" s="20">
        <v>96</v>
      </c>
      <c r="F818" s="21">
        <f t="shared" si="37"/>
        <v>107.55038759689923</v>
      </c>
      <c r="G818" s="22">
        <v>0.378188081660562</v>
      </c>
      <c r="H818" s="3">
        <v>0</v>
      </c>
      <c r="I818" s="18">
        <f t="shared" si="38"/>
        <v>1</v>
      </c>
      <c r="J818" s="41">
        <v>43068</v>
      </c>
      <c r="K818" s="36">
        <v>2017</v>
      </c>
      <c r="L818" s="32">
        <f t="shared" si="36"/>
        <v>43071</v>
      </c>
      <c r="M818" s="24">
        <v>0</v>
      </c>
      <c r="N818" s="33">
        <v>91</v>
      </c>
      <c r="O818" s="34">
        <f>AVERAGEIF(L3:L1205,"&lt;2017/11/29",N3:N1205)</f>
        <v>118.57599999999999</v>
      </c>
      <c r="P818" s="38">
        <v>0</v>
      </c>
      <c r="Q818" s="38">
        <f>AVERAGEIF(L3:L1205,"&lt;2017/11/29",P3:P1205)</f>
        <v>0.34666666666666668</v>
      </c>
      <c r="R818" s="38">
        <v>1</v>
      </c>
      <c r="S818" s="38">
        <f>AVERAGEIF(L3:L1205,"&lt;2017/11/29",R3:R1205)</f>
        <v>1.32</v>
      </c>
      <c r="T818" s="38">
        <v>3</v>
      </c>
      <c r="U818" s="38">
        <f>AVERAGEIF(L3:L1205,"&lt;2017/11/29",T3:T1205)</f>
        <v>8.7093333333333334</v>
      </c>
      <c r="V818" s="24">
        <v>387</v>
      </c>
      <c r="W818" s="47" t="s">
        <v>4523</v>
      </c>
    </row>
    <row r="819" spans="1:23">
      <c r="A819" s="23">
        <v>3</v>
      </c>
      <c r="B819" s="23">
        <v>26</v>
      </c>
      <c r="C819" s="18">
        <v>4</v>
      </c>
      <c r="D819" s="18">
        <v>4</v>
      </c>
      <c r="E819" s="20">
        <v>63</v>
      </c>
      <c r="F819" s="21">
        <f t="shared" si="37"/>
        <v>107.66580310880829</v>
      </c>
      <c r="G819" s="22">
        <v>0.37723590951543801</v>
      </c>
      <c r="H819" s="3">
        <v>1</v>
      </c>
      <c r="I819" s="18">
        <f t="shared" si="38"/>
        <v>0</v>
      </c>
      <c r="J819" s="41">
        <v>43068</v>
      </c>
      <c r="K819" s="36">
        <v>2017</v>
      </c>
      <c r="L819" s="32">
        <f t="shared" si="36"/>
        <v>43081</v>
      </c>
      <c r="M819" s="40">
        <v>0</v>
      </c>
      <c r="N819" s="33">
        <v>98</v>
      </c>
      <c r="O819" s="34">
        <f>AVERAGEIF(L3:L1205,"&lt;2017/11/29",N3:N1205)</f>
        <v>118.57599999999999</v>
      </c>
      <c r="P819" s="38">
        <v>0</v>
      </c>
      <c r="Q819" s="38">
        <f>AVERAGEIF(L3:L1205,"&lt;2017/11/29",P3:P1205)</f>
        <v>0.34666666666666668</v>
      </c>
      <c r="R819" s="38">
        <v>1</v>
      </c>
      <c r="S819" s="38">
        <f>AVERAGEIF(L3:L1205,"&lt;2017/11/29",R3:R1205)</f>
        <v>1.32</v>
      </c>
      <c r="T819" s="38">
        <v>13</v>
      </c>
      <c r="U819" s="38">
        <f>AVERAGEIF(L3:L1205,"&lt;2017/11/29",T3:T1205)</f>
        <v>8.7093333333333334</v>
      </c>
      <c r="V819" s="24">
        <v>386</v>
      </c>
      <c r="W819" s="47" t="s">
        <v>4634</v>
      </c>
    </row>
    <row r="820" spans="1:23">
      <c r="A820" s="23">
        <v>4</v>
      </c>
      <c r="B820" s="23">
        <v>28</v>
      </c>
      <c r="C820" s="18">
        <v>4</v>
      </c>
      <c r="D820" s="18">
        <v>4</v>
      </c>
      <c r="E820" s="20">
        <v>69</v>
      </c>
      <c r="F820" s="21">
        <f t="shared" si="37"/>
        <v>107.76623376623377</v>
      </c>
      <c r="G820" s="22">
        <v>0.41250050555711998</v>
      </c>
      <c r="H820" s="18">
        <v>1</v>
      </c>
      <c r="I820" s="18">
        <f t="shared" si="38"/>
        <v>0</v>
      </c>
      <c r="J820" s="45">
        <v>43068</v>
      </c>
      <c r="K820" s="36">
        <v>2017</v>
      </c>
      <c r="L820" s="32">
        <f t="shared" si="36"/>
        <v>43073</v>
      </c>
      <c r="M820" s="44">
        <v>0</v>
      </c>
      <c r="N820" s="33">
        <v>72</v>
      </c>
      <c r="O820" s="34">
        <f>AVERAGEIF(L3:L1205,"&lt;2017/11/29",N3:N1205)</f>
        <v>118.57599999999999</v>
      </c>
      <c r="P820" s="38">
        <v>1</v>
      </c>
      <c r="Q820" s="38">
        <f>AVERAGEIF(L3:L1205,"&lt;2017/11/29",P3:P1205)</f>
        <v>0.34666666666666668</v>
      </c>
      <c r="R820" s="38">
        <v>1</v>
      </c>
      <c r="S820" s="38">
        <f>AVERAGEIF(L3:L1205,"&lt;2017/11/29",R3:R1205)</f>
        <v>1.32</v>
      </c>
      <c r="T820" s="38">
        <v>5</v>
      </c>
      <c r="U820" s="38">
        <f>AVERAGEIF(L3:L1205,"&lt;2017/11/29",T3:T1205)</f>
        <v>8.7093333333333334</v>
      </c>
      <c r="V820" s="24">
        <v>385</v>
      </c>
      <c r="W820" s="47" t="s">
        <v>4634</v>
      </c>
    </row>
    <row r="821" spans="1:23">
      <c r="A821" s="17">
        <v>1</v>
      </c>
      <c r="B821" s="17">
        <v>3</v>
      </c>
      <c r="C821" s="18">
        <v>4</v>
      </c>
      <c r="D821" s="18">
        <v>6</v>
      </c>
      <c r="E821" s="20">
        <v>32</v>
      </c>
      <c r="F821" s="21">
        <f t="shared" si="37"/>
        <v>107.96354166666667</v>
      </c>
      <c r="G821" s="22">
        <v>0.63383126530366396</v>
      </c>
      <c r="H821" s="18">
        <v>1</v>
      </c>
      <c r="I821" s="18">
        <f t="shared" si="38"/>
        <v>0</v>
      </c>
      <c r="J821" s="41">
        <v>43067</v>
      </c>
      <c r="K821" s="36">
        <v>2017</v>
      </c>
      <c r="L821" s="32">
        <f t="shared" si="36"/>
        <v>43069</v>
      </c>
      <c r="M821" s="37">
        <v>0</v>
      </c>
      <c r="N821" s="33">
        <v>135</v>
      </c>
      <c r="O821" s="34">
        <f>AVERAGEIF(L3:L1205,"&lt;2017/11/28",N3:N1205)</f>
        <v>118.64343163538874</v>
      </c>
      <c r="P821" s="24">
        <v>0</v>
      </c>
      <c r="Q821" s="24">
        <f>AVERAGEIF(L3:L1205,"&lt;2017/11/28",P3:P1205)</f>
        <v>0.34852546916890081</v>
      </c>
      <c r="R821" s="24">
        <v>1</v>
      </c>
      <c r="S821" s="24">
        <f>AVERAGEIF(L3:L1205,"&lt;2017/11/28",R3:R1205)</f>
        <v>1.32171581769437</v>
      </c>
      <c r="T821" s="24">
        <v>2</v>
      </c>
      <c r="U821" s="24">
        <f>AVERAGEIF(L3:L1205,"&lt;2017/11/28",T3:T1205)</f>
        <v>8.7024128686327078</v>
      </c>
      <c r="V821" s="24">
        <v>384</v>
      </c>
      <c r="W821" s="47" t="s">
        <v>4529</v>
      </c>
    </row>
    <row r="822" spans="1:23">
      <c r="A822" s="23">
        <v>2</v>
      </c>
      <c r="B822" s="23">
        <v>13</v>
      </c>
      <c r="C822" s="18">
        <v>4</v>
      </c>
      <c r="D822" s="18">
        <v>6</v>
      </c>
      <c r="E822" s="20">
        <v>169</v>
      </c>
      <c r="F822" s="21">
        <f t="shared" si="37"/>
        <v>107.8041775456919</v>
      </c>
      <c r="G822" s="22">
        <v>0.38433291666432101</v>
      </c>
      <c r="H822" s="18">
        <v>1</v>
      </c>
      <c r="I822" s="18">
        <f t="shared" si="38"/>
        <v>0</v>
      </c>
      <c r="J822" s="41">
        <v>43067</v>
      </c>
      <c r="K822" s="36">
        <v>2017</v>
      </c>
      <c r="L822" s="32">
        <f t="shared" si="36"/>
        <v>43080</v>
      </c>
      <c r="M822" s="40">
        <v>0</v>
      </c>
      <c r="N822" s="33">
        <v>178</v>
      </c>
      <c r="O822" s="34">
        <f>AVERAGEIF(L3:L1205,"&lt;2017/11/28",N3:N1205)</f>
        <v>118.64343163538874</v>
      </c>
      <c r="P822" s="38">
        <v>1</v>
      </c>
      <c r="Q822" s="38">
        <f>AVERAGEIF(L3:L1205,"&lt;2017/11/28",P3:P1205)</f>
        <v>0.34852546916890081</v>
      </c>
      <c r="R822" s="38">
        <v>1</v>
      </c>
      <c r="S822" s="38">
        <f>AVERAGEIF(L3:L1205,"&lt;2017/11/28",R3:R1205)</f>
        <v>1.32171581769437</v>
      </c>
      <c r="T822" s="38">
        <v>13</v>
      </c>
      <c r="U822" s="38">
        <f>AVERAGEIF(L3:L1205,"&lt;2017/11/28",T3:T1205)</f>
        <v>8.7024128686327078</v>
      </c>
      <c r="V822" s="24">
        <v>383</v>
      </c>
      <c r="W822" s="47" t="s">
        <v>4529</v>
      </c>
    </row>
    <row r="823" spans="1:23">
      <c r="A823" s="23">
        <v>3</v>
      </c>
      <c r="B823" s="23">
        <v>25</v>
      </c>
      <c r="C823" s="18">
        <v>4</v>
      </c>
      <c r="D823" s="18">
        <v>4</v>
      </c>
      <c r="E823" s="20">
        <v>48</v>
      </c>
      <c r="F823" s="21">
        <f t="shared" si="37"/>
        <v>107.96073298429319</v>
      </c>
      <c r="G823" s="22">
        <v>0.41250322511239501</v>
      </c>
      <c r="H823" s="3">
        <v>1</v>
      </c>
      <c r="I823" s="18">
        <f t="shared" si="38"/>
        <v>0</v>
      </c>
      <c r="J823" s="41">
        <v>43067</v>
      </c>
      <c r="K823" s="36">
        <v>2017</v>
      </c>
      <c r="L823" s="32">
        <f t="shared" si="36"/>
        <v>43068</v>
      </c>
      <c r="M823" s="40">
        <v>1</v>
      </c>
      <c r="N823" s="33">
        <v>180</v>
      </c>
      <c r="O823" s="34">
        <f>AVERAGEIF(L3:L1205,"&lt;2017/11/28",N3:N1205)</f>
        <v>118.64343163538874</v>
      </c>
      <c r="P823" s="38">
        <v>0</v>
      </c>
      <c r="Q823" s="38">
        <f>AVERAGEIF(L3:L1205,"&lt;2017/11/28",P3:P1205)</f>
        <v>0.34852546916890081</v>
      </c>
      <c r="R823" s="38">
        <v>1</v>
      </c>
      <c r="S823" s="38">
        <f>AVERAGEIF(L3:L1205,"&lt;2017/11/28",R3:R1205)</f>
        <v>1.32171581769437</v>
      </c>
      <c r="T823" s="38">
        <v>1</v>
      </c>
      <c r="U823" s="38">
        <f>AVERAGEIF(L3:L1205,"&lt;2017/11/28",T3:T1205)</f>
        <v>8.7024128686327078</v>
      </c>
      <c r="V823" s="24">
        <v>382</v>
      </c>
      <c r="W823" s="47" t="s">
        <v>4550</v>
      </c>
    </row>
    <row r="824" spans="1:23">
      <c r="A824" s="17">
        <v>1</v>
      </c>
      <c r="B824" s="17">
        <v>2</v>
      </c>
      <c r="C824" s="18">
        <v>4</v>
      </c>
      <c r="D824" s="18">
        <v>6</v>
      </c>
      <c r="E824" s="20">
        <v>116</v>
      </c>
      <c r="F824" s="21">
        <f t="shared" si="37"/>
        <v>107.93963254593176</v>
      </c>
      <c r="G824" s="22">
        <v>0.86096628679454001</v>
      </c>
      <c r="H824" s="18">
        <v>1</v>
      </c>
      <c r="I824" s="18">
        <f t="shared" si="38"/>
        <v>0</v>
      </c>
      <c r="J824" s="41">
        <v>43066</v>
      </c>
      <c r="K824" s="36">
        <v>2017</v>
      </c>
      <c r="L824" s="32">
        <f t="shared" si="36"/>
        <v>43077</v>
      </c>
      <c r="M824" s="24">
        <v>1</v>
      </c>
      <c r="N824" s="33">
        <v>177</v>
      </c>
      <c r="O824" s="34">
        <f>AVERAGEIF(L3:L1205,"&lt;2017/11/27",N3:N1205)</f>
        <v>118.58602150537635</v>
      </c>
      <c r="P824" s="24">
        <v>0</v>
      </c>
      <c r="Q824" s="24">
        <f>AVERAGEIF(L3:L1205,"&lt;2017/11/27",P3:P1205)</f>
        <v>0.34677419354838712</v>
      </c>
      <c r="R824" s="24">
        <v>1</v>
      </c>
      <c r="S824" s="24">
        <f>AVERAGEIF(L3:L1205,"&lt;2017/11/27",R3:R1205)</f>
        <v>1.3198924731182795</v>
      </c>
      <c r="T824" s="24">
        <v>11</v>
      </c>
      <c r="U824" s="24">
        <f>AVERAGEIF(L3:L1205,"&lt;2017/11/27",T3:T1205)</f>
        <v>8.7123655913978499</v>
      </c>
      <c r="V824" s="24">
        <v>381</v>
      </c>
      <c r="W824" s="47" t="s">
        <v>5024</v>
      </c>
    </row>
    <row r="825" spans="1:23">
      <c r="A825" s="17">
        <v>1</v>
      </c>
      <c r="B825" s="17">
        <v>2</v>
      </c>
      <c r="C825" s="18">
        <v>4</v>
      </c>
      <c r="D825" s="18">
        <v>4</v>
      </c>
      <c r="E825" s="20">
        <v>50</v>
      </c>
      <c r="F825" s="21">
        <f t="shared" si="37"/>
        <v>108.09210526315789</v>
      </c>
      <c r="G825" s="22">
        <v>0.74406494893636699</v>
      </c>
      <c r="H825" s="18">
        <v>1</v>
      </c>
      <c r="I825" s="18">
        <f t="shared" si="38"/>
        <v>0</v>
      </c>
      <c r="J825" s="41">
        <v>43066</v>
      </c>
      <c r="K825" s="36">
        <v>2017</v>
      </c>
      <c r="L825" s="32">
        <f t="shared" si="36"/>
        <v>43077</v>
      </c>
      <c r="M825" s="40">
        <v>0</v>
      </c>
      <c r="N825" s="33">
        <v>177</v>
      </c>
      <c r="O825" s="34">
        <f>AVERAGEIF(L3:L1205,"&lt;2017/11/27",N3:N1205)</f>
        <v>118.58602150537635</v>
      </c>
      <c r="P825" s="24">
        <v>0</v>
      </c>
      <c r="Q825" s="24">
        <f>AVERAGEIF(L3:L1205,"&lt;2017/11/27",P3:P1205)</f>
        <v>0.34677419354838712</v>
      </c>
      <c r="R825" s="24">
        <v>1</v>
      </c>
      <c r="S825" s="24">
        <f>AVERAGEIF(L3:L1205,"&lt;2017/11/27",R3:R1205)</f>
        <v>1.3198924731182795</v>
      </c>
      <c r="T825" s="24">
        <v>11</v>
      </c>
      <c r="U825" s="24">
        <f>AVERAGEIF(L3:L1205,"&lt;2017/11/27",T3:T1205)</f>
        <v>8.7123655913978499</v>
      </c>
      <c r="V825" s="24">
        <v>380</v>
      </c>
      <c r="W825" s="47" t="s">
        <v>4878</v>
      </c>
    </row>
    <row r="826" spans="1:23">
      <c r="A826" s="23">
        <v>2</v>
      </c>
      <c r="B826" s="23">
        <v>4</v>
      </c>
      <c r="C826" s="18">
        <v>4</v>
      </c>
      <c r="D826" s="18">
        <v>4</v>
      </c>
      <c r="E826" s="20">
        <v>41</v>
      </c>
      <c r="F826" s="21">
        <f t="shared" si="37"/>
        <v>108.26912928759894</v>
      </c>
      <c r="G826" s="22">
        <v>0.42402547617556802</v>
      </c>
      <c r="H826" s="18">
        <v>1</v>
      </c>
      <c r="I826" s="18">
        <f t="shared" si="38"/>
        <v>0</v>
      </c>
      <c r="J826" s="41">
        <v>43066</v>
      </c>
      <c r="K826" s="36">
        <v>2017</v>
      </c>
      <c r="L826" s="32">
        <f t="shared" si="36"/>
        <v>43069</v>
      </c>
      <c r="M826" s="40">
        <v>0</v>
      </c>
      <c r="N826" s="33">
        <v>161</v>
      </c>
      <c r="O826" s="34">
        <f>AVERAGEIF(L3:L1205,"&lt;2017/11/27",N3:N1205)</f>
        <v>118.58602150537635</v>
      </c>
      <c r="P826" s="38">
        <v>0</v>
      </c>
      <c r="Q826" s="38">
        <f>AVERAGEIF(L3:L1205,"&lt;2017/11/27",P3:P1205)</f>
        <v>0.34677419354838712</v>
      </c>
      <c r="R826" s="38">
        <v>1</v>
      </c>
      <c r="S826" s="38">
        <f>AVERAGEIF(L3:L1205,"&lt;2017/11/27",R3:R1205)</f>
        <v>1.3198924731182795</v>
      </c>
      <c r="T826" s="38">
        <v>3</v>
      </c>
      <c r="U826" s="38">
        <f>AVERAGEIF(L3:L1205,"&lt;2017/11/27",T3:T1205)</f>
        <v>8.7123655913978499</v>
      </c>
      <c r="V826" s="24">
        <v>379</v>
      </c>
      <c r="W826" s="47" t="s">
        <v>4557</v>
      </c>
    </row>
    <row r="827" spans="1:23">
      <c r="A827" s="17">
        <v>1</v>
      </c>
      <c r="B827" s="17">
        <v>2</v>
      </c>
      <c r="C827" s="18">
        <v>4</v>
      </c>
      <c r="D827" s="18">
        <v>4</v>
      </c>
      <c r="E827" s="20">
        <v>36</v>
      </c>
      <c r="F827" s="21">
        <f t="shared" si="37"/>
        <v>108.46031746031746</v>
      </c>
      <c r="G827" s="22">
        <v>0.84478172944837704</v>
      </c>
      <c r="H827" s="18">
        <v>1</v>
      </c>
      <c r="I827" s="18">
        <f t="shared" si="38"/>
        <v>0</v>
      </c>
      <c r="J827" s="41">
        <v>43064</v>
      </c>
      <c r="K827" s="36">
        <v>2017</v>
      </c>
      <c r="L827" s="32">
        <f t="shared" si="36"/>
        <v>43068</v>
      </c>
      <c r="M827" s="37">
        <v>0</v>
      </c>
      <c r="N827" s="33">
        <v>179</v>
      </c>
      <c r="O827" s="34">
        <f>AVERAGEIF(L3:L1205,"&lt;2017/11/25",N3:N1205)</f>
        <v>118.58602150537635</v>
      </c>
      <c r="P827" s="24">
        <v>0</v>
      </c>
      <c r="Q827" s="24">
        <f>AVERAGEIF(L3:L1205,"&lt;2017/11/25",P3:P1205)</f>
        <v>0.34677419354838712</v>
      </c>
      <c r="R827" s="24">
        <v>1</v>
      </c>
      <c r="S827" s="24">
        <f>AVERAGEIF(L3:L1205,"&lt;2017/11/25",R3:R1205)</f>
        <v>1.3198924731182795</v>
      </c>
      <c r="T827" s="24">
        <v>4</v>
      </c>
      <c r="U827" s="24">
        <f>AVERAGEIF(L3:L1205,"&lt;2017/11/25",T3:T1205)</f>
        <v>8.7123655913978499</v>
      </c>
      <c r="V827" s="24">
        <v>378</v>
      </c>
      <c r="W827" s="47" t="e">
        <v>#N/A</v>
      </c>
    </row>
    <row r="828" spans="1:23">
      <c r="A828" s="23">
        <v>2</v>
      </c>
      <c r="B828" s="23">
        <v>13</v>
      </c>
      <c r="C828" s="18">
        <v>4</v>
      </c>
      <c r="D828" s="18">
        <v>4</v>
      </c>
      <c r="E828" s="20">
        <v>52</v>
      </c>
      <c r="F828" s="21">
        <f t="shared" si="37"/>
        <v>108.61007957559681</v>
      </c>
      <c r="G828" s="22">
        <v>0.58697709405672505</v>
      </c>
      <c r="H828" s="18">
        <v>1</v>
      </c>
      <c r="I828" s="18">
        <f t="shared" si="38"/>
        <v>0</v>
      </c>
      <c r="J828" s="41">
        <v>43063</v>
      </c>
      <c r="K828" s="36">
        <v>2017</v>
      </c>
      <c r="L828" s="32">
        <f t="shared" si="36"/>
        <v>43069</v>
      </c>
      <c r="M828" s="40">
        <v>0</v>
      </c>
      <c r="N828" s="33">
        <v>176</v>
      </c>
      <c r="O828" s="34">
        <f>AVERAGEIF(L3:L1205,"&lt;2017/11/24",N3:N1205)</f>
        <v>118.38482384823848</v>
      </c>
      <c r="P828" s="38">
        <v>1</v>
      </c>
      <c r="Q828" s="38">
        <f>AVERAGEIF(L3:L1205,"&lt;2017/11/24",P3:P1205)</f>
        <v>0.34959349593495936</v>
      </c>
      <c r="R828" s="38">
        <v>1</v>
      </c>
      <c r="S828" s="38">
        <f>AVERAGEIF(L3:L1205,"&lt;2017/11/24",R3:R1205)</f>
        <v>1.3197831978319783</v>
      </c>
      <c r="T828" s="38">
        <v>6</v>
      </c>
      <c r="U828" s="38">
        <f>AVERAGEIF(L3:L1205,"&lt;2017/11/24",T3:T1205)</f>
        <v>8.7100271002710024</v>
      </c>
      <c r="V828" s="24">
        <v>377</v>
      </c>
      <c r="W828" s="47" t="s">
        <v>4521</v>
      </c>
    </row>
    <row r="829" spans="1:23">
      <c r="A829" s="23">
        <v>4</v>
      </c>
      <c r="B829" s="23">
        <v>30</v>
      </c>
      <c r="C829" s="18">
        <v>4</v>
      </c>
      <c r="D829" s="18">
        <v>4</v>
      </c>
      <c r="E829" s="20">
        <v>57</v>
      </c>
      <c r="F829" s="21">
        <f t="shared" si="37"/>
        <v>108.74734042553192</v>
      </c>
      <c r="G829" s="22">
        <v>0.42258422499023202</v>
      </c>
      <c r="H829" s="18">
        <v>1</v>
      </c>
      <c r="I829" s="18">
        <f t="shared" si="38"/>
        <v>0</v>
      </c>
      <c r="J829" s="45">
        <v>43063</v>
      </c>
      <c r="K829" s="36">
        <v>2017</v>
      </c>
      <c r="L829" s="32">
        <f t="shared" si="36"/>
        <v>43067</v>
      </c>
      <c r="M829" s="42">
        <v>1</v>
      </c>
      <c r="N829" s="33">
        <v>52</v>
      </c>
      <c r="O829" s="34">
        <f>AVERAGEIF(L3:L1205,"&lt;2017/11/24",N3:N1205)</f>
        <v>118.38482384823848</v>
      </c>
      <c r="P829" s="38">
        <v>0</v>
      </c>
      <c r="Q829" s="38">
        <f>AVERAGEIF(L3:L1205,"&lt;2017/11/24",P3:P1205)</f>
        <v>0.34959349593495936</v>
      </c>
      <c r="R829" s="38">
        <v>1</v>
      </c>
      <c r="S829" s="38">
        <f>AVERAGEIF(L3:L1205,"&lt;2017/11/24",R3:R1205)</f>
        <v>1.3197831978319783</v>
      </c>
      <c r="T829" s="38">
        <v>4</v>
      </c>
      <c r="U829" s="38">
        <f>AVERAGEIF(L3:L1205,"&lt;2017/11/24",T3:T1205)</f>
        <v>8.7100271002710024</v>
      </c>
      <c r="V829" s="24">
        <v>376</v>
      </c>
      <c r="W829" s="47" t="s">
        <v>4558</v>
      </c>
    </row>
    <row r="830" spans="1:23">
      <c r="A830" s="23">
        <v>2</v>
      </c>
      <c r="B830" s="23">
        <v>6</v>
      </c>
      <c r="C830" s="18">
        <v>4</v>
      </c>
      <c r="D830" s="18">
        <v>6</v>
      </c>
      <c r="E830" s="20">
        <v>140</v>
      </c>
      <c r="F830" s="21">
        <f t="shared" si="37"/>
        <v>108.664</v>
      </c>
      <c r="G830" s="22">
        <v>0.37520366223436002</v>
      </c>
      <c r="H830" s="18">
        <v>1</v>
      </c>
      <c r="I830" s="18">
        <f t="shared" si="38"/>
        <v>0</v>
      </c>
      <c r="J830" s="41">
        <v>43062</v>
      </c>
      <c r="K830" s="36">
        <v>2017</v>
      </c>
      <c r="L830" s="32">
        <f t="shared" si="36"/>
        <v>43074</v>
      </c>
      <c r="M830" s="40">
        <v>1</v>
      </c>
      <c r="N830" s="33">
        <v>107</v>
      </c>
      <c r="O830" s="34">
        <f>AVERAGEIF(L3:L1205,"&lt;2017/11/23",N3:N1205)</f>
        <v>118.46195652173913</v>
      </c>
      <c r="P830" s="38">
        <v>0</v>
      </c>
      <c r="Q830" s="38">
        <f>AVERAGEIF(L3:L1205,"&lt;2017/11/23",P3:P1205)</f>
        <v>0.35054347826086957</v>
      </c>
      <c r="R830" s="38">
        <v>1</v>
      </c>
      <c r="S830" s="38">
        <f>AVERAGEIF(L3:L1205,"&lt;2017/11/23",R3:R1205)</f>
        <v>1.3206521739130435</v>
      </c>
      <c r="T830" s="38">
        <v>12</v>
      </c>
      <c r="U830" s="38">
        <f>AVERAGEIF(L3:L1205,"&lt;2017/11/23",T3:T1205)</f>
        <v>8.7255434782608692</v>
      </c>
      <c r="V830" s="24">
        <v>375</v>
      </c>
      <c r="W830" s="47" t="s">
        <v>4553</v>
      </c>
    </row>
    <row r="831" spans="1:23">
      <c r="A831" s="23">
        <v>3</v>
      </c>
      <c r="B831" s="23">
        <v>27</v>
      </c>
      <c r="C831" s="18">
        <v>4</v>
      </c>
      <c r="D831" s="18">
        <v>6</v>
      </c>
      <c r="E831" s="20">
        <v>115</v>
      </c>
      <c r="F831" s="21">
        <f t="shared" si="37"/>
        <v>108.64705882352941</v>
      </c>
      <c r="G831" s="22">
        <v>0.41250267202339602</v>
      </c>
      <c r="H831" s="3">
        <v>1</v>
      </c>
      <c r="I831" s="18">
        <f t="shared" si="38"/>
        <v>0</v>
      </c>
      <c r="J831" s="41">
        <v>43062</v>
      </c>
      <c r="K831" s="36">
        <v>2017</v>
      </c>
      <c r="L831" s="32">
        <f t="shared" si="36"/>
        <v>43063</v>
      </c>
      <c r="M831" s="40">
        <v>0</v>
      </c>
      <c r="N831" s="33">
        <v>154</v>
      </c>
      <c r="O831" s="34">
        <f>AVERAGEIF(L3:L1205,"&lt;2017/11/23",N3:N1205)</f>
        <v>118.46195652173913</v>
      </c>
      <c r="P831" s="38">
        <v>0</v>
      </c>
      <c r="Q831" s="38">
        <f>AVERAGEIF(L3:L1205,"&lt;2017/11/23",P3:P1205)</f>
        <v>0.35054347826086957</v>
      </c>
      <c r="R831" s="38">
        <v>1</v>
      </c>
      <c r="S831" s="38">
        <f>AVERAGEIF(L3:L1205,"&lt;2017/11/23",R3:R1205)</f>
        <v>1.3206521739130435</v>
      </c>
      <c r="T831" s="38">
        <v>1</v>
      </c>
      <c r="U831" s="38">
        <f>AVERAGEIF(L3:L1205,"&lt;2017/11/23",T3:T1205)</f>
        <v>8.7255434782608692</v>
      </c>
      <c r="V831" s="24">
        <v>374</v>
      </c>
      <c r="W831" s="47" t="s">
        <v>4650</v>
      </c>
    </row>
    <row r="832" spans="1:23">
      <c r="A832" s="23">
        <v>2</v>
      </c>
      <c r="B832" s="23">
        <v>6</v>
      </c>
      <c r="C832" s="18">
        <v>4</v>
      </c>
      <c r="D832" s="18">
        <v>4</v>
      </c>
      <c r="E832" s="20">
        <v>155</v>
      </c>
      <c r="F832" s="21">
        <f t="shared" si="37"/>
        <v>108.52278820375335</v>
      </c>
      <c r="G832" s="22">
        <v>0.37919563519111599</v>
      </c>
      <c r="H832" s="18">
        <v>1</v>
      </c>
      <c r="I832" s="18">
        <f t="shared" si="38"/>
        <v>0</v>
      </c>
      <c r="J832" s="41">
        <v>43061</v>
      </c>
      <c r="K832" s="36">
        <v>2017</v>
      </c>
      <c r="L832" s="32">
        <f t="shared" si="36"/>
        <v>43066</v>
      </c>
      <c r="M832" s="40">
        <v>1</v>
      </c>
      <c r="N832" s="33">
        <v>140</v>
      </c>
      <c r="O832" s="34">
        <f>AVERAGEIF(L3:L1205,"&lt;2017/11/22",N3:N1205)</f>
        <v>118.79452054794521</v>
      </c>
      <c r="P832" s="38">
        <v>1</v>
      </c>
      <c r="Q832" s="38">
        <f>AVERAGEIF(L3:L1205,"&lt;2017/11/22",P3:P1205)</f>
        <v>0.35342465753424657</v>
      </c>
      <c r="R832" s="38">
        <v>2</v>
      </c>
      <c r="S832" s="38">
        <f>AVERAGEIF(L3:L1205,"&lt;2017/11/22",R3:R1205)</f>
        <v>1.3178082191780822</v>
      </c>
      <c r="T832" s="38">
        <v>5</v>
      </c>
      <c r="U832" s="38">
        <f>AVERAGEIF(L3:L1205,"&lt;2017/11/22",T3:T1205)</f>
        <v>8.7643835616438359</v>
      </c>
      <c r="V832" s="24">
        <v>373</v>
      </c>
      <c r="W832" s="47" t="s">
        <v>4634</v>
      </c>
    </row>
    <row r="833" spans="1:23">
      <c r="A833" s="23">
        <v>3</v>
      </c>
      <c r="B833" s="23">
        <v>26</v>
      </c>
      <c r="C833" s="18">
        <v>4</v>
      </c>
      <c r="D833" s="18">
        <v>4</v>
      </c>
      <c r="E833" s="20">
        <v>51</v>
      </c>
      <c r="F833" s="21">
        <f t="shared" si="37"/>
        <v>108.6774193548387</v>
      </c>
      <c r="G833" s="22">
        <v>0.41478921180859002</v>
      </c>
      <c r="H833" s="3">
        <v>1</v>
      </c>
      <c r="I833" s="18">
        <f t="shared" si="38"/>
        <v>0</v>
      </c>
      <c r="J833" s="41">
        <v>43061</v>
      </c>
      <c r="K833" s="36">
        <v>2017</v>
      </c>
      <c r="L833" s="32">
        <f t="shared" si="36"/>
        <v>43063</v>
      </c>
      <c r="M833" s="24">
        <v>0</v>
      </c>
      <c r="N833" s="33">
        <v>96</v>
      </c>
      <c r="O833" s="34">
        <f>AVERAGEIF(L3:L1205,"&lt;2017/11/22",N3:N1205)</f>
        <v>118.79452054794521</v>
      </c>
      <c r="P833" s="38">
        <v>0</v>
      </c>
      <c r="Q833" s="38">
        <f>AVERAGEIF(L3:L1205,"&lt;2017/11/22",P3:P1205)</f>
        <v>0.35342465753424657</v>
      </c>
      <c r="R833" s="38">
        <v>1</v>
      </c>
      <c r="S833" s="38">
        <f>AVERAGEIF(L3:L1205,"&lt;2017/11/22",R3:R1205)</f>
        <v>1.3178082191780822</v>
      </c>
      <c r="T833" s="38">
        <v>2</v>
      </c>
      <c r="U833" s="38">
        <f>AVERAGEIF(L3:L1205,"&lt;2017/11/22",T3:T1205)</f>
        <v>8.7643835616438359</v>
      </c>
      <c r="V833" s="24">
        <v>372</v>
      </c>
      <c r="W833" s="47" t="s">
        <v>4521</v>
      </c>
    </row>
    <row r="834" spans="1:23">
      <c r="A834" s="23">
        <v>2</v>
      </c>
      <c r="B834" s="23">
        <v>8</v>
      </c>
      <c r="C834" s="18">
        <v>4</v>
      </c>
      <c r="D834" s="18">
        <v>6</v>
      </c>
      <c r="E834" s="20">
        <v>115</v>
      </c>
      <c r="F834" s="21">
        <f t="shared" si="37"/>
        <v>108.66037735849056</v>
      </c>
      <c r="G834" s="22">
        <v>0.49912696650431798</v>
      </c>
      <c r="H834" s="18">
        <v>1</v>
      </c>
      <c r="I834" s="18">
        <f t="shared" si="38"/>
        <v>0</v>
      </c>
      <c r="J834" s="41">
        <v>43059</v>
      </c>
      <c r="K834" s="36">
        <v>2017</v>
      </c>
      <c r="L834" s="32">
        <f t="shared" si="36"/>
        <v>43062</v>
      </c>
      <c r="M834" s="40">
        <v>0</v>
      </c>
      <c r="N834" s="33">
        <v>90</v>
      </c>
      <c r="O834" s="34">
        <f>AVERAGEIF(L3:L1205,"&lt;2017/11/20",N3:N1205)</f>
        <v>118.55801104972376</v>
      </c>
      <c r="P834" s="40">
        <v>0</v>
      </c>
      <c r="Q834" s="40">
        <f>AVERAGEIF(L3:L1205,"&lt;2017/11/20",P3:P1205)</f>
        <v>0.35635359116022097</v>
      </c>
      <c r="R834" s="40">
        <v>1</v>
      </c>
      <c r="S834" s="40">
        <f>AVERAGEIF(L3:L1205,"&lt;2017/11/20",R3:R1205)</f>
        <v>1.3204419889502763</v>
      </c>
      <c r="T834" s="40">
        <v>3</v>
      </c>
      <c r="U834" s="40">
        <f>AVERAGEIF(L3:L1205,"&lt;2017/11/20",T3:T1205)</f>
        <v>8.7569060773480665</v>
      </c>
      <c r="V834" s="24">
        <v>371</v>
      </c>
      <c r="W834" s="47" t="s">
        <v>4550</v>
      </c>
    </row>
    <row r="835" spans="1:23">
      <c r="A835" s="23">
        <v>3</v>
      </c>
      <c r="B835" s="23">
        <v>26</v>
      </c>
      <c r="C835" s="18">
        <v>4</v>
      </c>
      <c r="D835" s="18">
        <v>4</v>
      </c>
      <c r="E835" s="20">
        <v>58</v>
      </c>
      <c r="F835" s="21">
        <f t="shared" si="37"/>
        <v>108.79729729729729</v>
      </c>
      <c r="G835" s="22">
        <v>0.38747702028348802</v>
      </c>
      <c r="H835" s="3">
        <v>1</v>
      </c>
      <c r="I835" s="18">
        <f t="shared" si="38"/>
        <v>0</v>
      </c>
      <c r="J835" s="41">
        <v>43058</v>
      </c>
      <c r="K835" s="36">
        <v>2017</v>
      </c>
      <c r="L835" s="32">
        <f t="shared" ref="L835:L898" si="39">J835+T835</f>
        <v>43061</v>
      </c>
      <c r="M835" s="40">
        <v>0</v>
      </c>
      <c r="N835" s="33">
        <v>96</v>
      </c>
      <c r="O835" s="34">
        <f>AVERAGEIF(L3:L1205,"&lt;2017/11/19",N3:N1205)</f>
        <v>118.55801104972376</v>
      </c>
      <c r="P835" s="38">
        <v>0</v>
      </c>
      <c r="Q835" s="38">
        <f>AVERAGEIF(L3:L1205,"&lt;2017/11/19",P3:P1205)</f>
        <v>0.35635359116022097</v>
      </c>
      <c r="R835" s="38">
        <v>1</v>
      </c>
      <c r="S835" s="38">
        <f>AVERAGEIF(L3:L1205,"&lt;2017/11/19",R3:R1205)</f>
        <v>1.3204419889502763</v>
      </c>
      <c r="T835" s="38">
        <v>3</v>
      </c>
      <c r="U835" s="38">
        <f>AVERAGEIF(L3:L1205,"&lt;2017/11/19",T3:T1205)</f>
        <v>8.7569060773480665</v>
      </c>
      <c r="V835" s="24">
        <v>370</v>
      </c>
      <c r="W835" s="47" t="s">
        <v>4553</v>
      </c>
    </row>
    <row r="836" spans="1:23">
      <c r="A836" s="23">
        <v>3</v>
      </c>
      <c r="B836" s="23">
        <v>26</v>
      </c>
      <c r="C836" s="18">
        <v>4</v>
      </c>
      <c r="D836" s="18">
        <v>6</v>
      </c>
      <c r="E836" s="20">
        <v>108</v>
      </c>
      <c r="F836" s="21">
        <f t="shared" ref="F836:F899" si="40">AVERAGE(E837:E2038)</f>
        <v>108.79945799457994</v>
      </c>
      <c r="G836" s="22">
        <v>0.43629004612573202</v>
      </c>
      <c r="H836" s="3">
        <v>1</v>
      </c>
      <c r="I836" s="18">
        <f t="shared" ref="I836:I899" si="41">IF(H836=1,0,1)</f>
        <v>0</v>
      </c>
      <c r="J836" s="41">
        <v>43057</v>
      </c>
      <c r="K836" s="36">
        <v>2017</v>
      </c>
      <c r="L836" s="32">
        <f t="shared" si="39"/>
        <v>43061</v>
      </c>
      <c r="M836" s="40">
        <v>0</v>
      </c>
      <c r="N836" s="33">
        <v>96</v>
      </c>
      <c r="O836" s="34">
        <f>AVERAGEIF(L3:L1205,"&lt;2017/11/18",N3:N1205)</f>
        <v>118.55801104972376</v>
      </c>
      <c r="P836" s="38">
        <v>0</v>
      </c>
      <c r="Q836" s="38">
        <f>AVERAGEIF(L3:L1205,"&lt;2017/11/18",P3:P1205)</f>
        <v>0.35635359116022097</v>
      </c>
      <c r="R836" s="38">
        <v>1</v>
      </c>
      <c r="S836" s="38">
        <f>AVERAGEIF(L3:L1205,"&lt;2017/11/18",R3:R1205)</f>
        <v>1.3204419889502763</v>
      </c>
      <c r="T836" s="38">
        <v>4</v>
      </c>
      <c r="U836" s="38">
        <f>AVERAGEIF(L3:L1205,"&lt;2017/11/18",T3:T1205)</f>
        <v>8.7569060773480665</v>
      </c>
      <c r="V836" s="24">
        <v>369</v>
      </c>
      <c r="W836" s="47" t="s">
        <v>4634</v>
      </c>
    </row>
    <row r="837" spans="1:23">
      <c r="A837" s="23">
        <v>2</v>
      </c>
      <c r="B837" s="23">
        <v>7</v>
      </c>
      <c r="C837" s="18">
        <v>4</v>
      </c>
      <c r="D837" s="18">
        <v>6</v>
      </c>
      <c r="E837" s="20">
        <v>117</v>
      </c>
      <c r="F837" s="21">
        <f t="shared" si="40"/>
        <v>108.77717391304348</v>
      </c>
      <c r="G837" s="22">
        <v>0.23284550052125899</v>
      </c>
      <c r="H837" s="18">
        <v>0</v>
      </c>
      <c r="I837" s="18">
        <f t="shared" si="41"/>
        <v>1</v>
      </c>
      <c r="J837" s="41">
        <v>43056</v>
      </c>
      <c r="K837" s="36">
        <v>2017</v>
      </c>
      <c r="L837" s="32">
        <f t="shared" si="39"/>
        <v>43061</v>
      </c>
      <c r="M837" s="40">
        <v>1</v>
      </c>
      <c r="N837" s="33">
        <v>42</v>
      </c>
      <c r="O837" s="34">
        <f>AVERAGEIF(L3:L1205,"&lt;2017/11/17",N3:N1205)</f>
        <v>119.11452513966481</v>
      </c>
      <c r="P837" s="40">
        <v>0</v>
      </c>
      <c r="Q837" s="40">
        <f>AVERAGEIF(L3:L1205,"&lt;2017/11/17",P3:P1205)</f>
        <v>0.35474860335195529</v>
      </c>
      <c r="R837" s="40">
        <v>3</v>
      </c>
      <c r="S837" s="40">
        <f>AVERAGEIF(L3:L1205,"&lt;2017/11/17",R3:R1205)</f>
        <v>1.3240223463687151</v>
      </c>
      <c r="T837" s="40">
        <v>5</v>
      </c>
      <c r="U837" s="40">
        <f>AVERAGEIF(L3:L1205,"&lt;2017/11/17",T3:T1205)</f>
        <v>8.8128491620111724</v>
      </c>
      <c r="V837" s="24">
        <v>368</v>
      </c>
      <c r="W837" s="47" t="s">
        <v>4564</v>
      </c>
    </row>
    <row r="838" spans="1:23">
      <c r="A838" s="23">
        <v>2</v>
      </c>
      <c r="B838" s="23">
        <v>6</v>
      </c>
      <c r="C838" s="18">
        <v>4</v>
      </c>
      <c r="D838" s="18">
        <v>4</v>
      </c>
      <c r="E838" s="20">
        <v>50</v>
      </c>
      <c r="F838" s="21">
        <f t="shared" si="40"/>
        <v>108.93732970027249</v>
      </c>
      <c r="G838" s="22">
        <v>0.443681626517685</v>
      </c>
      <c r="H838" s="18">
        <v>1</v>
      </c>
      <c r="I838" s="18">
        <f t="shared" si="41"/>
        <v>0</v>
      </c>
      <c r="J838" s="41">
        <v>43055</v>
      </c>
      <c r="K838" s="36">
        <v>2017</v>
      </c>
      <c r="L838" s="32">
        <f t="shared" si="39"/>
        <v>43056</v>
      </c>
      <c r="M838" s="40">
        <v>0</v>
      </c>
      <c r="N838" s="33">
        <v>53</v>
      </c>
      <c r="O838" s="34">
        <f>AVERAGEIF(L3:L1205,"&lt;2017/11/16",N3:N1205)</f>
        <v>119.0672268907563</v>
      </c>
      <c r="P838" s="38">
        <v>0</v>
      </c>
      <c r="Q838" s="38">
        <f>AVERAGEIF(L3:L1205,"&lt;2017/11/16",P3:P1205)</f>
        <v>0.35574229691876752</v>
      </c>
      <c r="R838" s="38">
        <v>1</v>
      </c>
      <c r="S838" s="38">
        <f>AVERAGEIF(L3:L1205,"&lt;2017/11/16",R3:R1205)</f>
        <v>1.3249299719887955</v>
      </c>
      <c r="T838" s="38">
        <v>1</v>
      </c>
      <c r="U838" s="38">
        <f>AVERAGEIF(L3:L1205,"&lt;2017/11/16",T3:T1205)</f>
        <v>8.8319327731092443</v>
      </c>
      <c r="V838" s="24">
        <v>367</v>
      </c>
      <c r="W838" s="47" t="s">
        <v>4618</v>
      </c>
    </row>
    <row r="839" spans="1:23">
      <c r="A839" s="23">
        <v>3</v>
      </c>
      <c r="B839" s="23">
        <v>26</v>
      </c>
      <c r="C839" s="18">
        <v>4</v>
      </c>
      <c r="D839" s="18">
        <v>6</v>
      </c>
      <c r="E839" s="20">
        <v>121</v>
      </c>
      <c r="F839" s="21">
        <f t="shared" si="40"/>
        <v>108.90437158469945</v>
      </c>
      <c r="G839" s="22">
        <v>0.34141476873093501</v>
      </c>
      <c r="H839" s="3">
        <v>1</v>
      </c>
      <c r="I839" s="18">
        <f t="shared" si="41"/>
        <v>0</v>
      </c>
      <c r="J839" s="41">
        <v>43055</v>
      </c>
      <c r="K839" s="36">
        <v>2017</v>
      </c>
      <c r="L839" s="32">
        <f t="shared" si="39"/>
        <v>43059</v>
      </c>
      <c r="M839" s="40">
        <v>0</v>
      </c>
      <c r="N839" s="33">
        <v>134</v>
      </c>
      <c r="O839" s="34">
        <f>AVERAGEIF(L3:L1205,"&lt;2017/11/16",N3:N1205)</f>
        <v>119.0672268907563</v>
      </c>
      <c r="P839" s="38">
        <v>0</v>
      </c>
      <c r="Q839" s="38">
        <f>AVERAGEIF(L3:L1205,"&lt;2017/11/16",P3:P1205)</f>
        <v>0.35574229691876752</v>
      </c>
      <c r="R839" s="38">
        <v>1</v>
      </c>
      <c r="S839" s="38">
        <f>AVERAGEIF(L3:L1205,"&lt;2017/11/16",R3:R1205)</f>
        <v>1.3249299719887955</v>
      </c>
      <c r="T839" s="38">
        <v>4</v>
      </c>
      <c r="U839" s="38">
        <f>AVERAGEIF(L3:L1205,"&lt;2017/11/16",T3:T1205)</f>
        <v>8.8319327731092443</v>
      </c>
      <c r="V839" s="24">
        <v>366</v>
      </c>
      <c r="W839" s="47" t="s">
        <v>4529</v>
      </c>
    </row>
    <row r="840" spans="1:23">
      <c r="A840" s="23">
        <v>2</v>
      </c>
      <c r="B840" s="23">
        <v>15</v>
      </c>
      <c r="C840" s="18">
        <v>4</v>
      </c>
      <c r="D840" s="18">
        <v>6</v>
      </c>
      <c r="E840" s="20">
        <v>16</v>
      </c>
      <c r="F840" s="21">
        <f t="shared" si="40"/>
        <v>109.15890410958905</v>
      </c>
      <c r="G840" s="22">
        <v>0.87476869541618796</v>
      </c>
      <c r="H840" s="18">
        <v>0</v>
      </c>
      <c r="I840" s="18">
        <f t="shared" si="41"/>
        <v>1</v>
      </c>
      <c r="J840" s="41">
        <v>43054</v>
      </c>
      <c r="K840" s="36">
        <v>2017</v>
      </c>
      <c r="L840" s="32">
        <f t="shared" si="39"/>
        <v>43068</v>
      </c>
      <c r="M840" s="37">
        <v>0</v>
      </c>
      <c r="N840" s="33">
        <v>27</v>
      </c>
      <c r="O840" s="34">
        <f>AVERAGEIF(L3:L1205,"&lt;2017/11/15",N3:N1205)</f>
        <v>119.16901408450704</v>
      </c>
      <c r="P840" s="38">
        <v>0</v>
      </c>
      <c r="Q840" s="38">
        <f>AVERAGEIF(L3:L1205,"&lt;2017/11/15",P3:P1205)</f>
        <v>0.35492957746478876</v>
      </c>
      <c r="R840" s="38">
        <v>1</v>
      </c>
      <c r="S840" s="38">
        <f>AVERAGEIF(L3:L1205,"&lt;2017/11/15",R3:R1205)</f>
        <v>1.323943661971831</v>
      </c>
      <c r="T840" s="38">
        <v>14</v>
      </c>
      <c r="U840" s="38">
        <f>AVERAGEIF(L3:L1205,"&lt;2017/11/15",T3:T1205)</f>
        <v>8.8647887323943664</v>
      </c>
      <c r="V840" s="24">
        <v>365</v>
      </c>
      <c r="W840" s="47" t="s">
        <v>4529</v>
      </c>
    </row>
    <row r="841" spans="1:23">
      <c r="A841" s="23">
        <v>2</v>
      </c>
      <c r="B841" s="23">
        <v>15</v>
      </c>
      <c r="C841" s="18">
        <v>4</v>
      </c>
      <c r="D841" s="18">
        <v>4</v>
      </c>
      <c r="E841" s="20">
        <v>38</v>
      </c>
      <c r="F841" s="21">
        <f t="shared" si="40"/>
        <v>109.35439560439561</v>
      </c>
      <c r="G841" s="22">
        <v>0.90984498771153</v>
      </c>
      <c r="H841" s="18">
        <v>1</v>
      </c>
      <c r="I841" s="18">
        <f t="shared" si="41"/>
        <v>0</v>
      </c>
      <c r="J841" s="41">
        <v>43054</v>
      </c>
      <c r="K841" s="36">
        <v>2017</v>
      </c>
      <c r="L841" s="32">
        <f t="shared" si="39"/>
        <v>43056</v>
      </c>
      <c r="M841" s="40">
        <v>0</v>
      </c>
      <c r="N841" s="33">
        <v>27</v>
      </c>
      <c r="O841" s="34">
        <f>AVERAGEIF(L3:L1205,"&lt;2017/11/15",N3:N1205)</f>
        <v>119.16901408450704</v>
      </c>
      <c r="P841" s="38">
        <v>0</v>
      </c>
      <c r="Q841" s="38">
        <f>AVERAGEIF(L3:L1205,"&lt;2017/11/15",P3:P1205)</f>
        <v>0.35492957746478876</v>
      </c>
      <c r="R841" s="38">
        <v>1</v>
      </c>
      <c r="S841" s="38">
        <f>AVERAGEIF(L3:L1205,"&lt;2017/11/15",R3:R1205)</f>
        <v>1.323943661971831</v>
      </c>
      <c r="T841" s="38">
        <v>2</v>
      </c>
      <c r="U841" s="38">
        <f>AVERAGEIF(L3:L1205,"&lt;2017/11/15",T3:T1205)</f>
        <v>8.8647887323943664</v>
      </c>
      <c r="V841" s="24">
        <v>364</v>
      </c>
      <c r="W841" s="47" t="s">
        <v>4618</v>
      </c>
    </row>
    <row r="842" spans="1:23">
      <c r="A842" s="23">
        <v>2</v>
      </c>
      <c r="B842" s="23">
        <v>4</v>
      </c>
      <c r="C842" s="18">
        <v>4</v>
      </c>
      <c r="D842" s="18">
        <v>6</v>
      </c>
      <c r="E842" s="20">
        <v>151</v>
      </c>
      <c r="F842" s="21">
        <f t="shared" si="40"/>
        <v>109.2396694214876</v>
      </c>
      <c r="G842" s="22">
        <v>0.83314152713252398</v>
      </c>
      <c r="H842" s="18">
        <v>0</v>
      </c>
      <c r="I842" s="18">
        <f t="shared" si="41"/>
        <v>1</v>
      </c>
      <c r="J842" s="41">
        <v>43053</v>
      </c>
      <c r="K842" s="36">
        <v>2017</v>
      </c>
      <c r="L842" s="32">
        <f t="shared" si="39"/>
        <v>43055</v>
      </c>
      <c r="M842" s="40">
        <v>0</v>
      </c>
      <c r="N842" s="33">
        <v>136</v>
      </c>
      <c r="O842" s="34">
        <f>AVERAGEIF(L3:L1205,"&lt;2017/11/14",N3:N1205)</f>
        <v>118.99147727272727</v>
      </c>
      <c r="P842" s="38">
        <v>0</v>
      </c>
      <c r="Q842" s="38">
        <f>AVERAGEIF(L3:L1205,"&lt;2017/11/14",P3:P1205)</f>
        <v>0.35227272727272729</v>
      </c>
      <c r="R842" s="38">
        <v>1</v>
      </c>
      <c r="S842" s="38">
        <f>AVERAGEIF(L3:L1205,"&lt;2017/11/14",R3:R1205)</f>
        <v>1.3267045454545454</v>
      </c>
      <c r="T842" s="38">
        <v>2</v>
      </c>
      <c r="U842" s="38">
        <f>AVERAGEIF(L3:L1205,"&lt;2017/11/14",T3:T1205)</f>
        <v>8.8664772727272734</v>
      </c>
      <c r="V842" s="24">
        <v>363</v>
      </c>
      <c r="W842" s="47" t="s">
        <v>4672</v>
      </c>
    </row>
    <row r="843" spans="1:23">
      <c r="A843" s="23">
        <v>4</v>
      </c>
      <c r="B843" s="23">
        <v>29</v>
      </c>
      <c r="C843" s="18">
        <v>4</v>
      </c>
      <c r="D843" s="18">
        <v>4</v>
      </c>
      <c r="E843" s="20">
        <v>57</v>
      </c>
      <c r="F843" s="21">
        <f t="shared" si="40"/>
        <v>109.38397790055248</v>
      </c>
      <c r="G843" s="22">
        <v>0.45390428172452801</v>
      </c>
      <c r="H843" s="18">
        <v>1</v>
      </c>
      <c r="I843" s="18">
        <f t="shared" si="41"/>
        <v>0</v>
      </c>
      <c r="J843" s="45">
        <v>43053</v>
      </c>
      <c r="K843" s="36">
        <v>2017</v>
      </c>
      <c r="L843" s="32">
        <f t="shared" si="39"/>
        <v>43056</v>
      </c>
      <c r="M843" s="42">
        <v>0</v>
      </c>
      <c r="N843" s="33">
        <v>118</v>
      </c>
      <c r="O843" s="34">
        <f>AVERAGEIF(L3:L1205,"&lt;2017/11/14",N3:N1205)</f>
        <v>118.99147727272727</v>
      </c>
      <c r="P843" s="38">
        <v>0</v>
      </c>
      <c r="Q843" s="38">
        <f>AVERAGEIF(L3:L1205,"&lt;2017/11/14",P3:P1205)</f>
        <v>0.35227272727272729</v>
      </c>
      <c r="R843" s="38">
        <v>1</v>
      </c>
      <c r="S843" s="38">
        <f>AVERAGEIF(L3:L1205,"&lt;2017/11/14",R3:R1205)</f>
        <v>1.3267045454545454</v>
      </c>
      <c r="T843" s="38">
        <v>3</v>
      </c>
      <c r="U843" s="38">
        <f>AVERAGEIF(L3:L1205,"&lt;2017/11/14",T3:T1205)</f>
        <v>8.8664772727272734</v>
      </c>
      <c r="V843" s="24">
        <v>362</v>
      </c>
      <c r="W843" s="47" t="s">
        <v>4529</v>
      </c>
    </row>
    <row r="844" spans="1:23">
      <c r="A844" s="17">
        <v>1</v>
      </c>
      <c r="B844" s="17">
        <v>1</v>
      </c>
      <c r="C844" s="18">
        <v>4</v>
      </c>
      <c r="D844" s="18">
        <v>7</v>
      </c>
      <c r="E844" s="20">
        <v>169</v>
      </c>
      <c r="F844" s="21">
        <f t="shared" si="40"/>
        <v>109.21883656509695</v>
      </c>
      <c r="G844" s="22">
        <v>0.34878521232091297</v>
      </c>
      <c r="H844" s="18">
        <v>0</v>
      </c>
      <c r="I844" s="18">
        <f t="shared" si="41"/>
        <v>1</v>
      </c>
      <c r="J844" s="32">
        <v>43052</v>
      </c>
      <c r="K844" s="36">
        <v>2017</v>
      </c>
      <c r="L844" s="32">
        <f t="shared" si="39"/>
        <v>43054</v>
      </c>
      <c r="M844" s="24">
        <v>0</v>
      </c>
      <c r="N844" s="33">
        <v>69</v>
      </c>
      <c r="O844" s="34">
        <f>AVERAGEIF(L3:L1205,"&lt;2017/11/13",N3:N1205)</f>
        <v>118.76353276353277</v>
      </c>
      <c r="P844" s="24">
        <v>1</v>
      </c>
      <c r="Q844" s="24">
        <f>AVERAGEIF(L3:L1205,"&lt;2017/11/13",P3:P1205)</f>
        <v>0.35327635327635326</v>
      </c>
      <c r="R844" s="24">
        <v>2</v>
      </c>
      <c r="S844" s="24">
        <f>AVERAGEIF(L3:L1205,"&lt;2017/11/13",R3:R1205)</f>
        <v>1.3247863247863247</v>
      </c>
      <c r="T844" s="24">
        <v>2</v>
      </c>
      <c r="U844" s="24">
        <f>AVERAGEIF(L3:L1205,"&lt;2017/11/13",T3:T1205)</f>
        <v>8.8575498575498575</v>
      </c>
      <c r="V844" s="24">
        <v>361</v>
      </c>
      <c r="W844" s="47" t="s">
        <v>4634</v>
      </c>
    </row>
    <row r="845" spans="1:23">
      <c r="A845" s="23">
        <v>2</v>
      </c>
      <c r="B845" s="23">
        <v>4</v>
      </c>
      <c r="C845" s="18">
        <v>4</v>
      </c>
      <c r="D845" s="18">
        <v>4</v>
      </c>
      <c r="E845" s="20">
        <v>42</v>
      </c>
      <c r="F845" s="21">
        <f t="shared" si="40"/>
        <v>109.40555555555555</v>
      </c>
      <c r="G845" s="22">
        <v>0.44417411994452</v>
      </c>
      <c r="H845" s="18">
        <v>1</v>
      </c>
      <c r="I845" s="18">
        <f t="shared" si="41"/>
        <v>0</v>
      </c>
      <c r="J845" s="41">
        <v>43051</v>
      </c>
      <c r="K845" s="36">
        <v>2017</v>
      </c>
      <c r="L845" s="32">
        <f t="shared" si="39"/>
        <v>43053</v>
      </c>
      <c r="M845" s="40">
        <v>0</v>
      </c>
      <c r="N845" s="33">
        <v>73</v>
      </c>
      <c r="O845" s="34">
        <f>AVERAGEIF(L3:L1205,"&lt;2017/11/12",N3:N1205)</f>
        <v>118.76353276353277</v>
      </c>
      <c r="P845" s="38">
        <v>1</v>
      </c>
      <c r="Q845" s="38">
        <f>AVERAGEIF(L3:L1205,"&lt;2017/11/12",P3:P1205)</f>
        <v>0.35327635327635326</v>
      </c>
      <c r="R845" s="38">
        <v>1</v>
      </c>
      <c r="S845" s="38">
        <f>AVERAGEIF(L3:L1205,"&lt;2017/11/12",R3:R1205)</f>
        <v>1.3247863247863247</v>
      </c>
      <c r="T845" s="38">
        <v>2</v>
      </c>
      <c r="U845" s="38">
        <f>AVERAGEIF(L3:L1205,"&lt;2017/11/12",T3:T1205)</f>
        <v>8.8575498575498575</v>
      </c>
      <c r="V845" s="24">
        <v>360</v>
      </c>
      <c r="W845" s="47" t="s">
        <v>4557</v>
      </c>
    </row>
    <row r="846" spans="1:23">
      <c r="A846" s="23">
        <v>2</v>
      </c>
      <c r="B846" s="23">
        <v>11</v>
      </c>
      <c r="C846" s="18">
        <v>4</v>
      </c>
      <c r="D846" s="18">
        <v>6</v>
      </c>
      <c r="E846" s="20">
        <v>407</v>
      </c>
      <c r="F846" s="21">
        <f t="shared" si="40"/>
        <v>108.57660167130919</v>
      </c>
      <c r="G846" s="22">
        <v>0.37500241527989903</v>
      </c>
      <c r="H846" s="18">
        <v>1</v>
      </c>
      <c r="I846" s="18">
        <f t="shared" si="41"/>
        <v>0</v>
      </c>
      <c r="J846" s="41">
        <v>43051</v>
      </c>
      <c r="K846" s="36">
        <v>2017</v>
      </c>
      <c r="L846" s="32">
        <f t="shared" si="39"/>
        <v>43067</v>
      </c>
      <c r="M846" s="40">
        <v>1</v>
      </c>
      <c r="N846" s="33">
        <v>160</v>
      </c>
      <c r="O846" s="34">
        <f>AVERAGEIF(L3:L1205,"&lt;2017/11/12",N3:N1205)</f>
        <v>118.76353276353277</v>
      </c>
      <c r="P846" s="38">
        <v>0</v>
      </c>
      <c r="Q846" s="38">
        <f>AVERAGEIF(L3:L1205,"&lt;2017/11/12",P3:P1205)</f>
        <v>0.35327635327635326</v>
      </c>
      <c r="R846" s="38">
        <v>1</v>
      </c>
      <c r="S846" s="38">
        <f>AVERAGEIF(L3:L1205,"&lt;2017/11/12",R3:R1205)</f>
        <v>1.3247863247863247</v>
      </c>
      <c r="T846" s="38">
        <v>16</v>
      </c>
      <c r="U846" s="38">
        <f>AVERAGEIF(L3:L1205,"&lt;2017/11/12",T3:T1205)</f>
        <v>8.8575498575498575</v>
      </c>
      <c r="V846" s="24">
        <v>359</v>
      </c>
      <c r="W846" s="47" t="s">
        <v>5028</v>
      </c>
    </row>
    <row r="847" spans="1:23">
      <c r="A847" s="23">
        <v>4</v>
      </c>
      <c r="B847" s="23">
        <v>33</v>
      </c>
      <c r="C847" s="18">
        <v>4</v>
      </c>
      <c r="D847" s="18">
        <v>4</v>
      </c>
      <c r="E847" s="20">
        <v>43</v>
      </c>
      <c r="F847" s="21">
        <f t="shared" si="40"/>
        <v>108.75977653631286</v>
      </c>
      <c r="G847" s="22">
        <v>0.413729683120934</v>
      </c>
      <c r="H847" s="18">
        <v>1</v>
      </c>
      <c r="I847" s="18">
        <f t="shared" si="41"/>
        <v>0</v>
      </c>
      <c r="J847" s="45">
        <v>43050</v>
      </c>
      <c r="K847" s="36">
        <v>2017</v>
      </c>
      <c r="L847" s="32">
        <f t="shared" si="39"/>
        <v>43054</v>
      </c>
      <c r="M847" s="42">
        <v>0</v>
      </c>
      <c r="N847" s="33">
        <v>133</v>
      </c>
      <c r="O847" s="34">
        <f>AVERAGEIF(L3:L1205,"&lt;2017/11/11",N3:N1205)</f>
        <v>118.76353276353277</v>
      </c>
      <c r="P847" s="38">
        <v>0</v>
      </c>
      <c r="Q847" s="38">
        <f>AVERAGEIF(L3:L1205,"&lt;2017/11/11",P3:P1205)</f>
        <v>0.35327635327635326</v>
      </c>
      <c r="R847" s="38">
        <v>1</v>
      </c>
      <c r="S847" s="38">
        <f>AVERAGEIF(L3:L1205,"&lt;2017/11/11",R3:R1205)</f>
        <v>1.3247863247863247</v>
      </c>
      <c r="T847" s="38">
        <v>4</v>
      </c>
      <c r="U847" s="38">
        <f>AVERAGEIF(L3:L1205,"&lt;2017/11/11",T3:T1205)</f>
        <v>8.8575498575498575</v>
      </c>
      <c r="V847" s="24">
        <v>358</v>
      </c>
      <c r="W847" s="47" t="s">
        <v>4634</v>
      </c>
    </row>
    <row r="848" spans="1:23">
      <c r="A848" s="23">
        <v>2</v>
      </c>
      <c r="B848" s="23">
        <v>8</v>
      </c>
      <c r="C848" s="18">
        <v>4</v>
      </c>
      <c r="D848" s="18">
        <v>4</v>
      </c>
      <c r="E848" s="20">
        <v>102</v>
      </c>
      <c r="F848" s="21">
        <f t="shared" si="40"/>
        <v>108.77871148459384</v>
      </c>
      <c r="G848" s="22">
        <v>0.37501001703019599</v>
      </c>
      <c r="H848" s="18">
        <v>1</v>
      </c>
      <c r="I848" s="18">
        <f t="shared" si="41"/>
        <v>0</v>
      </c>
      <c r="J848" s="41">
        <v>43049</v>
      </c>
      <c r="K848" s="36">
        <v>2017</v>
      </c>
      <c r="L848" s="32">
        <f t="shared" si="39"/>
        <v>43060</v>
      </c>
      <c r="M848" s="40">
        <v>0</v>
      </c>
      <c r="N848" s="33">
        <v>177</v>
      </c>
      <c r="O848" s="34">
        <f>AVERAGEIF(L3:L1205,"&lt;2017/11/10",N3:N1205)</f>
        <v>118.64857142857143</v>
      </c>
      <c r="P848" s="38">
        <v>0</v>
      </c>
      <c r="Q848" s="38">
        <f>AVERAGEIF(L3:L1205,"&lt;2017/11/10",P3:P1205)</f>
        <v>0.35428571428571426</v>
      </c>
      <c r="R848" s="38">
        <v>1</v>
      </c>
      <c r="S848" s="38">
        <f>AVERAGEIF(L3:L1205,"&lt;2017/11/10",R3:R1205)</f>
        <v>1.322857142857143</v>
      </c>
      <c r="T848" s="38">
        <v>11</v>
      </c>
      <c r="U848" s="38">
        <f>AVERAGEIF(L3:L1205,"&lt;2017/11/10",T3:T1205)</f>
        <v>8.8742857142857137</v>
      </c>
      <c r="V848" s="24">
        <v>357</v>
      </c>
      <c r="W848" s="47" t="s">
        <v>4557</v>
      </c>
    </row>
    <row r="849" spans="1:23">
      <c r="A849" s="17">
        <v>1</v>
      </c>
      <c r="B849" s="17">
        <v>3</v>
      </c>
      <c r="C849" s="18">
        <v>4</v>
      </c>
      <c r="D849" s="18">
        <v>4</v>
      </c>
      <c r="E849" s="20">
        <v>59</v>
      </c>
      <c r="F849" s="21">
        <f t="shared" si="40"/>
        <v>108.9185393258427</v>
      </c>
      <c r="G849" s="22">
        <v>0.412511467042528</v>
      </c>
      <c r="H849" s="18">
        <v>1</v>
      </c>
      <c r="I849" s="18">
        <f t="shared" si="41"/>
        <v>0</v>
      </c>
      <c r="J849" s="41">
        <v>43048</v>
      </c>
      <c r="K849" s="36">
        <v>2017</v>
      </c>
      <c r="L849" s="32">
        <f t="shared" si="39"/>
        <v>43053</v>
      </c>
      <c r="M849" s="24">
        <v>0</v>
      </c>
      <c r="N849" s="33">
        <v>135</v>
      </c>
      <c r="O849" s="34">
        <f>AVERAGEIF(L3:L1205,"&lt;2017/11/9",N3:N1205)</f>
        <v>118.60982658959537</v>
      </c>
      <c r="P849" s="24">
        <v>0</v>
      </c>
      <c r="Q849" s="24">
        <f>AVERAGEIF(L3:L1205,"&lt;2017/11/9",P3:P1205)</f>
        <v>0.34971098265895956</v>
      </c>
      <c r="R849" s="24">
        <v>1</v>
      </c>
      <c r="S849" s="24">
        <f>AVERAGEIF(L3:L1205,"&lt;2017/11/9",R3:R1205)</f>
        <v>1.3265895953757225</v>
      </c>
      <c r="T849" s="24">
        <v>5</v>
      </c>
      <c r="U849" s="24">
        <f>AVERAGEIF(L3:L1205,"&lt;2017/11/9",T3:T1205)</f>
        <v>8.9132947976878611</v>
      </c>
      <c r="V849" s="24">
        <v>356</v>
      </c>
      <c r="W849" s="47" t="s">
        <v>4521</v>
      </c>
    </row>
    <row r="850" spans="1:23">
      <c r="A850" s="23">
        <v>2</v>
      </c>
      <c r="B850" s="23">
        <v>7</v>
      </c>
      <c r="C850" s="18">
        <v>4</v>
      </c>
      <c r="D850" s="18">
        <v>6</v>
      </c>
      <c r="E850" s="20">
        <v>247</v>
      </c>
      <c r="F850" s="21">
        <f t="shared" si="40"/>
        <v>108.52957746478873</v>
      </c>
      <c r="G850" s="22">
        <v>0.281743051109071</v>
      </c>
      <c r="H850" s="18">
        <v>1</v>
      </c>
      <c r="I850" s="18">
        <f t="shared" si="41"/>
        <v>0</v>
      </c>
      <c r="J850" s="41">
        <v>43047</v>
      </c>
      <c r="K850" s="36">
        <v>2017</v>
      </c>
      <c r="L850" s="32">
        <f t="shared" si="39"/>
        <v>43056</v>
      </c>
      <c r="M850" s="40">
        <v>0</v>
      </c>
      <c r="N850" s="33">
        <v>77</v>
      </c>
      <c r="O850" s="34">
        <f>AVERAGEIF(L3:L1205,"&lt;2017/11/8",N3:N1205)</f>
        <v>118.53197674418605</v>
      </c>
      <c r="P850" s="38">
        <v>2</v>
      </c>
      <c r="Q850" s="38">
        <f>AVERAGEIF(L3:L1205,"&lt;2017/11/8",P3:P1205)</f>
        <v>0.35174418604651164</v>
      </c>
      <c r="R850" s="38">
        <v>1</v>
      </c>
      <c r="S850" s="38">
        <f>AVERAGEIF(L3:L1205,"&lt;2017/11/8",R3:R1205)</f>
        <v>1.3255813953488371</v>
      </c>
      <c r="T850" s="38">
        <v>9</v>
      </c>
      <c r="U850" s="38">
        <f>AVERAGEIF(L3:L1205,"&lt;2017/11/9",T3:T1205)</f>
        <v>8.9132947976878611</v>
      </c>
      <c r="V850" s="24">
        <v>355</v>
      </c>
      <c r="W850" s="47" t="s">
        <v>4529</v>
      </c>
    </row>
    <row r="851" spans="1:23">
      <c r="A851" s="23">
        <v>2</v>
      </c>
      <c r="B851" s="23">
        <v>8</v>
      </c>
      <c r="C851" s="18">
        <v>4</v>
      </c>
      <c r="D851" s="18">
        <v>4</v>
      </c>
      <c r="E851" s="20">
        <v>57</v>
      </c>
      <c r="F851" s="21">
        <f t="shared" si="40"/>
        <v>108.67514124293785</v>
      </c>
      <c r="G851" s="22">
        <v>0.815322775750841</v>
      </c>
      <c r="H851" s="18">
        <v>1</v>
      </c>
      <c r="I851" s="18">
        <f t="shared" si="41"/>
        <v>0</v>
      </c>
      <c r="J851" s="41">
        <v>43046</v>
      </c>
      <c r="K851" s="36">
        <v>2017</v>
      </c>
      <c r="L851" s="32">
        <f t="shared" si="39"/>
        <v>43049</v>
      </c>
      <c r="M851" s="40">
        <v>0</v>
      </c>
      <c r="N851" s="33">
        <v>159</v>
      </c>
      <c r="O851" s="34">
        <f>AVERAGEIF(L3:L1205,"&lt;2017/11/7",N3:N1205)</f>
        <v>118.53197674418605</v>
      </c>
      <c r="P851" s="40">
        <v>0</v>
      </c>
      <c r="Q851" s="40">
        <f>AVERAGEIF(L3:L1205,"&lt;2017/11/7",P3:P1205)</f>
        <v>0.35174418604651164</v>
      </c>
      <c r="R851" s="40">
        <v>2</v>
      </c>
      <c r="S851" s="40">
        <f>AVERAGEIF(L3:L1205,"&lt;2017/11/7",R3:R1205)</f>
        <v>1.3255813953488371</v>
      </c>
      <c r="T851" s="40">
        <v>3</v>
      </c>
      <c r="U851" s="40">
        <f>AVERAGEIF(L3:L1205,"&lt;2017/11/7",T3:T1205)</f>
        <v>8.9447674418604652</v>
      </c>
      <c r="V851" s="24">
        <v>354</v>
      </c>
      <c r="W851" s="47" t="s">
        <v>4521</v>
      </c>
    </row>
    <row r="852" spans="1:23">
      <c r="A852" s="23">
        <v>3</v>
      </c>
      <c r="B852" s="23">
        <v>26</v>
      </c>
      <c r="C852" s="18">
        <v>5</v>
      </c>
      <c r="D852" s="18">
        <v>6</v>
      </c>
      <c r="E852" s="20">
        <v>77</v>
      </c>
      <c r="F852" s="21">
        <f t="shared" si="40"/>
        <v>108.76487252124646</v>
      </c>
      <c r="G852" s="22">
        <v>0.70262269119932896</v>
      </c>
      <c r="H852" s="3">
        <v>1</v>
      </c>
      <c r="I852" s="18">
        <f t="shared" si="41"/>
        <v>0</v>
      </c>
      <c r="J852" s="41">
        <v>43046</v>
      </c>
      <c r="K852" s="36">
        <v>2017</v>
      </c>
      <c r="L852" s="32">
        <f t="shared" si="39"/>
        <v>43048</v>
      </c>
      <c r="M852" s="40">
        <v>1</v>
      </c>
      <c r="N852" s="33">
        <v>96</v>
      </c>
      <c r="O852" s="34">
        <f>AVERAGEIF(L3:L1205,"&lt;2017/11/7",N3:N1205)</f>
        <v>118.53197674418605</v>
      </c>
      <c r="P852" s="38">
        <v>1</v>
      </c>
      <c r="Q852" s="38">
        <f>AVERAGEIF(L3:L1205,"&lt;2017/11/7",P3:P1205)</f>
        <v>0.35174418604651164</v>
      </c>
      <c r="R852" s="38">
        <v>1</v>
      </c>
      <c r="S852" s="38">
        <f>AVERAGEIF(L3:L1205,"&lt;2017/11/7",R3:R1205)</f>
        <v>1.3255813953488371</v>
      </c>
      <c r="T852" s="38">
        <v>2</v>
      </c>
      <c r="U852" s="38">
        <f>AVERAGEIF(L3:L1205,"&lt;2017/11/7",T3:T1205)</f>
        <v>8.9447674418604652</v>
      </c>
      <c r="V852" s="24">
        <v>353</v>
      </c>
      <c r="W852" s="47" t="s">
        <v>4529</v>
      </c>
    </row>
    <row r="853" spans="1:23">
      <c r="A853" s="23">
        <v>4</v>
      </c>
      <c r="B853" s="23">
        <v>33</v>
      </c>
      <c r="C853" s="18">
        <v>4</v>
      </c>
      <c r="D853" s="18">
        <v>4</v>
      </c>
      <c r="E853" s="20">
        <v>46</v>
      </c>
      <c r="F853" s="21">
        <f t="shared" si="40"/>
        <v>108.94318181818181</v>
      </c>
      <c r="G853" s="22">
        <v>0.34504350620280799</v>
      </c>
      <c r="H853" s="18">
        <v>1</v>
      </c>
      <c r="I853" s="18">
        <f t="shared" si="41"/>
        <v>0</v>
      </c>
      <c r="J853" s="45">
        <v>43046</v>
      </c>
      <c r="K853" s="36">
        <v>2017</v>
      </c>
      <c r="L853" s="32">
        <f t="shared" si="39"/>
        <v>43060</v>
      </c>
      <c r="M853" s="42">
        <v>0</v>
      </c>
      <c r="N853" s="33">
        <v>131</v>
      </c>
      <c r="O853" s="34">
        <f>AVERAGEIF(L3:L1205,"&lt;2017/11/7",N3:N1205)</f>
        <v>118.53197674418605</v>
      </c>
      <c r="P853" s="38">
        <v>0</v>
      </c>
      <c r="Q853" s="38">
        <f>AVERAGEIF(L3:L1205,"&lt;2017/11/7",P3:P1205)</f>
        <v>0.35174418604651164</v>
      </c>
      <c r="R853" s="38">
        <v>1</v>
      </c>
      <c r="S853" s="38">
        <f>AVERAGEIF(L3:L1205,"&lt;2017/11/7",R3:R1205)</f>
        <v>1.3255813953488371</v>
      </c>
      <c r="T853" s="38">
        <v>14</v>
      </c>
      <c r="U853" s="38">
        <f>AVERAGEIF(L3:L1205,"&lt;2017/11/7",T3:T1205)</f>
        <v>8.9447674418604652</v>
      </c>
      <c r="V853" s="24">
        <v>352</v>
      </c>
      <c r="W853" s="47" t="s">
        <v>4610</v>
      </c>
    </row>
    <row r="854" spans="1:23">
      <c r="A854" s="23">
        <v>3</v>
      </c>
      <c r="B854" s="23">
        <v>20</v>
      </c>
      <c r="C854" s="18">
        <v>4</v>
      </c>
      <c r="D854" s="18">
        <v>6</v>
      </c>
      <c r="E854" s="20">
        <v>70</v>
      </c>
      <c r="F854" s="21">
        <f t="shared" si="40"/>
        <v>109.05413105413105</v>
      </c>
      <c r="G854" s="22">
        <v>0.33324379885951</v>
      </c>
      <c r="H854" s="3">
        <v>1</v>
      </c>
      <c r="I854" s="18">
        <f t="shared" si="41"/>
        <v>0</v>
      </c>
      <c r="J854" s="41">
        <v>43045</v>
      </c>
      <c r="K854" s="36">
        <v>2017</v>
      </c>
      <c r="L854" s="32">
        <f t="shared" si="39"/>
        <v>43048</v>
      </c>
      <c r="M854" s="40">
        <v>1</v>
      </c>
      <c r="N854" s="33">
        <v>53</v>
      </c>
      <c r="O854" s="34">
        <f>AVERAGEIF(L3:L1205,"&lt;2017/11/6",N3:N1205)</f>
        <v>118.53197674418605</v>
      </c>
      <c r="P854" s="38">
        <v>1</v>
      </c>
      <c r="Q854" s="38">
        <f>AVERAGEIF(L3:L1205,"&lt;2017/11/6",P3:P1205)</f>
        <v>0.35174418604651164</v>
      </c>
      <c r="R854" s="38">
        <v>1</v>
      </c>
      <c r="S854" s="38">
        <f>AVERAGEIF(L3:L1205,"&lt;2017/11/6",R3:R1205)</f>
        <v>1.3255813953488371</v>
      </c>
      <c r="T854" s="38">
        <v>3</v>
      </c>
      <c r="U854" s="38">
        <f>AVERAGEIF(L3:L1205,"&lt;2017/11/6",T3:T1205)</f>
        <v>8.9447674418604652</v>
      </c>
      <c r="V854" s="24">
        <v>351</v>
      </c>
      <c r="W854" s="47" t="s">
        <v>4618</v>
      </c>
    </row>
    <row r="855" spans="1:23">
      <c r="A855" s="23">
        <v>3</v>
      </c>
      <c r="B855" s="23">
        <v>20</v>
      </c>
      <c r="C855" s="18">
        <v>4</v>
      </c>
      <c r="D855" s="18">
        <v>6</v>
      </c>
      <c r="E855" s="20">
        <v>91</v>
      </c>
      <c r="F855" s="21">
        <f t="shared" si="40"/>
        <v>109.10571428571428</v>
      </c>
      <c r="G855" s="22">
        <v>0.29555247322537498</v>
      </c>
      <c r="H855" s="3">
        <v>1</v>
      </c>
      <c r="I855" s="18">
        <f t="shared" si="41"/>
        <v>0</v>
      </c>
      <c r="J855" s="41">
        <v>43045</v>
      </c>
      <c r="K855" s="36">
        <v>2017</v>
      </c>
      <c r="L855" s="32">
        <f t="shared" si="39"/>
        <v>43048</v>
      </c>
      <c r="M855" s="40">
        <v>1</v>
      </c>
      <c r="N855" s="33">
        <v>53</v>
      </c>
      <c r="O855" s="34">
        <f>AVERAGEIF(L3:L1205,"&lt;2017/11/6",N3:N1205)</f>
        <v>118.53197674418605</v>
      </c>
      <c r="P855" s="38">
        <v>0</v>
      </c>
      <c r="Q855" s="38">
        <f>AVERAGEIF(L3:L1205,"&lt;2017/11/6",P3:P1205)</f>
        <v>0.35174418604651164</v>
      </c>
      <c r="R855" s="38">
        <v>1</v>
      </c>
      <c r="S855" s="38">
        <f>AVERAGEIF(L3:L1205,"&lt;2017/11/6",R3:R1205)</f>
        <v>1.3255813953488371</v>
      </c>
      <c r="T855" s="38">
        <v>3</v>
      </c>
      <c r="U855" s="38">
        <f>AVERAGEIF(L3:L1205,"&lt;2017/11/6",T3:T1205)</f>
        <v>8.9447674418604652</v>
      </c>
      <c r="V855" s="24">
        <v>350</v>
      </c>
      <c r="W855" s="47" t="s">
        <v>4550</v>
      </c>
    </row>
    <row r="856" spans="1:23">
      <c r="A856" s="23">
        <v>4</v>
      </c>
      <c r="B856" s="23">
        <v>33</v>
      </c>
      <c r="C856" s="18">
        <v>4</v>
      </c>
      <c r="D856" s="18">
        <v>4</v>
      </c>
      <c r="E856" s="20">
        <v>39</v>
      </c>
      <c r="F856" s="21">
        <f t="shared" si="40"/>
        <v>109.30659025787966</v>
      </c>
      <c r="G856" s="22">
        <v>0.37564742011348101</v>
      </c>
      <c r="H856" s="18">
        <v>1</v>
      </c>
      <c r="I856" s="18">
        <f t="shared" si="41"/>
        <v>0</v>
      </c>
      <c r="J856" s="59">
        <v>43044</v>
      </c>
      <c r="K856" s="36">
        <v>2017</v>
      </c>
      <c r="L856" s="32">
        <f t="shared" si="39"/>
        <v>43047</v>
      </c>
      <c r="M856" s="42">
        <v>0</v>
      </c>
      <c r="N856" s="33">
        <v>91</v>
      </c>
      <c r="O856" s="34">
        <f>AVERAGEIF(L3:L1205,"&lt;2017/11/5",N3:N1205)</f>
        <v>118.53197674418605</v>
      </c>
      <c r="P856" s="38">
        <v>0</v>
      </c>
      <c r="Q856" s="38">
        <f>AVERAGEIF(L3:L1205,"&lt;2017/11/5",P3:P1205)</f>
        <v>0.35174418604651164</v>
      </c>
      <c r="R856" s="38">
        <v>1</v>
      </c>
      <c r="S856" s="38">
        <f>AVERAGEIF(L3:L1205,"&lt;2017/11/5",R3:R1205)</f>
        <v>1.3255813953488371</v>
      </c>
      <c r="T856" s="38">
        <v>3</v>
      </c>
      <c r="U856" s="38">
        <f>AVERAGEIF(L3:L1205,"&lt;2017/11/5",T3:T1205)</f>
        <v>8.9447674418604652</v>
      </c>
      <c r="V856" s="24">
        <v>349</v>
      </c>
      <c r="W856" s="47" t="s">
        <v>4550</v>
      </c>
    </row>
    <row r="857" spans="1:23">
      <c r="A857" s="23">
        <v>2</v>
      </c>
      <c r="B857" s="23">
        <v>8</v>
      </c>
      <c r="C857" s="18">
        <v>4</v>
      </c>
      <c r="D857" s="18">
        <v>4</v>
      </c>
      <c r="E857" s="20">
        <v>59</v>
      </c>
      <c r="F857" s="21">
        <f t="shared" si="40"/>
        <v>109.45114942528735</v>
      </c>
      <c r="G857" s="22">
        <v>0.375358090089907</v>
      </c>
      <c r="H857" s="18">
        <v>1</v>
      </c>
      <c r="I857" s="18">
        <f t="shared" si="41"/>
        <v>0</v>
      </c>
      <c r="J857" s="41">
        <v>43043</v>
      </c>
      <c r="K857" s="36">
        <v>2017</v>
      </c>
      <c r="L857" s="32">
        <f t="shared" si="39"/>
        <v>43047</v>
      </c>
      <c r="M857" s="40">
        <v>0</v>
      </c>
      <c r="N857" s="33">
        <v>173</v>
      </c>
      <c r="O857" s="34">
        <f>AVERAGEIF(J3:J1205,"&lt;2017/11/4",M3:M1205)</f>
        <v>0.42528735632183906</v>
      </c>
      <c r="P857" s="38">
        <v>0</v>
      </c>
      <c r="Q857" s="38">
        <f>AVERAGEIF(L3:L1205,"&lt;2017/11/4",P3:P1205)</f>
        <v>0.35174418604651164</v>
      </c>
      <c r="R857" s="38">
        <v>2</v>
      </c>
      <c r="S857" s="38">
        <f>AVERAGEIF(L3:L1205,"&lt;2017/11/4",R3:R1205)</f>
        <v>1.3255813953488371</v>
      </c>
      <c r="T857" s="38">
        <v>4</v>
      </c>
      <c r="U857" s="38">
        <f>AVERAGEIF(L3:L1205,"&lt;2017/11/4",T3:T1205)</f>
        <v>8.9447674418604652</v>
      </c>
      <c r="V857" s="24">
        <v>348</v>
      </c>
      <c r="W857" s="47" t="s">
        <v>4621</v>
      </c>
    </row>
    <row r="858" spans="1:23">
      <c r="A858" s="23">
        <v>4</v>
      </c>
      <c r="B858" s="23">
        <v>37</v>
      </c>
      <c r="C858" s="18">
        <v>4</v>
      </c>
      <c r="D858" s="18">
        <v>6</v>
      </c>
      <c r="E858" s="20">
        <v>214</v>
      </c>
      <c r="F858" s="21">
        <f t="shared" si="40"/>
        <v>109.14985590778097</v>
      </c>
      <c r="G858" s="22">
        <v>0.34092350673252098</v>
      </c>
      <c r="H858" s="18">
        <v>1</v>
      </c>
      <c r="I858" s="18">
        <f t="shared" si="41"/>
        <v>0</v>
      </c>
      <c r="J858" s="59">
        <v>43040</v>
      </c>
      <c r="K858" s="36">
        <v>2017</v>
      </c>
      <c r="L858" s="32">
        <f t="shared" si="39"/>
        <v>43052</v>
      </c>
      <c r="M858" s="42">
        <v>1</v>
      </c>
      <c r="N858" s="33">
        <v>199</v>
      </c>
      <c r="O858" s="34">
        <f>AVERAGEIF(L3:L1205,"&lt;2017/11/1",N3:N1205)</f>
        <v>117.64477611940299</v>
      </c>
      <c r="P858" s="38">
        <v>0</v>
      </c>
      <c r="Q858" s="38">
        <f>AVERAGEIF(L3:L1205,"&lt;2017/11/1",P3:P1205)</f>
        <v>0.35820895522388058</v>
      </c>
      <c r="R858" s="38">
        <v>2</v>
      </c>
      <c r="S858" s="38">
        <f>AVERAGEIF(L3:L1205,"&lt;2017/11/1",R3:R1205)</f>
        <v>1.3313432835820895</v>
      </c>
      <c r="T858" s="38">
        <v>12</v>
      </c>
      <c r="U858" s="38">
        <f>AVERAGEIF(L3:L1205,"&lt;2017/11/1",T3:T1205)</f>
        <v>8.9134328358208954</v>
      </c>
      <c r="V858" s="24">
        <v>347</v>
      </c>
      <c r="W858" s="47" t="s">
        <v>5030</v>
      </c>
    </row>
    <row r="859" spans="1:23">
      <c r="A859" s="23">
        <v>2</v>
      </c>
      <c r="B859" s="23">
        <v>5</v>
      </c>
      <c r="C859" s="18">
        <v>4</v>
      </c>
      <c r="D859" s="18">
        <v>4</v>
      </c>
      <c r="E859" s="20">
        <v>151</v>
      </c>
      <c r="F859" s="21">
        <f t="shared" si="40"/>
        <v>109.02890173410404</v>
      </c>
      <c r="G859" s="22">
        <v>0.80991735524402098</v>
      </c>
      <c r="H859" s="18">
        <v>0</v>
      </c>
      <c r="I859" s="18">
        <f t="shared" si="41"/>
        <v>1</v>
      </c>
      <c r="J859" s="41">
        <v>43039</v>
      </c>
      <c r="K859" s="36">
        <v>2017</v>
      </c>
      <c r="L859" s="32">
        <f t="shared" si="39"/>
        <v>43063</v>
      </c>
      <c r="M859" s="40">
        <v>0</v>
      </c>
      <c r="N859" s="33">
        <v>180</v>
      </c>
      <c r="O859" s="34">
        <f>AVERAGEIF(L3:L1205,"&lt;2017/10/31",N3:N1205)</f>
        <v>117.64477611940299</v>
      </c>
      <c r="P859" s="38">
        <v>0</v>
      </c>
      <c r="Q859" s="38">
        <f>AVERAGEIF(L3:L1205,"&lt;2017/10/31",P3:P1205)</f>
        <v>0.35820895522388058</v>
      </c>
      <c r="R859" s="38">
        <v>2</v>
      </c>
      <c r="S859" s="38">
        <f>AVERAGEIF(L3:L1205,"&lt;2017/10/31",R3:R1205)</f>
        <v>1.3313432835820895</v>
      </c>
      <c r="T859" s="38">
        <v>24</v>
      </c>
      <c r="U859" s="38">
        <f>AVERAGEIF(L3:L1205,"&lt;2017/10/31",T3:T1205)</f>
        <v>8.9134328358208954</v>
      </c>
      <c r="V859" s="24">
        <v>346</v>
      </c>
      <c r="W859" s="47" t="s">
        <v>4634</v>
      </c>
    </row>
    <row r="860" spans="1:23">
      <c r="A860" s="23">
        <v>2</v>
      </c>
      <c r="B860" s="23">
        <v>12</v>
      </c>
      <c r="C860" s="18">
        <v>1</v>
      </c>
      <c r="D860" s="18">
        <v>6</v>
      </c>
      <c r="E860" s="20">
        <v>73</v>
      </c>
      <c r="F860" s="21">
        <f t="shared" si="40"/>
        <v>109.13333333333334</v>
      </c>
      <c r="G860" s="22">
        <v>0.41250000007066101</v>
      </c>
      <c r="H860" s="18">
        <v>1</v>
      </c>
      <c r="I860" s="18">
        <f t="shared" si="41"/>
        <v>0</v>
      </c>
      <c r="J860" s="41">
        <v>43039</v>
      </c>
      <c r="K860" s="36">
        <v>2017</v>
      </c>
      <c r="L860" s="32">
        <f t="shared" si="39"/>
        <v>43041</v>
      </c>
      <c r="M860" s="40">
        <v>1</v>
      </c>
      <c r="N860" s="33">
        <v>195</v>
      </c>
      <c r="O860" s="34">
        <f>AVERAGEIF(L3:L1205,"&lt;2017/10/31",N3:N1205)</f>
        <v>117.64477611940299</v>
      </c>
      <c r="P860" s="38">
        <v>0</v>
      </c>
      <c r="Q860" s="38">
        <f>AVERAGEIF(L3:L1205,"&lt;2017/10/31",P3:P1205)</f>
        <v>0.35820895522388058</v>
      </c>
      <c r="R860" s="38">
        <v>1</v>
      </c>
      <c r="S860" s="38">
        <f>AVERAGEIF(L3:L1205,"&lt;2017/10/31",R3:R1205)</f>
        <v>1.3313432835820895</v>
      </c>
      <c r="T860" s="38">
        <v>2</v>
      </c>
      <c r="U860" s="38">
        <f>AVERAGEIF(L3:L1205,"&lt;2017/10/31",T3:T1205)</f>
        <v>8.9134328358208954</v>
      </c>
      <c r="V860" s="24">
        <v>345</v>
      </c>
      <c r="W860" s="47" t="s">
        <v>4529</v>
      </c>
    </row>
    <row r="861" spans="1:23">
      <c r="A861" s="23">
        <v>4</v>
      </c>
      <c r="B861" s="23">
        <v>28</v>
      </c>
      <c r="C861" s="18">
        <v>4</v>
      </c>
      <c r="D861" s="18">
        <v>6</v>
      </c>
      <c r="E861" s="20">
        <v>203</v>
      </c>
      <c r="F861" s="21">
        <f t="shared" si="40"/>
        <v>108.86046511627907</v>
      </c>
      <c r="G861" s="22">
        <v>0.25741320816933</v>
      </c>
      <c r="H861" s="18">
        <v>1</v>
      </c>
      <c r="I861" s="18">
        <f t="shared" si="41"/>
        <v>0</v>
      </c>
      <c r="J861" s="45">
        <v>43034</v>
      </c>
      <c r="K861" s="36">
        <v>2017</v>
      </c>
      <c r="L861" s="32">
        <f t="shared" si="39"/>
        <v>43048</v>
      </c>
      <c r="M861" s="44">
        <v>0</v>
      </c>
      <c r="N861" s="33">
        <v>286</v>
      </c>
      <c r="O861" s="34">
        <f>AVERAGEIF(L3:L1205,"&lt;2017/10/26",N3:N1205)</f>
        <v>118.12650602409639</v>
      </c>
      <c r="P861" s="38">
        <v>1</v>
      </c>
      <c r="Q861" s="38">
        <f>AVERAGEIF(L3:L1205,"&lt;2017/10/26",P3:P1205)</f>
        <v>0.35843373493975905</v>
      </c>
      <c r="R861" s="38">
        <v>1</v>
      </c>
      <c r="S861" s="38">
        <f>AVERAGEIF(L3:L1205,"&lt;2017/10/26",R3:R1205)</f>
        <v>1.3313253012048192</v>
      </c>
      <c r="T861" s="38">
        <v>14</v>
      </c>
      <c r="U861" s="38">
        <f>AVERAGEIF(L3:L1205,"&lt;2017/10/26",T3:T1205)</f>
        <v>8.9518072289156621</v>
      </c>
      <c r="V861" s="24">
        <v>344</v>
      </c>
      <c r="W861" s="47" t="s">
        <v>4529</v>
      </c>
    </row>
    <row r="862" spans="1:23">
      <c r="A862" s="23">
        <v>4</v>
      </c>
      <c r="B862" s="23">
        <v>28</v>
      </c>
      <c r="C862" s="18">
        <v>4</v>
      </c>
      <c r="D862" s="18">
        <v>6</v>
      </c>
      <c r="E862" s="20">
        <v>187</v>
      </c>
      <c r="F862" s="21">
        <f t="shared" si="40"/>
        <v>108.63265306122449</v>
      </c>
      <c r="G862" s="22">
        <v>0.233791101752886</v>
      </c>
      <c r="H862" s="18">
        <v>1</v>
      </c>
      <c r="I862" s="18">
        <f t="shared" si="41"/>
        <v>0</v>
      </c>
      <c r="J862" s="45">
        <v>43034</v>
      </c>
      <c r="K862" s="36">
        <v>2017</v>
      </c>
      <c r="L862" s="32">
        <f t="shared" si="39"/>
        <v>43053</v>
      </c>
      <c r="M862" s="44">
        <v>0</v>
      </c>
      <c r="N862" s="33">
        <v>212</v>
      </c>
      <c r="O862" s="34">
        <f>AVERAGEIF(L3:L1205,"&lt;2017/10/26",N3:N1205)</f>
        <v>118.12650602409639</v>
      </c>
      <c r="P862" s="38">
        <v>1</v>
      </c>
      <c r="Q862" s="38">
        <f>AVERAGEIF(L3:L1205,"&lt;2017/10/26",P3:P1205)</f>
        <v>0.35843373493975905</v>
      </c>
      <c r="R862" s="38">
        <v>1</v>
      </c>
      <c r="S862" s="38">
        <f>AVERAGEIF(L3:L1205,"&lt;2017/10/26",R3:R1205)</f>
        <v>1.3313253012048192</v>
      </c>
      <c r="T862" s="38">
        <v>19</v>
      </c>
      <c r="U862" s="38">
        <f>AVERAGEIF(L3:L1205,"&lt;2017/10/26",T3:T1205)</f>
        <v>8.9518072289156621</v>
      </c>
      <c r="V862" s="24">
        <v>343</v>
      </c>
      <c r="W862" s="47" t="s">
        <v>4529</v>
      </c>
    </row>
    <row r="863" spans="1:23">
      <c r="A863" s="23">
        <v>3</v>
      </c>
      <c r="B863" s="23">
        <v>19</v>
      </c>
      <c r="C863" s="18">
        <v>5</v>
      </c>
      <c r="D863" s="18">
        <v>6</v>
      </c>
      <c r="E863" s="20">
        <v>52</v>
      </c>
      <c r="F863" s="21">
        <f t="shared" si="40"/>
        <v>108.79824561403508</v>
      </c>
      <c r="G863" s="22">
        <v>0.28174389309180797</v>
      </c>
      <c r="H863" s="3">
        <v>1</v>
      </c>
      <c r="I863" s="18">
        <f t="shared" si="41"/>
        <v>0</v>
      </c>
      <c r="J863" s="57">
        <v>43032</v>
      </c>
      <c r="K863" s="36">
        <v>2017</v>
      </c>
      <c r="L863" s="32">
        <f t="shared" si="39"/>
        <v>43034</v>
      </c>
      <c r="M863" s="24">
        <v>0</v>
      </c>
      <c r="N863" s="33">
        <v>108</v>
      </c>
      <c r="O863" s="34">
        <f>AVERAGEIF(L3:L1205,"&lt;2017/10/24",N3:N1205)</f>
        <v>118.33742331288343</v>
      </c>
      <c r="P863" s="38">
        <v>0</v>
      </c>
      <c r="Q863" s="38">
        <f>AVERAGEIF(L3:L1205,"&lt;2017/10/24",P3:P1205)</f>
        <v>0.34969325153374231</v>
      </c>
      <c r="R863" s="38">
        <v>1</v>
      </c>
      <c r="S863" s="38">
        <f>AVERAGEIF(L3:L1205,"&lt;2017/10/24",R3:R1205)</f>
        <v>1.3282208588957056</v>
      </c>
      <c r="T863" s="38">
        <v>2</v>
      </c>
      <c r="U863" s="38">
        <f>AVERAGEIF(L3:L1205,"&lt;2017/10/24",T3:T1205)</f>
        <v>8.9969325153374236</v>
      </c>
      <c r="V863" s="24">
        <v>342</v>
      </c>
      <c r="W863" s="47" t="s">
        <v>4563</v>
      </c>
    </row>
    <row r="864" spans="1:23">
      <c r="A864" s="23">
        <v>4</v>
      </c>
      <c r="B864" s="23">
        <v>28</v>
      </c>
      <c r="C864" s="18">
        <v>4</v>
      </c>
      <c r="D864" s="18">
        <v>4</v>
      </c>
      <c r="E864" s="20">
        <v>145</v>
      </c>
      <c r="F864" s="21">
        <f t="shared" si="40"/>
        <v>108.69208211143695</v>
      </c>
      <c r="G864" s="22">
        <v>0.412500001485819</v>
      </c>
      <c r="H864" s="18">
        <v>1</v>
      </c>
      <c r="I864" s="18">
        <f t="shared" si="41"/>
        <v>0</v>
      </c>
      <c r="J864" s="45">
        <v>43032</v>
      </c>
      <c r="K864" s="36">
        <v>2017</v>
      </c>
      <c r="L864" s="32">
        <f t="shared" si="39"/>
        <v>43040</v>
      </c>
      <c r="M864" s="44">
        <v>0</v>
      </c>
      <c r="N864" s="33">
        <v>321</v>
      </c>
      <c r="O864" s="34">
        <f>AVERAGEIF(L3:L1205,"&lt;2017/10/24",N3:N1205)</f>
        <v>118.33742331288343</v>
      </c>
      <c r="P864" s="38">
        <v>1</v>
      </c>
      <c r="Q864" s="38">
        <f>AVERAGEIF(L3:L1205,"&lt;2017/10/24",P3:P1205)</f>
        <v>0.34969325153374231</v>
      </c>
      <c r="R864" s="38">
        <v>1</v>
      </c>
      <c r="S864" s="38">
        <f>AVERAGEIF(L3:L1205,"&lt;2017/10/24",R3:R1205)</f>
        <v>1.3282208588957056</v>
      </c>
      <c r="T864" s="38">
        <v>8</v>
      </c>
      <c r="U864" s="38">
        <f>AVERAGEIF(L3:L1205,"&lt;2017/10/24",T3:T1205)</f>
        <v>8.9969325153374236</v>
      </c>
      <c r="V864" s="24">
        <v>341</v>
      </c>
      <c r="W864" s="47" t="s">
        <v>4523</v>
      </c>
    </row>
    <row r="865" spans="1:23">
      <c r="A865" s="23">
        <v>2</v>
      </c>
      <c r="B865" s="23">
        <v>6</v>
      </c>
      <c r="C865" s="18">
        <v>5</v>
      </c>
      <c r="D865" s="18">
        <v>6</v>
      </c>
      <c r="E865" s="20">
        <v>91</v>
      </c>
      <c r="F865" s="21">
        <f t="shared" si="40"/>
        <v>108.74411764705883</v>
      </c>
      <c r="G865" s="22">
        <v>0.84509128838004499</v>
      </c>
      <c r="H865" s="18">
        <v>1</v>
      </c>
      <c r="I865" s="18">
        <f t="shared" si="41"/>
        <v>0</v>
      </c>
      <c r="J865" s="41">
        <v>43031</v>
      </c>
      <c r="K865" s="36">
        <v>2017</v>
      </c>
      <c r="L865" s="32">
        <f t="shared" si="39"/>
        <v>43034</v>
      </c>
      <c r="M865" s="40">
        <v>1</v>
      </c>
      <c r="N865" s="33">
        <v>28</v>
      </c>
      <c r="O865" s="34">
        <f>AVERAGEIF(L3:L1205,"&lt;2017/10/23",N3:N1205)</f>
        <v>118.82608695652173</v>
      </c>
      <c r="P865" s="38">
        <v>1</v>
      </c>
      <c r="Q865" s="38">
        <f>AVERAGEIF(L3:L1205,"&lt;2017/10/23",P3:P1205)</f>
        <v>0.35093167701863354</v>
      </c>
      <c r="R865" s="38">
        <v>2</v>
      </c>
      <c r="S865" s="38">
        <f>AVERAGEIF(L3:L1205,"&lt;2017/10/23",R3:R1205)</f>
        <v>1.326086956521739</v>
      </c>
      <c r="T865" s="38">
        <v>3</v>
      </c>
      <c r="U865" s="38">
        <f>AVERAGEIF(L3:L1205,"&lt;2017/10/23",T3:T1205)</f>
        <v>9.012422360248447</v>
      </c>
      <c r="V865" s="24">
        <v>340</v>
      </c>
      <c r="W865" s="47" t="s">
        <v>4529</v>
      </c>
    </row>
    <row r="866" spans="1:23">
      <c r="A866" s="23">
        <v>2</v>
      </c>
      <c r="B866" s="23">
        <v>7</v>
      </c>
      <c r="C866" s="18">
        <v>4</v>
      </c>
      <c r="D866" s="18">
        <v>4</v>
      </c>
      <c r="E866" s="20">
        <v>50</v>
      </c>
      <c r="F866" s="21">
        <f t="shared" si="40"/>
        <v>108.91740412979351</v>
      </c>
      <c r="G866" s="22">
        <v>0.769261365727685</v>
      </c>
      <c r="H866" s="18">
        <v>1</v>
      </c>
      <c r="I866" s="18">
        <f t="shared" si="41"/>
        <v>0</v>
      </c>
      <c r="J866" s="41">
        <v>43031</v>
      </c>
      <c r="K866" s="36">
        <v>2017</v>
      </c>
      <c r="L866" s="32">
        <f t="shared" si="39"/>
        <v>43041</v>
      </c>
      <c r="M866" s="40">
        <v>0</v>
      </c>
      <c r="N866" s="33">
        <v>50</v>
      </c>
      <c r="O866" s="34">
        <f>AVERAGEIF(L3:L1205,"&lt;2017/10/23",N3:N1205)</f>
        <v>118.82608695652173</v>
      </c>
      <c r="P866" s="37">
        <v>0</v>
      </c>
      <c r="Q866" s="37">
        <f>AVERAGEIF(L3:L1205,"&lt;2017/10/23",P3:P1205)</f>
        <v>0.35093167701863354</v>
      </c>
      <c r="R866" s="37">
        <v>1</v>
      </c>
      <c r="S866" s="37">
        <f>AVERAGEIF(L3:L1205,"&lt;2017/10/23",R3:R1205)</f>
        <v>1.326086956521739</v>
      </c>
      <c r="T866" s="37">
        <v>10</v>
      </c>
      <c r="U866" s="37">
        <f>AVERAGEIF(L3:L1205,"&lt;2017/10/23",T3:T1205)</f>
        <v>9.012422360248447</v>
      </c>
      <c r="V866" s="24">
        <v>339</v>
      </c>
      <c r="W866" s="47" t="s">
        <v>4621</v>
      </c>
    </row>
    <row r="867" spans="1:23">
      <c r="A867" s="23">
        <v>3</v>
      </c>
      <c r="B867" s="23">
        <v>19</v>
      </c>
      <c r="C867" s="18">
        <v>4</v>
      </c>
      <c r="D867" s="18">
        <v>6</v>
      </c>
      <c r="E867" s="20">
        <v>33</v>
      </c>
      <c r="F867" s="21">
        <f t="shared" si="40"/>
        <v>109.14201183431953</v>
      </c>
      <c r="G867" s="22">
        <v>0.39266665871260897</v>
      </c>
      <c r="H867" s="3">
        <v>0</v>
      </c>
      <c r="I867" s="18">
        <f t="shared" si="41"/>
        <v>1</v>
      </c>
      <c r="J867" s="41">
        <v>43031</v>
      </c>
      <c r="K867" s="36">
        <v>2017</v>
      </c>
      <c r="L867" s="32">
        <f t="shared" si="39"/>
        <v>43033</v>
      </c>
      <c r="M867" s="24">
        <v>0</v>
      </c>
      <c r="N867" s="33">
        <v>122</v>
      </c>
      <c r="O867" s="34">
        <f>AVERAGEIF(L3:L1205,"&lt;2017/10/23",N3:N1205)</f>
        <v>118.82608695652173</v>
      </c>
      <c r="P867" s="38">
        <v>0</v>
      </c>
      <c r="Q867" s="38">
        <f>AVERAGEIF(L3:L1205,"&lt;2017/10/23",P3:P1205)</f>
        <v>0.35093167701863354</v>
      </c>
      <c r="R867" s="38">
        <v>1</v>
      </c>
      <c r="S867" s="38">
        <f>AVERAGEIF(L3:L1205,"&lt;2017/10/23",R3:R1205)</f>
        <v>1.326086956521739</v>
      </c>
      <c r="T867" s="38">
        <v>2</v>
      </c>
      <c r="U867" s="38">
        <f>AVERAGEIF(L3:L1205,"&lt;2017/10/23",T3:T1205)</f>
        <v>9.012422360248447</v>
      </c>
      <c r="V867" s="24">
        <v>338</v>
      </c>
      <c r="W867" s="47" t="s">
        <v>4550</v>
      </c>
    </row>
    <row r="868" spans="1:23">
      <c r="A868" s="23">
        <v>2</v>
      </c>
      <c r="B868" s="23">
        <v>4</v>
      </c>
      <c r="C868" s="18">
        <v>4</v>
      </c>
      <c r="D868" s="18">
        <v>6</v>
      </c>
      <c r="E868" s="20">
        <v>42</v>
      </c>
      <c r="F868" s="21">
        <f t="shared" si="40"/>
        <v>109.34124629080118</v>
      </c>
      <c r="G868" s="22">
        <v>0.64269678036339895</v>
      </c>
      <c r="H868" s="18">
        <v>1</v>
      </c>
      <c r="I868" s="18">
        <f t="shared" si="41"/>
        <v>0</v>
      </c>
      <c r="J868" s="41">
        <v>43030</v>
      </c>
      <c r="K868" s="36">
        <v>2017</v>
      </c>
      <c r="L868" s="32">
        <f t="shared" si="39"/>
        <v>43033</v>
      </c>
      <c r="M868" s="40">
        <v>0</v>
      </c>
      <c r="N868" s="33">
        <v>163</v>
      </c>
      <c r="O868" s="34">
        <f>AVERAGEIF(L3:L1205,"&lt;2017/10/22",N3:N1205)</f>
        <v>118.82608695652173</v>
      </c>
      <c r="P868" s="38">
        <v>0</v>
      </c>
      <c r="Q868" s="38">
        <f>AVERAGEIF(L3:L1205,"&lt;2017/10/22",P3:P1205)</f>
        <v>0.35093167701863354</v>
      </c>
      <c r="R868" s="38">
        <v>2</v>
      </c>
      <c r="S868" s="38">
        <f>AVERAGEIF(L3:L1205,"&lt;2017/10/22",R3:R1205)</f>
        <v>1.326086956521739</v>
      </c>
      <c r="T868" s="38">
        <v>3</v>
      </c>
      <c r="U868" s="38">
        <f>AVERAGEIF(L3:L1205,"&lt;2017/10/22",T3:T1205)</f>
        <v>9.012422360248447</v>
      </c>
      <c r="V868" s="24">
        <v>337</v>
      </c>
      <c r="W868" s="47" t="s">
        <v>4624</v>
      </c>
    </row>
    <row r="869" spans="1:23">
      <c r="A869" s="23">
        <v>2</v>
      </c>
      <c r="B869" s="23">
        <v>7</v>
      </c>
      <c r="C869" s="18">
        <v>4</v>
      </c>
      <c r="D869" s="18">
        <v>4</v>
      </c>
      <c r="E869" s="20">
        <v>106</v>
      </c>
      <c r="F869" s="21">
        <f t="shared" si="40"/>
        <v>109.35119047619048</v>
      </c>
      <c r="G869" s="22">
        <v>0.42614678171699899</v>
      </c>
      <c r="H869" s="18">
        <v>1</v>
      </c>
      <c r="I869" s="18">
        <f t="shared" si="41"/>
        <v>0</v>
      </c>
      <c r="J869" s="41">
        <v>43030</v>
      </c>
      <c r="K869" s="36">
        <v>2017</v>
      </c>
      <c r="L869" s="32">
        <f t="shared" si="39"/>
        <v>43040</v>
      </c>
      <c r="M869" s="40">
        <v>1</v>
      </c>
      <c r="N869" s="33">
        <v>42</v>
      </c>
      <c r="O869" s="34">
        <f>AVERAGEIF(L3:L1205,"&lt;2017/10/22",N3:N1205)</f>
        <v>118.82608695652173</v>
      </c>
      <c r="P869" s="40">
        <v>0</v>
      </c>
      <c r="Q869" s="40">
        <f>AVERAGEIF(L3:L1205,"&lt;2017/10/22",P3:P1205)</f>
        <v>0.35093167701863354</v>
      </c>
      <c r="R869" s="40">
        <v>1</v>
      </c>
      <c r="S869" s="40">
        <f>AVERAGEIF(L3:L1205,"&lt;2017/10/22",R3:R1205)</f>
        <v>1.326086956521739</v>
      </c>
      <c r="T869" s="40">
        <v>10</v>
      </c>
      <c r="U869" s="40">
        <f>AVERAGEIF(L3:L1205,"&lt;2017/10/22",T3:T1205)</f>
        <v>9.012422360248447</v>
      </c>
      <c r="V869" s="24">
        <v>336</v>
      </c>
      <c r="W869" s="47" t="s">
        <v>4542</v>
      </c>
    </row>
    <row r="870" spans="1:23">
      <c r="A870" s="23">
        <v>2</v>
      </c>
      <c r="B870" s="23">
        <v>11</v>
      </c>
      <c r="C870" s="18">
        <v>4</v>
      </c>
      <c r="D870" s="18">
        <v>4</v>
      </c>
      <c r="E870" s="20">
        <v>147</v>
      </c>
      <c r="F870" s="21">
        <f t="shared" si="40"/>
        <v>109.23880597014926</v>
      </c>
      <c r="G870" s="22">
        <v>0.375013402823691</v>
      </c>
      <c r="H870" s="18">
        <v>1</v>
      </c>
      <c r="I870" s="18">
        <f t="shared" si="41"/>
        <v>0</v>
      </c>
      <c r="J870" s="41">
        <v>43030</v>
      </c>
      <c r="K870" s="36">
        <v>2017</v>
      </c>
      <c r="L870" s="32">
        <f t="shared" si="39"/>
        <v>43041</v>
      </c>
      <c r="M870" s="40">
        <v>0</v>
      </c>
      <c r="N870" s="33">
        <v>61</v>
      </c>
      <c r="O870" s="34">
        <f>AVERAGEIF(L3:L1205,"&lt;2017/10/22",N3:N1205)</f>
        <v>118.82608695652173</v>
      </c>
      <c r="P870" s="38">
        <v>0</v>
      </c>
      <c r="Q870" s="38">
        <f>AVERAGEIF(L3:L1205,"&lt;2017/10/22",P3:P1205)</f>
        <v>0.35093167701863354</v>
      </c>
      <c r="R870" s="38">
        <v>1</v>
      </c>
      <c r="S870" s="38">
        <f>AVERAGEIF(L3:L1205,"&lt;2017/10/22",R3:R1205)</f>
        <v>1.326086956521739</v>
      </c>
      <c r="T870" s="38">
        <v>11</v>
      </c>
      <c r="U870" s="38">
        <f>AVERAGEIF(L3:L1205,"&lt;2017/10/22",T3:T1205)</f>
        <v>9.012422360248447</v>
      </c>
      <c r="V870" s="24">
        <v>335</v>
      </c>
      <c r="W870" s="47" t="s">
        <v>4634</v>
      </c>
    </row>
    <row r="871" spans="1:23">
      <c r="A871" s="23">
        <v>2</v>
      </c>
      <c r="B871" s="23">
        <v>13</v>
      </c>
      <c r="C871" s="18">
        <v>4</v>
      </c>
      <c r="D871" s="18">
        <v>4</v>
      </c>
      <c r="E871" s="20">
        <v>39</v>
      </c>
      <c r="F871" s="21">
        <f t="shared" si="40"/>
        <v>109.44910179640719</v>
      </c>
      <c r="G871" s="22">
        <v>0.375011796558263</v>
      </c>
      <c r="H871" s="18">
        <v>1</v>
      </c>
      <c r="I871" s="18">
        <f t="shared" si="41"/>
        <v>0</v>
      </c>
      <c r="J871" s="41">
        <v>43030</v>
      </c>
      <c r="K871" s="36">
        <v>2017</v>
      </c>
      <c r="L871" s="32">
        <f t="shared" si="39"/>
        <v>43031</v>
      </c>
      <c r="M871" s="40">
        <v>0</v>
      </c>
      <c r="N871" s="33">
        <v>47</v>
      </c>
      <c r="O871" s="34">
        <f>AVERAGEIF(L3:L1205,"&lt;2017/10/22",N3:N1205)</f>
        <v>118.82608695652173</v>
      </c>
      <c r="P871" s="40">
        <v>0</v>
      </c>
      <c r="Q871" s="40">
        <f>AVERAGEIF(L3:L1205,"&lt;2017/10/22",P3:P1205)</f>
        <v>0.35093167701863354</v>
      </c>
      <c r="R871" s="40">
        <v>1</v>
      </c>
      <c r="S871" s="40">
        <f>AVERAGEIF(L3:L1205,"&lt;2017/10/22",R3:R1205)</f>
        <v>1.326086956521739</v>
      </c>
      <c r="T871" s="40">
        <v>1</v>
      </c>
      <c r="U871" s="40">
        <f>AVERAGEIF(L3:L1205,"&lt;2017/10/22",T3:T1205)</f>
        <v>9.012422360248447</v>
      </c>
      <c r="V871" s="24">
        <v>334</v>
      </c>
      <c r="W871" s="47" t="s">
        <v>4521</v>
      </c>
    </row>
    <row r="872" spans="1:23">
      <c r="A872" s="23">
        <v>2</v>
      </c>
      <c r="B872" s="23">
        <v>6</v>
      </c>
      <c r="C872" s="18">
        <v>5</v>
      </c>
      <c r="D872" s="18">
        <v>6</v>
      </c>
      <c r="E872" s="20">
        <v>87</v>
      </c>
      <c r="F872" s="21">
        <f t="shared" si="40"/>
        <v>109.51651651651652</v>
      </c>
      <c r="G872" s="22">
        <v>0.809490840895432</v>
      </c>
      <c r="H872" s="18">
        <v>0</v>
      </c>
      <c r="I872" s="18">
        <f t="shared" si="41"/>
        <v>1</v>
      </c>
      <c r="J872" s="41">
        <v>43028</v>
      </c>
      <c r="K872" s="36">
        <v>2017</v>
      </c>
      <c r="L872" s="32">
        <f t="shared" si="39"/>
        <v>43032</v>
      </c>
      <c r="M872" s="40">
        <v>1</v>
      </c>
      <c r="N872" s="33">
        <v>114</v>
      </c>
      <c r="O872" s="34">
        <f>AVERAGEIF(L3:L1205,"&lt;2017/10/20",N3:N1205)</f>
        <v>118.57943925233644</v>
      </c>
      <c r="P872" s="38">
        <v>2</v>
      </c>
      <c r="Q872" s="38">
        <f>AVERAGEIF(L3:L1205,"&lt;2017/10/20",P3:P1205)</f>
        <v>0.35202492211838005</v>
      </c>
      <c r="R872" s="38">
        <v>1</v>
      </c>
      <c r="S872" s="38">
        <f>AVERAGEIF(L3:L1205,"&lt;2017/10/20",R3:R1205)</f>
        <v>1.3271028037383177</v>
      </c>
      <c r="T872" s="38">
        <v>4</v>
      </c>
      <c r="U872" s="38">
        <f>AVERAGEIF(L3:L1205,"&lt;2017/10/20",T3:T1205)</f>
        <v>9.0311526479750786</v>
      </c>
      <c r="V872" s="24">
        <v>333</v>
      </c>
      <c r="W872" s="47" t="s">
        <v>4529</v>
      </c>
    </row>
    <row r="873" spans="1:23">
      <c r="A873" s="23">
        <v>2</v>
      </c>
      <c r="B873" s="23">
        <v>11</v>
      </c>
      <c r="C873" s="18">
        <v>4</v>
      </c>
      <c r="D873" s="18">
        <v>4</v>
      </c>
      <c r="E873" s="20">
        <v>83</v>
      </c>
      <c r="F873" s="21">
        <f t="shared" si="40"/>
        <v>109.59638554216868</v>
      </c>
      <c r="G873" s="22">
        <v>0.86421990955101502</v>
      </c>
      <c r="H873" s="18">
        <v>1</v>
      </c>
      <c r="I873" s="18">
        <f t="shared" si="41"/>
        <v>0</v>
      </c>
      <c r="J873" s="41">
        <v>43028</v>
      </c>
      <c r="K873" s="36">
        <v>2017</v>
      </c>
      <c r="L873" s="32">
        <f t="shared" si="39"/>
        <v>43040</v>
      </c>
      <c r="M873" s="40">
        <v>0</v>
      </c>
      <c r="N873" s="33">
        <v>90</v>
      </c>
      <c r="O873" s="34">
        <f>AVERAGEIF(L3:L1205,"&lt;2017/10/20",N3:N1205)</f>
        <v>118.57943925233644</v>
      </c>
      <c r="P873" s="38">
        <v>0</v>
      </c>
      <c r="Q873" s="38">
        <f>AVERAGEIF(L3:L1205,"&lt;2017/10/20",P3:P1205)</f>
        <v>0.35202492211838005</v>
      </c>
      <c r="R873" s="38">
        <v>1</v>
      </c>
      <c r="S873" s="38">
        <f>AVERAGEIF(L3:L1205,"&lt;2017/10/20",R3:R1205)</f>
        <v>1.3271028037383177</v>
      </c>
      <c r="T873" s="38">
        <v>12</v>
      </c>
      <c r="U873" s="38">
        <f>AVERAGEIF(L3:L1205,"&lt;2017/10/20",T3:T1205)</f>
        <v>9.0311526479750786</v>
      </c>
      <c r="V873" s="24">
        <v>332</v>
      </c>
      <c r="W873" s="47" t="s">
        <v>4716</v>
      </c>
    </row>
    <row r="874" spans="1:23">
      <c r="A874" s="23">
        <v>4</v>
      </c>
      <c r="B874" s="23">
        <v>28</v>
      </c>
      <c r="C874" s="18">
        <v>4</v>
      </c>
      <c r="D874" s="18">
        <v>6</v>
      </c>
      <c r="E874" s="20">
        <v>276</v>
      </c>
      <c r="F874" s="21">
        <f t="shared" si="40"/>
        <v>109.09365558912387</v>
      </c>
      <c r="G874" s="22">
        <v>0.30993105171525898</v>
      </c>
      <c r="H874" s="18">
        <v>1</v>
      </c>
      <c r="I874" s="18">
        <f t="shared" si="41"/>
        <v>0</v>
      </c>
      <c r="J874" s="45">
        <v>43028</v>
      </c>
      <c r="K874" s="36">
        <v>2017</v>
      </c>
      <c r="L874" s="32">
        <f t="shared" si="39"/>
        <v>43040</v>
      </c>
      <c r="M874" s="20">
        <v>0</v>
      </c>
      <c r="N874" s="33">
        <v>320</v>
      </c>
      <c r="O874" s="34">
        <f>AVERAGEIF(L3:L1205,"&lt;2017/10/20",N3:N1205)</f>
        <v>118.57943925233644</v>
      </c>
      <c r="P874" s="38">
        <v>0</v>
      </c>
      <c r="Q874" s="38">
        <f>AVERAGEIF(L3:L1205,"&lt;2017/10/20",P3:P1205)</f>
        <v>0.35202492211838005</v>
      </c>
      <c r="R874" s="38">
        <v>1</v>
      </c>
      <c r="S874" s="38">
        <f>AVERAGEIF(L3:L1205,"&lt;2017/10/20",R3:R1205)</f>
        <v>1.3271028037383177</v>
      </c>
      <c r="T874" s="38">
        <v>12</v>
      </c>
      <c r="U874" s="38">
        <f>AVERAGEIF(L3:L1205,"&lt;2017/10/20",T3:T1205)</f>
        <v>9.0311526479750786</v>
      </c>
      <c r="V874" s="24">
        <v>331</v>
      </c>
      <c r="W874" s="47" t="s">
        <v>4529</v>
      </c>
    </row>
    <row r="875" spans="1:23">
      <c r="A875" s="23">
        <v>4</v>
      </c>
      <c r="B875" s="23">
        <v>37</v>
      </c>
      <c r="C875" s="18">
        <v>4</v>
      </c>
      <c r="D875" s="18">
        <v>6</v>
      </c>
      <c r="E875" s="20">
        <v>130</v>
      </c>
      <c r="F875" s="21">
        <f t="shared" si="40"/>
        <v>109.03030303030303</v>
      </c>
      <c r="G875" s="22">
        <v>0.375003795496683</v>
      </c>
      <c r="H875" s="18">
        <v>1</v>
      </c>
      <c r="I875" s="18">
        <f t="shared" si="41"/>
        <v>0</v>
      </c>
      <c r="J875" s="45">
        <v>43028</v>
      </c>
      <c r="K875" s="36">
        <v>2017</v>
      </c>
      <c r="L875" s="32">
        <f t="shared" si="39"/>
        <v>43040</v>
      </c>
      <c r="M875" s="42">
        <v>1</v>
      </c>
      <c r="N875" s="33">
        <v>199</v>
      </c>
      <c r="O875" s="34">
        <f>AVERAGEIF(L3:L1205,"&lt;2017/10/20",N3:N1205)</f>
        <v>118.57943925233644</v>
      </c>
      <c r="P875" s="38">
        <v>0</v>
      </c>
      <c r="Q875" s="38">
        <f>AVERAGEIF(L3:L1205,"&lt;2017/10/20",P3:P1205)</f>
        <v>0.35202492211838005</v>
      </c>
      <c r="R875" s="38">
        <v>2</v>
      </c>
      <c r="S875" s="38">
        <f>AVERAGEIF(L3:L1205,"&lt;2017/10/20",R3:R1205)</f>
        <v>1.3271028037383177</v>
      </c>
      <c r="T875" s="38">
        <v>12</v>
      </c>
      <c r="U875" s="38">
        <f>AVERAGEIF(L3:L1205,"&lt;2017/10/20",T3:T1205)</f>
        <v>9.0311526479750786</v>
      </c>
      <c r="V875" s="24">
        <v>330</v>
      </c>
      <c r="W875" s="47" t="s">
        <v>4870</v>
      </c>
    </row>
    <row r="876" spans="1:23">
      <c r="A876" s="23">
        <v>2</v>
      </c>
      <c r="B876" s="23">
        <v>7</v>
      </c>
      <c r="C876" s="18">
        <v>4</v>
      </c>
      <c r="D876" s="18">
        <v>4</v>
      </c>
      <c r="E876" s="20">
        <v>69</v>
      </c>
      <c r="F876" s="21">
        <f t="shared" si="40"/>
        <v>109.15197568389058</v>
      </c>
      <c r="G876" s="22">
        <v>0.41277228152024698</v>
      </c>
      <c r="H876" s="18">
        <v>1</v>
      </c>
      <c r="I876" s="18">
        <f t="shared" si="41"/>
        <v>0</v>
      </c>
      <c r="J876" s="41">
        <v>43027</v>
      </c>
      <c r="K876" s="36">
        <v>2017</v>
      </c>
      <c r="L876" s="32">
        <f t="shared" si="39"/>
        <v>43031</v>
      </c>
      <c r="M876" s="40">
        <v>0</v>
      </c>
      <c r="N876" s="33">
        <v>110</v>
      </c>
      <c r="O876" s="34">
        <f>AVERAGEIF(L3:L1205,"&lt;2017/10/19",N3:N1205)</f>
        <v>118.98107255520505</v>
      </c>
      <c r="P876" s="38">
        <v>1</v>
      </c>
      <c r="Q876" s="38">
        <f>AVERAGEIF(L3:L1205,"&lt;2017/10/19",P3:P1205)</f>
        <v>0.3470031545741325</v>
      </c>
      <c r="R876" s="38">
        <v>3</v>
      </c>
      <c r="S876" s="38">
        <f>AVERAGEIF(L3:L1205,"&lt;2017/10/19",R3:R1205)</f>
        <v>1.3280757097791798</v>
      </c>
      <c r="T876" s="38">
        <v>4</v>
      </c>
      <c r="U876" s="38">
        <f>AVERAGEIF(L3:L1205,"&lt;2017/10/19",T3:T1205)</f>
        <v>9.0662460567823349</v>
      </c>
      <c r="V876" s="24">
        <v>329</v>
      </c>
      <c r="W876" s="47" t="s">
        <v>4553</v>
      </c>
    </row>
    <row r="877" spans="1:23">
      <c r="A877" s="23">
        <v>4</v>
      </c>
      <c r="B877" s="23">
        <v>36</v>
      </c>
      <c r="C877" s="18">
        <v>4</v>
      </c>
      <c r="D877" s="18">
        <v>4</v>
      </c>
      <c r="E877" s="20">
        <v>86</v>
      </c>
      <c r="F877" s="21">
        <f t="shared" si="40"/>
        <v>109.22256097560975</v>
      </c>
      <c r="G877" s="22">
        <v>0.45375003010333897</v>
      </c>
      <c r="H877" s="18">
        <v>1</v>
      </c>
      <c r="I877" s="18">
        <f t="shared" si="41"/>
        <v>0</v>
      </c>
      <c r="J877" s="45">
        <v>43027</v>
      </c>
      <c r="K877" s="36">
        <v>2017</v>
      </c>
      <c r="L877" s="32">
        <f t="shared" si="39"/>
        <v>43041</v>
      </c>
      <c r="M877" s="42">
        <v>0</v>
      </c>
      <c r="N877" s="33">
        <v>86</v>
      </c>
      <c r="O877" s="34">
        <f>AVERAGEIF(L3:L1205,"&lt;2017/10/19",N3:N1205)</f>
        <v>118.98107255520505</v>
      </c>
      <c r="P877" s="38">
        <v>0</v>
      </c>
      <c r="Q877" s="38">
        <f>AVERAGEIF(L3:L1205,"&lt;2017/10/19",P3:P1205)</f>
        <v>0.3470031545741325</v>
      </c>
      <c r="R877" s="38">
        <v>1</v>
      </c>
      <c r="S877" s="38">
        <f>AVERAGEIF(L3:L1205,"&lt;2017/10/19",R3:R1205)</f>
        <v>1.3280757097791798</v>
      </c>
      <c r="T877" s="38">
        <v>14</v>
      </c>
      <c r="U877" s="38">
        <f>AVERAGEIF(L3:L1205,"&lt;2017/10/19",T3:T1205)</f>
        <v>9.0662460567823349</v>
      </c>
      <c r="V877" s="24">
        <v>328</v>
      </c>
      <c r="W877" s="47" t="s">
        <v>4550</v>
      </c>
    </row>
    <row r="878" spans="1:23">
      <c r="A878" s="23">
        <v>2</v>
      </c>
      <c r="B878" s="23">
        <v>4</v>
      </c>
      <c r="C878" s="18">
        <v>4</v>
      </c>
      <c r="D878" s="18">
        <v>4</v>
      </c>
      <c r="E878" s="20">
        <v>76</v>
      </c>
      <c r="F878" s="21">
        <f t="shared" si="40"/>
        <v>109.32415902140673</v>
      </c>
      <c r="G878" s="22">
        <v>0.37500993661936399</v>
      </c>
      <c r="H878" s="18">
        <v>1</v>
      </c>
      <c r="I878" s="18">
        <f t="shared" si="41"/>
        <v>0</v>
      </c>
      <c r="J878" s="41">
        <v>43026</v>
      </c>
      <c r="K878" s="36">
        <v>2017</v>
      </c>
      <c r="L878" s="32">
        <f t="shared" si="39"/>
        <v>43027</v>
      </c>
      <c r="M878" s="40">
        <v>0</v>
      </c>
      <c r="N878" s="33">
        <v>49</v>
      </c>
      <c r="O878" s="34">
        <f>AVERAGEIF(L3:L1205,"&lt;2017/10/18",N3:N1205)</f>
        <v>118.45222929936305</v>
      </c>
      <c r="P878" s="38">
        <v>0</v>
      </c>
      <c r="Q878" s="38">
        <f>AVERAGEIF(L3:L1205,"&lt;2017/10/18",P3:P1205)</f>
        <v>0.3503184713375796</v>
      </c>
      <c r="R878" s="38">
        <v>1</v>
      </c>
      <c r="S878" s="38">
        <f>AVERAGEIF(L3:L1205,"&lt;2017/10/18",R3:R1205)</f>
        <v>1.3248407643312101</v>
      </c>
      <c r="T878" s="38">
        <v>1</v>
      </c>
      <c r="U878" s="38">
        <f>AVERAGEIF(L3:L1205,"&lt;2017/10/18",T3:T1205)</f>
        <v>9.0159235668789801</v>
      </c>
      <c r="V878" s="24">
        <v>327</v>
      </c>
      <c r="W878" s="47" t="s">
        <v>4521</v>
      </c>
    </row>
    <row r="879" spans="1:23">
      <c r="A879" s="23">
        <v>2</v>
      </c>
      <c r="B879" s="23">
        <v>4</v>
      </c>
      <c r="C879" s="18">
        <v>4</v>
      </c>
      <c r="D879" s="18">
        <v>6</v>
      </c>
      <c r="E879" s="20">
        <v>39</v>
      </c>
      <c r="F879" s="21">
        <f t="shared" si="40"/>
        <v>109.5398773006135</v>
      </c>
      <c r="G879" s="22">
        <v>0.45756192189428402</v>
      </c>
      <c r="H879" s="18">
        <v>1</v>
      </c>
      <c r="I879" s="18">
        <f t="shared" si="41"/>
        <v>0</v>
      </c>
      <c r="J879" s="41">
        <v>43025</v>
      </c>
      <c r="K879" s="36">
        <v>2017</v>
      </c>
      <c r="L879" s="32">
        <f t="shared" si="39"/>
        <v>43034</v>
      </c>
      <c r="M879" s="40">
        <v>0</v>
      </c>
      <c r="N879" s="33">
        <v>57</v>
      </c>
      <c r="O879" s="34">
        <f>AVERAGEIF(L3:L1205,"&lt;2017/10/17",N3:N1205)</f>
        <v>118.45222929936305</v>
      </c>
      <c r="P879" s="38">
        <v>0</v>
      </c>
      <c r="Q879" s="38">
        <f>AVERAGEIF(L3:L1205,"&lt;2017/10/17",P3:P1205)</f>
        <v>0.3503184713375796</v>
      </c>
      <c r="R879" s="38">
        <v>1</v>
      </c>
      <c r="S879" s="38">
        <f>AVERAGEIF(L3:L1205,"&lt;2017/10/17",R3:R1205)</f>
        <v>1.3248407643312101</v>
      </c>
      <c r="T879" s="38">
        <v>9</v>
      </c>
      <c r="U879" s="38">
        <f>AVERAGEIF(L3:L1205,"&lt;2017/10/17",T3:T1205)</f>
        <v>9.0159235668789801</v>
      </c>
      <c r="V879" s="24">
        <v>326</v>
      </c>
      <c r="W879" s="47" t="s">
        <v>4529</v>
      </c>
    </row>
    <row r="880" spans="1:23">
      <c r="A880" s="23">
        <v>2</v>
      </c>
      <c r="B880" s="23">
        <v>13</v>
      </c>
      <c r="C880" s="18">
        <v>4</v>
      </c>
      <c r="D880" s="18">
        <v>6</v>
      </c>
      <c r="E880" s="20">
        <v>154</v>
      </c>
      <c r="F880" s="21">
        <f t="shared" si="40"/>
        <v>109.40307692307692</v>
      </c>
      <c r="G880" s="22">
        <v>0.37678845886886397</v>
      </c>
      <c r="H880" s="18">
        <v>0</v>
      </c>
      <c r="I880" s="18">
        <f t="shared" si="41"/>
        <v>1</v>
      </c>
      <c r="J880" s="41">
        <v>43025</v>
      </c>
      <c r="K880" s="36">
        <v>2017</v>
      </c>
      <c r="L880" s="32">
        <f t="shared" si="39"/>
        <v>43032</v>
      </c>
      <c r="M880" s="40">
        <v>0</v>
      </c>
      <c r="N880" s="33">
        <v>97</v>
      </c>
      <c r="O880" s="34">
        <f>AVERAGEIF(L3:L1205,"&lt;2017/10/17",N3:N1205)</f>
        <v>118.45222929936305</v>
      </c>
      <c r="P880" s="38">
        <v>2</v>
      </c>
      <c r="Q880" s="38">
        <f>AVERAGEIF(L3:L1205,"&lt;2017/10/17",P3:P1205)</f>
        <v>0.3503184713375796</v>
      </c>
      <c r="R880" s="38">
        <v>1</v>
      </c>
      <c r="S880" s="38">
        <f>AVERAGEIF(L3:L1205,"&lt;2017/10/17",R3:R1205)</f>
        <v>1.3248407643312101</v>
      </c>
      <c r="T880" s="38">
        <v>7</v>
      </c>
      <c r="U880" s="38">
        <f>AVERAGEIF(L3:L1205,"&lt;2017/10/17",T3:T1205)</f>
        <v>9.0159235668789801</v>
      </c>
      <c r="V880" s="24">
        <v>325</v>
      </c>
      <c r="W880" s="47" t="s">
        <v>4558</v>
      </c>
    </row>
    <row r="881" spans="1:23">
      <c r="A881" s="23">
        <v>4</v>
      </c>
      <c r="B881" s="23">
        <v>30</v>
      </c>
      <c r="C881" s="18">
        <v>4</v>
      </c>
      <c r="D881" s="18">
        <v>4</v>
      </c>
      <c r="E881" s="20">
        <v>62</v>
      </c>
      <c r="F881" s="21">
        <f t="shared" si="40"/>
        <v>109.54938271604938</v>
      </c>
      <c r="G881" s="22">
        <v>0.41250000374504098</v>
      </c>
      <c r="H881" s="18">
        <v>1</v>
      </c>
      <c r="I881" s="18">
        <f t="shared" si="41"/>
        <v>0</v>
      </c>
      <c r="J881" s="45">
        <v>43025</v>
      </c>
      <c r="K881" s="36">
        <v>2017</v>
      </c>
      <c r="L881" s="32">
        <f t="shared" si="39"/>
        <v>43028</v>
      </c>
      <c r="M881" s="42">
        <v>0</v>
      </c>
      <c r="N881" s="33">
        <v>198</v>
      </c>
      <c r="O881" s="34">
        <f>AVERAGEIF(L3:L1205,"&lt;2017/10/17",N3:N1205)</f>
        <v>118.45222929936305</v>
      </c>
      <c r="P881" s="38">
        <v>0</v>
      </c>
      <c r="Q881" s="38">
        <f>AVERAGEIF(L3:L1205,"&lt;2017/10/17",P3:P1205)</f>
        <v>0.3503184713375796</v>
      </c>
      <c r="R881" s="38">
        <v>1</v>
      </c>
      <c r="S881" s="38">
        <f>AVERAGEIF(L3:L1205,"&lt;2017/10/17",R3:R1205)</f>
        <v>1.3248407643312101</v>
      </c>
      <c r="T881" s="38">
        <v>3</v>
      </c>
      <c r="U881" s="38">
        <f>AVERAGEIF(L3:L1205,"&lt;2017/10/17",T3:T1205)</f>
        <v>9.0159235668789801</v>
      </c>
      <c r="V881" s="24">
        <v>324</v>
      </c>
      <c r="W881" s="47" t="s">
        <v>4634</v>
      </c>
    </row>
    <row r="882" spans="1:23">
      <c r="A882" s="23">
        <v>3</v>
      </c>
      <c r="B882" s="23">
        <v>25</v>
      </c>
      <c r="C882" s="18">
        <v>4</v>
      </c>
      <c r="D882" s="18">
        <v>4</v>
      </c>
      <c r="E882" s="20">
        <v>45</v>
      </c>
      <c r="F882" s="21">
        <f t="shared" si="40"/>
        <v>109.74922600619195</v>
      </c>
      <c r="G882" s="22">
        <v>0.38583915001827501</v>
      </c>
      <c r="H882" s="3">
        <v>1</v>
      </c>
      <c r="I882" s="18">
        <f t="shared" si="41"/>
        <v>0</v>
      </c>
      <c r="J882" s="41">
        <v>43023</v>
      </c>
      <c r="K882" s="36">
        <v>2017</v>
      </c>
      <c r="L882" s="32">
        <f t="shared" si="39"/>
        <v>43027</v>
      </c>
      <c r="M882" s="40">
        <v>1</v>
      </c>
      <c r="N882" s="33">
        <v>66</v>
      </c>
      <c r="O882" s="34">
        <f>AVERAGEIF(L3:L1205,"&lt;2017/10/15",N3:N1205)</f>
        <v>117.91585760517799</v>
      </c>
      <c r="P882" s="38">
        <v>2</v>
      </c>
      <c r="Q882" s="38">
        <f>AVERAGEIF(L3:L1205,"&lt;2017/10/15",P3:P1205)</f>
        <v>0.35275080906148865</v>
      </c>
      <c r="R882" s="38">
        <v>1</v>
      </c>
      <c r="S882" s="38">
        <f>AVERAGEIF(L3:L1205,"&lt;2017/10/15",R3:R1205)</f>
        <v>1.3268608414239482</v>
      </c>
      <c r="T882" s="38">
        <v>4</v>
      </c>
      <c r="U882" s="38">
        <f>AVERAGEIF(L3:L1205,"&lt;2017/10/15",T3:T1205)</f>
        <v>9.0097087378640772</v>
      </c>
      <c r="V882" s="24">
        <v>323</v>
      </c>
      <c r="W882" s="47" t="s">
        <v>4618</v>
      </c>
    </row>
    <row r="883" spans="1:23">
      <c r="A883" s="23">
        <v>4</v>
      </c>
      <c r="B883" s="23">
        <v>35</v>
      </c>
      <c r="C883" s="18">
        <v>1</v>
      </c>
      <c r="D883" s="18">
        <v>6</v>
      </c>
      <c r="E883" s="20">
        <v>182</v>
      </c>
      <c r="F883" s="21">
        <f t="shared" si="40"/>
        <v>109.5248447204969</v>
      </c>
      <c r="G883" s="22">
        <v>0.37517545851240902</v>
      </c>
      <c r="H883" s="18">
        <v>1</v>
      </c>
      <c r="I883" s="18">
        <f t="shared" si="41"/>
        <v>0</v>
      </c>
      <c r="J883" s="45">
        <v>43022</v>
      </c>
      <c r="K883" s="36">
        <v>2017</v>
      </c>
      <c r="L883" s="32">
        <f t="shared" si="39"/>
        <v>43033</v>
      </c>
      <c r="M883" s="42">
        <v>0</v>
      </c>
      <c r="N883" s="33">
        <v>90</v>
      </c>
      <c r="O883" s="34">
        <f>AVERAGEIF(L3:L1205,"&lt;2017/10/14",N3:N1205)</f>
        <v>117.91585760517799</v>
      </c>
      <c r="P883" s="38">
        <v>1</v>
      </c>
      <c r="Q883" s="38">
        <f>AVERAGEIF(L3:L1205,"&lt;2017/10/14",P3:P1205)</f>
        <v>0.35275080906148865</v>
      </c>
      <c r="R883" s="38">
        <v>3</v>
      </c>
      <c r="S883" s="38">
        <f>AVERAGEIF(L3:L1205,"&lt;2017/10/14",R3:R1205)</f>
        <v>1.3268608414239482</v>
      </c>
      <c r="T883" s="38">
        <v>11</v>
      </c>
      <c r="U883" s="38">
        <f>AVERAGEIF(L3:L1205,"&lt;2017/10/14",T3:T1205)</f>
        <v>9.0097087378640772</v>
      </c>
      <c r="V883" s="24">
        <v>322</v>
      </c>
      <c r="W883" s="47" t="s">
        <v>4550</v>
      </c>
    </row>
    <row r="884" spans="1:23">
      <c r="A884" s="23">
        <v>2</v>
      </c>
      <c r="B884" s="23">
        <v>4</v>
      </c>
      <c r="C884" s="18">
        <v>4</v>
      </c>
      <c r="D884" s="18">
        <v>6</v>
      </c>
      <c r="E884" s="20">
        <v>187</v>
      </c>
      <c r="F884" s="21">
        <f t="shared" si="40"/>
        <v>109.28348909657321</v>
      </c>
      <c r="G884" s="22">
        <v>0.37703360977134898</v>
      </c>
      <c r="H884" s="18">
        <v>0</v>
      </c>
      <c r="I884" s="18">
        <f t="shared" si="41"/>
        <v>1</v>
      </c>
      <c r="J884" s="41">
        <v>43021</v>
      </c>
      <c r="K884" s="36">
        <v>2017</v>
      </c>
      <c r="L884" s="32">
        <f t="shared" si="39"/>
        <v>43024</v>
      </c>
      <c r="M884" s="40">
        <v>0</v>
      </c>
      <c r="N884" s="33">
        <v>160</v>
      </c>
      <c r="O884" s="34">
        <f>AVERAGEIF(L3:L1205,"&lt;2017/10/13",N3:N1205)</f>
        <v>117.81168831168831</v>
      </c>
      <c r="P884" s="38">
        <v>0</v>
      </c>
      <c r="Q884" s="38">
        <f>AVERAGEIF(L3:L1205,"&lt;2017/10/13",P3:P1205)</f>
        <v>0.35064935064935066</v>
      </c>
      <c r="R884" s="38">
        <v>2</v>
      </c>
      <c r="S884" s="38">
        <f>AVERAGEIF(L3:L1205,"&lt;2017/10/13",R3:R1205)</f>
        <v>1.3246753246753247</v>
      </c>
      <c r="T884" s="38">
        <v>3</v>
      </c>
      <c r="U884" s="38">
        <f>AVERAGEIF(L3:L1205,"&lt;2017/10/13",T3:T1205)</f>
        <v>9.029220779220779</v>
      </c>
      <c r="V884" s="24">
        <v>321</v>
      </c>
      <c r="W884" s="47" t="s">
        <v>4523</v>
      </c>
    </row>
    <row r="885" spans="1:23">
      <c r="A885" s="23">
        <v>2</v>
      </c>
      <c r="B885" s="23">
        <v>4</v>
      </c>
      <c r="C885" s="18">
        <v>4</v>
      </c>
      <c r="D885" s="18">
        <v>4</v>
      </c>
      <c r="E885" s="20">
        <v>39</v>
      </c>
      <c r="F885" s="21">
        <f t="shared" si="40"/>
        <v>109.503125</v>
      </c>
      <c r="G885" s="22">
        <v>0.37506869913191798</v>
      </c>
      <c r="H885" s="18">
        <v>1</v>
      </c>
      <c r="I885" s="18">
        <f t="shared" si="41"/>
        <v>0</v>
      </c>
      <c r="J885" s="41">
        <v>43021</v>
      </c>
      <c r="K885" s="36">
        <v>2017</v>
      </c>
      <c r="L885" s="32">
        <f t="shared" si="39"/>
        <v>43027</v>
      </c>
      <c r="M885" s="40">
        <v>0</v>
      </c>
      <c r="N885" s="33">
        <v>115</v>
      </c>
      <c r="O885" s="34">
        <f>AVERAGEIF(L3:L1205,"&lt;2017/10/13",N3:N1205)</f>
        <v>117.81168831168831</v>
      </c>
      <c r="P885" s="38">
        <v>0</v>
      </c>
      <c r="Q885" s="38">
        <f>AVERAGEIF(L3:L1205,"&lt;2017/10/13",P3:P1205)</f>
        <v>0.35064935064935066</v>
      </c>
      <c r="R885" s="38">
        <v>1</v>
      </c>
      <c r="S885" s="38">
        <f>AVERAGEIF(L3:L1205,"&lt;2017/10/13",R3:R1205)</f>
        <v>1.3246753246753247</v>
      </c>
      <c r="T885" s="38">
        <v>6</v>
      </c>
      <c r="U885" s="38">
        <f>AVERAGEIF(L3:L1205,"&lt;2017/10/13",T3:T1205)</f>
        <v>9.029220779220779</v>
      </c>
      <c r="V885" s="24">
        <v>320</v>
      </c>
      <c r="W885" s="47" t="s">
        <v>4521</v>
      </c>
    </row>
    <row r="886" spans="1:23">
      <c r="A886" s="23">
        <v>2</v>
      </c>
      <c r="B886" s="23">
        <v>13</v>
      </c>
      <c r="C886" s="18">
        <v>4</v>
      </c>
      <c r="D886" s="18">
        <v>4</v>
      </c>
      <c r="E886" s="20">
        <v>49</v>
      </c>
      <c r="F886" s="21">
        <f t="shared" si="40"/>
        <v>109.69278996865204</v>
      </c>
      <c r="G886" s="22">
        <v>0.412507128593535</v>
      </c>
      <c r="H886" s="18">
        <v>1</v>
      </c>
      <c r="I886" s="18">
        <f t="shared" si="41"/>
        <v>0</v>
      </c>
      <c r="J886" s="41">
        <v>43021</v>
      </c>
      <c r="K886" s="36">
        <v>2017</v>
      </c>
      <c r="L886" s="32">
        <f t="shared" si="39"/>
        <v>43024</v>
      </c>
      <c r="M886" s="40">
        <v>0</v>
      </c>
      <c r="N886" s="33">
        <v>161</v>
      </c>
      <c r="O886" s="34">
        <f>AVERAGEIF(L3:L1205,"&lt;2017/10/13",N3:N1205)</f>
        <v>117.81168831168831</v>
      </c>
      <c r="P886" s="38">
        <v>1</v>
      </c>
      <c r="Q886" s="38">
        <f>AVERAGEIF(L3:L1205,"&lt;2017/10/13",P3:P1205)</f>
        <v>0.35064935064935066</v>
      </c>
      <c r="R886" s="38">
        <v>1</v>
      </c>
      <c r="S886" s="38">
        <f>AVERAGEIF(L3:L1205,"&lt;2017/10/13",R3:R1205)</f>
        <v>1.3246753246753247</v>
      </c>
      <c r="T886" s="38">
        <v>3</v>
      </c>
      <c r="U886" s="38">
        <f>AVERAGEIF(L3:L1205,"&lt;2017/10/13",T3:T1205)</f>
        <v>9.029220779220779</v>
      </c>
      <c r="V886" s="24">
        <v>319</v>
      </c>
      <c r="W886" s="47" t="s">
        <v>4521</v>
      </c>
    </row>
    <row r="887" spans="1:23">
      <c r="A887" s="23">
        <v>2</v>
      </c>
      <c r="B887" s="23">
        <v>4</v>
      </c>
      <c r="C887" s="18">
        <v>4</v>
      </c>
      <c r="D887" s="18">
        <v>6</v>
      </c>
      <c r="E887" s="20">
        <v>151</v>
      </c>
      <c r="F887" s="21">
        <f t="shared" si="40"/>
        <v>109.562893081761</v>
      </c>
      <c r="G887" s="22">
        <v>0.37500098802899501</v>
      </c>
      <c r="H887" s="18">
        <v>1</v>
      </c>
      <c r="I887" s="18">
        <f t="shared" si="41"/>
        <v>0</v>
      </c>
      <c r="J887" s="41">
        <v>43020</v>
      </c>
      <c r="K887" s="36">
        <v>2017</v>
      </c>
      <c r="L887" s="32">
        <f t="shared" si="39"/>
        <v>43032</v>
      </c>
      <c r="M887" s="40">
        <v>0</v>
      </c>
      <c r="N887" s="33">
        <v>54</v>
      </c>
      <c r="O887" s="34">
        <f>AVERAGEIF(L3:L1205,"&lt;2017/10/12",N3:N1205)</f>
        <v>117.54723127035831</v>
      </c>
      <c r="P887" s="38">
        <v>0</v>
      </c>
      <c r="Q887" s="38">
        <f>AVERAGEIF(L3:L1205,"&lt;2017/10/12",P3:P1205)</f>
        <v>0.3517915309446254</v>
      </c>
      <c r="R887" s="38">
        <v>1</v>
      </c>
      <c r="S887" s="38">
        <f>AVERAGEIF(L3:L1205,"&lt;2017/10/12",R3:R1205)</f>
        <v>1.3224755700325732</v>
      </c>
      <c r="T887" s="38">
        <v>12</v>
      </c>
      <c r="U887" s="38">
        <f>AVERAGEIF(L3:L1205,"&lt;2017/10/12",T3:T1205)</f>
        <v>8.9967426710097715</v>
      </c>
      <c r="V887" s="24">
        <v>318</v>
      </c>
      <c r="W887" s="47" t="s">
        <v>4557</v>
      </c>
    </row>
    <row r="888" spans="1:23">
      <c r="A888" s="23">
        <v>2</v>
      </c>
      <c r="B888" s="23">
        <v>4</v>
      </c>
      <c r="C888" s="18">
        <v>4</v>
      </c>
      <c r="D888" s="18">
        <v>6</v>
      </c>
      <c r="E888" s="20">
        <v>95</v>
      </c>
      <c r="F888" s="21">
        <f t="shared" si="40"/>
        <v>109.60883280757098</v>
      </c>
      <c r="G888" s="22">
        <v>0.34992977000096698</v>
      </c>
      <c r="H888" s="18">
        <v>1</v>
      </c>
      <c r="I888" s="18">
        <f t="shared" si="41"/>
        <v>0</v>
      </c>
      <c r="J888" s="41">
        <v>43019</v>
      </c>
      <c r="K888" s="36">
        <v>2017</v>
      </c>
      <c r="L888" s="32">
        <f t="shared" si="39"/>
        <v>43024</v>
      </c>
      <c r="M888" s="40">
        <v>0</v>
      </c>
      <c r="N888" s="33">
        <v>160</v>
      </c>
      <c r="O888" s="34">
        <f>AVERAGEIF(L3:L1205,"&lt;2017/10/11",N3:N1205)</f>
        <v>118.06312292358804</v>
      </c>
      <c r="P888" s="38">
        <v>0</v>
      </c>
      <c r="Q888" s="38">
        <f>AVERAGEIF(L3:L1205,"&lt;2017/10/11",P3:P1205)</f>
        <v>0.35880398671096347</v>
      </c>
      <c r="R888" s="38">
        <v>1</v>
      </c>
      <c r="S888" s="38">
        <f>AVERAGEIF(L3:L1205,"&lt;2017/10/11",R3:R1205)</f>
        <v>1.3289036544850499</v>
      </c>
      <c r="T888" s="38">
        <v>5</v>
      </c>
      <c r="U888" s="38">
        <f>AVERAGEIF(L3:L1205,"&lt;2017/10/11",T3:T1205)</f>
        <v>9.0963455149501655</v>
      </c>
      <c r="V888" s="24">
        <v>317</v>
      </c>
      <c r="W888" s="47" t="s">
        <v>4529</v>
      </c>
    </row>
    <row r="889" spans="1:23">
      <c r="A889" s="23">
        <v>3</v>
      </c>
      <c r="B889" s="23">
        <v>24</v>
      </c>
      <c r="C889" s="18">
        <v>4</v>
      </c>
      <c r="D889" s="18">
        <v>6</v>
      </c>
      <c r="E889" s="20">
        <v>55</v>
      </c>
      <c r="F889" s="21">
        <f t="shared" si="40"/>
        <v>109.78164556962025</v>
      </c>
      <c r="G889" s="22">
        <v>0.31176412944737902</v>
      </c>
      <c r="H889" s="3">
        <v>1</v>
      </c>
      <c r="I889" s="18">
        <f t="shared" si="41"/>
        <v>0</v>
      </c>
      <c r="J889" s="41">
        <v>43019</v>
      </c>
      <c r="K889" s="36">
        <v>2017</v>
      </c>
      <c r="L889" s="32">
        <f t="shared" si="39"/>
        <v>43031</v>
      </c>
      <c r="M889" s="40">
        <v>1</v>
      </c>
      <c r="N889" s="33">
        <v>111</v>
      </c>
      <c r="O889" s="34">
        <f>AVERAGEIF(L3:L1205,"&lt;2017/10/11",N3:N1205)</f>
        <v>118.06312292358804</v>
      </c>
      <c r="P889" s="38">
        <v>0</v>
      </c>
      <c r="Q889" s="38">
        <f>AVERAGEIF(L3:L1205,"&lt;2017/10/11",P3:P1205)</f>
        <v>0.35880398671096347</v>
      </c>
      <c r="R889" s="38">
        <v>1</v>
      </c>
      <c r="S889" s="38">
        <f>AVERAGEIF(L3:L1205,"&lt;2017/10/11",R3:R1205)</f>
        <v>1.3289036544850499</v>
      </c>
      <c r="T889" s="38">
        <v>12</v>
      </c>
      <c r="U889" s="38">
        <f>AVERAGEIF(L3:L1205,"&lt;2017/10/11",T3:T1205)</f>
        <v>9.0963455149501655</v>
      </c>
      <c r="V889" s="24">
        <v>316</v>
      </c>
      <c r="W889" s="47" t="s">
        <v>4529</v>
      </c>
    </row>
    <row r="890" spans="1:23">
      <c r="A890" s="23">
        <v>2</v>
      </c>
      <c r="B890" s="23">
        <v>4</v>
      </c>
      <c r="C890" s="18">
        <v>4</v>
      </c>
      <c r="D890" s="18">
        <v>4</v>
      </c>
      <c r="E890" s="20">
        <v>55</v>
      </c>
      <c r="F890" s="21">
        <f t="shared" si="40"/>
        <v>109.95555555555555</v>
      </c>
      <c r="G890" s="22">
        <v>0.378801669868226</v>
      </c>
      <c r="H890" s="18">
        <v>1</v>
      </c>
      <c r="I890" s="18">
        <f t="shared" si="41"/>
        <v>0</v>
      </c>
      <c r="J890" s="41">
        <v>43018</v>
      </c>
      <c r="K890" s="36">
        <v>2017</v>
      </c>
      <c r="L890" s="32">
        <f t="shared" si="39"/>
        <v>43019</v>
      </c>
      <c r="M890" s="40">
        <v>0</v>
      </c>
      <c r="N890" s="33">
        <v>51</v>
      </c>
      <c r="O890" s="34">
        <f>AVERAGEIF(L3:L1205,"&lt;2017/10/10",N3:N1205)</f>
        <v>118.32659932659932</v>
      </c>
      <c r="P890" s="38">
        <v>0</v>
      </c>
      <c r="Q890" s="38">
        <f>AVERAGEIF(L3:L1205,"&lt;2017/10/10",P3:P1205)</f>
        <v>0.36026936026936029</v>
      </c>
      <c r="R890" s="38">
        <v>1</v>
      </c>
      <c r="S890" s="38">
        <f>AVERAGEIF(L3:L1205,"&lt;2017/10/10",R3:R1205)</f>
        <v>1.32996632996633</v>
      </c>
      <c r="T890" s="38">
        <v>1</v>
      </c>
      <c r="U890" s="38">
        <f>AVERAGEIF(L3:L1205,"&lt;2017/10/10",T3:T1205)</f>
        <v>9.1380471380471384</v>
      </c>
      <c r="V890" s="24">
        <v>315</v>
      </c>
      <c r="W890" s="47" t="s">
        <v>4521</v>
      </c>
    </row>
    <row r="891" spans="1:23">
      <c r="A891" s="23">
        <v>2</v>
      </c>
      <c r="B891" s="23">
        <v>6</v>
      </c>
      <c r="C891" s="18">
        <v>4</v>
      </c>
      <c r="D891" s="18">
        <v>6</v>
      </c>
      <c r="E891" s="20">
        <v>205</v>
      </c>
      <c r="F891" s="21">
        <f t="shared" si="40"/>
        <v>109.65286624203821</v>
      </c>
      <c r="G891" s="22">
        <v>0.412522891649858</v>
      </c>
      <c r="H891" s="18">
        <v>1</v>
      </c>
      <c r="I891" s="18">
        <f t="shared" si="41"/>
        <v>0</v>
      </c>
      <c r="J891" s="41">
        <v>43018</v>
      </c>
      <c r="K891" s="36">
        <v>2017</v>
      </c>
      <c r="L891" s="32">
        <f t="shared" si="39"/>
        <v>43021</v>
      </c>
      <c r="M891" s="40">
        <v>1</v>
      </c>
      <c r="N891" s="33">
        <v>150</v>
      </c>
      <c r="O891" s="34">
        <f>AVERAGEIF(L3:L1205,"&lt;2017/10/10",N3:N1205)</f>
        <v>118.32659932659932</v>
      </c>
      <c r="P891" s="38">
        <v>1</v>
      </c>
      <c r="Q891" s="38">
        <f>AVERAGEIF(L3:L1205,"&lt;2017/10/10",P3:P1205)</f>
        <v>0.36026936026936029</v>
      </c>
      <c r="R891" s="38">
        <v>2</v>
      </c>
      <c r="S891" s="38">
        <f>AVERAGEIF(L3:L1205,"&lt;2017/10/10",R3:R1205)</f>
        <v>1.32996632996633</v>
      </c>
      <c r="T891" s="38">
        <v>3</v>
      </c>
      <c r="U891" s="38">
        <f>AVERAGEIF(L3:L1205,"&lt;2017/10/10",T3:T1205)</f>
        <v>9.1380471380471384</v>
      </c>
      <c r="V891" s="24">
        <v>314</v>
      </c>
      <c r="W891" s="47" t="s">
        <v>4652</v>
      </c>
    </row>
    <row r="892" spans="1:23">
      <c r="A892" s="23">
        <v>2</v>
      </c>
      <c r="B892" s="23">
        <v>4</v>
      </c>
      <c r="C892" s="18">
        <v>4</v>
      </c>
      <c r="D892" s="18">
        <v>6</v>
      </c>
      <c r="E892" s="20">
        <v>174</v>
      </c>
      <c r="F892" s="21">
        <f t="shared" si="40"/>
        <v>109.44728434504792</v>
      </c>
      <c r="G892" s="22">
        <v>0.383357528833567</v>
      </c>
      <c r="H892" s="18">
        <v>1</v>
      </c>
      <c r="I892" s="18">
        <f t="shared" si="41"/>
        <v>0</v>
      </c>
      <c r="J892" s="41">
        <v>43017</v>
      </c>
      <c r="K892" s="36">
        <v>2017</v>
      </c>
      <c r="L892" s="32">
        <f t="shared" si="39"/>
        <v>43018</v>
      </c>
      <c r="M892" s="40">
        <v>0</v>
      </c>
      <c r="N892" s="33">
        <v>66</v>
      </c>
      <c r="O892" s="34">
        <f>AVERAGEIF(L3:L1205,"&lt;2017/10/9",N3:N1205)</f>
        <v>119.04421768707483</v>
      </c>
      <c r="P892" s="38">
        <v>0</v>
      </c>
      <c r="Q892" s="38">
        <f>AVERAGEIF(L3:L1205,"&lt;2017/10/9",P3:P1205)</f>
        <v>0.36394557823129253</v>
      </c>
      <c r="R892" s="38">
        <v>1</v>
      </c>
      <c r="S892" s="38">
        <f>AVERAGEIF(L3:L1205,"&lt;2017/10/9",R3:R1205)</f>
        <v>1.3333333333333333</v>
      </c>
      <c r="T892" s="38">
        <v>1</v>
      </c>
      <c r="U892" s="38">
        <f>AVERAGEIF(L3:L1205,"&lt;2017/10/9",T3:T1205)</f>
        <v>9.1088435374149661</v>
      </c>
      <c r="V892" s="24">
        <v>313</v>
      </c>
      <c r="W892" s="47" t="s">
        <v>5039</v>
      </c>
    </row>
    <row r="893" spans="1:23">
      <c r="A893" s="23">
        <v>2</v>
      </c>
      <c r="B893" s="23">
        <v>13</v>
      </c>
      <c r="C893" s="18">
        <v>4</v>
      </c>
      <c r="D893" s="18">
        <v>4</v>
      </c>
      <c r="E893" s="20">
        <v>65</v>
      </c>
      <c r="F893" s="21">
        <f t="shared" si="40"/>
        <v>109.58974358974359</v>
      </c>
      <c r="G893" s="22">
        <v>0.45704996296779099</v>
      </c>
      <c r="H893" s="18">
        <v>1</v>
      </c>
      <c r="I893" s="18">
        <f t="shared" si="41"/>
        <v>0</v>
      </c>
      <c r="J893" s="41">
        <v>43017</v>
      </c>
      <c r="K893" s="36">
        <v>2017</v>
      </c>
      <c r="L893" s="32">
        <f t="shared" si="39"/>
        <v>43018</v>
      </c>
      <c r="M893" s="40">
        <v>0</v>
      </c>
      <c r="N893" s="33">
        <v>38</v>
      </c>
      <c r="O893" s="34">
        <f>AVERAGEIF(L3:L1205,"&lt;2017/10/9",N3:N1205)</f>
        <v>119.04421768707483</v>
      </c>
      <c r="P893" s="38">
        <v>0</v>
      </c>
      <c r="Q893" s="38">
        <f>AVERAGEIF(L3:L1205,"&lt;2017/10/9",P3:P1205)</f>
        <v>0.36394557823129253</v>
      </c>
      <c r="R893" s="38">
        <v>1</v>
      </c>
      <c r="S893" s="38">
        <f>AVERAGEIF(L3:L1205,"&lt;2017/10/9",R3:R1205)</f>
        <v>1.3333333333333333</v>
      </c>
      <c r="T893" s="38">
        <v>1</v>
      </c>
      <c r="U893" s="38">
        <f>AVERAGEIF(L3:L1205,"&lt;2017/10/9",T3:T1205)</f>
        <v>9.1088435374149661</v>
      </c>
      <c r="V893" s="24">
        <v>312</v>
      </c>
      <c r="W893" s="47" t="s">
        <v>4521</v>
      </c>
    </row>
    <row r="894" spans="1:23">
      <c r="A894" s="23">
        <v>3</v>
      </c>
      <c r="B894" s="23">
        <v>21</v>
      </c>
      <c r="C894" s="18">
        <v>4</v>
      </c>
      <c r="D894" s="18">
        <v>4</v>
      </c>
      <c r="E894" s="20">
        <v>44</v>
      </c>
      <c r="F894" s="21">
        <f t="shared" si="40"/>
        <v>109.80064308681672</v>
      </c>
      <c r="G894" s="22">
        <v>0.37518044561799802</v>
      </c>
      <c r="H894" s="3">
        <v>1</v>
      </c>
      <c r="I894" s="18">
        <f t="shared" si="41"/>
        <v>0</v>
      </c>
      <c r="J894" s="41">
        <v>43017</v>
      </c>
      <c r="K894" s="36">
        <v>2017</v>
      </c>
      <c r="L894" s="32">
        <f t="shared" si="39"/>
        <v>43018</v>
      </c>
      <c r="M894" s="40">
        <v>0</v>
      </c>
      <c r="N894" s="33">
        <v>170</v>
      </c>
      <c r="O894" s="34">
        <f>AVERAGEIF(L3:L1205,"&lt;2017/10/9",N3:N1205)</f>
        <v>119.04421768707483</v>
      </c>
      <c r="P894" s="38">
        <v>0</v>
      </c>
      <c r="Q894" s="38">
        <f>AVERAGEIF(L3:L1205,"&lt;2017/10/9",P3:P1205)</f>
        <v>0.36394557823129253</v>
      </c>
      <c r="R894" s="38">
        <v>1</v>
      </c>
      <c r="S894" s="38">
        <f>AVERAGEIF(L3:L1205,"&lt;2017/10/9",R3:R1205)</f>
        <v>1.3333333333333333</v>
      </c>
      <c r="T894" s="38">
        <v>1</v>
      </c>
      <c r="U894" s="38">
        <f>AVERAGEIF(L3:L1205,"&lt;2017/10/9",T3:T1205)</f>
        <v>9.1088435374149661</v>
      </c>
      <c r="V894" s="24">
        <v>311</v>
      </c>
      <c r="W894" s="47" t="s">
        <v>4521</v>
      </c>
    </row>
    <row r="895" spans="1:23">
      <c r="A895" s="23">
        <v>4</v>
      </c>
      <c r="B895" s="23">
        <v>28</v>
      </c>
      <c r="C895" s="18">
        <v>4</v>
      </c>
      <c r="D895" s="18">
        <v>6</v>
      </c>
      <c r="E895" s="20">
        <v>181</v>
      </c>
      <c r="F895" s="21">
        <f t="shared" si="40"/>
        <v>109.57096774193549</v>
      </c>
      <c r="G895" s="22">
        <v>0.412500269465713</v>
      </c>
      <c r="H895" s="18">
        <v>1</v>
      </c>
      <c r="I895" s="18">
        <f t="shared" si="41"/>
        <v>0</v>
      </c>
      <c r="J895" s="45">
        <v>43017</v>
      </c>
      <c r="K895" s="36">
        <v>2017</v>
      </c>
      <c r="L895" s="32">
        <f t="shared" si="39"/>
        <v>43019</v>
      </c>
      <c r="M895" s="44">
        <v>0</v>
      </c>
      <c r="N895" s="33">
        <v>155</v>
      </c>
      <c r="O895" s="34">
        <f>AVERAGEIF(L3:L1205,"&lt;2017/10/9",N3:N1205)</f>
        <v>119.04421768707483</v>
      </c>
      <c r="P895" s="38">
        <v>0</v>
      </c>
      <c r="Q895" s="38">
        <f>AVERAGEIF(L3:L1205,"&lt;2017/10/9",P3:P1205)</f>
        <v>0.36394557823129253</v>
      </c>
      <c r="R895" s="38">
        <v>1</v>
      </c>
      <c r="S895" s="38">
        <f>AVERAGEIF(L3:L1205,"&lt;2017/10/9",R3:R1205)</f>
        <v>1.3333333333333333</v>
      </c>
      <c r="T895" s="38">
        <v>2</v>
      </c>
      <c r="U895" s="38">
        <f>AVERAGEIF(L3:L1205,"&lt;2017/10/9",T3:T1205)</f>
        <v>9.1088435374149661</v>
      </c>
      <c r="V895" s="24">
        <v>310</v>
      </c>
      <c r="W895" s="47" t="s">
        <v>4521</v>
      </c>
    </row>
    <row r="896" spans="1:23">
      <c r="A896" s="23">
        <v>4</v>
      </c>
      <c r="B896" s="23">
        <v>29</v>
      </c>
      <c r="C896" s="18">
        <v>4</v>
      </c>
      <c r="D896" s="18">
        <v>6</v>
      </c>
      <c r="E896" s="20">
        <v>140</v>
      </c>
      <c r="F896" s="21">
        <f t="shared" si="40"/>
        <v>109.47249190938511</v>
      </c>
      <c r="G896" s="22">
        <v>0.34090915558298002</v>
      </c>
      <c r="H896" s="18">
        <v>1</v>
      </c>
      <c r="I896" s="18">
        <f t="shared" si="41"/>
        <v>0</v>
      </c>
      <c r="J896" s="45">
        <v>43017</v>
      </c>
      <c r="K896" s="36">
        <v>2017</v>
      </c>
      <c r="L896" s="32">
        <f t="shared" si="39"/>
        <v>43019</v>
      </c>
      <c r="M896" s="42">
        <v>0</v>
      </c>
      <c r="N896" s="33">
        <v>48</v>
      </c>
      <c r="O896" s="34">
        <f>AVERAGEIF(L3:L1205,"&lt;2017/10/9",N3:N1205)</f>
        <v>119.04421768707483</v>
      </c>
      <c r="P896" s="38">
        <v>0</v>
      </c>
      <c r="Q896" s="38">
        <f>AVERAGEIF(L3:L1205,"&lt;2017/10/9",P3:P1205)</f>
        <v>0.36394557823129253</v>
      </c>
      <c r="R896" s="38">
        <v>1</v>
      </c>
      <c r="S896" s="38">
        <f>AVERAGEIF(L3:L1205,"&lt;2017/10/9",R3:R1205)</f>
        <v>1.3333333333333333</v>
      </c>
      <c r="T896" s="38">
        <v>2</v>
      </c>
      <c r="U896" s="38">
        <f>AVERAGEIF(L3:L1205,"&lt;2017/10/9",T3:T1205)</f>
        <v>9.1088435374149661</v>
      </c>
      <c r="V896" s="24">
        <v>309</v>
      </c>
      <c r="W896" s="47" t="s">
        <v>4529</v>
      </c>
    </row>
    <row r="897" spans="1:23">
      <c r="A897" s="23">
        <v>4</v>
      </c>
      <c r="B897" s="23">
        <v>29</v>
      </c>
      <c r="C897" s="18">
        <v>4</v>
      </c>
      <c r="D897" s="18">
        <v>6</v>
      </c>
      <c r="E897" s="20">
        <v>152</v>
      </c>
      <c r="F897" s="21">
        <f t="shared" si="40"/>
        <v>109.33441558441558</v>
      </c>
      <c r="G897" s="22">
        <v>0.37500003750163302</v>
      </c>
      <c r="H897" s="18">
        <v>1</v>
      </c>
      <c r="I897" s="18">
        <f t="shared" si="41"/>
        <v>0</v>
      </c>
      <c r="J897" s="45">
        <v>43017</v>
      </c>
      <c r="K897" s="36">
        <v>2017</v>
      </c>
      <c r="L897" s="32">
        <f t="shared" si="39"/>
        <v>43031</v>
      </c>
      <c r="M897" s="42">
        <v>0</v>
      </c>
      <c r="N897" s="33">
        <v>48</v>
      </c>
      <c r="O897" s="34">
        <f>AVERAGEIF(L3:L1205,"&lt;2017/10/9",N3:N1205)</f>
        <v>119.04421768707483</v>
      </c>
      <c r="P897" s="38">
        <v>0</v>
      </c>
      <c r="Q897" s="38">
        <f>AVERAGEIF(L3:L1205,"&lt;2017/10/9",P3:P1205)</f>
        <v>0.36394557823129253</v>
      </c>
      <c r="R897" s="38">
        <v>1</v>
      </c>
      <c r="S897" s="38">
        <f>AVERAGEIF(L3:L1205,"&lt;2017/10/9",R3:R1205)</f>
        <v>1.3333333333333333</v>
      </c>
      <c r="T897" s="38">
        <v>14</v>
      </c>
      <c r="U897" s="38">
        <f>AVERAGEIF(L3:L1205,"&lt;2017/10/9",T3:T1205)</f>
        <v>9.1088435374149661</v>
      </c>
      <c r="V897" s="24">
        <v>308</v>
      </c>
      <c r="W897" s="47" t="s">
        <v>4529</v>
      </c>
    </row>
    <row r="898" spans="1:23">
      <c r="A898" s="23">
        <v>2</v>
      </c>
      <c r="B898" s="23">
        <v>4</v>
      </c>
      <c r="C898" s="18">
        <v>4</v>
      </c>
      <c r="D898" s="18">
        <v>4</v>
      </c>
      <c r="E898" s="20">
        <v>75</v>
      </c>
      <c r="F898" s="21">
        <f t="shared" si="40"/>
        <v>109.44625407166124</v>
      </c>
      <c r="G898" s="22">
        <v>0.41292003652450798</v>
      </c>
      <c r="H898" s="18">
        <v>1</v>
      </c>
      <c r="I898" s="18">
        <f t="shared" si="41"/>
        <v>0</v>
      </c>
      <c r="J898" s="41">
        <v>43016</v>
      </c>
      <c r="K898" s="36">
        <v>2017</v>
      </c>
      <c r="L898" s="32">
        <f t="shared" si="39"/>
        <v>43019</v>
      </c>
      <c r="M898" s="40">
        <v>0</v>
      </c>
      <c r="N898" s="33">
        <v>90</v>
      </c>
      <c r="O898" s="34">
        <f>AVERAGEIF(L3:L1205,"&lt;2017/10/8",N3:N1205)</f>
        <v>119.04421768707483</v>
      </c>
      <c r="P898" s="38">
        <v>0</v>
      </c>
      <c r="Q898" s="38">
        <f>AVERAGEIF(L3:L1205,"&lt;2017/10/8",P3:P1205)</f>
        <v>0.36394557823129253</v>
      </c>
      <c r="R898" s="38">
        <v>1</v>
      </c>
      <c r="S898" s="38">
        <f>AVERAGEIF(L3:L1205,"&lt;2017/10/8",R3:R1205)</f>
        <v>1.3333333333333333</v>
      </c>
      <c r="T898" s="38">
        <v>3</v>
      </c>
      <c r="U898" s="38">
        <f>AVERAGEIF(L3:L1205,"&lt;2017/10/8",T3:T1205)</f>
        <v>9.1088435374149661</v>
      </c>
      <c r="V898" s="24">
        <v>307</v>
      </c>
      <c r="W898" s="47" t="s">
        <v>4618</v>
      </c>
    </row>
    <row r="899" spans="1:23">
      <c r="A899" s="23">
        <v>4</v>
      </c>
      <c r="B899" s="23">
        <v>37</v>
      </c>
      <c r="C899" s="18">
        <v>4</v>
      </c>
      <c r="D899" s="18">
        <v>6</v>
      </c>
      <c r="E899" s="20">
        <v>52</v>
      </c>
      <c r="F899" s="21">
        <f t="shared" si="40"/>
        <v>109.63398692810458</v>
      </c>
      <c r="G899" s="22">
        <v>0.41283208762434997</v>
      </c>
      <c r="H899" s="18">
        <v>1</v>
      </c>
      <c r="I899" s="18">
        <f t="shared" si="41"/>
        <v>0</v>
      </c>
      <c r="J899" s="45">
        <v>43015</v>
      </c>
      <c r="K899" s="36">
        <v>2017</v>
      </c>
      <c r="L899" s="32">
        <f t="shared" ref="L899:L962" si="42">J899+T899</f>
        <v>43026</v>
      </c>
      <c r="M899" s="42">
        <v>1</v>
      </c>
      <c r="N899" s="33">
        <v>199</v>
      </c>
      <c r="O899" s="34">
        <f>AVERAGEIF(L3:L1205,"&lt;2017/10/7",N3:N1205)</f>
        <v>119.04421768707483</v>
      </c>
      <c r="P899" s="38">
        <v>0</v>
      </c>
      <c r="Q899" s="38">
        <f>AVERAGEIF(L3:L1205,"&lt;2017/10/7",P3:P1205)</f>
        <v>0.36394557823129253</v>
      </c>
      <c r="R899" s="38">
        <v>2</v>
      </c>
      <c r="S899" s="38">
        <f>AVERAGEIF(L3:L1205,"&lt;2017/10/7",R3:R1205)</f>
        <v>1.3333333333333333</v>
      </c>
      <c r="T899" s="38">
        <v>11</v>
      </c>
      <c r="U899" s="38">
        <f>AVERAGEIF(L3:L1205,"&lt;2017/10/7",T3:T1205)</f>
        <v>9.1088435374149661</v>
      </c>
      <c r="V899" s="24">
        <v>306</v>
      </c>
      <c r="W899" s="47" t="s">
        <v>4870</v>
      </c>
    </row>
    <row r="900" spans="1:23">
      <c r="A900" s="23">
        <v>2</v>
      </c>
      <c r="B900" s="23">
        <v>4</v>
      </c>
      <c r="C900" s="18">
        <v>4</v>
      </c>
      <c r="D900" s="18">
        <v>4</v>
      </c>
      <c r="E900" s="20">
        <v>45</v>
      </c>
      <c r="F900" s="21">
        <f t="shared" ref="F900:F963" si="43">AVERAGE(E901:E2102)</f>
        <v>109.84590163934426</v>
      </c>
      <c r="G900" s="22">
        <v>0.87497883915567698</v>
      </c>
      <c r="H900" s="18">
        <v>1</v>
      </c>
      <c r="I900" s="18">
        <f t="shared" ref="I900:I963" si="44">IF(H900=1,0,1)</f>
        <v>0</v>
      </c>
      <c r="J900" s="41">
        <v>43013</v>
      </c>
      <c r="K900" s="36">
        <v>2017</v>
      </c>
      <c r="L900" s="32">
        <f t="shared" si="42"/>
        <v>43017</v>
      </c>
      <c r="M900" s="40">
        <v>0</v>
      </c>
      <c r="N900" s="33">
        <v>39</v>
      </c>
      <c r="O900" s="34">
        <f>AVERAGEIF(L3:L1205,"&lt;2017/10/5",N3:N1205)</f>
        <v>119.04421768707483</v>
      </c>
      <c r="P900" s="38">
        <v>0</v>
      </c>
      <c r="Q900" s="38">
        <f>AVERAGEIF(L3:L1205,"&lt;2017/10/5",P3:P1205)</f>
        <v>0.36394557823129253</v>
      </c>
      <c r="R900" s="38">
        <v>1</v>
      </c>
      <c r="S900" s="38">
        <f>AVERAGEIF(L3:L1205,"&lt;2017/10/5",R3:R1205)</f>
        <v>1.3333333333333333</v>
      </c>
      <c r="T900" s="38">
        <v>4</v>
      </c>
      <c r="U900" s="38">
        <f>AVERAGEIF(L3:L1205,"&lt;2017/10/5",T3:T1205)</f>
        <v>9.1088435374149661</v>
      </c>
      <c r="V900" s="24">
        <v>305</v>
      </c>
      <c r="W900" s="47" t="s">
        <v>4621</v>
      </c>
    </row>
    <row r="901" spans="1:23">
      <c r="A901" s="23">
        <v>2</v>
      </c>
      <c r="B901" s="23">
        <v>4</v>
      </c>
      <c r="C901" s="18">
        <v>1</v>
      </c>
      <c r="D901" s="18">
        <v>6</v>
      </c>
      <c r="E901" s="20">
        <v>138</v>
      </c>
      <c r="F901" s="21">
        <f t="shared" si="43"/>
        <v>109.75328947368421</v>
      </c>
      <c r="G901" s="22">
        <v>0.42432349901718802</v>
      </c>
      <c r="H901" s="18">
        <v>0</v>
      </c>
      <c r="I901" s="18">
        <f t="shared" si="44"/>
        <v>1</v>
      </c>
      <c r="J901" s="41">
        <v>43013</v>
      </c>
      <c r="K901" s="36">
        <v>2017</v>
      </c>
      <c r="L901" s="32">
        <f t="shared" si="42"/>
        <v>43019</v>
      </c>
      <c r="M901" s="40">
        <v>1</v>
      </c>
      <c r="N901" s="33">
        <v>131</v>
      </c>
      <c r="O901" s="34">
        <f>AVERAGEIF(L3:L1205,"&lt;2017/10/5",N3:N1205)</f>
        <v>119.04421768707483</v>
      </c>
      <c r="P901" s="38">
        <v>0</v>
      </c>
      <c r="Q901" s="38">
        <f>AVERAGEIF(L3:L1205,"&lt;2017/10/5",P3:P1205)</f>
        <v>0.36394557823129253</v>
      </c>
      <c r="R901" s="38">
        <v>1</v>
      </c>
      <c r="S901" s="38">
        <f>AVERAGEIF(L3:L1205,"&lt;2017/10/5",R3:R1205)</f>
        <v>1.3333333333333333</v>
      </c>
      <c r="T901" s="38">
        <v>6</v>
      </c>
      <c r="U901" s="38">
        <f>AVERAGEIF(L3:L1205,"&lt;2017/10/5",T3:T1205)</f>
        <v>9.1088435374149661</v>
      </c>
      <c r="V901" s="24">
        <v>304</v>
      </c>
      <c r="W901" s="47" t="s">
        <v>4529</v>
      </c>
    </row>
    <row r="902" spans="1:23">
      <c r="A902" s="23">
        <v>3</v>
      </c>
      <c r="B902" s="23">
        <v>26</v>
      </c>
      <c r="C902" s="18">
        <v>4</v>
      </c>
      <c r="D902" s="18">
        <v>3</v>
      </c>
      <c r="E902" s="20">
        <v>261</v>
      </c>
      <c r="F902" s="21">
        <f t="shared" si="43"/>
        <v>109.25412541254126</v>
      </c>
      <c r="G902" s="22">
        <v>0.41250060767770202</v>
      </c>
      <c r="H902" s="3">
        <v>1</v>
      </c>
      <c r="I902" s="18">
        <f t="shared" si="44"/>
        <v>0</v>
      </c>
      <c r="J902" s="41">
        <v>43013</v>
      </c>
      <c r="K902" s="36">
        <v>2017</v>
      </c>
      <c r="L902" s="32">
        <f t="shared" si="42"/>
        <v>43027</v>
      </c>
      <c r="M902" s="40">
        <v>0</v>
      </c>
      <c r="N902" s="33">
        <v>117</v>
      </c>
      <c r="O902" s="34">
        <f>AVERAGEIF(L3:L1205,"&lt;2017/10/5",N3:N1205)</f>
        <v>119.04421768707483</v>
      </c>
      <c r="P902" s="38">
        <v>1</v>
      </c>
      <c r="Q902" s="38">
        <f>AVERAGEIF(L3:L1205,"&lt;2017/10/5",P3:P1205)</f>
        <v>0.36394557823129253</v>
      </c>
      <c r="R902" s="38">
        <v>2</v>
      </c>
      <c r="S902" s="38">
        <f>AVERAGEIF(L3:L1205,"&lt;2017/10/5",R3:R1205)</f>
        <v>1.3333333333333333</v>
      </c>
      <c r="T902" s="38">
        <v>14</v>
      </c>
      <c r="U902" s="38">
        <f>AVERAGEIF(L3:L1205,"&lt;2017/10/5",T3:T1205)</f>
        <v>9.1088435374149661</v>
      </c>
      <c r="V902" s="24">
        <v>303</v>
      </c>
      <c r="W902" s="47" t="s">
        <v>4634</v>
      </c>
    </row>
    <row r="903" spans="1:23">
      <c r="A903" s="23">
        <v>4</v>
      </c>
      <c r="B903" s="23">
        <v>35</v>
      </c>
      <c r="C903" s="18">
        <v>4</v>
      </c>
      <c r="D903" s="18">
        <v>6</v>
      </c>
      <c r="E903" s="20">
        <v>290</v>
      </c>
      <c r="F903" s="21">
        <f t="shared" si="43"/>
        <v>108.65562913907284</v>
      </c>
      <c r="G903" s="22">
        <v>0.375</v>
      </c>
      <c r="H903" s="18">
        <v>1</v>
      </c>
      <c r="I903" s="18">
        <f t="shared" si="44"/>
        <v>0</v>
      </c>
      <c r="J903" s="45">
        <v>43013</v>
      </c>
      <c r="K903" s="36">
        <v>2017</v>
      </c>
      <c r="L903" s="32">
        <f t="shared" si="42"/>
        <v>43026</v>
      </c>
      <c r="M903" s="24">
        <v>0</v>
      </c>
      <c r="N903" s="33">
        <v>125</v>
      </c>
      <c r="O903" s="34">
        <f>AVERAGEIF(L3:L1205,"&lt;2017/10/5",N3:N1205)</f>
        <v>119.04421768707483</v>
      </c>
      <c r="P903" s="38">
        <v>0</v>
      </c>
      <c r="Q903" s="38">
        <f>AVERAGEIF(L3:L1205,"&lt;2017/10/5",P3:P1205)</f>
        <v>0.36394557823129253</v>
      </c>
      <c r="R903" s="38">
        <v>1</v>
      </c>
      <c r="S903" s="38">
        <f>AVERAGEIF(L3:L1205,"&lt;2017/10/5",R3:R1205)</f>
        <v>1.3333333333333333</v>
      </c>
      <c r="T903" s="38">
        <v>13</v>
      </c>
      <c r="U903" s="38">
        <f>AVERAGEIF(L3:L1205,"&lt;2017/10/5",T3:T1205)</f>
        <v>9.1088435374149661</v>
      </c>
      <c r="V903" s="24">
        <v>302</v>
      </c>
      <c r="W903" s="47" t="s">
        <v>4523</v>
      </c>
    </row>
    <row r="904" spans="1:23">
      <c r="A904" s="23">
        <v>2</v>
      </c>
      <c r="B904" s="23">
        <v>11</v>
      </c>
      <c r="C904" s="18">
        <v>4</v>
      </c>
      <c r="D904" s="18">
        <v>4</v>
      </c>
      <c r="E904" s="20">
        <v>124</v>
      </c>
      <c r="F904" s="21">
        <f t="shared" si="43"/>
        <v>108.6046511627907</v>
      </c>
      <c r="G904" s="22">
        <v>0.34090911614112002</v>
      </c>
      <c r="H904" s="18">
        <v>1</v>
      </c>
      <c r="I904" s="18">
        <f t="shared" si="44"/>
        <v>0</v>
      </c>
      <c r="J904" s="41">
        <v>43009</v>
      </c>
      <c r="K904" s="36">
        <v>2017</v>
      </c>
      <c r="L904" s="32">
        <f t="shared" si="42"/>
        <v>43019</v>
      </c>
      <c r="M904" s="40">
        <v>0</v>
      </c>
      <c r="N904" s="33">
        <v>75</v>
      </c>
      <c r="O904" s="34">
        <f>AVERAGEIF(L3:L1205,"&lt;2017/10/1",N3:N1205)</f>
        <v>119.04421768707483</v>
      </c>
      <c r="P904" s="40">
        <v>0</v>
      </c>
      <c r="Q904" s="40">
        <f>AVERAGEIF(L3:L1205,"&lt;2017/10/1",P3:P1205)</f>
        <v>0.36394557823129253</v>
      </c>
      <c r="R904" s="40">
        <v>1</v>
      </c>
      <c r="S904" s="40">
        <f>AVERAGEIF(L3:L1205,"&lt;2017/10/1",R3:R1205)</f>
        <v>1.3333333333333333</v>
      </c>
      <c r="T904" s="40">
        <v>10</v>
      </c>
      <c r="U904" s="40">
        <f>AVERAGEIF(L3:L1205,"&lt;2017/10/1",T3:T1205)</f>
        <v>9.1088435374149661</v>
      </c>
      <c r="V904" s="24">
        <v>301</v>
      </c>
      <c r="W904" s="47" t="s">
        <v>4945</v>
      </c>
    </row>
    <row r="905" spans="1:23">
      <c r="A905" s="23">
        <v>2</v>
      </c>
      <c r="B905" s="23">
        <v>4</v>
      </c>
      <c r="C905" s="18">
        <v>4</v>
      </c>
      <c r="D905" s="18">
        <v>4</v>
      </c>
      <c r="E905" s="20">
        <v>60</v>
      </c>
      <c r="F905" s="21">
        <f t="shared" si="43"/>
        <v>108.76666666666667</v>
      </c>
      <c r="G905" s="22">
        <v>0.83284862410415705</v>
      </c>
      <c r="H905" s="18">
        <v>1</v>
      </c>
      <c r="I905" s="18">
        <f t="shared" si="44"/>
        <v>0</v>
      </c>
      <c r="J905" s="41">
        <v>43007</v>
      </c>
      <c r="K905" s="36">
        <v>2017</v>
      </c>
      <c r="L905" s="32">
        <f t="shared" si="42"/>
        <v>43024</v>
      </c>
      <c r="M905" s="24">
        <v>1</v>
      </c>
      <c r="N905" s="33">
        <v>132</v>
      </c>
      <c r="O905" s="34">
        <f>AVERAGEIF(L3:L1205,"&lt;2017/9/29",N3:N1205)</f>
        <v>119.48972602739725</v>
      </c>
      <c r="P905" s="38">
        <v>0</v>
      </c>
      <c r="Q905" s="38">
        <f>AVERAGEIF(L3:L1205,"&lt;2017/9/29",P3:P1205)</f>
        <v>0.35616438356164382</v>
      </c>
      <c r="R905" s="38">
        <v>1</v>
      </c>
      <c r="S905" s="38">
        <f>AVERAGEIF(L3:L1205,"&lt;2017/9/29",R3:R1205)</f>
        <v>1.3356164383561644</v>
      </c>
      <c r="T905" s="38">
        <v>17</v>
      </c>
      <c r="U905" s="38">
        <f>AVERAGEIF(L3:L1205,"&lt;2017/9/29",T3:T1205)</f>
        <v>9.1164383561643838</v>
      </c>
      <c r="V905" s="24">
        <v>300</v>
      </c>
      <c r="W905" s="47" t="s">
        <v>4634</v>
      </c>
    </row>
    <row r="906" spans="1:23">
      <c r="A906" s="23">
        <v>4</v>
      </c>
      <c r="B906" s="23">
        <v>37</v>
      </c>
      <c r="C906" s="18">
        <v>4</v>
      </c>
      <c r="D906" s="18">
        <v>6</v>
      </c>
      <c r="E906" s="20">
        <v>143</v>
      </c>
      <c r="F906" s="21">
        <f t="shared" si="43"/>
        <v>108.65217391304348</v>
      </c>
      <c r="G906" s="22">
        <v>0.37539342231080097</v>
      </c>
      <c r="H906" s="18">
        <v>1</v>
      </c>
      <c r="I906" s="18">
        <f t="shared" si="44"/>
        <v>0</v>
      </c>
      <c r="J906" s="59">
        <v>43007</v>
      </c>
      <c r="K906" s="36">
        <v>2017</v>
      </c>
      <c r="L906" s="32">
        <f t="shared" si="42"/>
        <v>43026</v>
      </c>
      <c r="M906" s="42">
        <v>1</v>
      </c>
      <c r="N906" s="33">
        <v>199</v>
      </c>
      <c r="O906" s="34">
        <f>AVERAGEIF(L3:L1205,"&lt;2017/9/29",N3:N1205)</f>
        <v>119.48972602739725</v>
      </c>
      <c r="P906" s="38">
        <v>0</v>
      </c>
      <c r="Q906" s="38">
        <f>AVERAGEIF(L3:L1205,"&lt;2017/9/29",P3:P1205)</f>
        <v>0.35616438356164382</v>
      </c>
      <c r="R906" s="38">
        <v>2</v>
      </c>
      <c r="S906" s="38">
        <f>AVERAGEIF(L3:L1205,"&lt;2017/9/29",R3:R1205)</f>
        <v>1.3356164383561644</v>
      </c>
      <c r="T906" s="38">
        <v>19</v>
      </c>
      <c r="U906" s="38">
        <f>AVERAGEIF(L3:L1205,"&lt;2017/9/29",T3:T1205)</f>
        <v>9.1164383561643838</v>
      </c>
      <c r="V906" s="24">
        <v>299</v>
      </c>
      <c r="W906" s="47" t="s">
        <v>4873</v>
      </c>
    </row>
    <row r="907" spans="1:23">
      <c r="A907" s="23">
        <v>2</v>
      </c>
      <c r="B907" s="23">
        <v>4</v>
      </c>
      <c r="C907" s="18">
        <v>4</v>
      </c>
      <c r="D907" s="18">
        <v>4</v>
      </c>
      <c r="E907" s="20">
        <v>42</v>
      </c>
      <c r="F907" s="21">
        <f t="shared" si="43"/>
        <v>108.8758389261745</v>
      </c>
      <c r="G907" s="22">
        <v>0.39380191168662698</v>
      </c>
      <c r="H907" s="18">
        <v>1</v>
      </c>
      <c r="I907" s="18">
        <f t="shared" si="44"/>
        <v>0</v>
      </c>
      <c r="J907" s="41">
        <v>43005</v>
      </c>
      <c r="K907" s="36">
        <v>2017</v>
      </c>
      <c r="L907" s="32">
        <f t="shared" si="42"/>
        <v>43007</v>
      </c>
      <c r="M907" s="40">
        <v>0</v>
      </c>
      <c r="N907" s="33">
        <v>29</v>
      </c>
      <c r="O907" s="34">
        <f>AVERAGEIF(L3:L1205,"&lt;2017/9/27",N3:N1205)</f>
        <v>119.48972602739725</v>
      </c>
      <c r="P907" s="38">
        <v>0</v>
      </c>
      <c r="Q907" s="38">
        <f>AVERAGEIF(L3:L1205,"&lt;2017/9/27",P3:P1205)</f>
        <v>0.35616438356164382</v>
      </c>
      <c r="R907" s="38">
        <v>1</v>
      </c>
      <c r="S907" s="38">
        <f>AVERAGEIF(L3:L1205,"&lt;2017/9/27",R3:R1205)</f>
        <v>1.3356164383561644</v>
      </c>
      <c r="T907" s="38">
        <v>2</v>
      </c>
      <c r="U907" s="38">
        <f>AVERAGEIF(L3:L1205,"&lt;2017/9/27",T3:T1205)</f>
        <v>9.1164383561643838</v>
      </c>
      <c r="V907" s="24">
        <v>298</v>
      </c>
      <c r="W907" s="47" t="s">
        <v>4634</v>
      </c>
    </row>
    <row r="908" spans="1:23">
      <c r="A908" s="23">
        <v>2</v>
      </c>
      <c r="B908" s="23">
        <v>4</v>
      </c>
      <c r="C908" s="18">
        <v>4</v>
      </c>
      <c r="D908" s="18">
        <v>6</v>
      </c>
      <c r="E908" s="20">
        <v>235</v>
      </c>
      <c r="F908" s="21">
        <f t="shared" si="43"/>
        <v>108.45117845117845</v>
      </c>
      <c r="G908" s="22">
        <v>0.41250000000000703</v>
      </c>
      <c r="H908" s="18">
        <v>1</v>
      </c>
      <c r="I908" s="18">
        <f t="shared" si="44"/>
        <v>0</v>
      </c>
      <c r="J908" s="41">
        <v>43005</v>
      </c>
      <c r="K908" s="36">
        <v>2017</v>
      </c>
      <c r="L908" s="32">
        <f t="shared" si="42"/>
        <v>43024</v>
      </c>
      <c r="M908" s="40">
        <v>1</v>
      </c>
      <c r="N908" s="33">
        <v>145</v>
      </c>
      <c r="O908" s="34">
        <f>AVERAGEIF(L3:L1205,"&lt;2017/9/27",N3:N1205)</f>
        <v>119.48972602739725</v>
      </c>
      <c r="P908" s="38">
        <v>0</v>
      </c>
      <c r="Q908" s="38">
        <f>AVERAGEIF(L3:L1205,"&lt;2017/9/27",P3:P1205)</f>
        <v>0.35616438356164382</v>
      </c>
      <c r="R908" s="38">
        <v>1</v>
      </c>
      <c r="S908" s="38">
        <f>AVERAGEIF(L3:L1205,"&lt;2017/9/27",R3:R1205)</f>
        <v>1.3356164383561644</v>
      </c>
      <c r="T908" s="38">
        <v>19</v>
      </c>
      <c r="U908" s="38">
        <f>AVERAGEIF(L3:L1205,"&lt;2017/9/27",T3:T1205)</f>
        <v>9.1164383561643838</v>
      </c>
      <c r="V908" s="24">
        <v>297</v>
      </c>
      <c r="W908" s="47" t="s">
        <v>4661</v>
      </c>
    </row>
    <row r="909" spans="1:23">
      <c r="A909" s="23">
        <v>2</v>
      </c>
      <c r="B909" s="23">
        <v>5</v>
      </c>
      <c r="C909" s="18">
        <v>4</v>
      </c>
      <c r="D909" s="18">
        <v>4</v>
      </c>
      <c r="E909" s="20">
        <v>93</v>
      </c>
      <c r="F909" s="21">
        <f t="shared" si="43"/>
        <v>108.50337837837837</v>
      </c>
      <c r="G909" s="22">
        <v>0.483040688504634</v>
      </c>
      <c r="H909" s="18">
        <v>1</v>
      </c>
      <c r="I909" s="18">
        <f t="shared" si="44"/>
        <v>0</v>
      </c>
      <c r="J909" s="41">
        <v>43002</v>
      </c>
      <c r="K909" s="36">
        <v>2017</v>
      </c>
      <c r="L909" s="32">
        <f t="shared" si="42"/>
        <v>43017</v>
      </c>
      <c r="M909" s="40">
        <v>1</v>
      </c>
      <c r="N909" s="33">
        <v>66</v>
      </c>
      <c r="O909" s="34">
        <f>AVERAGEIF(L3:L1205,"&lt;2017/9/24",N3:N1205)</f>
        <v>118.95501730103807</v>
      </c>
      <c r="P909" s="40">
        <v>0</v>
      </c>
      <c r="Q909" s="40">
        <f>AVERAGEIF(L3:L1205,"&lt;2017/9/24",P3:P1205)</f>
        <v>0.35294117647058826</v>
      </c>
      <c r="R909" s="40">
        <v>1</v>
      </c>
      <c r="S909" s="40">
        <f>AVERAGEIF(L3:L1205,"&lt;2017/9/24",R3:R1205)</f>
        <v>1.3321799307958477</v>
      </c>
      <c r="T909" s="40">
        <v>15</v>
      </c>
      <c r="U909" s="40">
        <f>AVERAGEIF(L3:L1205,"&lt;2017/9/24",T3:T1205)</f>
        <v>9.0726643598615908</v>
      </c>
      <c r="V909" s="24">
        <v>296</v>
      </c>
      <c r="W909" s="47" t="s">
        <v>4634</v>
      </c>
    </row>
    <row r="910" spans="1:23">
      <c r="A910" s="23">
        <v>4</v>
      </c>
      <c r="B910" s="23">
        <v>37</v>
      </c>
      <c r="C910" s="18">
        <v>4</v>
      </c>
      <c r="D910" s="18">
        <v>6</v>
      </c>
      <c r="E910" s="20">
        <v>101</v>
      </c>
      <c r="F910" s="21">
        <f t="shared" si="43"/>
        <v>108.52881355932203</v>
      </c>
      <c r="G910" s="22">
        <v>0.37779092794497199</v>
      </c>
      <c r="H910" s="18">
        <v>1</v>
      </c>
      <c r="I910" s="18">
        <f t="shared" si="44"/>
        <v>0</v>
      </c>
      <c r="J910" s="59">
        <v>43001</v>
      </c>
      <c r="K910" s="36">
        <v>2017</v>
      </c>
      <c r="L910" s="32">
        <f t="shared" si="42"/>
        <v>43020</v>
      </c>
      <c r="M910" s="42">
        <v>1</v>
      </c>
      <c r="N910" s="33">
        <v>199</v>
      </c>
      <c r="O910" s="34">
        <f>AVERAGEIF(L3:L1205,"&lt;2017/9/23",N3:N1205)</f>
        <v>118.95501730103807</v>
      </c>
      <c r="P910" s="38">
        <v>0</v>
      </c>
      <c r="Q910" s="38">
        <f>AVERAGEIF(L3:L1205,"&lt;2017/9/23",P3:P1205)</f>
        <v>0.35294117647058826</v>
      </c>
      <c r="R910" s="38">
        <v>2</v>
      </c>
      <c r="S910" s="38">
        <f>AVERAGEIF(L3:L1205,"&lt;2017/9/23",R3:R1205)</f>
        <v>1.3321799307958477</v>
      </c>
      <c r="T910" s="38">
        <v>19</v>
      </c>
      <c r="U910" s="38">
        <f>AVERAGEIF(L3:L1205,"&lt;2017/9/23",T3:T1205)</f>
        <v>9.0726643598615908</v>
      </c>
      <c r="V910" s="24">
        <v>295</v>
      </c>
      <c r="W910" s="47" t="s">
        <v>4870</v>
      </c>
    </row>
    <row r="911" spans="1:23">
      <c r="A911" s="23">
        <v>2</v>
      </c>
      <c r="B911" s="23">
        <v>6</v>
      </c>
      <c r="C911" s="18">
        <v>4</v>
      </c>
      <c r="D911" s="18">
        <v>4</v>
      </c>
      <c r="E911" s="20">
        <v>56</v>
      </c>
      <c r="F911" s="21">
        <f t="shared" si="43"/>
        <v>108.70748299319727</v>
      </c>
      <c r="G911" s="22">
        <v>0.83369939989900399</v>
      </c>
      <c r="H911" s="18">
        <v>1</v>
      </c>
      <c r="I911" s="18">
        <f t="shared" si="44"/>
        <v>0</v>
      </c>
      <c r="J911" s="41">
        <v>43000</v>
      </c>
      <c r="K911" s="36">
        <v>2017</v>
      </c>
      <c r="L911" s="32">
        <f t="shared" si="42"/>
        <v>43017</v>
      </c>
      <c r="M911" s="40">
        <v>0</v>
      </c>
      <c r="N911" s="33">
        <v>39</v>
      </c>
      <c r="O911" s="34">
        <f>AVERAGEIF(L3:L1205,"&lt;2017/9/22",N3:N1205)</f>
        <v>119.52797202797203</v>
      </c>
      <c r="P911" s="40">
        <v>0</v>
      </c>
      <c r="Q911" s="40">
        <f>AVERAGEIF(L3:L1205,"&lt;2017/9/22",P3:P1205)</f>
        <v>0.35664335664335667</v>
      </c>
      <c r="R911" s="40">
        <v>1</v>
      </c>
      <c r="S911" s="40">
        <f>AVERAGEIF(L3:L1205,"&lt;2017/9/22",R3:R1205)</f>
        <v>1.3321678321678321</v>
      </c>
      <c r="T911" s="40">
        <v>17</v>
      </c>
      <c r="U911" s="40">
        <f>AVERAGEIF(L3:L1205,"&lt;2017/9/22",T3:T1205)</f>
        <v>9.1258741258741267</v>
      </c>
      <c r="V911" s="24">
        <v>294</v>
      </c>
      <c r="W911" s="47" t="s">
        <v>4529</v>
      </c>
    </row>
    <row r="912" spans="1:23">
      <c r="A912" s="23">
        <v>2</v>
      </c>
      <c r="B912" s="23">
        <v>6</v>
      </c>
      <c r="C912" s="18">
        <v>4</v>
      </c>
      <c r="D912" s="18">
        <v>5</v>
      </c>
      <c r="E912" s="20">
        <v>50</v>
      </c>
      <c r="F912" s="21">
        <f t="shared" si="43"/>
        <v>108.90784982935153</v>
      </c>
      <c r="G912" s="22">
        <v>0.87000869630533395</v>
      </c>
      <c r="H912" s="18">
        <v>1</v>
      </c>
      <c r="I912" s="18">
        <f t="shared" si="44"/>
        <v>0</v>
      </c>
      <c r="J912" s="41">
        <v>42998</v>
      </c>
      <c r="K912" s="36">
        <v>2017</v>
      </c>
      <c r="L912" s="32">
        <f t="shared" si="42"/>
        <v>43000</v>
      </c>
      <c r="M912" s="40">
        <v>1</v>
      </c>
      <c r="N912" s="33">
        <v>55</v>
      </c>
      <c r="O912" s="34">
        <f>AVERAGEIF(L3:L1205,"&lt;2017/9/20",N3:N1205)</f>
        <v>119.09574468085107</v>
      </c>
      <c r="P912" s="38">
        <v>0</v>
      </c>
      <c r="Q912" s="38">
        <f>AVERAGEIF(L3:L1205,"&lt;2017/9/20",P3:P1205)</f>
        <v>0.3546099290780142</v>
      </c>
      <c r="R912" s="38">
        <v>2</v>
      </c>
      <c r="S912" s="38">
        <f>AVERAGEIF(L3:L1205,"&lt;2017/9/20",R3:R1205)</f>
        <v>1.3333333333333333</v>
      </c>
      <c r="T912" s="38">
        <v>2</v>
      </c>
      <c r="U912" s="38">
        <f>AVERAGEIF(L3:L1205,"&lt;2017/9/20",T3:T1205)</f>
        <v>9.1737588652482263</v>
      </c>
      <c r="V912" s="24">
        <v>293</v>
      </c>
      <c r="W912" s="47" t="s">
        <v>4529</v>
      </c>
    </row>
    <row r="913" spans="1:23">
      <c r="A913" s="23">
        <v>2</v>
      </c>
      <c r="B913" s="23">
        <v>6</v>
      </c>
      <c r="C913" s="18">
        <v>4</v>
      </c>
      <c r="D913" s="18">
        <v>4</v>
      </c>
      <c r="E913" s="20">
        <v>161</v>
      </c>
      <c r="F913" s="21">
        <f t="shared" si="43"/>
        <v>108.72945205479452</v>
      </c>
      <c r="G913" s="22">
        <v>0.41576764615272899</v>
      </c>
      <c r="H913" s="18">
        <v>1</v>
      </c>
      <c r="I913" s="18">
        <f t="shared" si="44"/>
        <v>0</v>
      </c>
      <c r="J913" s="41">
        <v>42997</v>
      </c>
      <c r="K913" s="36">
        <v>2017</v>
      </c>
      <c r="L913" s="32">
        <f t="shared" si="42"/>
        <v>43018</v>
      </c>
      <c r="M913" s="40">
        <v>0</v>
      </c>
      <c r="N913" s="33">
        <v>120</v>
      </c>
      <c r="O913" s="34">
        <f>AVERAGEIF(L3:L1205,"&lt;2017/9/19",N3:N1205)</f>
        <v>119.09574468085107</v>
      </c>
      <c r="P913" s="40">
        <v>1</v>
      </c>
      <c r="Q913" s="40">
        <f>AVERAGEIF(L3:L1205,"&lt;2017/9/19",P3:P1205)</f>
        <v>0.3546099290780142</v>
      </c>
      <c r="R913" s="40">
        <v>2</v>
      </c>
      <c r="S913" s="40">
        <f>AVERAGEIF(L3:L1205,"&lt;2017/9/19",R3:R1205)</f>
        <v>1.3333333333333333</v>
      </c>
      <c r="T913" s="40">
        <v>21</v>
      </c>
      <c r="U913" s="40">
        <f>AVERAGEIF(L3:L1205,"&lt;2017/9/19",T3:T1205)</f>
        <v>9.1737588652482263</v>
      </c>
      <c r="V913" s="24">
        <v>292</v>
      </c>
      <c r="W913" s="47" t="s">
        <v>4634</v>
      </c>
    </row>
    <row r="914" spans="1:23">
      <c r="A914" s="23">
        <v>2</v>
      </c>
      <c r="B914" s="23">
        <v>11</v>
      </c>
      <c r="C914" s="18">
        <v>4</v>
      </c>
      <c r="D914" s="18">
        <v>4</v>
      </c>
      <c r="E914" s="20">
        <v>98</v>
      </c>
      <c r="F914" s="21">
        <f t="shared" si="43"/>
        <v>108.76632302405498</v>
      </c>
      <c r="G914" s="22">
        <v>0.31225397845560798</v>
      </c>
      <c r="H914" s="18">
        <v>1</v>
      </c>
      <c r="I914" s="18">
        <f t="shared" si="44"/>
        <v>0</v>
      </c>
      <c r="J914" s="41">
        <v>42997</v>
      </c>
      <c r="K914" s="36">
        <v>2017</v>
      </c>
      <c r="L914" s="32">
        <f t="shared" si="42"/>
        <v>42998</v>
      </c>
      <c r="M914" s="40">
        <v>0</v>
      </c>
      <c r="N914" s="33">
        <v>88</v>
      </c>
      <c r="O914" s="34">
        <f>AVERAGEIF(L3:L1205,"&lt;2017/9/19",N3:N1205)</f>
        <v>119.09574468085107</v>
      </c>
      <c r="P914" s="38">
        <v>0</v>
      </c>
      <c r="Q914" s="38">
        <f>AVERAGEIF(L3:L1205,"&lt;2017/9/19",P3:P1205)</f>
        <v>0.3546099290780142</v>
      </c>
      <c r="R914" s="38">
        <v>1</v>
      </c>
      <c r="S914" s="38">
        <f>AVERAGEIF(L3:L1205,"&lt;2017/9/19",R3:R1205)</f>
        <v>1.3333333333333333</v>
      </c>
      <c r="T914" s="38">
        <v>1</v>
      </c>
      <c r="U914" s="38">
        <f>AVERAGEIF(L3:L1205,"&lt;2017/9/19",T3:T1205)</f>
        <v>9.1737588652482263</v>
      </c>
      <c r="V914" s="24">
        <v>291</v>
      </c>
      <c r="W914" s="47" t="s">
        <v>4863</v>
      </c>
    </row>
    <row r="915" spans="1:23">
      <c r="A915" s="23">
        <v>4</v>
      </c>
      <c r="B915" s="23">
        <v>33</v>
      </c>
      <c r="C915" s="18">
        <v>4</v>
      </c>
      <c r="D915" s="18">
        <v>4</v>
      </c>
      <c r="E915" s="20">
        <v>76</v>
      </c>
      <c r="F915" s="21">
        <f t="shared" si="43"/>
        <v>108.87931034482759</v>
      </c>
      <c r="G915" s="22">
        <v>0.37500046593302599</v>
      </c>
      <c r="H915" s="18">
        <v>1</v>
      </c>
      <c r="I915" s="18">
        <f t="shared" si="44"/>
        <v>0</v>
      </c>
      <c r="J915" s="45">
        <v>42997</v>
      </c>
      <c r="K915" s="36">
        <v>2017</v>
      </c>
      <c r="L915" s="32">
        <f t="shared" si="42"/>
        <v>43000</v>
      </c>
      <c r="M915" s="42">
        <v>0</v>
      </c>
      <c r="N915" s="33">
        <v>100</v>
      </c>
      <c r="O915" s="34">
        <f>AVERAGEIF(L3:L1205,"&lt;2017/9/19",N3:N1205)</f>
        <v>119.09574468085107</v>
      </c>
      <c r="P915" s="38">
        <v>0</v>
      </c>
      <c r="Q915" s="38">
        <f>AVERAGEIF(L3:L1205,"&lt;2017/9/19",P3:P1205)</f>
        <v>0.3546099290780142</v>
      </c>
      <c r="R915" s="38">
        <v>1</v>
      </c>
      <c r="S915" s="38">
        <f>AVERAGEIF(L3:L1205,"&lt;2017/9/19",R3:R1205)</f>
        <v>1.3333333333333333</v>
      </c>
      <c r="T915" s="38">
        <v>3</v>
      </c>
      <c r="U915" s="38">
        <f>AVERAGEIF(L3:L1205,"&lt;2017/9/19",T3:T1205)</f>
        <v>9.1737588652482263</v>
      </c>
      <c r="V915" s="24">
        <v>290</v>
      </c>
      <c r="W915" s="47" t="s">
        <v>4579</v>
      </c>
    </row>
    <row r="916" spans="1:23">
      <c r="A916" s="23">
        <v>4</v>
      </c>
      <c r="B916" s="23">
        <v>28</v>
      </c>
      <c r="C916" s="18">
        <v>4</v>
      </c>
      <c r="D916" s="18">
        <v>4</v>
      </c>
      <c r="E916" s="20">
        <v>61</v>
      </c>
      <c r="F916" s="21">
        <f t="shared" si="43"/>
        <v>109.04498269896193</v>
      </c>
      <c r="G916" s="22">
        <v>0.76989890290833596</v>
      </c>
      <c r="H916" s="18">
        <v>1</v>
      </c>
      <c r="I916" s="18">
        <f t="shared" si="44"/>
        <v>0</v>
      </c>
      <c r="J916" s="45">
        <v>42996</v>
      </c>
      <c r="K916" s="36">
        <v>2017</v>
      </c>
      <c r="L916" s="32">
        <f t="shared" si="42"/>
        <v>42999</v>
      </c>
      <c r="M916" s="44">
        <v>0</v>
      </c>
      <c r="N916" s="33">
        <v>167</v>
      </c>
      <c r="O916" s="34">
        <f>AVERAGEIF(L3:L1205,"&lt;2017/9/18",N3:N1205)</f>
        <v>117.94982078853046</v>
      </c>
      <c r="P916" s="38">
        <v>1</v>
      </c>
      <c r="Q916" s="38">
        <f>AVERAGEIF(L3:L1205,"&lt;2017/9/18",P3:P1205)</f>
        <v>0.35125448028673834</v>
      </c>
      <c r="R916" s="38">
        <v>1</v>
      </c>
      <c r="S916" s="38">
        <f>AVERAGEIF(L3:L1205,"&lt;2017/9/18",R3:R1205)</f>
        <v>1.3333333333333333</v>
      </c>
      <c r="T916" s="38">
        <v>3</v>
      </c>
      <c r="U916" s="38">
        <f>AVERAGEIF(L3:L1205,"&lt;2017/9/18",T3:T1205)</f>
        <v>9.1863799283154126</v>
      </c>
      <c r="V916" s="24">
        <v>289</v>
      </c>
      <c r="W916" s="47" t="s">
        <v>4630</v>
      </c>
    </row>
    <row r="917" spans="1:23">
      <c r="A917" s="23">
        <v>2</v>
      </c>
      <c r="B917" s="23">
        <v>4</v>
      </c>
      <c r="C917" s="18">
        <v>4</v>
      </c>
      <c r="D917" s="18">
        <v>4</v>
      </c>
      <c r="E917" s="20">
        <v>34</v>
      </c>
      <c r="F917" s="21">
        <f t="shared" si="43"/>
        <v>109.30555555555556</v>
      </c>
      <c r="G917" s="22">
        <v>0.42357830157107101</v>
      </c>
      <c r="H917" s="18">
        <v>1</v>
      </c>
      <c r="I917" s="18">
        <f t="shared" si="44"/>
        <v>0</v>
      </c>
      <c r="J917" s="41">
        <v>42993</v>
      </c>
      <c r="K917" s="36">
        <v>2017</v>
      </c>
      <c r="L917" s="32">
        <f t="shared" si="42"/>
        <v>43000</v>
      </c>
      <c r="M917" s="40">
        <v>0</v>
      </c>
      <c r="N917" s="33">
        <v>38</v>
      </c>
      <c r="O917" s="34">
        <f>AVERAGEIF(L3:L1205,"&lt;2017/9/15",N3:N1205)</f>
        <v>118.47826086956522</v>
      </c>
      <c r="P917" s="38">
        <v>0</v>
      </c>
      <c r="Q917" s="38">
        <f>AVERAGEIF(L3:L1205,"&lt;2017/9/15",P3:P1205)</f>
        <v>0.35507246376811596</v>
      </c>
      <c r="R917" s="38">
        <v>1</v>
      </c>
      <c r="S917" s="38">
        <f>AVERAGEIF(L3:L1205,"&lt;2017/9/15",R3:R1205)</f>
        <v>1.3369565217391304</v>
      </c>
      <c r="T917" s="38">
        <v>7</v>
      </c>
      <c r="U917" s="38">
        <f>AVERAGEIF(L3:L1205,"&lt;2017/9/15",T3:T1205)</f>
        <v>9.2137681159420293</v>
      </c>
      <c r="V917" s="24">
        <v>288</v>
      </c>
      <c r="W917" s="47" t="s">
        <v>4521</v>
      </c>
    </row>
    <row r="918" spans="1:23">
      <c r="A918" s="23">
        <v>2</v>
      </c>
      <c r="B918" s="23">
        <v>17</v>
      </c>
      <c r="C918" s="18">
        <v>4</v>
      </c>
      <c r="D918" s="18">
        <v>6</v>
      </c>
      <c r="E918" s="20">
        <v>188</v>
      </c>
      <c r="F918" s="21">
        <f t="shared" si="43"/>
        <v>109.03135888501743</v>
      </c>
      <c r="G918" s="22">
        <v>0.37651039318400198</v>
      </c>
      <c r="H918" s="18">
        <v>0</v>
      </c>
      <c r="I918" s="18">
        <f t="shared" si="44"/>
        <v>1</v>
      </c>
      <c r="J918" s="41">
        <v>42993</v>
      </c>
      <c r="K918" s="36">
        <v>2017</v>
      </c>
      <c r="L918" s="32">
        <f t="shared" si="42"/>
        <v>43007</v>
      </c>
      <c r="M918" s="40">
        <v>0</v>
      </c>
      <c r="N918" s="33">
        <v>79</v>
      </c>
      <c r="O918" s="34">
        <f>AVERAGEIF(L3:L1205,"&lt;2017/9/15",N3:N1205)</f>
        <v>118.47826086956522</v>
      </c>
      <c r="P918" s="38">
        <v>3</v>
      </c>
      <c r="Q918" s="38">
        <f>AVERAGEIF(L3:L1205,"&lt;2017/9/15",P3:P1205)</f>
        <v>0.35507246376811596</v>
      </c>
      <c r="R918" s="38">
        <v>1</v>
      </c>
      <c r="S918" s="38">
        <f>AVERAGEIF(L3:L1205,"&lt;2017/9/15",R3:R1205)</f>
        <v>1.3369565217391304</v>
      </c>
      <c r="T918" s="38">
        <v>14</v>
      </c>
      <c r="U918" s="38">
        <f>AVERAGEIF(L3:L1205,"&lt;2017/9/15",T3:T1205)</f>
        <v>9.2137681159420293</v>
      </c>
      <c r="V918" s="24">
        <v>287</v>
      </c>
      <c r="W918" s="47" t="s">
        <v>4659</v>
      </c>
    </row>
    <row r="919" spans="1:23">
      <c r="A919" s="23">
        <v>3</v>
      </c>
      <c r="B919" s="23">
        <v>24</v>
      </c>
      <c r="C919" s="18">
        <v>4</v>
      </c>
      <c r="D919" s="18">
        <v>4</v>
      </c>
      <c r="E919" s="20">
        <v>54</v>
      </c>
      <c r="F919" s="21">
        <f t="shared" si="43"/>
        <v>109.22377622377623</v>
      </c>
      <c r="G919" s="22">
        <v>0.34091472767680903</v>
      </c>
      <c r="H919" s="3">
        <v>1</v>
      </c>
      <c r="I919" s="18">
        <f t="shared" si="44"/>
        <v>0</v>
      </c>
      <c r="J919" s="41">
        <v>42993</v>
      </c>
      <c r="K919" s="36">
        <v>2017</v>
      </c>
      <c r="L919" s="32">
        <f t="shared" si="42"/>
        <v>42998</v>
      </c>
      <c r="M919" s="40">
        <v>0</v>
      </c>
      <c r="N919" s="33">
        <v>42</v>
      </c>
      <c r="O919" s="34">
        <f>AVERAGEIF(L3:L1205,"&lt;2017/9/15",N3:N1205)</f>
        <v>118.47826086956522</v>
      </c>
      <c r="P919" s="38">
        <v>1</v>
      </c>
      <c r="Q919" s="38">
        <f>AVERAGEIF(L3:L1205,"&lt;2017/9/15",P3:P1205)</f>
        <v>0.35507246376811596</v>
      </c>
      <c r="R919" s="38">
        <v>1</v>
      </c>
      <c r="S919" s="38">
        <f>AVERAGEIF(L3:L1205,"&lt;2017/9/15",R3:R1205)</f>
        <v>1.3369565217391304</v>
      </c>
      <c r="T919" s="38">
        <v>5</v>
      </c>
      <c r="U919" s="38">
        <f>AVERAGEIF(L3:L1205,"&lt;2017/9/15",T3:T1205)</f>
        <v>9.2137681159420293</v>
      </c>
      <c r="V919" s="24">
        <v>286</v>
      </c>
      <c r="W919" s="47" t="s">
        <v>4550</v>
      </c>
    </row>
    <row r="920" spans="1:23">
      <c r="A920" s="23">
        <v>2</v>
      </c>
      <c r="B920" s="23">
        <v>4</v>
      </c>
      <c r="C920" s="18">
        <v>4</v>
      </c>
      <c r="D920" s="18">
        <v>4</v>
      </c>
      <c r="E920" s="20">
        <v>65</v>
      </c>
      <c r="F920" s="21">
        <f t="shared" si="43"/>
        <v>109.37894736842105</v>
      </c>
      <c r="G920" s="22">
        <v>0.87496872259246905</v>
      </c>
      <c r="H920" s="18">
        <v>1</v>
      </c>
      <c r="I920" s="18">
        <f t="shared" si="44"/>
        <v>0</v>
      </c>
      <c r="J920" s="41">
        <v>42991</v>
      </c>
      <c r="K920" s="36">
        <v>2017</v>
      </c>
      <c r="L920" s="32">
        <f t="shared" si="42"/>
        <v>42992</v>
      </c>
      <c r="M920" s="40">
        <v>0</v>
      </c>
      <c r="N920" s="33">
        <v>43</v>
      </c>
      <c r="O920" s="34">
        <f>AVERAGEIF(L3:L1205,"&lt;2017/9/13",N3:N1205)</f>
        <v>118.65313653136532</v>
      </c>
      <c r="P920" s="38">
        <v>0</v>
      </c>
      <c r="Q920" s="38">
        <f>AVERAGEIF(L3:L1205,"&lt;2017/9/13",P3:P1205)</f>
        <v>0.36162361623616235</v>
      </c>
      <c r="R920" s="38">
        <v>1</v>
      </c>
      <c r="S920" s="38">
        <f>AVERAGEIF(L3:L1205,"&lt;2017/9/13",R3:R1205)</f>
        <v>1.3394833948339484</v>
      </c>
      <c r="T920" s="38">
        <v>1</v>
      </c>
      <c r="U920" s="38">
        <f>AVERAGEIF(L3:L1205,"&lt;2017/9/13",T3:T1205)</f>
        <v>9.2988929889298895</v>
      </c>
      <c r="V920" s="24">
        <v>285</v>
      </c>
      <c r="W920" s="47" t="s">
        <v>4557</v>
      </c>
    </row>
    <row r="921" spans="1:23">
      <c r="A921" s="23">
        <v>2</v>
      </c>
      <c r="B921" s="23">
        <v>17</v>
      </c>
      <c r="C921" s="18">
        <v>3</v>
      </c>
      <c r="D921" s="18">
        <v>6</v>
      </c>
      <c r="E921" s="20">
        <v>141</v>
      </c>
      <c r="F921" s="21">
        <f t="shared" si="43"/>
        <v>109.26760563380282</v>
      </c>
      <c r="G921" s="22">
        <v>0.487106341220848</v>
      </c>
      <c r="H921" s="18">
        <v>1</v>
      </c>
      <c r="I921" s="18">
        <f t="shared" si="44"/>
        <v>0</v>
      </c>
      <c r="J921" s="41">
        <v>42991</v>
      </c>
      <c r="K921" s="36">
        <v>2017</v>
      </c>
      <c r="L921" s="32">
        <f t="shared" si="42"/>
        <v>42996</v>
      </c>
      <c r="M921" s="40">
        <v>0</v>
      </c>
      <c r="N921" s="33">
        <v>148</v>
      </c>
      <c r="O921" s="34">
        <f>AVERAGEIF(L3:L1205,"&lt;2017/9/13",N3:N1205)</f>
        <v>118.65313653136532</v>
      </c>
      <c r="P921" s="38">
        <v>1</v>
      </c>
      <c r="Q921" s="38">
        <f>AVERAGEIF(L3:L1205,"&lt;2017/9/13",P3:P1205)</f>
        <v>0.36162361623616235</v>
      </c>
      <c r="R921" s="38">
        <v>1</v>
      </c>
      <c r="S921" s="38">
        <f>AVERAGEIF(L3:L1205,"&lt;2017/9/13",R3:R1205)</f>
        <v>1.3394833948339484</v>
      </c>
      <c r="T921" s="38">
        <v>5</v>
      </c>
      <c r="U921" s="38">
        <f>AVERAGEIF(L3:L1205,"&lt;2017/9/13",T3:T1205)</f>
        <v>9.2988929889298895</v>
      </c>
      <c r="V921" s="24">
        <v>284</v>
      </c>
      <c r="W921" s="47" t="s">
        <v>4634</v>
      </c>
    </row>
    <row r="922" spans="1:23">
      <c r="A922" s="23">
        <v>4</v>
      </c>
      <c r="B922" s="23">
        <v>37</v>
      </c>
      <c r="C922" s="18">
        <v>4</v>
      </c>
      <c r="D922" s="18">
        <v>6</v>
      </c>
      <c r="E922" s="20">
        <v>136</v>
      </c>
      <c r="F922" s="21">
        <f t="shared" si="43"/>
        <v>109.17314487632508</v>
      </c>
      <c r="G922" s="22">
        <v>0.37544212449018299</v>
      </c>
      <c r="H922" s="18">
        <v>1</v>
      </c>
      <c r="I922" s="18">
        <f t="shared" si="44"/>
        <v>0</v>
      </c>
      <c r="J922" s="45">
        <v>42991</v>
      </c>
      <c r="K922" s="36">
        <v>2017</v>
      </c>
      <c r="L922" s="32">
        <f t="shared" si="42"/>
        <v>43004</v>
      </c>
      <c r="M922" s="42">
        <v>1</v>
      </c>
      <c r="N922" s="33">
        <v>304</v>
      </c>
      <c r="O922" s="34">
        <f>AVERAGEIF(L3:L1205,"&lt;2017/9/13",N3:N1205)</f>
        <v>118.65313653136532</v>
      </c>
      <c r="P922" s="38">
        <v>0</v>
      </c>
      <c r="Q922" s="38">
        <f>AVERAGEIF(L3:L1205,"&lt;2017/9/13",P3:P1205)</f>
        <v>0.36162361623616235</v>
      </c>
      <c r="R922" s="38">
        <v>2</v>
      </c>
      <c r="S922" s="38">
        <f>AVERAGEIF(L3:L1205,"&lt;2017/9/13",R3:R1205)</f>
        <v>1.3394833948339484</v>
      </c>
      <c r="T922" s="38">
        <v>13</v>
      </c>
      <c r="U922" s="38">
        <f>AVERAGEIF(L3:L1205,"&lt;2017/9/13",T3:T1205)</f>
        <v>9.2988929889298895</v>
      </c>
      <c r="V922" s="24">
        <v>283</v>
      </c>
      <c r="W922" s="47" t="s">
        <v>4873</v>
      </c>
    </row>
    <row r="923" spans="1:23">
      <c r="A923" s="23">
        <v>3</v>
      </c>
      <c r="B923" s="23">
        <v>24</v>
      </c>
      <c r="C923" s="18">
        <v>4</v>
      </c>
      <c r="D923" s="18">
        <v>6</v>
      </c>
      <c r="E923" s="20">
        <v>160</v>
      </c>
      <c r="F923" s="21">
        <f t="shared" si="43"/>
        <v>108.99290780141844</v>
      </c>
      <c r="G923" s="22">
        <v>0.75605775873622905</v>
      </c>
      <c r="H923" s="3">
        <v>1</v>
      </c>
      <c r="I923" s="18">
        <f t="shared" si="44"/>
        <v>0</v>
      </c>
      <c r="J923" s="41">
        <v>42990</v>
      </c>
      <c r="K923" s="36">
        <v>2017</v>
      </c>
      <c r="L923" s="32">
        <f t="shared" si="42"/>
        <v>43003</v>
      </c>
      <c r="M923" s="40">
        <v>0</v>
      </c>
      <c r="N923" s="33">
        <v>146</v>
      </c>
      <c r="O923" s="34">
        <f>AVERAGEIF(L3:L1205,"&lt;2017/9/12",N3:N1205)</f>
        <v>119.09363295880149</v>
      </c>
      <c r="P923" s="38">
        <v>2</v>
      </c>
      <c r="Q923" s="38">
        <f>AVERAGEIF(L3:L1205,"&lt;2017/9/11",P3:P1205)</f>
        <v>0.37262357414448671</v>
      </c>
      <c r="R923" s="38">
        <v>1</v>
      </c>
      <c r="S923" s="38">
        <f>AVERAGEIF(L3:L1205,"&lt;2017/9/12",R3:R1205)</f>
        <v>1.3445692883895131</v>
      </c>
      <c r="T923" s="38">
        <v>13</v>
      </c>
      <c r="U923" s="38">
        <f>AVERAGEIF(L3:L1205,"&lt;2017/9/12",T3:T1205)</f>
        <v>9.3370786516853936</v>
      </c>
      <c r="V923" s="24">
        <v>282</v>
      </c>
      <c r="W923" s="47" t="s">
        <v>4564</v>
      </c>
    </row>
    <row r="924" spans="1:23">
      <c r="A924" s="23">
        <v>3</v>
      </c>
      <c r="B924" s="23">
        <v>26</v>
      </c>
      <c r="C924" s="18">
        <v>4</v>
      </c>
      <c r="D924" s="18">
        <v>6</v>
      </c>
      <c r="E924" s="20">
        <v>80</v>
      </c>
      <c r="F924" s="21">
        <f t="shared" si="43"/>
        <v>109.09608540925267</v>
      </c>
      <c r="G924" s="22">
        <v>0.60259814359046304</v>
      </c>
      <c r="H924" s="3">
        <v>1</v>
      </c>
      <c r="I924" s="18">
        <f t="shared" si="44"/>
        <v>0</v>
      </c>
      <c r="J924" s="41">
        <v>42990</v>
      </c>
      <c r="K924" s="36">
        <v>2017</v>
      </c>
      <c r="L924" s="32">
        <f t="shared" si="42"/>
        <v>42993</v>
      </c>
      <c r="M924" s="40">
        <v>0</v>
      </c>
      <c r="N924" s="33">
        <v>26</v>
      </c>
      <c r="O924" s="34">
        <f>AVERAGEIF(L3:L1205,"&lt;2017/9/12",N3:N1205)</f>
        <v>119.09363295880149</v>
      </c>
      <c r="P924" s="38">
        <v>0</v>
      </c>
      <c r="Q924" s="38">
        <f>AVERAGEIF(L3:L1205,"&lt;2017/9/12",P3:P1205)</f>
        <v>0.36704119850187267</v>
      </c>
      <c r="R924" s="38">
        <v>1</v>
      </c>
      <c r="S924" s="38">
        <f>AVERAGEIF(L3:L1205,"&lt;2017/9/12",R3:R1205)</f>
        <v>1.3445692883895131</v>
      </c>
      <c r="T924" s="38">
        <v>3</v>
      </c>
      <c r="U924" s="38">
        <f>AVERAGEIF(L3:L1205,"&lt;2017/9/12",T3:T1205)</f>
        <v>9.3370786516853936</v>
      </c>
      <c r="V924" s="24">
        <v>281</v>
      </c>
      <c r="W924" s="47" t="s">
        <v>4529</v>
      </c>
    </row>
    <row r="925" spans="1:23">
      <c r="A925" s="23">
        <v>2</v>
      </c>
      <c r="B925" s="23">
        <v>4</v>
      </c>
      <c r="C925" s="18">
        <v>5</v>
      </c>
      <c r="D925" s="18">
        <v>6</v>
      </c>
      <c r="E925" s="20">
        <v>218</v>
      </c>
      <c r="F925" s="21">
        <f t="shared" si="43"/>
        <v>108.70714285714286</v>
      </c>
      <c r="G925" s="22">
        <v>0.78171425238330805</v>
      </c>
      <c r="H925" s="18">
        <v>1</v>
      </c>
      <c r="I925" s="18">
        <f t="shared" si="44"/>
        <v>0</v>
      </c>
      <c r="J925" s="41">
        <v>42989</v>
      </c>
      <c r="K925" s="36">
        <v>2017</v>
      </c>
      <c r="L925" s="32">
        <f t="shared" si="42"/>
        <v>42996</v>
      </c>
      <c r="M925" s="40">
        <v>1</v>
      </c>
      <c r="N925" s="33">
        <v>490</v>
      </c>
      <c r="O925" s="34">
        <f>AVERAGEIF(L3:L1205,"&lt;2017/9/11",N3:N1205)</f>
        <v>119.46387832699619</v>
      </c>
      <c r="P925" s="38">
        <v>1</v>
      </c>
      <c r="Q925" s="38">
        <f>AVERAGEIF(L3:L1205,"&lt;2017/9/11",P3:P1205)</f>
        <v>0.37262357414448671</v>
      </c>
      <c r="R925" s="38">
        <v>2</v>
      </c>
      <c r="S925" s="38">
        <f>AVERAGEIF(L3:L1205,"&lt;2017/9/11",R3:R1205)</f>
        <v>1.349809885931559</v>
      </c>
      <c r="T925" s="38">
        <v>7</v>
      </c>
      <c r="U925" s="38">
        <f>AVERAGEIF(L3:L1205,"&lt;2017/9/11",T3:T1205)</f>
        <v>9.3688212927756656</v>
      </c>
      <c r="V925" s="24">
        <v>280</v>
      </c>
      <c r="W925" s="47" t="e">
        <v>#N/A</v>
      </c>
    </row>
    <row r="926" spans="1:23">
      <c r="A926" s="23">
        <v>3</v>
      </c>
      <c r="B926" s="23">
        <v>25</v>
      </c>
      <c r="C926" s="18">
        <v>5</v>
      </c>
      <c r="D926" s="18">
        <v>6</v>
      </c>
      <c r="E926" s="20">
        <v>142</v>
      </c>
      <c r="F926" s="21">
        <f t="shared" si="43"/>
        <v>108.58781362007169</v>
      </c>
      <c r="G926" s="22">
        <v>0.87373984492249401</v>
      </c>
      <c r="H926" s="3">
        <v>1</v>
      </c>
      <c r="I926" s="18">
        <f t="shared" si="44"/>
        <v>0</v>
      </c>
      <c r="J926" s="41">
        <v>42989</v>
      </c>
      <c r="K926" s="36">
        <v>2017</v>
      </c>
      <c r="L926" s="32">
        <f t="shared" si="42"/>
        <v>42991</v>
      </c>
      <c r="M926" s="40">
        <v>1</v>
      </c>
      <c r="N926" s="33">
        <v>122</v>
      </c>
      <c r="O926" s="34">
        <f>AVERAGEIF(L3:L1205,"&lt;2017/9/11",N3:N1205)</f>
        <v>119.46387832699619</v>
      </c>
      <c r="P926" s="38">
        <v>0</v>
      </c>
      <c r="Q926" s="38">
        <f>AVERAGEIF(L3:L1205,"&lt;2017/9/11",P3:P1205)</f>
        <v>0.37262357414448671</v>
      </c>
      <c r="R926" s="38">
        <v>1</v>
      </c>
      <c r="S926" s="38">
        <f>AVERAGEIF(L3:L1205,"&lt;2017/9/11",R3:R1205)</f>
        <v>1.349809885931559</v>
      </c>
      <c r="T926" s="38">
        <v>2</v>
      </c>
      <c r="U926" s="38">
        <f>AVERAGEIF(L3:L1205,"&lt;2017/9/11",T3:T1205)</f>
        <v>9.3688212927756656</v>
      </c>
      <c r="V926" s="24">
        <v>279</v>
      </c>
      <c r="W926" s="47" t="s">
        <v>4550</v>
      </c>
    </row>
    <row r="927" spans="1:23">
      <c r="A927" s="23">
        <v>3</v>
      </c>
      <c r="B927" s="23">
        <v>26</v>
      </c>
      <c r="C927" s="18">
        <v>4</v>
      </c>
      <c r="D927" s="18">
        <v>6</v>
      </c>
      <c r="E927" s="20">
        <v>86</v>
      </c>
      <c r="F927" s="21">
        <f t="shared" si="43"/>
        <v>108.66906474820144</v>
      </c>
      <c r="G927" s="22">
        <v>0.412505418809819</v>
      </c>
      <c r="H927" s="3">
        <v>1</v>
      </c>
      <c r="I927" s="18">
        <f t="shared" si="44"/>
        <v>0</v>
      </c>
      <c r="J927" s="41">
        <v>42989</v>
      </c>
      <c r="K927" s="36">
        <v>2017</v>
      </c>
      <c r="L927" s="32">
        <f t="shared" si="42"/>
        <v>42991</v>
      </c>
      <c r="M927" s="40">
        <v>0</v>
      </c>
      <c r="N927" s="33">
        <v>91</v>
      </c>
      <c r="O927" s="34">
        <f>AVERAGEIF(L3:L1205,"&lt;2017/9/11",N3:N1205)</f>
        <v>119.46387832699619</v>
      </c>
      <c r="P927" s="38">
        <v>0</v>
      </c>
      <c r="Q927" s="38">
        <f>AVERAGEIF(L3:L1205,"&lt;2017/9/11",P3:P1205)</f>
        <v>0.37262357414448671</v>
      </c>
      <c r="R927" s="38">
        <v>1</v>
      </c>
      <c r="S927" s="38">
        <f>AVERAGEIF(L3:L1205,"&lt;2017/9/11",R3:R1205)</f>
        <v>1.349809885931559</v>
      </c>
      <c r="T927" s="38">
        <v>2</v>
      </c>
      <c r="U927" s="38">
        <f>AVERAGEIF(L3:L1205,"&lt;2017/9/11",T3:T1205)</f>
        <v>9.3688212927756656</v>
      </c>
      <c r="V927" s="24">
        <v>278</v>
      </c>
      <c r="W927" s="47" t="s">
        <v>4529</v>
      </c>
    </row>
    <row r="928" spans="1:23">
      <c r="A928" s="23">
        <v>2</v>
      </c>
      <c r="B928" s="23">
        <v>7</v>
      </c>
      <c r="C928" s="18">
        <v>4</v>
      </c>
      <c r="D928" s="18">
        <v>4</v>
      </c>
      <c r="E928" s="20">
        <v>32</v>
      </c>
      <c r="F928" s="21">
        <f t="shared" si="43"/>
        <v>108.94584837545126</v>
      </c>
      <c r="G928" s="22">
        <v>0.415268377533764</v>
      </c>
      <c r="H928" s="18">
        <v>1</v>
      </c>
      <c r="I928" s="18">
        <f t="shared" si="44"/>
        <v>0</v>
      </c>
      <c r="J928" s="41">
        <v>42988</v>
      </c>
      <c r="K928" s="36">
        <v>2017</v>
      </c>
      <c r="L928" s="32">
        <f t="shared" si="42"/>
        <v>42989</v>
      </c>
      <c r="M928" s="37">
        <v>1</v>
      </c>
      <c r="N928" s="33">
        <v>60</v>
      </c>
      <c r="O928" s="34">
        <f>AVERAGEIF(L3:L1205,"&lt;2017/9/10",N3:N1205)</f>
        <v>119.46387832699619</v>
      </c>
      <c r="P928" s="40">
        <v>0</v>
      </c>
      <c r="Q928" s="40">
        <f>AVERAGEIF(L3:L1205,"&lt;2017/9/10",P3:P1205)</f>
        <v>0.37262357414448671</v>
      </c>
      <c r="R928" s="40">
        <v>1</v>
      </c>
      <c r="S928" s="40">
        <f>AVERAGEIF(L3:L1205,"&lt;2017/9/10",R3:R1205)</f>
        <v>1.349809885931559</v>
      </c>
      <c r="T928" s="40">
        <v>1</v>
      </c>
      <c r="U928" s="40">
        <f>AVERAGEIF(L3:L1205,"&lt;2017/9/10",T3:T1205)</f>
        <v>9.3688212927756656</v>
      </c>
      <c r="V928" s="24">
        <v>277</v>
      </c>
      <c r="W928" s="47" t="s">
        <v>4563</v>
      </c>
    </row>
    <row r="929" spans="1:23">
      <c r="A929" s="23">
        <v>3</v>
      </c>
      <c r="B929" s="23">
        <v>26</v>
      </c>
      <c r="C929" s="18">
        <v>4</v>
      </c>
      <c r="D929" s="18">
        <v>4</v>
      </c>
      <c r="E929" s="20">
        <v>25</v>
      </c>
      <c r="F929" s="21">
        <f t="shared" si="43"/>
        <v>109.25</v>
      </c>
      <c r="G929" s="22">
        <v>0.378706595581427</v>
      </c>
      <c r="H929" s="3">
        <v>1</v>
      </c>
      <c r="I929" s="18">
        <f t="shared" si="44"/>
        <v>0</v>
      </c>
      <c r="J929" s="41">
        <v>42988</v>
      </c>
      <c r="K929" s="36">
        <v>2017</v>
      </c>
      <c r="L929" s="32">
        <f t="shared" si="42"/>
        <v>43002</v>
      </c>
      <c r="M929" s="37">
        <v>0</v>
      </c>
      <c r="N929" s="33">
        <v>63</v>
      </c>
      <c r="O929" s="34">
        <f>AVERAGEIF(L3:L1205,"&lt;2017/9/10",N3:N1205)</f>
        <v>119.46387832699619</v>
      </c>
      <c r="P929" s="38">
        <v>0</v>
      </c>
      <c r="Q929" s="38">
        <f>AVERAGEIF(L3:L1205,"&lt;2017/9/10",P3:P1205)</f>
        <v>0.37262357414448671</v>
      </c>
      <c r="R929" s="38">
        <v>2</v>
      </c>
      <c r="S929" s="38">
        <f>AVERAGEIF(L3:L1205,"&lt;2017/9/10",R3:R1205)</f>
        <v>1.349809885931559</v>
      </c>
      <c r="T929" s="38">
        <v>14</v>
      </c>
      <c r="U929" s="38">
        <f>AVERAGEIF(L3:L1205,"&lt;2017/9/10",T3:T1205)</f>
        <v>9.3688212927756656</v>
      </c>
      <c r="V929" s="24">
        <v>276</v>
      </c>
      <c r="W929" s="47" t="s">
        <v>4550</v>
      </c>
    </row>
    <row r="930" spans="1:23">
      <c r="A930" s="23">
        <v>2</v>
      </c>
      <c r="B930" s="23">
        <v>4</v>
      </c>
      <c r="C930" s="18">
        <v>5</v>
      </c>
      <c r="D930" s="18">
        <v>6</v>
      </c>
      <c r="E930" s="20">
        <v>187</v>
      </c>
      <c r="F930" s="21">
        <f t="shared" si="43"/>
        <v>108.96727272727273</v>
      </c>
      <c r="G930" s="22">
        <v>0.50856527434769505</v>
      </c>
      <c r="H930" s="18">
        <v>1</v>
      </c>
      <c r="I930" s="18">
        <f t="shared" si="44"/>
        <v>0</v>
      </c>
      <c r="J930" s="41">
        <v>42987</v>
      </c>
      <c r="K930" s="36">
        <v>2017</v>
      </c>
      <c r="L930" s="32">
        <f t="shared" si="42"/>
        <v>42989</v>
      </c>
      <c r="M930" s="40">
        <v>1</v>
      </c>
      <c r="N930" s="33">
        <v>153</v>
      </c>
      <c r="O930" s="34">
        <f>AVERAGEIF(L3:L1205,"&lt;2017/9/9",N3:N1205)</f>
        <v>119.46387832699619</v>
      </c>
      <c r="P930" s="38">
        <v>0</v>
      </c>
      <c r="Q930" s="38">
        <f>AVERAGEIF(L3:L1205,"&lt;2017/9/9",P3:P1205)</f>
        <v>0.37262357414448671</v>
      </c>
      <c r="R930" s="38">
        <v>1</v>
      </c>
      <c r="S930" s="38">
        <f>AVERAGEIF(L3:L1205,"&lt;2017/9/9",R3:R1205)</f>
        <v>1.349809885931559</v>
      </c>
      <c r="T930" s="38">
        <v>2</v>
      </c>
      <c r="U930" s="38">
        <f>AVERAGEIF(L3:L1205,"&lt;2017/9/9",T3:T1205)</f>
        <v>9.3688212927756656</v>
      </c>
      <c r="V930" s="24">
        <v>275</v>
      </c>
      <c r="W930" s="47" t="e">
        <v>#N/A</v>
      </c>
    </row>
    <row r="931" spans="1:23">
      <c r="A931" s="23">
        <v>3</v>
      </c>
      <c r="B931" s="23">
        <v>26</v>
      </c>
      <c r="C931" s="18">
        <v>4</v>
      </c>
      <c r="D931" s="18">
        <v>6</v>
      </c>
      <c r="E931" s="20">
        <v>136</v>
      </c>
      <c r="F931" s="21">
        <f t="shared" si="43"/>
        <v>108.86861313868613</v>
      </c>
      <c r="G931" s="22">
        <v>0.41979857756675698</v>
      </c>
      <c r="H931" s="3">
        <v>1</v>
      </c>
      <c r="I931" s="18">
        <f t="shared" si="44"/>
        <v>0</v>
      </c>
      <c r="J931" s="41">
        <v>42987</v>
      </c>
      <c r="K931" s="36">
        <v>2017</v>
      </c>
      <c r="L931" s="32">
        <f t="shared" si="42"/>
        <v>42991</v>
      </c>
      <c r="M931" s="40">
        <v>0</v>
      </c>
      <c r="N931" s="33">
        <v>91</v>
      </c>
      <c r="O931" s="34">
        <f>AVERAGEIF(L3:L1205,"&lt;2017/9/9",N3:N1205)</f>
        <v>119.46387832699619</v>
      </c>
      <c r="P931" s="38">
        <v>0</v>
      </c>
      <c r="Q931" s="38">
        <f>AVERAGEIF(L3:L1205,"&lt;2017/9/9",P3:P1205)</f>
        <v>0.37262357414448671</v>
      </c>
      <c r="R931" s="38">
        <v>1</v>
      </c>
      <c r="S931" s="38">
        <f>AVERAGEIF(L3:L1205,"&lt;2017/9/9",R3:R1205)</f>
        <v>1.349809885931559</v>
      </c>
      <c r="T931" s="38">
        <v>4</v>
      </c>
      <c r="U931" s="38">
        <f>AVERAGEIF(L3:L1205,"&lt;2017/9/9",T3:T1205)</f>
        <v>9.3688212927756656</v>
      </c>
      <c r="V931" s="24">
        <v>274</v>
      </c>
      <c r="W931" s="47" t="s">
        <v>4523</v>
      </c>
    </row>
    <row r="932" spans="1:23">
      <c r="A932" s="23">
        <v>3</v>
      </c>
      <c r="B932" s="23">
        <v>26</v>
      </c>
      <c r="C932" s="18">
        <v>4</v>
      </c>
      <c r="D932" s="18">
        <v>4</v>
      </c>
      <c r="E932" s="20">
        <v>35</v>
      </c>
      <c r="F932" s="21">
        <f t="shared" si="43"/>
        <v>109.13919413919415</v>
      </c>
      <c r="G932" s="22">
        <v>0.28373086713326601</v>
      </c>
      <c r="H932" s="3">
        <v>1</v>
      </c>
      <c r="I932" s="18">
        <f t="shared" si="44"/>
        <v>0</v>
      </c>
      <c r="J932" s="41">
        <v>42987</v>
      </c>
      <c r="K932" s="36">
        <v>2017</v>
      </c>
      <c r="L932" s="32">
        <f t="shared" si="42"/>
        <v>42995</v>
      </c>
      <c r="M932" s="37">
        <v>0</v>
      </c>
      <c r="N932" s="33">
        <v>91</v>
      </c>
      <c r="O932" s="34">
        <f>AVERAGEIF(L3:L1205,"&lt;2017/9/9",N3:N1205)</f>
        <v>119.46387832699619</v>
      </c>
      <c r="P932" s="38">
        <v>0</v>
      </c>
      <c r="Q932" s="38">
        <f>AVERAGEIF(L3:L1205,"&lt;2017/9/9",P3:P1205)</f>
        <v>0.37262357414448671</v>
      </c>
      <c r="R932" s="38">
        <v>1</v>
      </c>
      <c r="S932" s="38">
        <f>AVERAGEIF(L3:L1205,"&lt;2017/9/9",R3:R1205)</f>
        <v>1.349809885931559</v>
      </c>
      <c r="T932" s="38">
        <v>8</v>
      </c>
      <c r="U932" s="38">
        <f>AVERAGEIF(L3:L1205,"&lt;2017/9/9",T3:T1205)</f>
        <v>9.3688212927756656</v>
      </c>
      <c r="V932" s="24">
        <v>273</v>
      </c>
      <c r="W932" s="47" t="s">
        <v>4557</v>
      </c>
    </row>
    <row r="933" spans="1:23">
      <c r="A933" s="23">
        <v>3</v>
      </c>
      <c r="B933" s="23">
        <v>26</v>
      </c>
      <c r="C933" s="18">
        <v>4</v>
      </c>
      <c r="D933" s="18">
        <v>6</v>
      </c>
      <c r="E933" s="20">
        <v>98</v>
      </c>
      <c r="F933" s="21">
        <f t="shared" si="43"/>
        <v>109.18014705882354</v>
      </c>
      <c r="G933" s="22">
        <v>0.23363363190029199</v>
      </c>
      <c r="H933" s="3">
        <v>1</v>
      </c>
      <c r="I933" s="18">
        <f t="shared" si="44"/>
        <v>0</v>
      </c>
      <c r="J933" s="41">
        <v>42986</v>
      </c>
      <c r="K933" s="36">
        <v>2017</v>
      </c>
      <c r="L933" s="32">
        <f t="shared" si="42"/>
        <v>42995</v>
      </c>
      <c r="M933" s="40">
        <v>0</v>
      </c>
      <c r="N933" s="33">
        <v>91</v>
      </c>
      <c r="O933" s="34">
        <f>AVERAGEIF(L3:L1205,"&lt;2017/9/8",N3:N1205)</f>
        <v>119.38167938931298</v>
      </c>
      <c r="P933" s="38">
        <v>0</v>
      </c>
      <c r="Q933" s="38">
        <f>AVERAGEIF(L3:L1205,"&lt;2017/9/8",P3:P1205)</f>
        <v>0.37404580152671757</v>
      </c>
      <c r="R933" s="38">
        <v>1</v>
      </c>
      <c r="S933" s="38">
        <f>AVERAGEIF(L3:L1205,"&lt;2017/9/8",R3:R1205)</f>
        <v>1.3511450381679388</v>
      </c>
      <c r="T933" s="38">
        <v>9</v>
      </c>
      <c r="U933" s="38">
        <f>AVERAGEIF(L3:L1205,"&lt;2017/9/8",T3:T1205)</f>
        <v>9.3969465648854964</v>
      </c>
      <c r="V933" s="24">
        <v>272</v>
      </c>
      <c r="W933" s="47" t="s">
        <v>4529</v>
      </c>
    </row>
    <row r="934" spans="1:23">
      <c r="A934" s="23">
        <v>3</v>
      </c>
      <c r="B934" s="23">
        <v>26</v>
      </c>
      <c r="C934" s="18">
        <v>4</v>
      </c>
      <c r="D934" s="18">
        <v>6</v>
      </c>
      <c r="E934" s="20">
        <v>119</v>
      </c>
      <c r="F934" s="21">
        <f t="shared" si="43"/>
        <v>109.14391143911439</v>
      </c>
      <c r="G934" s="22">
        <v>0.25613005567027097</v>
      </c>
      <c r="H934" s="3">
        <v>1</v>
      </c>
      <c r="I934" s="18">
        <f t="shared" si="44"/>
        <v>0</v>
      </c>
      <c r="J934" s="41">
        <v>42986</v>
      </c>
      <c r="K934" s="36">
        <v>2017</v>
      </c>
      <c r="L934" s="32">
        <f t="shared" si="42"/>
        <v>42990</v>
      </c>
      <c r="M934" s="40">
        <v>0</v>
      </c>
      <c r="N934" s="33">
        <v>166</v>
      </c>
      <c r="O934" s="34">
        <f>AVERAGEIF(L3:L1205,"&lt;2017/9/8",N3:N1205)</f>
        <v>119.38167938931298</v>
      </c>
      <c r="P934" s="38">
        <v>0</v>
      </c>
      <c r="Q934" s="38">
        <f>AVERAGEIF(L3:L1205,"&lt;2017/9/8",P3:P1205)</f>
        <v>0.37404580152671757</v>
      </c>
      <c r="R934" s="38">
        <v>1</v>
      </c>
      <c r="S934" s="38">
        <f>AVERAGEIF(L3:L1205,"&lt;2017/9/8",R3:R1205)</f>
        <v>1.3511450381679388</v>
      </c>
      <c r="T934" s="38">
        <v>4</v>
      </c>
      <c r="U934" s="38">
        <f>AVERAGEIF(L3:L1205,"&lt;2017/9/8",T3:T1205)</f>
        <v>9.3969465648854964</v>
      </c>
      <c r="V934" s="24">
        <v>271</v>
      </c>
      <c r="W934" s="47" t="s">
        <v>4529</v>
      </c>
    </row>
    <row r="935" spans="1:23">
      <c r="A935" s="23">
        <v>3</v>
      </c>
      <c r="B935" s="23">
        <v>26</v>
      </c>
      <c r="C935" s="18">
        <v>4</v>
      </c>
      <c r="D935" s="18">
        <v>4</v>
      </c>
      <c r="E935" s="20">
        <v>40</v>
      </c>
      <c r="F935" s="21">
        <f t="shared" si="43"/>
        <v>109.4</v>
      </c>
      <c r="G935" s="22">
        <v>0.60166120100697096</v>
      </c>
      <c r="H935" s="3">
        <v>1</v>
      </c>
      <c r="I935" s="18">
        <f t="shared" si="44"/>
        <v>0</v>
      </c>
      <c r="J935" s="41">
        <v>42985</v>
      </c>
      <c r="K935" s="36">
        <v>2017</v>
      </c>
      <c r="L935" s="32">
        <f t="shared" si="42"/>
        <v>42990</v>
      </c>
      <c r="M935" s="40">
        <v>0</v>
      </c>
      <c r="N935" s="33">
        <v>77</v>
      </c>
      <c r="O935" s="34">
        <f>AVERAGEIF(L3:L1205,"&lt;2017/9/7",N3:N1205)</f>
        <v>118.74712643678161</v>
      </c>
      <c r="P935" s="38">
        <v>0</v>
      </c>
      <c r="Q935" s="38">
        <f>AVERAGEIF(L3:L1205,"&lt;2017/9/7",P3:P1205)</f>
        <v>0.37547892720306514</v>
      </c>
      <c r="R935" s="38">
        <v>1</v>
      </c>
      <c r="S935" s="38">
        <f>AVERAGEIF(L3:L1205,"&lt;2017/9/7",R3:R1205)</f>
        <v>1.3486590038314177</v>
      </c>
      <c r="T935" s="38">
        <v>5</v>
      </c>
      <c r="U935" s="38">
        <f>AVERAGEIF(L3:L1205,"&lt;2017/9/7",T3:T1205)</f>
        <v>9.383141762452107</v>
      </c>
      <c r="V935" s="24">
        <v>270</v>
      </c>
      <c r="W935" s="47" t="s">
        <v>4529</v>
      </c>
    </row>
    <row r="936" spans="1:23">
      <c r="A936" s="23">
        <v>4</v>
      </c>
      <c r="B936" s="23">
        <v>37</v>
      </c>
      <c r="C936" s="18">
        <v>4</v>
      </c>
      <c r="D936" s="18">
        <v>6</v>
      </c>
      <c r="E936" s="20">
        <v>140</v>
      </c>
      <c r="F936" s="21">
        <f t="shared" si="43"/>
        <v>109.28624535315986</v>
      </c>
      <c r="G936" s="22">
        <v>0.466668720505586</v>
      </c>
      <c r="H936" s="18">
        <v>1</v>
      </c>
      <c r="I936" s="18">
        <f t="shared" si="44"/>
        <v>0</v>
      </c>
      <c r="J936" s="59">
        <v>42985</v>
      </c>
      <c r="K936" s="36">
        <v>2017</v>
      </c>
      <c r="L936" s="32">
        <f t="shared" si="42"/>
        <v>42999</v>
      </c>
      <c r="M936" s="42">
        <v>1</v>
      </c>
      <c r="N936" s="33">
        <v>303</v>
      </c>
      <c r="O936" s="34">
        <f>AVERAGEIF(L3:L1205,"&lt;2017/9/7",N3:N1205)</f>
        <v>118.74712643678161</v>
      </c>
      <c r="P936" s="38">
        <v>0</v>
      </c>
      <c r="Q936" s="38">
        <f>AVERAGEIF(L3:L1205,"&lt;2017/9/7",P3:P1205)</f>
        <v>0.37547892720306514</v>
      </c>
      <c r="R936" s="38">
        <v>2</v>
      </c>
      <c r="S936" s="38">
        <f>AVERAGEIF(L3:L1205,"&lt;2017/9/7",R3:R1205)</f>
        <v>1.3486590038314177</v>
      </c>
      <c r="T936" s="38">
        <v>14</v>
      </c>
      <c r="U936" s="38">
        <f>AVERAGEIF(L3:L1205,"&lt;2017/9/7",T3:T1205)</f>
        <v>9.383141762452107</v>
      </c>
      <c r="V936" s="24">
        <v>269</v>
      </c>
      <c r="W936" s="47" t="s">
        <v>5046</v>
      </c>
    </row>
    <row r="937" spans="1:23">
      <c r="A937" s="23">
        <v>2</v>
      </c>
      <c r="B937" s="23">
        <v>6</v>
      </c>
      <c r="C937" s="18">
        <v>4</v>
      </c>
      <c r="D937" s="18">
        <v>4</v>
      </c>
      <c r="E937" s="20">
        <v>116</v>
      </c>
      <c r="F937" s="21">
        <f t="shared" si="43"/>
        <v>109.26119402985074</v>
      </c>
      <c r="G937" s="22">
        <v>0.79892759824008497</v>
      </c>
      <c r="H937" s="18">
        <v>1</v>
      </c>
      <c r="I937" s="18">
        <f t="shared" si="44"/>
        <v>0</v>
      </c>
      <c r="J937" s="41">
        <v>42984</v>
      </c>
      <c r="K937" s="36">
        <v>2017</v>
      </c>
      <c r="L937" s="32">
        <f t="shared" si="42"/>
        <v>42996</v>
      </c>
      <c r="M937" s="40">
        <v>0</v>
      </c>
      <c r="N937" s="33">
        <v>39</v>
      </c>
      <c r="O937" s="34">
        <f>AVERAGEIF(L3:L1205,"&lt;2017/9/6",N3:N1205)</f>
        <v>118.98461538461538</v>
      </c>
      <c r="P937" s="38">
        <v>0</v>
      </c>
      <c r="Q937" s="38">
        <f>AVERAGEIF(L3:L1205,"&lt;2017/9/6",P3:P1205)</f>
        <v>0.37692307692307692</v>
      </c>
      <c r="R937" s="38">
        <v>1</v>
      </c>
      <c r="S937" s="38">
        <f>AVERAGEIF(L3:L1205,"&lt;2017/9/6",R3:R1205)</f>
        <v>1.35</v>
      </c>
      <c r="T937" s="38">
        <v>12</v>
      </c>
      <c r="U937" s="38">
        <f>AVERAGEIF(L3:L1205,"&lt;2017/9/6",T3:T1205)</f>
        <v>9.411538461538461</v>
      </c>
      <c r="V937" s="24">
        <v>268</v>
      </c>
      <c r="W937" s="47" t="s">
        <v>4652</v>
      </c>
    </row>
    <row r="938" spans="1:23">
      <c r="A938" s="23">
        <v>3</v>
      </c>
      <c r="B938" s="23">
        <v>25</v>
      </c>
      <c r="C938" s="18">
        <v>5</v>
      </c>
      <c r="D938" s="18">
        <v>6</v>
      </c>
      <c r="E938" s="20">
        <v>38</v>
      </c>
      <c r="F938" s="21">
        <f t="shared" si="43"/>
        <v>109.52808988764045</v>
      </c>
      <c r="G938" s="22">
        <v>0.412776710014995</v>
      </c>
      <c r="H938" s="3">
        <v>1</v>
      </c>
      <c r="I938" s="18">
        <f t="shared" si="44"/>
        <v>0</v>
      </c>
      <c r="J938" s="41">
        <v>42984</v>
      </c>
      <c r="K938" s="36">
        <v>2017</v>
      </c>
      <c r="L938" s="32">
        <f t="shared" si="42"/>
        <v>42986</v>
      </c>
      <c r="M938" s="40">
        <v>0</v>
      </c>
      <c r="N938" s="33">
        <v>141</v>
      </c>
      <c r="O938" s="34">
        <f>AVERAGEIF(L3:L1205,"&lt;2017/9/6",N3:N1205)</f>
        <v>118.98461538461538</v>
      </c>
      <c r="P938" s="38">
        <v>0</v>
      </c>
      <c r="Q938" s="38">
        <f>AVERAGEIF(L3:L1205,"&lt;2017/9/6",P3:P1205)</f>
        <v>0.37692307692307692</v>
      </c>
      <c r="R938" s="38">
        <v>1</v>
      </c>
      <c r="S938" s="38">
        <f>AVERAGEIF(L3:L1205,"&lt;2017/9/6",R3:R1205)</f>
        <v>1.35</v>
      </c>
      <c r="T938" s="38">
        <v>2</v>
      </c>
      <c r="U938" s="38">
        <f>AVERAGEIF(L3:L1205,"&lt;2017/9/6",T3:T1205)</f>
        <v>9.411538461538461</v>
      </c>
      <c r="V938" s="24">
        <v>267</v>
      </c>
      <c r="W938" s="47" t="s">
        <v>4563</v>
      </c>
    </row>
    <row r="939" spans="1:23">
      <c r="A939" s="23">
        <v>3</v>
      </c>
      <c r="B939" s="23">
        <v>25</v>
      </c>
      <c r="C939" s="18">
        <v>4</v>
      </c>
      <c r="D939" s="18">
        <v>6</v>
      </c>
      <c r="E939" s="20">
        <v>126</v>
      </c>
      <c r="F939" s="21">
        <f t="shared" si="43"/>
        <v>109.46616541353383</v>
      </c>
      <c r="G939" s="22">
        <v>0.37501137712489502</v>
      </c>
      <c r="H939" s="3">
        <v>1</v>
      </c>
      <c r="I939" s="18">
        <f t="shared" si="44"/>
        <v>0</v>
      </c>
      <c r="J939" s="41">
        <v>42984</v>
      </c>
      <c r="K939" s="36">
        <v>2017</v>
      </c>
      <c r="L939" s="32">
        <f t="shared" si="42"/>
        <v>42990</v>
      </c>
      <c r="M939" s="40">
        <v>0</v>
      </c>
      <c r="N939" s="33">
        <v>61</v>
      </c>
      <c r="O939" s="34">
        <f>AVERAGEIF(L3:L1205,"&lt;2017/9/6",N3:N1205)</f>
        <v>118.98461538461538</v>
      </c>
      <c r="P939" s="38">
        <v>0</v>
      </c>
      <c r="Q939" s="38">
        <f>AVERAGEIF(L3:L1205,"&lt;2017/9/6",P3:P1205)</f>
        <v>0.37692307692307692</v>
      </c>
      <c r="R939" s="38">
        <v>1</v>
      </c>
      <c r="S939" s="38">
        <f>AVERAGEIF(L3:L1205,"&lt;2017/9/6",R3:R1205)</f>
        <v>1.35</v>
      </c>
      <c r="T939" s="38">
        <v>6</v>
      </c>
      <c r="U939" s="38">
        <f>AVERAGEIF(L3:L1205,"&lt;2017/9/6",T3:T1205)</f>
        <v>9.411538461538461</v>
      </c>
      <c r="V939" s="24">
        <v>266</v>
      </c>
      <c r="W939" s="47" t="s">
        <v>4563</v>
      </c>
    </row>
    <row r="940" spans="1:23">
      <c r="A940" s="23">
        <v>4</v>
      </c>
      <c r="B940" s="23">
        <v>34</v>
      </c>
      <c r="C940" s="18">
        <v>4</v>
      </c>
      <c r="D940" s="18">
        <v>6</v>
      </c>
      <c r="E940" s="20">
        <v>59</v>
      </c>
      <c r="F940" s="21">
        <f t="shared" si="43"/>
        <v>109.65660377358491</v>
      </c>
      <c r="G940" s="22">
        <v>0.35143904038350399</v>
      </c>
      <c r="H940" s="18">
        <v>1</v>
      </c>
      <c r="I940" s="18">
        <f t="shared" si="44"/>
        <v>0</v>
      </c>
      <c r="J940" s="45">
        <v>42982</v>
      </c>
      <c r="K940" s="36">
        <v>2017</v>
      </c>
      <c r="L940" s="32">
        <f t="shared" si="42"/>
        <v>42984</v>
      </c>
      <c r="M940" s="42">
        <v>0</v>
      </c>
      <c r="N940" s="33">
        <v>57</v>
      </c>
      <c r="O940" s="34">
        <f>AVERAGEIF(L3:L1205,"&lt;2017/9/4",N3:N1205)</f>
        <v>119.01162790697674</v>
      </c>
      <c r="P940" s="38">
        <v>0</v>
      </c>
      <c r="Q940" s="38">
        <f>AVERAGEIF(L3:L1205,"&lt;2017/9/4",P3:P1205)</f>
        <v>0.37984496124031009</v>
      </c>
      <c r="R940" s="38">
        <v>1</v>
      </c>
      <c r="S940" s="38">
        <f>AVERAGEIF(L3:L1205,"&lt;2017/9/4",R3:R1205)</f>
        <v>1.3527131782945736</v>
      </c>
      <c r="T940" s="38">
        <v>2</v>
      </c>
      <c r="U940" s="38">
        <f>AVERAGEIF(L3:L1205,"&lt;2017/9/4",T3:T1205)</f>
        <v>9.4689922480620154</v>
      </c>
      <c r="V940" s="24">
        <v>265</v>
      </c>
      <c r="W940" s="47" t="s">
        <v>4550</v>
      </c>
    </row>
    <row r="941" spans="1:23">
      <c r="A941" s="23">
        <v>2</v>
      </c>
      <c r="B941" s="23">
        <v>6</v>
      </c>
      <c r="C941" s="18">
        <v>4</v>
      </c>
      <c r="D941" s="18">
        <v>4</v>
      </c>
      <c r="E941" s="20">
        <v>38</v>
      </c>
      <c r="F941" s="21">
        <f t="shared" si="43"/>
        <v>109.9280303030303</v>
      </c>
      <c r="G941" s="22">
        <v>0.45784506153697202</v>
      </c>
      <c r="H941" s="18">
        <v>1</v>
      </c>
      <c r="I941" s="18">
        <f t="shared" si="44"/>
        <v>0</v>
      </c>
      <c r="J941" s="41">
        <v>42981</v>
      </c>
      <c r="K941" s="36">
        <v>2017</v>
      </c>
      <c r="L941" s="32">
        <f t="shared" si="42"/>
        <v>42982</v>
      </c>
      <c r="M941" s="40">
        <v>0</v>
      </c>
      <c r="N941" s="33">
        <v>60</v>
      </c>
      <c r="O941" s="34">
        <f>AVERAGEIF(L3:L1205,"&lt;2017/9/3",N3:N1205)</f>
        <v>119.01162790697674</v>
      </c>
      <c r="P941" s="38">
        <v>0</v>
      </c>
      <c r="Q941" s="38">
        <f>AVERAGEIF(L3:L1205,"&lt;2017/9/3",P3:P1205)</f>
        <v>0.37984496124031009</v>
      </c>
      <c r="R941" s="38">
        <v>1</v>
      </c>
      <c r="S941" s="38">
        <f>AVERAGEIF(L3:L1205,"&lt;2017/9/3",R3:R1205)</f>
        <v>1.3527131782945736</v>
      </c>
      <c r="T941" s="38">
        <v>1</v>
      </c>
      <c r="U941" s="38">
        <f>AVERAGEIF(L3:L1205,"&lt;2017/9/3",T3:T1205)</f>
        <v>9.4689922480620154</v>
      </c>
      <c r="V941" s="24">
        <v>264</v>
      </c>
      <c r="W941" s="47" t="s">
        <v>4652</v>
      </c>
    </row>
    <row r="942" spans="1:23">
      <c r="A942" s="23">
        <v>2</v>
      </c>
      <c r="B942" s="23">
        <v>16</v>
      </c>
      <c r="C942" s="18">
        <v>5</v>
      </c>
      <c r="D942" s="18">
        <v>4</v>
      </c>
      <c r="E942" s="20">
        <v>100</v>
      </c>
      <c r="F942" s="21">
        <f t="shared" si="43"/>
        <v>109.9657794676806</v>
      </c>
      <c r="G942" s="22">
        <v>0.86680722658036502</v>
      </c>
      <c r="H942" s="18">
        <v>1</v>
      </c>
      <c r="I942" s="18">
        <f t="shared" si="44"/>
        <v>0</v>
      </c>
      <c r="J942" s="41">
        <v>42979</v>
      </c>
      <c r="K942" s="36">
        <v>2017</v>
      </c>
      <c r="L942" s="32">
        <f t="shared" si="42"/>
        <v>42982</v>
      </c>
      <c r="M942" s="40">
        <v>0</v>
      </c>
      <c r="N942" s="33">
        <v>171</v>
      </c>
      <c r="O942" s="34">
        <f>AVERAGEIF(L3:L1205,"&lt;2017/9/1",N3:N1205)</f>
        <v>119.01162790697674</v>
      </c>
      <c r="P942" s="38">
        <v>0</v>
      </c>
      <c r="Q942" s="38">
        <f>AVERAGEIF(L3:L1205,"&lt;2017/9/1",P3:P1205)</f>
        <v>0.37984496124031009</v>
      </c>
      <c r="R942" s="38">
        <v>1</v>
      </c>
      <c r="S942" s="38">
        <f>AVERAGEIF(L3:L1205,"&lt;2017/9/1",R3:R1205)</f>
        <v>1.3527131782945736</v>
      </c>
      <c r="T942" s="38">
        <v>3</v>
      </c>
      <c r="U942" s="38">
        <f>AVERAGEIF(L3:L1205,"&lt;2017/9/1",T3:T1205)</f>
        <v>9.4689922480620154</v>
      </c>
      <c r="V942" s="24">
        <v>263</v>
      </c>
      <c r="W942" s="47" t="s">
        <v>4529</v>
      </c>
    </row>
    <row r="943" spans="1:23">
      <c r="A943" s="23">
        <v>2</v>
      </c>
      <c r="B943" s="23">
        <v>8</v>
      </c>
      <c r="C943" s="18">
        <v>4</v>
      </c>
      <c r="D943" s="18">
        <v>6</v>
      </c>
      <c r="E943" s="20">
        <v>284</v>
      </c>
      <c r="F943" s="21">
        <f t="shared" si="43"/>
        <v>109.30152671755725</v>
      </c>
      <c r="G943" s="22">
        <v>0.54876698579484795</v>
      </c>
      <c r="H943" s="18">
        <v>1</v>
      </c>
      <c r="I943" s="18">
        <f t="shared" si="44"/>
        <v>0</v>
      </c>
      <c r="J943" s="41">
        <v>42978</v>
      </c>
      <c r="K943" s="36">
        <v>2017</v>
      </c>
      <c r="L943" s="32">
        <f t="shared" si="42"/>
        <v>42990</v>
      </c>
      <c r="M943" s="40">
        <v>0</v>
      </c>
      <c r="N943" s="33">
        <v>53</v>
      </c>
      <c r="O943" s="34">
        <f>AVERAGEIF(L3:L1205,"&lt;2017/8/31",N3:N1205)</f>
        <v>119.01162790697674</v>
      </c>
      <c r="P943" s="38">
        <v>0</v>
      </c>
      <c r="Q943" s="38">
        <f>AVERAGEIF(L3:L1205,"&lt;2017/8/31",P3:P1205)</f>
        <v>0.37984496124031009</v>
      </c>
      <c r="R943" s="38">
        <v>1</v>
      </c>
      <c r="S943" s="38">
        <f>AVERAGEIF(L3:L1205,"&lt;2017/8/31",R3:R1205)</f>
        <v>1.3527131782945736</v>
      </c>
      <c r="T943" s="38">
        <v>12</v>
      </c>
      <c r="U943" s="38">
        <f>AVERAGEIF(L3:L1205,"&lt;2017/8/31",T3:T1205)</f>
        <v>9.4689922480620154</v>
      </c>
      <c r="V943" s="24">
        <v>262</v>
      </c>
      <c r="W943" s="47" t="s">
        <v>4626</v>
      </c>
    </row>
    <row r="944" spans="1:23">
      <c r="A944" s="23">
        <v>4</v>
      </c>
      <c r="B944" s="23">
        <v>37</v>
      </c>
      <c r="C944" s="18">
        <v>4</v>
      </c>
      <c r="D944" s="18">
        <v>6</v>
      </c>
      <c r="E944" s="20">
        <v>55</v>
      </c>
      <c r="F944" s="21">
        <f t="shared" si="43"/>
        <v>109.5095785440613</v>
      </c>
      <c r="G944" s="22">
        <v>0.483762832871657</v>
      </c>
      <c r="H944" s="18">
        <v>1</v>
      </c>
      <c r="I944" s="18">
        <f t="shared" si="44"/>
        <v>0</v>
      </c>
      <c r="J944" s="45">
        <v>42978</v>
      </c>
      <c r="K944" s="36">
        <v>2017</v>
      </c>
      <c r="L944" s="32">
        <f t="shared" si="42"/>
        <v>42992</v>
      </c>
      <c r="M944" s="42">
        <v>1</v>
      </c>
      <c r="N944" s="33">
        <v>198</v>
      </c>
      <c r="O944" s="34">
        <f>AVERAGEIF(L3:L1205,"&lt;2017/8/31",N3:N1205)</f>
        <v>119.01162790697674</v>
      </c>
      <c r="P944" s="38">
        <v>0</v>
      </c>
      <c r="Q944" s="38">
        <f>AVERAGEIF(L3:L1205,"&lt;2017/8/31",P3:P1205)</f>
        <v>0.37984496124031009</v>
      </c>
      <c r="R944" s="38">
        <v>2</v>
      </c>
      <c r="S944" s="38">
        <f>AVERAGEIF(L3:L1205,"&lt;2017/8/31",R3:R1205)</f>
        <v>1.3527131782945736</v>
      </c>
      <c r="T944" s="38">
        <v>14</v>
      </c>
      <c r="U944" s="38">
        <f>AVERAGEIF(L3:L1205,"&lt;2017/8/31",T3:T1205)</f>
        <v>9.4689922480620154</v>
      </c>
      <c r="V944" s="24">
        <v>261</v>
      </c>
      <c r="W944" s="47" t="s">
        <v>4870</v>
      </c>
    </row>
    <row r="945" spans="1:23">
      <c r="A945" s="23">
        <v>2</v>
      </c>
      <c r="B945" s="23">
        <v>7</v>
      </c>
      <c r="C945" s="18">
        <v>4</v>
      </c>
      <c r="D945" s="18">
        <v>6</v>
      </c>
      <c r="E945" s="20">
        <v>207</v>
      </c>
      <c r="F945" s="21">
        <f t="shared" si="43"/>
        <v>109.13461538461539</v>
      </c>
      <c r="G945" s="22">
        <v>0.20714223127769901</v>
      </c>
      <c r="H945" s="18">
        <v>1</v>
      </c>
      <c r="I945" s="18">
        <f t="shared" si="44"/>
        <v>0</v>
      </c>
      <c r="J945" s="41">
        <v>42977</v>
      </c>
      <c r="K945" s="36">
        <v>2017</v>
      </c>
      <c r="L945" s="32">
        <f t="shared" si="42"/>
        <v>42989</v>
      </c>
      <c r="M945" s="40">
        <v>1</v>
      </c>
      <c r="N945" s="33">
        <v>60</v>
      </c>
      <c r="O945" s="34">
        <f>AVERAGEIF(L3:L1205,"&lt;2017/8/30",N3:N1205)</f>
        <v>119.15686274509804</v>
      </c>
      <c r="P945" s="38">
        <v>0</v>
      </c>
      <c r="Q945" s="38">
        <f>AVERAGEIF(L3:L1205,"&lt;2017/8/30",P3:P1205)</f>
        <v>0.37254901960784315</v>
      </c>
      <c r="R945" s="38">
        <v>1</v>
      </c>
      <c r="S945" s="38">
        <f>AVERAGEIF(L3:L1205,"&lt;2017/8/30",R3:R1205)</f>
        <v>1.3568627450980393</v>
      </c>
      <c r="T945" s="38">
        <v>12</v>
      </c>
      <c r="U945" s="38">
        <f>AVERAGEIF(L3:L1205,"&lt;2017/8/30",T3:T1205)</f>
        <v>9.5176470588235293</v>
      </c>
      <c r="V945" s="24">
        <v>260</v>
      </c>
      <c r="W945" s="47" t="s">
        <v>4529</v>
      </c>
    </row>
    <row r="946" spans="1:23">
      <c r="A946" s="23">
        <v>2</v>
      </c>
      <c r="B946" s="23">
        <v>5</v>
      </c>
      <c r="C946" s="18">
        <v>5</v>
      </c>
      <c r="D946" s="18">
        <v>6</v>
      </c>
      <c r="E946" s="20">
        <v>32</v>
      </c>
      <c r="F946" s="21">
        <f t="shared" si="43"/>
        <v>109.43243243243244</v>
      </c>
      <c r="G946" s="22">
        <v>0.80986683991610298</v>
      </c>
      <c r="H946" s="18">
        <v>1</v>
      </c>
      <c r="I946" s="18">
        <f t="shared" si="44"/>
        <v>0</v>
      </c>
      <c r="J946" s="41">
        <v>42976</v>
      </c>
      <c r="K946" s="36">
        <v>2017</v>
      </c>
      <c r="L946" s="32">
        <f t="shared" si="42"/>
        <v>42976</v>
      </c>
      <c r="M946" s="40">
        <v>0</v>
      </c>
      <c r="N946" s="33">
        <v>15</v>
      </c>
      <c r="O946" s="34">
        <f>AVERAGEIF(L3:L1205,"&lt;2017/8/29",N3:N1205)</f>
        <v>119.91304347826087</v>
      </c>
      <c r="P946" s="38">
        <v>1</v>
      </c>
      <c r="Q946" s="38">
        <f>AVERAGEIF(L3:L1205,"&lt;2017/8/29",P3:P1205)</f>
        <v>0.3675889328063241</v>
      </c>
      <c r="R946" s="38">
        <v>2</v>
      </c>
      <c r="S946" s="38">
        <f>AVERAGEIF(L3:L1205,"&lt;2017/8/29",R3:R1205)</f>
        <v>1.3517786561264822</v>
      </c>
      <c r="T946" s="38">
        <v>0</v>
      </c>
      <c r="U946" s="38">
        <f>AVERAGEIF(L3:L1205,"&lt;2017/8/29",T3:T1205)</f>
        <v>9.5928853754940704</v>
      </c>
      <c r="V946" s="24">
        <v>259</v>
      </c>
      <c r="W946" s="47" t="s">
        <v>4563</v>
      </c>
    </row>
    <row r="947" spans="1:23">
      <c r="A947" s="23">
        <v>2</v>
      </c>
      <c r="B947" s="23">
        <v>5</v>
      </c>
      <c r="C947" s="18">
        <v>5</v>
      </c>
      <c r="D947" s="18">
        <v>6</v>
      </c>
      <c r="E947" s="20">
        <v>32</v>
      </c>
      <c r="F947" s="21">
        <f t="shared" si="43"/>
        <v>109.73255813953489</v>
      </c>
      <c r="G947" s="22">
        <v>0.80986683991610298</v>
      </c>
      <c r="H947" s="18">
        <v>1</v>
      </c>
      <c r="I947" s="18">
        <f t="shared" si="44"/>
        <v>0</v>
      </c>
      <c r="J947" s="41">
        <v>42976</v>
      </c>
      <c r="K947" s="36">
        <v>2017</v>
      </c>
      <c r="L947" s="32">
        <f t="shared" si="42"/>
        <v>42976</v>
      </c>
      <c r="M947" s="40">
        <v>0</v>
      </c>
      <c r="N947" s="33">
        <v>32</v>
      </c>
      <c r="O947" s="34">
        <f>AVERAGEIF(L3:L1205,"&lt;2017/8/29",N3:N1205)</f>
        <v>119.91304347826087</v>
      </c>
      <c r="P947" s="38">
        <v>1</v>
      </c>
      <c r="Q947" s="38">
        <f>AVERAGEIF(L3:L1205,"&lt;2017/8/29",P3:P1205)</f>
        <v>0.3675889328063241</v>
      </c>
      <c r="R947" s="38">
        <v>2</v>
      </c>
      <c r="S947" s="38">
        <f>AVERAGEIF(L3:L1205,"&lt;2017/8/29",R3:R1205)</f>
        <v>1.3517786561264822</v>
      </c>
      <c r="T947" s="38">
        <v>0</v>
      </c>
      <c r="U947" s="38">
        <f>AVERAGEIF(L3:L1205,"&lt;2017/8/29",T3:T1205)</f>
        <v>9.5928853754940704</v>
      </c>
      <c r="V947" s="24">
        <v>258</v>
      </c>
      <c r="W947" s="47" t="s">
        <v>4563</v>
      </c>
    </row>
    <row r="948" spans="1:23">
      <c r="A948" s="23">
        <v>2</v>
      </c>
      <c r="B948" s="23">
        <v>10</v>
      </c>
      <c r="C948" s="18">
        <v>4</v>
      </c>
      <c r="D948" s="18">
        <v>6</v>
      </c>
      <c r="E948" s="20">
        <v>37</v>
      </c>
      <c r="F948" s="21">
        <f t="shared" si="43"/>
        <v>110.01556420233463</v>
      </c>
      <c r="G948" s="22">
        <v>0.54413819230961102</v>
      </c>
      <c r="H948" s="18">
        <v>1</v>
      </c>
      <c r="I948" s="18">
        <f t="shared" si="44"/>
        <v>0</v>
      </c>
      <c r="J948" s="41">
        <v>42975</v>
      </c>
      <c r="K948" s="36">
        <v>2017</v>
      </c>
      <c r="L948" s="32">
        <f t="shared" si="42"/>
        <v>42975</v>
      </c>
      <c r="M948" s="40">
        <v>0</v>
      </c>
      <c r="N948" s="33">
        <v>46</v>
      </c>
      <c r="O948" s="34">
        <f>AVERAGEIF(L3:L1205,"&lt;2017/8/28",N3:N1205)</f>
        <v>120.2063492063492</v>
      </c>
      <c r="P948" s="40">
        <v>0</v>
      </c>
      <c r="Q948" s="40">
        <f>AVERAGEIF(L3:L1205,"&lt;2017/8/28",P3:P1205)</f>
        <v>0.36904761904761907</v>
      </c>
      <c r="R948" s="40">
        <v>1</v>
      </c>
      <c r="S948" s="40">
        <f>AVERAGEIF(L3:L1205,"&lt;2017/8/28",R3:R1205)</f>
        <v>1.3531746031746033</v>
      </c>
      <c r="T948" s="40">
        <v>0</v>
      </c>
      <c r="U948" s="40">
        <f>AVERAGEIF(L3:L1205,"&lt;2017/8/28",T3:T1205)</f>
        <v>9.6309523809523814</v>
      </c>
      <c r="V948" s="24">
        <v>257</v>
      </c>
      <c r="W948" s="47" t="s">
        <v>4550</v>
      </c>
    </row>
    <row r="949" spans="1:23">
      <c r="A949" s="23">
        <v>2</v>
      </c>
      <c r="B949" s="23">
        <v>16</v>
      </c>
      <c r="C949" s="18">
        <v>4</v>
      </c>
      <c r="D949" s="18">
        <v>4</v>
      </c>
      <c r="E949" s="20">
        <v>120</v>
      </c>
      <c r="F949" s="21">
        <f t="shared" si="43"/>
        <v>109.9765625</v>
      </c>
      <c r="G949" s="22">
        <v>0.44060538441069502</v>
      </c>
      <c r="H949" s="18">
        <v>1</v>
      </c>
      <c r="I949" s="18">
        <f t="shared" si="44"/>
        <v>0</v>
      </c>
      <c r="J949" s="41">
        <v>42975</v>
      </c>
      <c r="K949" s="36">
        <v>2017</v>
      </c>
      <c r="L949" s="32">
        <f t="shared" si="42"/>
        <v>42977</v>
      </c>
      <c r="M949" s="40">
        <v>1</v>
      </c>
      <c r="N949" s="33">
        <v>56</v>
      </c>
      <c r="O949" s="34">
        <f>AVERAGEIF(L3:L1205,"&lt;2017/8/28",N3:N1205)</f>
        <v>120.2063492063492</v>
      </c>
      <c r="P949" s="40">
        <v>2</v>
      </c>
      <c r="Q949" s="40">
        <f>AVERAGEIF(L3:L1205,"&lt;2017/8/28",P3:P1205)</f>
        <v>0.36904761904761907</v>
      </c>
      <c r="R949" s="40">
        <v>1</v>
      </c>
      <c r="S949" s="40">
        <f>AVERAGEIF(L3:L1205,"&lt;2017/8/28",R3:R1205)</f>
        <v>1.3531746031746033</v>
      </c>
      <c r="T949" s="40">
        <v>2</v>
      </c>
      <c r="U949" s="40">
        <f>AVERAGEIF(L3:L1205,"&lt;2017/8/28",T3:T1205)</f>
        <v>9.6309523809523814</v>
      </c>
      <c r="V949" s="24">
        <v>256</v>
      </c>
      <c r="W949" s="47" t="s">
        <v>4550</v>
      </c>
    </row>
    <row r="950" spans="1:23">
      <c r="A950" s="23">
        <v>4</v>
      </c>
      <c r="B950" s="23">
        <v>33</v>
      </c>
      <c r="C950" s="18">
        <v>4</v>
      </c>
      <c r="D950" s="18">
        <v>4</v>
      </c>
      <c r="E950" s="20">
        <v>37</v>
      </c>
      <c r="F950" s="21">
        <f t="shared" si="43"/>
        <v>110.26274509803922</v>
      </c>
      <c r="G950" s="22">
        <v>0.38294455609317302</v>
      </c>
      <c r="H950" s="18">
        <v>1</v>
      </c>
      <c r="I950" s="18">
        <f t="shared" si="44"/>
        <v>0</v>
      </c>
      <c r="J950" s="45">
        <v>42975</v>
      </c>
      <c r="K950" s="36">
        <v>2017</v>
      </c>
      <c r="L950" s="32">
        <f t="shared" si="42"/>
        <v>42989</v>
      </c>
      <c r="M950" s="42">
        <v>0</v>
      </c>
      <c r="N950" s="33">
        <v>106</v>
      </c>
      <c r="O950" s="34">
        <f>AVERAGEIF(L3:L1205,"&lt;2017/8/28",N3:N1205)</f>
        <v>120.2063492063492</v>
      </c>
      <c r="P950" s="38">
        <v>0</v>
      </c>
      <c r="Q950" s="38">
        <f>AVERAGEIF(L3:L1205,"&lt;2017/8/28",P3:P1205)</f>
        <v>0.36904761904761907</v>
      </c>
      <c r="R950" s="38">
        <v>1</v>
      </c>
      <c r="S950" s="38">
        <f>AVERAGEIF(L3:L1205,"&lt;2017/8/28",R3:R1205)</f>
        <v>1.3531746031746033</v>
      </c>
      <c r="T950" s="38">
        <v>14</v>
      </c>
      <c r="U950" s="38">
        <f>AVERAGEIF(L3:L1205,"&lt;2017/8/28",T3:T1205)</f>
        <v>9.6309523809523814</v>
      </c>
      <c r="V950" s="24">
        <v>255</v>
      </c>
      <c r="W950" s="47" t="s">
        <v>4529</v>
      </c>
    </row>
    <row r="951" spans="1:23">
      <c r="A951" s="23">
        <v>4</v>
      </c>
      <c r="B951" s="23">
        <v>37</v>
      </c>
      <c r="C951" s="18">
        <v>4</v>
      </c>
      <c r="D951" s="18">
        <v>6</v>
      </c>
      <c r="E951" s="20">
        <v>162</v>
      </c>
      <c r="F951" s="21">
        <f t="shared" si="43"/>
        <v>110.05905511811024</v>
      </c>
      <c r="G951" s="22">
        <v>0.384445849363105</v>
      </c>
      <c r="H951" s="18">
        <v>1</v>
      </c>
      <c r="I951" s="18">
        <f t="shared" si="44"/>
        <v>0</v>
      </c>
      <c r="J951" s="45">
        <v>42972</v>
      </c>
      <c r="K951" s="36">
        <v>2017</v>
      </c>
      <c r="L951" s="32">
        <f t="shared" si="42"/>
        <v>42985</v>
      </c>
      <c r="M951" s="42">
        <v>1</v>
      </c>
      <c r="N951" s="33">
        <v>285</v>
      </c>
      <c r="O951" s="34">
        <f>AVERAGEIF(L3:L1205,"&lt;2017/8/25",N3:N1205)</f>
        <v>120.2063492063492</v>
      </c>
      <c r="P951" s="38">
        <v>0</v>
      </c>
      <c r="Q951" s="38">
        <f>AVERAGEIF(L3:L1205,"&lt;2017/8/25",P3:P1205)</f>
        <v>0.36904761904761907</v>
      </c>
      <c r="R951" s="38">
        <v>2</v>
      </c>
      <c r="S951" s="38">
        <f>AVERAGEIF(L3:L1205,"&lt;2017/8/25",R3:R1205)</f>
        <v>1.3531746031746033</v>
      </c>
      <c r="T951" s="38">
        <v>13</v>
      </c>
      <c r="U951" s="38">
        <f>AVERAGEIF(L3:L1205,"&lt;2017/8/25",T3:T1205)</f>
        <v>9.6309523809523814</v>
      </c>
      <c r="V951" s="24">
        <v>254</v>
      </c>
      <c r="W951" s="47" t="s">
        <v>5049</v>
      </c>
    </row>
    <row r="952" spans="1:23">
      <c r="A952" s="23">
        <v>3</v>
      </c>
      <c r="B952" s="23">
        <v>25</v>
      </c>
      <c r="C952" s="18">
        <v>4</v>
      </c>
      <c r="D952" s="18">
        <v>6</v>
      </c>
      <c r="E952" s="20">
        <v>138</v>
      </c>
      <c r="F952" s="21">
        <f t="shared" si="43"/>
        <v>109.94861660079052</v>
      </c>
      <c r="G952" s="22">
        <v>0.30992789985624702</v>
      </c>
      <c r="H952" s="3">
        <v>1</v>
      </c>
      <c r="I952" s="18">
        <f t="shared" si="44"/>
        <v>0</v>
      </c>
      <c r="J952" s="41">
        <v>42971</v>
      </c>
      <c r="K952" s="36">
        <v>2017</v>
      </c>
      <c r="L952" s="32">
        <f t="shared" si="42"/>
        <v>42977</v>
      </c>
      <c r="M952" s="40">
        <v>0</v>
      </c>
      <c r="N952" s="33">
        <v>132</v>
      </c>
      <c r="O952" s="34">
        <f>AVERAGEIF(L3:L1205,"&lt;2017/8/24",N3:N1205)</f>
        <v>120.34136546184739</v>
      </c>
      <c r="P952" s="38">
        <v>0</v>
      </c>
      <c r="Q952" s="38">
        <f>AVERAGEIF(L3:L1205,"&lt;2017/8/24",P3:P1205)</f>
        <v>0.36546184738955823</v>
      </c>
      <c r="R952" s="38">
        <v>1</v>
      </c>
      <c r="S952" s="38">
        <f>AVERAGEIF(L3:L1205,"&lt;2017/8/24",R3:R1205)</f>
        <v>1.3534136546184738</v>
      </c>
      <c r="T952" s="38">
        <v>6</v>
      </c>
      <c r="U952" s="38">
        <f>AVERAGEIF(L3:L1205,"&lt;2017/8/24",T3:T1205)</f>
        <v>9.6506024096385534</v>
      </c>
      <c r="V952" s="24">
        <v>253</v>
      </c>
      <c r="W952" s="47" t="s">
        <v>4688</v>
      </c>
    </row>
    <row r="953" spans="1:23">
      <c r="A953" s="23">
        <v>2</v>
      </c>
      <c r="B953" s="23">
        <v>6</v>
      </c>
      <c r="C953" s="18">
        <v>4</v>
      </c>
      <c r="D953" s="18">
        <v>6</v>
      </c>
      <c r="E953" s="20">
        <v>203</v>
      </c>
      <c r="F953" s="21">
        <f t="shared" si="43"/>
        <v>109.57936507936508</v>
      </c>
      <c r="G953" s="22">
        <v>0.64643598498945698</v>
      </c>
      <c r="H953" s="18">
        <v>1</v>
      </c>
      <c r="I953" s="18">
        <f t="shared" si="44"/>
        <v>0</v>
      </c>
      <c r="J953" s="41">
        <v>42969</v>
      </c>
      <c r="K953" s="36">
        <v>2017</v>
      </c>
      <c r="L953" s="32">
        <f t="shared" si="42"/>
        <v>42969</v>
      </c>
      <c r="M953" s="40">
        <v>0</v>
      </c>
      <c r="N953" s="33">
        <v>57</v>
      </c>
      <c r="O953" s="34">
        <f>AVERAGEIF(L3:L1205,"&lt;2017/8/22",N3:N1205)</f>
        <v>118.94262295081967</v>
      </c>
      <c r="P953" s="38">
        <v>0</v>
      </c>
      <c r="Q953" s="38">
        <f>AVERAGEIF(L3:L1205,"&lt;2017/8/22",P3:P1205)</f>
        <v>0.37295081967213117</v>
      </c>
      <c r="R953" s="38">
        <v>1</v>
      </c>
      <c r="S953" s="38">
        <f>AVERAGEIF(L3:L1205,"&lt;2017/8/22",R3:R1205)</f>
        <v>1.348360655737705</v>
      </c>
      <c r="T953" s="38">
        <v>0</v>
      </c>
      <c r="U953" s="38">
        <f>AVERAGEIF(L3:L1205,"&lt;2017/8/22",T3:T1205)</f>
        <v>9.7090163934426226</v>
      </c>
      <c r="V953" s="24">
        <v>252</v>
      </c>
      <c r="W953" s="47" t="s">
        <v>4529</v>
      </c>
    </row>
    <row r="954" spans="1:23">
      <c r="A954" s="23">
        <v>3</v>
      </c>
      <c r="B954" s="23">
        <v>25</v>
      </c>
      <c r="C954" s="18">
        <v>1</v>
      </c>
      <c r="D954" s="18">
        <v>6</v>
      </c>
      <c r="E954" s="20">
        <v>166</v>
      </c>
      <c r="F954" s="21">
        <f t="shared" si="43"/>
        <v>109.35458167330677</v>
      </c>
      <c r="G954" s="22">
        <v>0.41250000009354998</v>
      </c>
      <c r="H954" s="3">
        <v>1</v>
      </c>
      <c r="I954" s="18">
        <f t="shared" si="44"/>
        <v>0</v>
      </c>
      <c r="J954" s="41">
        <v>42969</v>
      </c>
      <c r="K954" s="36">
        <v>2017</v>
      </c>
      <c r="L954" s="32">
        <f t="shared" si="42"/>
        <v>42977</v>
      </c>
      <c r="M954" s="40">
        <v>0</v>
      </c>
      <c r="N954" s="33">
        <v>132</v>
      </c>
      <c r="O954" s="34">
        <f>AVERAGEIF(L3:L1205,"&lt;2017/8/22",N3:N1205)</f>
        <v>118.94262295081967</v>
      </c>
      <c r="P954" s="38">
        <v>1</v>
      </c>
      <c r="Q954" s="38">
        <f>AVERAGEIF(L3:L1205,"&lt;2017/8/22",P3:P1205)</f>
        <v>0.37295081967213117</v>
      </c>
      <c r="R954" s="38">
        <v>1</v>
      </c>
      <c r="S954" s="38">
        <f>AVERAGEIF(L3:L1205,"&lt;2017/8/22",R3:R1205)</f>
        <v>1.348360655737705</v>
      </c>
      <c r="T954" s="38">
        <v>8</v>
      </c>
      <c r="U954" s="38">
        <f>AVERAGEIF(L3:L1205,"&lt;2017/8/22",T3:T1205)</f>
        <v>9.7090163934426226</v>
      </c>
      <c r="V954" s="24">
        <v>251</v>
      </c>
      <c r="W954" s="47" t="s">
        <v>4626</v>
      </c>
    </row>
    <row r="955" spans="1:23">
      <c r="A955" s="23">
        <v>4</v>
      </c>
      <c r="B955" s="23">
        <v>30</v>
      </c>
      <c r="C955" s="18">
        <v>5</v>
      </c>
      <c r="D955" s="18">
        <v>6</v>
      </c>
      <c r="E955" s="20">
        <v>28</v>
      </c>
      <c r="F955" s="21">
        <f t="shared" si="43"/>
        <v>109.68</v>
      </c>
      <c r="G955" s="22">
        <v>0.34090909092928601</v>
      </c>
      <c r="H955" s="18">
        <v>1</v>
      </c>
      <c r="I955" s="18">
        <f t="shared" si="44"/>
        <v>0</v>
      </c>
      <c r="J955" s="45">
        <v>42969</v>
      </c>
      <c r="K955" s="36">
        <v>2017</v>
      </c>
      <c r="L955" s="32">
        <f t="shared" si="42"/>
        <v>42971</v>
      </c>
      <c r="M955" s="42">
        <v>0</v>
      </c>
      <c r="N955" s="33">
        <v>45</v>
      </c>
      <c r="O955" s="34">
        <f>AVERAGEIF(L3:L1205,"&lt;2017/8/22",N3:N1205)</f>
        <v>118.94262295081967</v>
      </c>
      <c r="P955" s="38">
        <v>1</v>
      </c>
      <c r="Q955" s="38">
        <f>AVERAGEIF(L3:L1205,"&lt;2017/8/22",P3:P1205)</f>
        <v>0.37295081967213117</v>
      </c>
      <c r="R955" s="38">
        <v>2</v>
      </c>
      <c r="S955" s="38">
        <f>AVERAGEIF(L3:L1205,"&lt;2017/8/22",R3:R1205)</f>
        <v>1.348360655737705</v>
      </c>
      <c r="T955" s="38">
        <v>2</v>
      </c>
      <c r="U955" s="38">
        <f>AVERAGEIF(L3:L1205,"&lt;2017/8/22",T3:T1205)</f>
        <v>9.7090163934426226</v>
      </c>
      <c r="V955" s="24">
        <v>250</v>
      </c>
      <c r="W955" s="47" t="s">
        <v>4529</v>
      </c>
    </row>
    <row r="956" spans="1:23">
      <c r="A956" s="23">
        <v>2</v>
      </c>
      <c r="B956" s="23">
        <v>6</v>
      </c>
      <c r="C956" s="18">
        <v>5</v>
      </c>
      <c r="D956" s="18">
        <v>6</v>
      </c>
      <c r="E956" s="20">
        <v>174</v>
      </c>
      <c r="F956" s="21">
        <f t="shared" si="43"/>
        <v>109.42168674698796</v>
      </c>
      <c r="G956" s="22">
        <v>0.78189211042172502</v>
      </c>
      <c r="H956" s="18">
        <v>1</v>
      </c>
      <c r="I956" s="18">
        <f t="shared" si="44"/>
        <v>0</v>
      </c>
      <c r="J956" s="41">
        <v>42968</v>
      </c>
      <c r="K956" s="36">
        <v>2017</v>
      </c>
      <c r="L956" s="32">
        <f t="shared" si="42"/>
        <v>42969</v>
      </c>
      <c r="M956" s="40">
        <v>0</v>
      </c>
      <c r="N956" s="33">
        <v>65</v>
      </c>
      <c r="O956" s="34">
        <f>AVERAGEIF(L3:L1205,"&lt;2017/8/21",N3:N1205)</f>
        <v>119.76348547717842</v>
      </c>
      <c r="P956" s="38">
        <v>0</v>
      </c>
      <c r="Q956" s="38">
        <f>AVERAGEIF(L3:L1205,"&lt;2017/8/21",P3:P1205)</f>
        <v>0.36514522821576761</v>
      </c>
      <c r="R956" s="38">
        <v>1</v>
      </c>
      <c r="S956" s="38">
        <f>AVERAGEIF(L3:L1205,"&lt;2017/8/21",R3:R1205)</f>
        <v>1.3526970954356847</v>
      </c>
      <c r="T956" s="38">
        <v>1</v>
      </c>
      <c r="U956" s="38">
        <f>AVERAGEIF(L3:L1205,"&lt;2017/8/21",T3:T1205)</f>
        <v>9.7593360995850631</v>
      </c>
      <c r="V956" s="24">
        <v>249</v>
      </c>
      <c r="W956" s="47" t="s">
        <v>4618</v>
      </c>
    </row>
    <row r="957" spans="1:23">
      <c r="A957" s="23">
        <v>3</v>
      </c>
      <c r="B957" s="23">
        <v>24</v>
      </c>
      <c r="C957" s="18">
        <v>5</v>
      </c>
      <c r="D957" s="18">
        <v>6</v>
      </c>
      <c r="E957" s="20">
        <v>15</v>
      </c>
      <c r="F957" s="21">
        <f t="shared" si="43"/>
        <v>109.8024193548387</v>
      </c>
      <c r="G957" s="22">
        <v>0.43424109276202999</v>
      </c>
      <c r="H957" s="3">
        <v>1</v>
      </c>
      <c r="I957" s="18">
        <f t="shared" si="44"/>
        <v>0</v>
      </c>
      <c r="J957" s="41">
        <v>42968</v>
      </c>
      <c r="K957" s="36">
        <v>2017</v>
      </c>
      <c r="L957" s="32">
        <f t="shared" si="42"/>
        <v>42968</v>
      </c>
      <c r="M957" s="37">
        <v>0</v>
      </c>
      <c r="N957" s="33">
        <v>46</v>
      </c>
      <c r="O957" s="34">
        <f>AVERAGEIF(L3:L1205,"&lt;2017/8/21",N3:N1205)</f>
        <v>119.76348547717842</v>
      </c>
      <c r="P957" s="38">
        <v>0</v>
      </c>
      <c r="Q957" s="38">
        <f>AVERAGEIF(L3:L1205,"&lt;2017/8/21",P3:P1205)</f>
        <v>0.36514522821576761</v>
      </c>
      <c r="R957" s="38">
        <v>1</v>
      </c>
      <c r="S957" s="38">
        <f>AVERAGEIF(L3:L1205,"&lt;2017/8/21",R3:R1205)</f>
        <v>1.3526970954356847</v>
      </c>
      <c r="T957" s="38">
        <v>0</v>
      </c>
      <c r="U957" s="38">
        <f>AVERAGEIF(L3:L1205,"&lt;2017/8/21",T3:T1205)</f>
        <v>9.7593360995850631</v>
      </c>
      <c r="V957" s="24">
        <v>248</v>
      </c>
      <c r="W957" s="47" t="s">
        <v>4563</v>
      </c>
    </row>
    <row r="958" spans="1:23">
      <c r="A958" s="23">
        <v>4</v>
      </c>
      <c r="B958" s="23">
        <v>33</v>
      </c>
      <c r="C958" s="18">
        <v>4</v>
      </c>
      <c r="D958" s="18">
        <v>4</v>
      </c>
      <c r="E958" s="20">
        <v>94</v>
      </c>
      <c r="F958" s="21">
        <f t="shared" si="43"/>
        <v>109.8663967611336</v>
      </c>
      <c r="G958" s="22">
        <v>0.37567505682672098</v>
      </c>
      <c r="H958" s="18">
        <v>1</v>
      </c>
      <c r="I958" s="18">
        <f t="shared" si="44"/>
        <v>0</v>
      </c>
      <c r="J958" s="45">
        <v>42968</v>
      </c>
      <c r="K958" s="36">
        <v>2017</v>
      </c>
      <c r="L958" s="32">
        <f t="shared" si="42"/>
        <v>42971</v>
      </c>
      <c r="M958" s="42">
        <v>0</v>
      </c>
      <c r="N958" s="33">
        <v>125</v>
      </c>
      <c r="O958" s="34">
        <f>AVERAGEIF(L3:L1205,"&lt;2017/8/21",N3:N1205)</f>
        <v>119.76348547717842</v>
      </c>
      <c r="P958" s="38">
        <v>0</v>
      </c>
      <c r="Q958" s="38">
        <f>AVERAGEIF(L3:L1205,"&lt;2017/8/21",P3:P1205)</f>
        <v>0.36514522821576761</v>
      </c>
      <c r="R958" s="38">
        <v>1</v>
      </c>
      <c r="S958" s="38">
        <f>AVERAGEIF(L3:L1205,"&lt;2017/8/21",R3:R1205)</f>
        <v>1.3526970954356847</v>
      </c>
      <c r="T958" s="38">
        <v>3</v>
      </c>
      <c r="U958" s="38">
        <f>AVERAGEIF(L3:L1205,"&lt;2017/8/21",T3:T1205)</f>
        <v>9.7593360995850631</v>
      </c>
      <c r="V958" s="24">
        <v>247</v>
      </c>
      <c r="W958" s="47" t="s">
        <v>4553</v>
      </c>
    </row>
    <row r="959" spans="1:23">
      <c r="A959" s="23">
        <v>3</v>
      </c>
      <c r="B959" s="23">
        <v>21</v>
      </c>
      <c r="C959" s="18">
        <v>5</v>
      </c>
      <c r="D959" s="18">
        <v>6</v>
      </c>
      <c r="E959" s="20">
        <v>58</v>
      </c>
      <c r="F959" s="21">
        <f t="shared" si="43"/>
        <v>110.07723577235772</v>
      </c>
      <c r="G959" s="22">
        <v>0.86750653816932399</v>
      </c>
      <c r="H959" s="3">
        <v>1</v>
      </c>
      <c r="I959" s="18">
        <f t="shared" si="44"/>
        <v>0</v>
      </c>
      <c r="J959" s="41">
        <v>42965</v>
      </c>
      <c r="K959" s="36">
        <v>2017</v>
      </c>
      <c r="L959" s="32">
        <f t="shared" si="42"/>
        <v>42968</v>
      </c>
      <c r="M959" s="40">
        <v>1</v>
      </c>
      <c r="N959" s="33">
        <v>37</v>
      </c>
      <c r="O959" s="34">
        <f>AVERAGEIF(L3:L1205,"&lt;2017/8/18",N3:N1205)</f>
        <v>119.075</v>
      </c>
      <c r="P959" s="38">
        <v>1</v>
      </c>
      <c r="Q959" s="38">
        <f>AVERAGEIF(L3:L1205,"&lt;2017/8/18",P3:P1205)</f>
        <v>0.36666666666666664</v>
      </c>
      <c r="R959" s="38">
        <v>1</v>
      </c>
      <c r="S959" s="38">
        <f>AVERAGEIF(L3:L1205,"&lt;2017/8/18",R3:R1205)</f>
        <v>1.35</v>
      </c>
      <c r="T959" s="38">
        <v>3</v>
      </c>
      <c r="U959" s="38">
        <f>AVERAGEIF(L3:L1205,"&lt;2017/8/18",T3:T1205)</f>
        <v>9.7541666666666664</v>
      </c>
      <c r="V959" s="24">
        <v>246</v>
      </c>
      <c r="W959" s="47" t="s">
        <v>4563</v>
      </c>
    </row>
    <row r="960" spans="1:23">
      <c r="A960" s="23">
        <v>4</v>
      </c>
      <c r="B960" s="23">
        <v>37</v>
      </c>
      <c r="C960" s="18">
        <v>4</v>
      </c>
      <c r="D960" s="18">
        <v>6</v>
      </c>
      <c r="E960" s="20">
        <v>87</v>
      </c>
      <c r="F960" s="21">
        <f t="shared" si="43"/>
        <v>110.17142857142858</v>
      </c>
      <c r="G960" s="22">
        <v>0.77646164800433004</v>
      </c>
      <c r="H960" s="18">
        <v>1</v>
      </c>
      <c r="I960" s="18">
        <f t="shared" si="44"/>
        <v>0</v>
      </c>
      <c r="J960" s="45">
        <v>42961</v>
      </c>
      <c r="K960" s="36">
        <v>2017</v>
      </c>
      <c r="L960" s="32">
        <f t="shared" si="42"/>
        <v>42970</v>
      </c>
      <c r="M960" s="42">
        <v>1</v>
      </c>
      <c r="N960" s="33">
        <v>279</v>
      </c>
      <c r="O960" s="34">
        <f>AVERAGEIF(L3:L1205,"&lt;2017/8/14",N3:N1205)</f>
        <v>118.38655462184875</v>
      </c>
      <c r="P960" s="38">
        <v>0</v>
      </c>
      <c r="Q960" s="38">
        <f>AVERAGEIF(L3:L1205,"&lt;2017/8/14",P3:P1205)</f>
        <v>0.36974789915966388</v>
      </c>
      <c r="R960" s="38">
        <v>2</v>
      </c>
      <c r="S960" s="38">
        <f>AVERAGEIF(L3:L1205,"&lt;2017/8/14",R3:R1205)</f>
        <v>1.3445378151260505</v>
      </c>
      <c r="T960" s="38">
        <v>9</v>
      </c>
      <c r="U960" s="38">
        <f>AVERAGEIF(L3:L1205,"&lt;2017/8/14",T3:T1205)</f>
        <v>9.6932773109243691</v>
      </c>
      <c r="V960" s="24">
        <v>245</v>
      </c>
      <c r="W960" s="47" t="s">
        <v>4741</v>
      </c>
    </row>
    <row r="961" spans="1:23">
      <c r="A961" s="23">
        <v>4</v>
      </c>
      <c r="B961" s="23">
        <v>37</v>
      </c>
      <c r="C961" s="18">
        <v>4</v>
      </c>
      <c r="D961" s="18">
        <v>6</v>
      </c>
      <c r="E961" s="20">
        <v>111</v>
      </c>
      <c r="F961" s="21">
        <f t="shared" si="43"/>
        <v>110.16803278688525</v>
      </c>
      <c r="G961" s="22">
        <v>0.37651258516037001</v>
      </c>
      <c r="H961" s="18">
        <v>1</v>
      </c>
      <c r="I961" s="18">
        <f t="shared" si="44"/>
        <v>0</v>
      </c>
      <c r="J961" s="45">
        <v>42958</v>
      </c>
      <c r="K961" s="36">
        <v>2017</v>
      </c>
      <c r="L961" s="32">
        <f t="shared" si="42"/>
        <v>42970</v>
      </c>
      <c r="M961" s="42">
        <v>1</v>
      </c>
      <c r="N961" s="33">
        <v>285</v>
      </c>
      <c r="O961" s="34">
        <f>AVERAGEIF(L3:L1205,"&lt;2017/8/11",N3:N1205)</f>
        <v>118.38655462184875</v>
      </c>
      <c r="P961" s="38">
        <v>0</v>
      </c>
      <c r="Q961" s="38">
        <f>AVERAGEIF(L3:L1205,"&lt;2017/8/11",P3:P1205)</f>
        <v>0.36974789915966388</v>
      </c>
      <c r="R961" s="38">
        <v>2</v>
      </c>
      <c r="S961" s="38">
        <f>AVERAGEIF(L3:L1205,"&lt;2017/8/11",R3:R1205)</f>
        <v>1.3445378151260505</v>
      </c>
      <c r="T961" s="38">
        <v>12</v>
      </c>
      <c r="U961" s="38">
        <f>AVERAGEIF(L3:L1205,"&lt;2017/8/11",T3:T1205)</f>
        <v>9.6932773109243691</v>
      </c>
      <c r="V961" s="24">
        <v>244</v>
      </c>
      <c r="W961" s="47" t="s">
        <v>4870</v>
      </c>
    </row>
    <row r="962" spans="1:23">
      <c r="A962" s="23">
        <v>4</v>
      </c>
      <c r="B962" s="23">
        <v>37</v>
      </c>
      <c r="C962" s="18">
        <v>4</v>
      </c>
      <c r="D962" s="18">
        <v>6</v>
      </c>
      <c r="E962" s="20">
        <v>74</v>
      </c>
      <c r="F962" s="21">
        <f t="shared" si="43"/>
        <v>110.31687242798354</v>
      </c>
      <c r="G962" s="22">
        <v>0.50217129925947002</v>
      </c>
      <c r="H962" s="18">
        <v>1</v>
      </c>
      <c r="I962" s="18">
        <f t="shared" si="44"/>
        <v>0</v>
      </c>
      <c r="J962" s="45">
        <v>42957</v>
      </c>
      <c r="K962" s="36">
        <v>2017</v>
      </c>
      <c r="L962" s="32">
        <f t="shared" si="42"/>
        <v>42969</v>
      </c>
      <c r="M962" s="42">
        <v>1</v>
      </c>
      <c r="N962" s="33">
        <v>257</v>
      </c>
      <c r="O962" s="34">
        <f>AVERAGEIF(L3:L1205,"&lt;2017/8/10",N3:N1205)</f>
        <v>118.38655462184875</v>
      </c>
      <c r="P962" s="38">
        <v>0</v>
      </c>
      <c r="Q962" s="38">
        <f>AVERAGEIF(L3:L1205,"&lt;2017/8/10",P3:P1205)</f>
        <v>0.36974789915966388</v>
      </c>
      <c r="R962" s="38">
        <v>2</v>
      </c>
      <c r="S962" s="38">
        <f>AVERAGEIF(L3:L1205,"&lt;2017/8/10",R3:R1205)</f>
        <v>1.3445378151260505</v>
      </c>
      <c r="T962" s="38">
        <v>12</v>
      </c>
      <c r="U962" s="38">
        <f>AVERAGEIF(L3:L1205,"&lt;2017/8/10",T3:T1205)</f>
        <v>9.6932773109243691</v>
      </c>
      <c r="V962" s="24">
        <v>243</v>
      </c>
      <c r="W962" s="47" t="s">
        <v>4870</v>
      </c>
    </row>
    <row r="963" spans="1:23">
      <c r="A963" s="23">
        <v>4</v>
      </c>
      <c r="B963" s="23">
        <v>36</v>
      </c>
      <c r="C963" s="18">
        <v>5</v>
      </c>
      <c r="D963" s="18">
        <v>6</v>
      </c>
      <c r="E963" s="20">
        <v>59</v>
      </c>
      <c r="F963" s="21">
        <f t="shared" si="43"/>
        <v>110.52892561983471</v>
      </c>
      <c r="G963" s="22">
        <v>0.55611936214689295</v>
      </c>
      <c r="H963" s="18">
        <v>0</v>
      </c>
      <c r="I963" s="18">
        <f t="shared" si="44"/>
        <v>1</v>
      </c>
      <c r="J963" s="45">
        <v>42955</v>
      </c>
      <c r="K963" s="36">
        <v>2017</v>
      </c>
      <c r="L963" s="32">
        <f t="shared" ref="L963:L1026" si="45">J963+T963</f>
        <v>42956</v>
      </c>
      <c r="M963" s="42">
        <v>1</v>
      </c>
      <c r="N963" s="33">
        <v>85</v>
      </c>
      <c r="O963" s="34">
        <f>AVERAGEIF(L3:L1205,"&lt;2017/8/8",N3:N1205)</f>
        <v>118.66382978723404</v>
      </c>
      <c r="P963" s="38">
        <v>1</v>
      </c>
      <c r="Q963" s="38">
        <f>AVERAGEIF(L3:L1205,"&lt;2017/8/8",P3:P1205)</f>
        <v>0.36170212765957449</v>
      </c>
      <c r="R963" s="38">
        <v>1</v>
      </c>
      <c r="S963" s="38">
        <f>AVERAGEIF(L3:L1205,"&lt;2017/8/8",R3:R1205)</f>
        <v>1.348936170212766</v>
      </c>
      <c r="T963" s="38">
        <v>1</v>
      </c>
      <c r="U963" s="38">
        <f>AVERAGEIF(L3:L1205,"&lt;2017/8/8",T3:T1205)</f>
        <v>9.7702127659574476</v>
      </c>
      <c r="V963" s="24">
        <v>242</v>
      </c>
      <c r="W963" s="47" t="s">
        <v>4563</v>
      </c>
    </row>
    <row r="964" spans="1:23">
      <c r="A964" s="23">
        <v>3</v>
      </c>
      <c r="B964" s="23">
        <v>24</v>
      </c>
      <c r="C964" s="18">
        <v>4</v>
      </c>
      <c r="D964" s="18">
        <v>6</v>
      </c>
      <c r="E964" s="20">
        <v>262</v>
      </c>
      <c r="F964" s="21">
        <f t="shared" ref="F964:F1027" si="46">AVERAGE(E965:E2166)</f>
        <v>109.90041493775934</v>
      </c>
      <c r="G964" s="22">
        <v>0.16222709947528099</v>
      </c>
      <c r="H964" s="3">
        <v>1</v>
      </c>
      <c r="I964" s="18">
        <f t="shared" ref="I964:I1027" si="47">IF(H964=1,0,1)</f>
        <v>0</v>
      </c>
      <c r="J964" s="41">
        <v>42954</v>
      </c>
      <c r="K964" s="36">
        <v>2017</v>
      </c>
      <c r="L964" s="32">
        <f t="shared" si="45"/>
        <v>42968</v>
      </c>
      <c r="M964" s="40">
        <v>0</v>
      </c>
      <c r="N964" s="33">
        <v>76</v>
      </c>
      <c r="O964" s="34">
        <f>AVERAGEIF(L3:L1205,"&lt;2017/8/7",N3:N1205)</f>
        <v>118.66382978723404</v>
      </c>
      <c r="P964" s="38">
        <v>2</v>
      </c>
      <c r="Q964" s="38">
        <f>AVERAGEIF(L3:L1205,"&lt;2017/8/7",P3:P1205)</f>
        <v>0.36170212765957449</v>
      </c>
      <c r="R964" s="38">
        <v>1</v>
      </c>
      <c r="S964" s="38">
        <f>AVERAGEIF(L3:L1205,"&lt;2017/8/7",R3:R1205)</f>
        <v>1.348936170212766</v>
      </c>
      <c r="T964" s="38">
        <v>14</v>
      </c>
      <c r="U964" s="38">
        <f>AVERAGEIF(L3:L1205,"&lt;2017/8/7",T3:T1205)</f>
        <v>9.7702127659574476</v>
      </c>
      <c r="V964" s="24">
        <v>241</v>
      </c>
      <c r="W964" s="47" t="s">
        <v>4529</v>
      </c>
    </row>
    <row r="965" spans="1:23">
      <c r="A965" s="23">
        <v>4</v>
      </c>
      <c r="B965" s="23">
        <v>37</v>
      </c>
      <c r="C965" s="18">
        <v>4</v>
      </c>
      <c r="D965" s="18">
        <v>6</v>
      </c>
      <c r="E965" s="20">
        <v>121</v>
      </c>
      <c r="F965" s="21">
        <f t="shared" si="46"/>
        <v>109.85416666666667</v>
      </c>
      <c r="G965" s="22">
        <v>0.375434876994239</v>
      </c>
      <c r="H965" s="18">
        <v>1</v>
      </c>
      <c r="I965" s="18">
        <f t="shared" si="47"/>
        <v>0</v>
      </c>
      <c r="J965" s="45">
        <v>42954</v>
      </c>
      <c r="K965" s="36">
        <v>2017</v>
      </c>
      <c r="L965" s="32">
        <f t="shared" si="45"/>
        <v>42965</v>
      </c>
      <c r="M965" s="42">
        <v>1</v>
      </c>
      <c r="N965" s="33">
        <v>285</v>
      </c>
      <c r="O965" s="34">
        <f>AVERAGEIF(L3:L1205,"&lt;2017/8/7",N3:N1205)</f>
        <v>118.66382978723404</v>
      </c>
      <c r="P965" s="38">
        <v>0</v>
      </c>
      <c r="Q965" s="38">
        <f>AVERAGEIF(L3:L1205,"&lt;2017/8/7",P3:P1205)</f>
        <v>0.36170212765957449</v>
      </c>
      <c r="R965" s="38">
        <v>2</v>
      </c>
      <c r="S965" s="38">
        <f>AVERAGEIF(L3:L1205,"&lt;2017/8/7",R3:R1205)</f>
        <v>1.348936170212766</v>
      </c>
      <c r="T965" s="38">
        <v>11</v>
      </c>
      <c r="U965" s="38">
        <f>AVERAGEIF(L3:L1205,"&lt;2017/8/7",T3:T1205)</f>
        <v>9.7702127659574476</v>
      </c>
      <c r="V965" s="24">
        <v>240</v>
      </c>
      <c r="W965" s="47" t="s">
        <v>5030</v>
      </c>
    </row>
    <row r="966" spans="1:23">
      <c r="A966" s="23">
        <v>2</v>
      </c>
      <c r="B966" s="23">
        <v>4</v>
      </c>
      <c r="C966" s="18">
        <v>4</v>
      </c>
      <c r="D966" s="18">
        <v>6</v>
      </c>
      <c r="E966" s="20">
        <v>203</v>
      </c>
      <c r="F966" s="21">
        <f t="shared" si="46"/>
        <v>109.46443514644352</v>
      </c>
      <c r="G966" s="22">
        <v>0.73284446721755703</v>
      </c>
      <c r="H966" s="18">
        <v>1</v>
      </c>
      <c r="I966" s="18">
        <f t="shared" si="47"/>
        <v>0</v>
      </c>
      <c r="J966" s="41">
        <v>42952</v>
      </c>
      <c r="K966" s="36">
        <v>2017</v>
      </c>
      <c r="L966" s="32">
        <f t="shared" si="45"/>
        <v>42971</v>
      </c>
      <c r="M966" s="40">
        <v>1</v>
      </c>
      <c r="N966" s="33">
        <v>157</v>
      </c>
      <c r="O966" s="34">
        <f>AVERAGEIF(L3:L1205,"&lt;2017/8/5",N3:N1205)</f>
        <v>118.66382978723404</v>
      </c>
      <c r="P966" s="38">
        <v>1</v>
      </c>
      <c r="Q966" s="38">
        <f>AVERAGEIF(L3:L1205,"&lt;2017/8/5",P3:P1205)</f>
        <v>0.36170212765957449</v>
      </c>
      <c r="R966" s="38">
        <v>1</v>
      </c>
      <c r="S966" s="38">
        <f>AVERAGEIF(L3:L1205,"&lt;2017/8/5",R3:R1205)</f>
        <v>1.348936170212766</v>
      </c>
      <c r="T966" s="38">
        <v>19</v>
      </c>
      <c r="U966" s="38">
        <f>AVERAGEIF(L3:L1205,"&lt;2017/8/5",T3:T1205)</f>
        <v>9.7702127659574476</v>
      </c>
      <c r="V966" s="24">
        <v>239</v>
      </c>
      <c r="W966" s="47" t="s">
        <v>4742</v>
      </c>
    </row>
    <row r="967" spans="1:23">
      <c r="A967" s="23">
        <v>4</v>
      </c>
      <c r="B967" s="23">
        <v>29</v>
      </c>
      <c r="C967" s="18">
        <v>5</v>
      </c>
      <c r="D967" s="18">
        <v>4</v>
      </c>
      <c r="E967" s="20">
        <v>35</v>
      </c>
      <c r="F967" s="21">
        <f t="shared" si="46"/>
        <v>109.77731092436974</v>
      </c>
      <c r="G967" s="22">
        <v>0.80326437301073395</v>
      </c>
      <c r="H967" s="18">
        <v>1</v>
      </c>
      <c r="I967" s="18">
        <f t="shared" si="47"/>
        <v>0</v>
      </c>
      <c r="J967" s="45">
        <v>42952</v>
      </c>
      <c r="K967" s="36">
        <v>2017</v>
      </c>
      <c r="L967" s="32">
        <f t="shared" si="45"/>
        <v>42956</v>
      </c>
      <c r="M967" s="42">
        <v>0</v>
      </c>
      <c r="N967" s="33">
        <v>52</v>
      </c>
      <c r="O967" s="34">
        <f>AVERAGEIF(L3:L1205,"&lt;2017/8/5",N3:N1205)</f>
        <v>118.66382978723404</v>
      </c>
      <c r="P967" s="38">
        <v>1</v>
      </c>
      <c r="Q967" s="38">
        <f>AVERAGEIF(L3:L1205,"&lt;2017/8/5",P3:P1205)</f>
        <v>0.36170212765957449</v>
      </c>
      <c r="R967" s="38">
        <v>1</v>
      </c>
      <c r="S967" s="38">
        <f>AVERAGEIF(L3:L1205,"&lt;2017/8/5",R3:R1205)</f>
        <v>1.348936170212766</v>
      </c>
      <c r="T967" s="38">
        <v>4</v>
      </c>
      <c r="U967" s="38">
        <f>AVERAGEIF(L3:L1205,"&lt;2017/8/5",T3:T1205)</f>
        <v>9.7702127659574476</v>
      </c>
      <c r="V967" s="24">
        <v>238</v>
      </c>
      <c r="W967" s="47" t="s">
        <v>4529</v>
      </c>
    </row>
    <row r="968" spans="1:23">
      <c r="A968" s="23">
        <v>4</v>
      </c>
      <c r="B968" s="23">
        <v>37</v>
      </c>
      <c r="C968" s="18">
        <v>4</v>
      </c>
      <c r="D968" s="18">
        <v>6</v>
      </c>
      <c r="E968" s="20">
        <v>82</v>
      </c>
      <c r="F968" s="21">
        <f t="shared" si="46"/>
        <v>109.89451476793249</v>
      </c>
      <c r="G968" s="22">
        <v>0.48550551446610701</v>
      </c>
      <c r="H968" s="18">
        <v>1</v>
      </c>
      <c r="I968" s="18">
        <f t="shared" si="47"/>
        <v>0</v>
      </c>
      <c r="J968" s="45">
        <v>42950</v>
      </c>
      <c r="K968" s="36">
        <v>2017</v>
      </c>
      <c r="L968" s="32">
        <f t="shared" si="45"/>
        <v>42962</v>
      </c>
      <c r="M968" s="42">
        <v>1</v>
      </c>
      <c r="N968" s="33">
        <v>284</v>
      </c>
      <c r="O968" s="34">
        <f>AVERAGEIF(L3:L1205,"&lt;2017/8/3",N3:N1205)</f>
        <v>117.33189655172414</v>
      </c>
      <c r="P968" s="38">
        <v>0</v>
      </c>
      <c r="Q968" s="38">
        <f>AVERAGEIF(L3:L1205,"&lt;2017/8/3",P3:P1205)</f>
        <v>0.36637931034482757</v>
      </c>
      <c r="R968" s="38">
        <v>2</v>
      </c>
      <c r="S968" s="38">
        <f>AVERAGEIF(L3:L1205,"&lt;2017/8/3",R3:R1205)</f>
        <v>1.3448275862068966</v>
      </c>
      <c r="T968" s="38">
        <v>12</v>
      </c>
      <c r="U968" s="38">
        <f>AVERAGEIF(L3:L1205,"&lt;2017/8/3",T3:T1205)</f>
        <v>9.862068965517242</v>
      </c>
      <c r="V968" s="24">
        <v>237</v>
      </c>
      <c r="W968" s="47" t="s">
        <v>4870</v>
      </c>
    </row>
    <row r="969" spans="1:23">
      <c r="A969" s="23">
        <v>2</v>
      </c>
      <c r="B969" s="23">
        <v>5</v>
      </c>
      <c r="C969" s="18">
        <v>1</v>
      </c>
      <c r="D969" s="18">
        <v>4</v>
      </c>
      <c r="E969" s="20">
        <v>182</v>
      </c>
      <c r="F969" s="21">
        <f t="shared" si="46"/>
        <v>109.58898305084746</v>
      </c>
      <c r="G969" s="22">
        <v>0.83709948522936595</v>
      </c>
      <c r="H969" s="18">
        <v>1</v>
      </c>
      <c r="I969" s="18">
        <f t="shared" si="47"/>
        <v>0</v>
      </c>
      <c r="J969" s="41">
        <v>42949</v>
      </c>
      <c r="K969" s="36">
        <v>2017</v>
      </c>
      <c r="L969" s="32">
        <f t="shared" si="45"/>
        <v>42955</v>
      </c>
      <c r="M969" s="40">
        <v>0</v>
      </c>
      <c r="N969" s="33">
        <v>153</v>
      </c>
      <c r="O969" s="34">
        <f>AVERAGEIF(L3:L1205,"&lt;2017/8/2",N3:N1205)</f>
        <v>114.42982456140351</v>
      </c>
      <c r="P969" s="38">
        <v>1</v>
      </c>
      <c r="Q969" s="38">
        <f>AVERAGEIF(L3:L1205,"&lt;2017/8/2",P3:P1205)</f>
        <v>0.37280701754385964</v>
      </c>
      <c r="R969" s="38">
        <v>1</v>
      </c>
      <c r="S969" s="38">
        <f>AVERAGEIF(L3:L1205,"&lt;2017/8/2",R3:R1205)</f>
        <v>1.3333333333333333</v>
      </c>
      <c r="T969" s="38">
        <v>6</v>
      </c>
      <c r="U969" s="38">
        <f>AVERAGEIF(L3:L1205,"&lt;2017/8/2",T3:T1205)</f>
        <v>9.8903508771929829</v>
      </c>
      <c r="V969" s="24">
        <v>236</v>
      </c>
      <c r="W969" s="47" t="s">
        <v>4855</v>
      </c>
    </row>
    <row r="970" spans="1:23">
      <c r="A970" s="23">
        <v>2</v>
      </c>
      <c r="B970" s="23">
        <v>6</v>
      </c>
      <c r="C970" s="18">
        <v>5</v>
      </c>
      <c r="D970" s="18">
        <v>6</v>
      </c>
      <c r="E970" s="20">
        <v>92</v>
      </c>
      <c r="F970" s="21">
        <f t="shared" si="46"/>
        <v>109.66382978723404</v>
      </c>
      <c r="G970" s="22">
        <v>0.37605228573721899</v>
      </c>
      <c r="H970" s="18">
        <v>1</v>
      </c>
      <c r="I970" s="18">
        <f t="shared" si="47"/>
        <v>0</v>
      </c>
      <c r="J970" s="41">
        <v>42949</v>
      </c>
      <c r="K970" s="36">
        <v>2017</v>
      </c>
      <c r="L970" s="32">
        <f t="shared" si="45"/>
        <v>42950</v>
      </c>
      <c r="M970" s="40">
        <v>0</v>
      </c>
      <c r="N970" s="33">
        <v>95</v>
      </c>
      <c r="O970" s="34">
        <f>AVERAGEIF(L3:L1205,"&lt;2017/8/2",N3:N1205)</f>
        <v>114.42982456140351</v>
      </c>
      <c r="P970" s="38">
        <v>0</v>
      </c>
      <c r="Q970" s="38">
        <f>AVERAGEIF(L3:L1205,"&lt;2017/8/2",P3:P1205)</f>
        <v>0.37280701754385964</v>
      </c>
      <c r="R970" s="38">
        <v>1</v>
      </c>
      <c r="S970" s="38">
        <f>AVERAGEIF(L3:L1205,"&lt;2017/8/2",R3:R1205)</f>
        <v>1.3333333333333333</v>
      </c>
      <c r="T970" s="38">
        <v>1</v>
      </c>
      <c r="U970" s="38">
        <f>AVERAGEIF(L3:L1205,"&lt;2017/8/2",T3:T1205)</f>
        <v>9.8903508771929829</v>
      </c>
      <c r="V970" s="24">
        <v>235</v>
      </c>
      <c r="W970" s="47" t="s">
        <v>4529</v>
      </c>
    </row>
    <row r="971" spans="1:23">
      <c r="A971" s="23">
        <v>4</v>
      </c>
      <c r="B971" s="23">
        <v>37</v>
      </c>
      <c r="C971" s="18">
        <v>4</v>
      </c>
      <c r="D971" s="18">
        <v>6</v>
      </c>
      <c r="E971" s="20">
        <v>82</v>
      </c>
      <c r="F971" s="21">
        <f t="shared" si="46"/>
        <v>109.78205128205128</v>
      </c>
      <c r="G971" s="22">
        <v>0.38242739106088097</v>
      </c>
      <c r="H971" s="18">
        <v>1</v>
      </c>
      <c r="I971" s="18">
        <f t="shared" si="47"/>
        <v>0</v>
      </c>
      <c r="J971" s="45">
        <v>42948</v>
      </c>
      <c r="K971" s="36">
        <v>2017</v>
      </c>
      <c r="L971" s="32">
        <f t="shared" si="45"/>
        <v>42950</v>
      </c>
      <c r="M971" s="42">
        <v>1</v>
      </c>
      <c r="N971" s="33">
        <v>285</v>
      </c>
      <c r="O971" s="34">
        <f>AVERAGEIF(L3:L1205,"&lt;2017/8/1",N3:N1205)</f>
        <v>113.78318584070796</v>
      </c>
      <c r="P971" s="38">
        <v>0</v>
      </c>
      <c r="Q971" s="38">
        <f>AVERAGEIF(L3:L1205,"&lt;2017/8/1",P3:P1205)</f>
        <v>0.37610619469026546</v>
      </c>
      <c r="R971" s="38">
        <v>2</v>
      </c>
      <c r="S971" s="38">
        <f>AVERAGEIF(L3:L1205,"&lt;2017/8/1",R3:R1205)</f>
        <v>1.331858407079646</v>
      </c>
      <c r="T971" s="38">
        <v>2</v>
      </c>
      <c r="U971" s="38">
        <f>AVERAGEIF(L3:L1205,"&lt;2017/8/1",T3:T1205)</f>
        <v>9.8716814159292028</v>
      </c>
      <c r="V971" s="24">
        <v>234</v>
      </c>
      <c r="W971" s="47" t="s">
        <v>4870</v>
      </c>
    </row>
    <row r="972" spans="1:23">
      <c r="A972" s="23">
        <v>4</v>
      </c>
      <c r="B972" s="23">
        <v>37</v>
      </c>
      <c r="C972" s="18">
        <v>4</v>
      </c>
      <c r="D972" s="18">
        <v>6</v>
      </c>
      <c r="E972" s="20">
        <v>97</v>
      </c>
      <c r="F972" s="21">
        <f t="shared" si="46"/>
        <v>109.83690987124463</v>
      </c>
      <c r="G972" s="22">
        <v>0.37717342189223502</v>
      </c>
      <c r="H972" s="18">
        <v>1</v>
      </c>
      <c r="I972" s="18">
        <f t="shared" si="47"/>
        <v>0</v>
      </c>
      <c r="J972" s="45">
        <v>42945</v>
      </c>
      <c r="K972" s="36">
        <v>2017</v>
      </c>
      <c r="L972" s="32">
        <f t="shared" si="45"/>
        <v>42950</v>
      </c>
      <c r="M972" s="42">
        <v>1</v>
      </c>
      <c r="N972" s="33">
        <v>285</v>
      </c>
      <c r="O972" s="34">
        <f>AVERAGEIF(L3:L1205,"&lt;2017/7/29",N3:N1205)</f>
        <v>113.06696428571429</v>
      </c>
      <c r="P972" s="38">
        <v>0</v>
      </c>
      <c r="Q972" s="38">
        <f>AVERAGEIF(L3:L1205,"&lt;2017/7/29",P3:P1205)</f>
        <v>0.3794642857142857</v>
      </c>
      <c r="R972" s="38">
        <v>2</v>
      </c>
      <c r="S972" s="38">
        <f>AVERAGEIF(L3:L1205,"&lt;2017/7/29",R3:R1205)</f>
        <v>1.3348214285714286</v>
      </c>
      <c r="T972" s="38">
        <v>5</v>
      </c>
      <c r="U972" s="38">
        <f>AVERAGEIF(L3:L1205,"&lt;2017/7/29",T3:T1205)</f>
        <v>9.9151785714285712</v>
      </c>
      <c r="V972" s="24">
        <v>233</v>
      </c>
      <c r="W972" s="47" t="s">
        <v>4991</v>
      </c>
    </row>
    <row r="973" spans="1:23">
      <c r="A973" s="23">
        <v>4</v>
      </c>
      <c r="B973" s="23">
        <v>37</v>
      </c>
      <c r="C973" s="18">
        <v>4</v>
      </c>
      <c r="D973" s="18">
        <v>6</v>
      </c>
      <c r="E973" s="20">
        <v>74</v>
      </c>
      <c r="F973" s="21">
        <f t="shared" si="46"/>
        <v>109.99137931034483</v>
      </c>
      <c r="G973" s="22">
        <v>0.49844145429384001</v>
      </c>
      <c r="H973" s="18">
        <v>1</v>
      </c>
      <c r="I973" s="18">
        <f t="shared" si="47"/>
        <v>0</v>
      </c>
      <c r="J973" s="45">
        <v>42944</v>
      </c>
      <c r="K973" s="36">
        <v>2017</v>
      </c>
      <c r="L973" s="32">
        <f t="shared" si="45"/>
        <v>42949</v>
      </c>
      <c r="M973" s="42">
        <v>1</v>
      </c>
      <c r="N973" s="33">
        <v>285</v>
      </c>
      <c r="O973" s="34">
        <f>AVERAGEIF(L3:L1205,"&lt;2017/7/28",N3:N1205)</f>
        <v>113.47533632286995</v>
      </c>
      <c r="P973" s="38">
        <v>0</v>
      </c>
      <c r="Q973" s="38">
        <f>AVERAGEIF(L3:L1205,"&lt;2017/7/28",P3:P1205)</f>
        <v>0.3811659192825112</v>
      </c>
      <c r="R973" s="38">
        <v>2</v>
      </c>
      <c r="S973" s="38">
        <f>AVERAGEIF(L3:L1205,"&lt;2017/7/28",R3:R1205)</f>
        <v>1.336322869955157</v>
      </c>
      <c r="T973" s="38">
        <v>5</v>
      </c>
      <c r="U973" s="38">
        <f>AVERAGEIF(L3:L1205,"&lt;2017/7/28",T3:T1205)</f>
        <v>9.9551569506726452</v>
      </c>
      <c r="V973" s="24">
        <v>232</v>
      </c>
      <c r="W973" s="47" t="s">
        <v>4870</v>
      </c>
    </row>
    <row r="974" spans="1:23">
      <c r="A974" s="23">
        <v>3</v>
      </c>
      <c r="B974" s="23">
        <v>24</v>
      </c>
      <c r="C974" s="18">
        <v>5</v>
      </c>
      <c r="D974" s="18">
        <v>6</v>
      </c>
      <c r="E974" s="20">
        <v>71</v>
      </c>
      <c r="F974" s="21">
        <f t="shared" si="46"/>
        <v>110.16017316017316</v>
      </c>
      <c r="G974" s="22">
        <v>0.80809315553579297</v>
      </c>
      <c r="H974" s="3">
        <v>1</v>
      </c>
      <c r="I974" s="18">
        <f t="shared" si="47"/>
        <v>0</v>
      </c>
      <c r="J974" s="41">
        <v>42943</v>
      </c>
      <c r="K974" s="36">
        <v>2017</v>
      </c>
      <c r="L974" s="32">
        <f t="shared" si="45"/>
        <v>42944</v>
      </c>
      <c r="M974" s="40">
        <v>0</v>
      </c>
      <c r="N974" s="33">
        <v>22</v>
      </c>
      <c r="O974" s="34">
        <f>AVERAGEIF(L3:L1205,"&lt;2017/7/27",N3:N1205)</f>
        <v>112.71621621621621</v>
      </c>
      <c r="P974" s="38">
        <v>0</v>
      </c>
      <c r="Q974" s="38">
        <f>AVERAGEIF(L3:L1205,"&lt;2017/7/27",P3:P1205)</f>
        <v>0.38288288288288286</v>
      </c>
      <c r="R974" s="38">
        <v>1</v>
      </c>
      <c r="S974" s="38">
        <f>AVERAGEIF(L3:L1205,"&lt;2017/7/27",R3:R1205)</f>
        <v>1.3333333333333333</v>
      </c>
      <c r="T974" s="38">
        <v>1</v>
      </c>
      <c r="U974" s="38">
        <f>AVERAGEIF(L3:L1205,"&lt;2017/7/27",T3:T1205)</f>
        <v>9.9954954954954953</v>
      </c>
      <c r="V974" s="24">
        <v>231</v>
      </c>
      <c r="W974" s="47" t="s">
        <v>4563</v>
      </c>
    </row>
    <row r="975" spans="1:23">
      <c r="A975" s="23">
        <v>3</v>
      </c>
      <c r="B975" s="23">
        <v>19</v>
      </c>
      <c r="C975" s="18">
        <v>4</v>
      </c>
      <c r="D975" s="18">
        <v>4</v>
      </c>
      <c r="E975" s="20">
        <v>52</v>
      </c>
      <c r="F975" s="21">
        <f t="shared" si="46"/>
        <v>110.41304347826087</v>
      </c>
      <c r="G975" s="22">
        <v>0.38002386340698902</v>
      </c>
      <c r="H975" s="3">
        <v>1</v>
      </c>
      <c r="I975" s="18">
        <f t="shared" si="47"/>
        <v>0</v>
      </c>
      <c r="J975" s="57">
        <v>42942</v>
      </c>
      <c r="K975" s="36">
        <v>2017</v>
      </c>
      <c r="L975" s="32">
        <f t="shared" si="45"/>
        <v>42947</v>
      </c>
      <c r="M975" s="24">
        <v>1</v>
      </c>
      <c r="N975" s="33">
        <v>219</v>
      </c>
      <c r="O975" s="34">
        <f>AVERAGEIF(L3:L1205,"&lt;2017/7/26",N3:N1205)</f>
        <v>109.62385321100918</v>
      </c>
      <c r="P975" s="38">
        <v>0</v>
      </c>
      <c r="Q975" s="38">
        <f>AVERAGEIF(L3:L1205,"&lt;2017/7/26",P3:P1205)</f>
        <v>0.38990825688073394</v>
      </c>
      <c r="R975" s="38">
        <v>1</v>
      </c>
      <c r="S975" s="38">
        <f>AVERAGEIF(L3:L1205,"&lt;2017/7/26",R3:R1205)</f>
        <v>1.3211009174311927</v>
      </c>
      <c r="T975" s="38">
        <v>5</v>
      </c>
      <c r="U975" s="38">
        <f>AVERAGEIF(L3:L1205,"&lt;2017/7/26",T3:T1205)</f>
        <v>9.9816513761467895</v>
      </c>
      <c r="V975" s="24">
        <v>230</v>
      </c>
      <c r="W975" s="47" t="s">
        <v>4618</v>
      </c>
    </row>
    <row r="976" spans="1:23">
      <c r="A976" s="23">
        <v>4</v>
      </c>
      <c r="B976" s="23">
        <v>33</v>
      </c>
      <c r="C976" s="18">
        <v>4</v>
      </c>
      <c r="D976" s="18">
        <v>6</v>
      </c>
      <c r="E976" s="20">
        <v>338</v>
      </c>
      <c r="F976" s="21">
        <f t="shared" si="46"/>
        <v>109.41921397379913</v>
      </c>
      <c r="G976" s="22">
        <v>0.37888486132421001</v>
      </c>
      <c r="H976" s="18">
        <v>1</v>
      </c>
      <c r="I976" s="18">
        <f t="shared" si="47"/>
        <v>0</v>
      </c>
      <c r="J976" s="45">
        <v>42942</v>
      </c>
      <c r="K976" s="36">
        <v>2017</v>
      </c>
      <c r="L976" s="32">
        <f t="shared" si="45"/>
        <v>42947</v>
      </c>
      <c r="M976" s="42">
        <v>0</v>
      </c>
      <c r="N976" s="33">
        <v>169</v>
      </c>
      <c r="O976" s="34">
        <f>AVERAGEIF(L3:L1205,"&lt;2017/7/26",N3:N1205)</f>
        <v>109.62385321100918</v>
      </c>
      <c r="P976" s="38">
        <v>0</v>
      </c>
      <c r="Q976" s="38">
        <f>AVERAGEIF(L3:L1205,"&lt;2017/7/26",P3:P1205)</f>
        <v>0.38990825688073394</v>
      </c>
      <c r="R976" s="38">
        <v>1</v>
      </c>
      <c r="S976" s="38">
        <f>AVERAGEIF(L3:L1205,"&lt;2017/7/26",R3:R1205)</f>
        <v>1.3211009174311927</v>
      </c>
      <c r="T976" s="38">
        <v>5</v>
      </c>
      <c r="U976" s="38">
        <f>AVERAGEIF(L3:L1205,"&lt;2017/7/26",T3:T1205)</f>
        <v>9.9816513761467895</v>
      </c>
      <c r="V976" s="24">
        <v>229</v>
      </c>
      <c r="W976" s="47" t="s">
        <v>5054</v>
      </c>
    </row>
    <row r="977" spans="1:23">
      <c r="A977" s="23">
        <v>4</v>
      </c>
      <c r="B977" s="23">
        <v>37</v>
      </c>
      <c r="C977" s="18">
        <v>4</v>
      </c>
      <c r="D977" s="18">
        <v>6</v>
      </c>
      <c r="E977" s="20">
        <v>90</v>
      </c>
      <c r="F977" s="21">
        <f t="shared" si="46"/>
        <v>109.50438596491227</v>
      </c>
      <c r="G977" s="22">
        <v>0.375</v>
      </c>
      <c r="H977" s="18">
        <v>1</v>
      </c>
      <c r="I977" s="18">
        <f t="shared" si="47"/>
        <v>0</v>
      </c>
      <c r="J977" s="45">
        <v>42942</v>
      </c>
      <c r="K977" s="36">
        <v>2017</v>
      </c>
      <c r="L977" s="32">
        <f t="shared" si="45"/>
        <v>42943</v>
      </c>
      <c r="M977" s="42">
        <v>1</v>
      </c>
      <c r="N977" s="33">
        <v>282</v>
      </c>
      <c r="O977" s="34">
        <f>AVERAGEIF(L3:L1205,"&lt;2017/7/26",N3:N1205)</f>
        <v>109.62385321100918</v>
      </c>
      <c r="P977" s="38">
        <v>0</v>
      </c>
      <c r="Q977" s="38">
        <f>AVERAGEIF(L3:L1205,"&lt;2017/7/26",P3:P1205)</f>
        <v>0.38990825688073394</v>
      </c>
      <c r="R977" s="38">
        <v>2</v>
      </c>
      <c r="S977" s="38">
        <f>AVERAGEIF(L3:L1205,"&lt;2017/7/26",R3:R1205)</f>
        <v>1.3211009174311927</v>
      </c>
      <c r="T977" s="38">
        <v>1</v>
      </c>
      <c r="U977" s="38">
        <f>AVERAGEIF(L3:L1205,"&lt;2017/7/26",T3:T1205)</f>
        <v>9.9816513761467895</v>
      </c>
      <c r="V977" s="24">
        <v>228</v>
      </c>
      <c r="W977" s="47" t="s">
        <v>4873</v>
      </c>
    </row>
    <row r="978" spans="1:23">
      <c r="A978" s="23">
        <v>4</v>
      </c>
      <c r="B978" s="23">
        <v>37</v>
      </c>
      <c r="C978" s="18">
        <v>4</v>
      </c>
      <c r="D978" s="18">
        <v>6</v>
      </c>
      <c r="E978" s="20">
        <v>47</v>
      </c>
      <c r="F978" s="21">
        <f t="shared" si="46"/>
        <v>109.77973568281938</v>
      </c>
      <c r="G978" s="22">
        <v>0.55964554804465805</v>
      </c>
      <c r="H978" s="18">
        <v>1</v>
      </c>
      <c r="I978" s="18">
        <f t="shared" si="47"/>
        <v>0</v>
      </c>
      <c r="J978" s="45">
        <v>42941</v>
      </c>
      <c r="K978" s="36">
        <v>2017</v>
      </c>
      <c r="L978" s="32">
        <f t="shared" si="45"/>
        <v>42949</v>
      </c>
      <c r="M978" s="42">
        <v>1</v>
      </c>
      <c r="N978" s="33">
        <v>284</v>
      </c>
      <c r="O978" s="34">
        <f>AVERAGEIF(L3:L1205,"&lt;2017/7/25",N3:N1205)</f>
        <v>108.83410138248848</v>
      </c>
      <c r="P978" s="38">
        <v>0</v>
      </c>
      <c r="Q978" s="38">
        <f>AVERAGEIF(L3:L1205,"&lt;2017/7/25",P3:P1205)</f>
        <v>0.39170506912442399</v>
      </c>
      <c r="R978" s="38">
        <v>2</v>
      </c>
      <c r="S978" s="38">
        <f>AVERAGEIF(L3:L1205,"&lt;2017/7/25",R3:R1205)</f>
        <v>1.3179723502304148</v>
      </c>
      <c r="T978" s="38">
        <v>8</v>
      </c>
      <c r="U978" s="38">
        <f>AVERAGEIF(L3:L1205,"&lt;2017/7/25",T3:T1205)</f>
        <v>10.004608294930875</v>
      </c>
      <c r="V978" s="24">
        <v>227</v>
      </c>
      <c r="W978" s="47" t="s">
        <v>4870</v>
      </c>
    </row>
    <row r="979" spans="1:23">
      <c r="A979" s="23">
        <v>4</v>
      </c>
      <c r="B979" s="23">
        <v>37</v>
      </c>
      <c r="C979" s="18">
        <v>4</v>
      </c>
      <c r="D979" s="18">
        <v>6</v>
      </c>
      <c r="E979" s="20">
        <v>84</v>
      </c>
      <c r="F979" s="21">
        <f t="shared" si="46"/>
        <v>109.89380530973452</v>
      </c>
      <c r="G979" s="22">
        <v>0.43485540823225399</v>
      </c>
      <c r="H979" s="18">
        <v>1</v>
      </c>
      <c r="I979" s="18">
        <f t="shared" si="47"/>
        <v>0</v>
      </c>
      <c r="J979" s="45">
        <v>42940</v>
      </c>
      <c r="K979" s="36">
        <v>2017</v>
      </c>
      <c r="L979" s="32">
        <f t="shared" si="45"/>
        <v>42949</v>
      </c>
      <c r="M979" s="42">
        <v>1</v>
      </c>
      <c r="N979" s="33">
        <v>282</v>
      </c>
      <c r="O979" s="34">
        <f>AVERAGEIF(L3:L1205,"&lt;2017/7/24",N3:N1205)</f>
        <v>108.83410138248848</v>
      </c>
      <c r="P979" s="38">
        <v>0</v>
      </c>
      <c r="Q979" s="38">
        <f>AVERAGEIF(L3:L1205,"&lt;2017/7/24",P3:P1205)</f>
        <v>0.39170506912442399</v>
      </c>
      <c r="R979" s="38">
        <v>2</v>
      </c>
      <c r="S979" s="38">
        <f>AVERAGEIF(L3:L1205,"&lt;2017/7/24",R3:R1205)</f>
        <v>1.3179723502304148</v>
      </c>
      <c r="T979" s="38">
        <v>9</v>
      </c>
      <c r="U979" s="38">
        <f>AVERAGEIF(L3:L1205,"&lt;2017/7/24",T3:T1205)</f>
        <v>10.004608294930875</v>
      </c>
      <c r="V979" s="24">
        <v>226</v>
      </c>
      <c r="W979" s="47" t="s">
        <v>4873</v>
      </c>
    </row>
    <row r="980" spans="1:23">
      <c r="A980" s="23">
        <v>2</v>
      </c>
      <c r="B980" s="23">
        <v>4</v>
      </c>
      <c r="C980" s="18">
        <v>4</v>
      </c>
      <c r="D980" s="18">
        <v>6</v>
      </c>
      <c r="E980" s="20">
        <v>182</v>
      </c>
      <c r="F980" s="21">
        <f t="shared" si="46"/>
        <v>109.57333333333334</v>
      </c>
      <c r="G980" s="22">
        <v>0.45375247520583101</v>
      </c>
      <c r="H980" s="18">
        <v>1</v>
      </c>
      <c r="I980" s="18">
        <f t="shared" si="47"/>
        <v>0</v>
      </c>
      <c r="J980" s="41">
        <v>42939</v>
      </c>
      <c r="K980" s="36">
        <v>2017</v>
      </c>
      <c r="L980" s="32">
        <f t="shared" si="45"/>
        <v>42961</v>
      </c>
      <c r="M980" s="40">
        <v>0</v>
      </c>
      <c r="N980" s="33">
        <v>118</v>
      </c>
      <c r="O980" s="34">
        <f>AVERAGEIF(L3:L1205,"&lt;2017/7/23",N3:N1205)</f>
        <v>108.83410138248848</v>
      </c>
      <c r="P980" s="38">
        <v>0</v>
      </c>
      <c r="Q980" s="38">
        <f>AVERAGEIF(L3:L1205,"&lt;2017/7/23",P3:P1205)</f>
        <v>0.39170506912442399</v>
      </c>
      <c r="R980" s="38">
        <v>2</v>
      </c>
      <c r="S980" s="38">
        <f>AVERAGEIF(L3:L1205,"&lt;2017/7/23",R3:R1205)</f>
        <v>1.3179723502304148</v>
      </c>
      <c r="T980" s="38">
        <v>22</v>
      </c>
      <c r="U980" s="38">
        <f>AVERAGEIF(L3:L1205,"&lt;2017/7/23",T3:T1205)</f>
        <v>10.004608294930875</v>
      </c>
      <c r="V980" s="24">
        <v>225</v>
      </c>
      <c r="W980" s="47" t="s">
        <v>4659</v>
      </c>
    </row>
    <row r="981" spans="1:23">
      <c r="A981" s="23">
        <v>4</v>
      </c>
      <c r="B981" s="23">
        <v>37</v>
      </c>
      <c r="C981" s="18">
        <v>4</v>
      </c>
      <c r="D981" s="18">
        <v>6</v>
      </c>
      <c r="E981" s="20">
        <v>65</v>
      </c>
      <c r="F981" s="21">
        <f t="shared" si="46"/>
        <v>109.77232142857143</v>
      </c>
      <c r="G981" s="22">
        <v>0.47325261785022299</v>
      </c>
      <c r="H981" s="18">
        <v>1</v>
      </c>
      <c r="I981" s="18">
        <f t="shared" si="47"/>
        <v>0</v>
      </c>
      <c r="J981" s="45">
        <v>42938</v>
      </c>
      <c r="K981" s="36">
        <v>2017</v>
      </c>
      <c r="L981" s="32">
        <f t="shared" si="45"/>
        <v>42949</v>
      </c>
      <c r="M981" s="42">
        <v>1</v>
      </c>
      <c r="N981" s="33">
        <v>280</v>
      </c>
      <c r="O981" s="34">
        <f>AVERAGEIF(L3:L1205,"&lt;2017/7/22",N3:N1205)</f>
        <v>108.77314814814815</v>
      </c>
      <c r="P981" s="38">
        <v>0</v>
      </c>
      <c r="Q981" s="38">
        <f>AVERAGEIF(L3:L1205,"&lt;2017/7/22",P3:P1205)</f>
        <v>0.39351851851851855</v>
      </c>
      <c r="R981" s="38">
        <v>2</v>
      </c>
      <c r="S981" s="38">
        <f>AVERAGEIF(L3:L1205,"&lt;2017/7/22",R3:R1205)</f>
        <v>1.3194444444444444</v>
      </c>
      <c r="T981" s="38">
        <v>11</v>
      </c>
      <c r="U981" s="38">
        <f>AVERAGEIF(L3:L1205,"&lt;2017/7/22",T3:T1205)</f>
        <v>10.023148148148149</v>
      </c>
      <c r="V981" s="24">
        <v>224</v>
      </c>
      <c r="W981" s="47" t="s">
        <v>4980</v>
      </c>
    </row>
    <row r="982" spans="1:23">
      <c r="A982" s="23">
        <v>4</v>
      </c>
      <c r="B982" s="23">
        <v>37</v>
      </c>
      <c r="C982" s="18">
        <v>4</v>
      </c>
      <c r="D982" s="18">
        <v>6</v>
      </c>
      <c r="E982" s="20">
        <v>77</v>
      </c>
      <c r="F982" s="21">
        <f t="shared" si="46"/>
        <v>109.91928251121077</v>
      </c>
      <c r="G982" s="22">
        <v>0.395206154956601</v>
      </c>
      <c r="H982" s="18">
        <v>1</v>
      </c>
      <c r="I982" s="18">
        <f t="shared" si="47"/>
        <v>0</v>
      </c>
      <c r="J982" s="45">
        <v>42937</v>
      </c>
      <c r="K982" s="36">
        <v>2017</v>
      </c>
      <c r="L982" s="32">
        <f t="shared" si="45"/>
        <v>42948</v>
      </c>
      <c r="M982" s="42">
        <v>1</v>
      </c>
      <c r="N982" s="33">
        <v>281</v>
      </c>
      <c r="O982" s="34">
        <f>AVERAGEIF(L3:L1205,"&lt;2017/7/21",N3:N1205)</f>
        <v>108.77314814814815</v>
      </c>
      <c r="P982" s="38">
        <v>0</v>
      </c>
      <c r="Q982" s="38">
        <f>AVERAGEIF(L3:L1205,"&lt;2017/7/21",P3:P1205)</f>
        <v>0.39351851851851855</v>
      </c>
      <c r="R982" s="38">
        <v>2</v>
      </c>
      <c r="S982" s="38">
        <f>AVERAGEIF(L3:L1205,"&lt;2017/7/21",R3:R1205)</f>
        <v>1.3194444444444444</v>
      </c>
      <c r="T982" s="38">
        <v>11</v>
      </c>
      <c r="U982" s="38">
        <f>AVERAGEIF(L3:L1205,"&lt;2017/7/21",T3:T1205)</f>
        <v>10.023148148148149</v>
      </c>
      <c r="V982" s="24">
        <v>223</v>
      </c>
      <c r="W982" s="47" t="s">
        <v>4873</v>
      </c>
    </row>
    <row r="983" spans="1:23">
      <c r="A983" s="23">
        <v>4</v>
      </c>
      <c r="B983" s="23">
        <v>37</v>
      </c>
      <c r="C983" s="18">
        <v>4</v>
      </c>
      <c r="D983" s="18">
        <v>6</v>
      </c>
      <c r="E983" s="20">
        <v>61</v>
      </c>
      <c r="F983" s="21">
        <f t="shared" si="46"/>
        <v>110.13963963963964</v>
      </c>
      <c r="G983" s="22">
        <v>0.67116552648571204</v>
      </c>
      <c r="H983" s="18">
        <v>1</v>
      </c>
      <c r="I983" s="18">
        <f t="shared" si="47"/>
        <v>0</v>
      </c>
      <c r="J983" s="45">
        <v>42936</v>
      </c>
      <c r="K983" s="36">
        <v>2017</v>
      </c>
      <c r="L983" s="32">
        <f t="shared" si="45"/>
        <v>42941</v>
      </c>
      <c r="M983" s="42">
        <v>1</v>
      </c>
      <c r="N983" s="33">
        <v>281</v>
      </c>
      <c r="O983" s="34">
        <f>AVERAGEIF(L3:L1205,"&lt;2017/7/20",N3:N1205)</f>
        <v>107.03271028037383</v>
      </c>
      <c r="P983" s="38">
        <v>0</v>
      </c>
      <c r="Q983" s="38">
        <f>AVERAGEIF(L3:L1205,"&lt;2017/7/20",P3:P1205)</f>
        <v>0.39719626168224298</v>
      </c>
      <c r="R983" s="38">
        <v>2</v>
      </c>
      <c r="S983" s="38">
        <f>AVERAGEIF(L3:L1205,"&lt;2017/7/20",R3:R1205)</f>
        <v>1.3130841121495327</v>
      </c>
      <c r="T983" s="38">
        <v>5</v>
      </c>
      <c r="U983" s="38">
        <f>AVERAGEIF(L3:L1205,"&lt;2017/7/20",T3:T1205)</f>
        <v>10.065420560747663</v>
      </c>
      <c r="V983" s="24">
        <v>222</v>
      </c>
      <c r="W983" s="47" t="s">
        <v>4870</v>
      </c>
    </row>
    <row r="984" spans="1:23">
      <c r="A984" s="23">
        <v>2</v>
      </c>
      <c r="B984" s="23">
        <v>7</v>
      </c>
      <c r="C984" s="18">
        <v>4</v>
      </c>
      <c r="D984" s="18">
        <v>4</v>
      </c>
      <c r="E984" s="20">
        <v>100</v>
      </c>
      <c r="F984" s="21">
        <f t="shared" si="46"/>
        <v>110.18552036199095</v>
      </c>
      <c r="G984" s="22">
        <v>0.37500381495838703</v>
      </c>
      <c r="H984" s="18">
        <v>1</v>
      </c>
      <c r="I984" s="18">
        <f t="shared" si="47"/>
        <v>0</v>
      </c>
      <c r="J984" s="41">
        <v>42935</v>
      </c>
      <c r="K984" s="36">
        <v>2017</v>
      </c>
      <c r="L984" s="32">
        <f t="shared" si="45"/>
        <v>42948</v>
      </c>
      <c r="M984" s="40">
        <v>0</v>
      </c>
      <c r="N984" s="33">
        <v>94</v>
      </c>
      <c r="O984" s="34">
        <f>AVERAGEIF(L3:L1205,"&lt;2017/7/19",N3:N1205)</f>
        <v>102.91866028708134</v>
      </c>
      <c r="P984" s="38">
        <v>0</v>
      </c>
      <c r="Q984" s="38">
        <f>AVERAGEIF(L3:L1205,"&lt;2017/7/19",P3:P1205)</f>
        <v>0.40669856459330145</v>
      </c>
      <c r="R984" s="38">
        <v>1</v>
      </c>
      <c r="S984" s="38">
        <f>AVERAGEIF(L3:L1205,"&lt;2017/7/19",R3:R1205)</f>
        <v>1.2966507177033493</v>
      </c>
      <c r="T984" s="38">
        <v>13</v>
      </c>
      <c r="U984" s="38">
        <f>AVERAGEIF(L3:L1205,"&lt;2017/7/19",T3:T1205)</f>
        <v>10.023923444976077</v>
      </c>
      <c r="V984" s="24">
        <v>221</v>
      </c>
      <c r="W984" s="47" t="s">
        <v>4626</v>
      </c>
    </row>
    <row r="985" spans="1:23">
      <c r="A985" s="23">
        <v>4</v>
      </c>
      <c r="B985" s="23">
        <v>37</v>
      </c>
      <c r="C985" s="18">
        <v>4</v>
      </c>
      <c r="D985" s="18">
        <v>6</v>
      </c>
      <c r="E985" s="20">
        <v>55</v>
      </c>
      <c r="F985" s="21">
        <f t="shared" si="46"/>
        <v>110.43636363636364</v>
      </c>
      <c r="G985" s="22">
        <v>0.51765934722143303</v>
      </c>
      <c r="H985" s="18">
        <v>1</v>
      </c>
      <c r="I985" s="18">
        <f t="shared" si="47"/>
        <v>0</v>
      </c>
      <c r="J985" s="45">
        <v>42934</v>
      </c>
      <c r="K985" s="36">
        <v>2017</v>
      </c>
      <c r="L985" s="32">
        <f t="shared" si="45"/>
        <v>42936</v>
      </c>
      <c r="M985" s="42">
        <v>1</v>
      </c>
      <c r="N985" s="33">
        <v>295</v>
      </c>
      <c r="O985" s="34">
        <f>AVERAGEIF(L3:L1205,"&lt;2017/7/18",N3:N1205)</f>
        <v>102.66504854368932</v>
      </c>
      <c r="P985" s="38">
        <v>0</v>
      </c>
      <c r="Q985" s="38">
        <f>AVERAGEIF(L3:L1205,"&lt;2017/7/18",P3:P1205)</f>
        <v>0.41262135922330095</v>
      </c>
      <c r="R985" s="38">
        <v>2</v>
      </c>
      <c r="S985" s="38">
        <f>AVERAGEIF(L3:L1205,"&lt;2017/7/18",R3:R1205)</f>
        <v>1.296116504854369</v>
      </c>
      <c r="T985" s="38">
        <v>2</v>
      </c>
      <c r="U985" s="38">
        <f>AVERAGEIF(L3:L1205,"&lt;2017/7/18",T3:T1205)</f>
        <v>10.087378640776699</v>
      </c>
      <c r="V985" s="24">
        <v>220</v>
      </c>
      <c r="W985" s="47" t="s">
        <v>4980</v>
      </c>
    </row>
    <row r="986" spans="1:23">
      <c r="A986" s="23">
        <v>2</v>
      </c>
      <c r="B986" s="23">
        <v>4</v>
      </c>
      <c r="C986" s="18">
        <v>1</v>
      </c>
      <c r="D986" s="18">
        <v>6</v>
      </c>
      <c r="E986" s="20">
        <v>101</v>
      </c>
      <c r="F986" s="21">
        <f t="shared" si="46"/>
        <v>110.47945205479452</v>
      </c>
      <c r="G986" s="22">
        <v>0.41651524560425701</v>
      </c>
      <c r="H986" s="18">
        <v>0</v>
      </c>
      <c r="I986" s="18">
        <f t="shared" si="47"/>
        <v>1</v>
      </c>
      <c r="J986" s="41">
        <v>42933</v>
      </c>
      <c r="K986" s="36">
        <v>2017</v>
      </c>
      <c r="L986" s="32">
        <f t="shared" si="45"/>
        <v>42934</v>
      </c>
      <c r="M986" s="24">
        <v>1</v>
      </c>
      <c r="N986" s="33">
        <v>116</v>
      </c>
      <c r="O986" s="34">
        <f>AVERAGEIF(L3:L1205,"&lt;2017/7/17",N3:N1205)</f>
        <v>101.91707317073171</v>
      </c>
      <c r="P986" s="38">
        <v>0</v>
      </c>
      <c r="Q986" s="38">
        <f>AVERAGEIF(L3:L1205,"&lt;2017/7/17",P3:P1205)</f>
        <v>0.41463414634146339</v>
      </c>
      <c r="R986" s="38">
        <v>2</v>
      </c>
      <c r="S986" s="38">
        <f>AVERAGEIF(L3:L1205,"&lt;2017/7/17",R3:R1205)</f>
        <v>1.2975609756097561</v>
      </c>
      <c r="T986" s="38">
        <v>1</v>
      </c>
      <c r="U986" s="38">
        <f>AVERAGEIF(L3:L1205,"&lt;2017/7/17",T3:T1205)</f>
        <v>10.092682926829267</v>
      </c>
      <c r="V986" s="24">
        <v>219</v>
      </c>
      <c r="W986" s="47" t="s">
        <v>4688</v>
      </c>
    </row>
    <row r="987" spans="1:23">
      <c r="A987" s="23">
        <v>4</v>
      </c>
      <c r="B987" s="23">
        <v>37</v>
      </c>
      <c r="C987" s="18">
        <v>4</v>
      </c>
      <c r="D987" s="18">
        <v>6</v>
      </c>
      <c r="E987" s="20">
        <v>63</v>
      </c>
      <c r="F987" s="21">
        <f t="shared" si="46"/>
        <v>110.69724770642202</v>
      </c>
      <c r="G987" s="22">
        <v>0.37520422572616002</v>
      </c>
      <c r="H987" s="18">
        <v>1</v>
      </c>
      <c r="I987" s="18">
        <f t="shared" si="47"/>
        <v>0</v>
      </c>
      <c r="J987" s="45">
        <v>42933</v>
      </c>
      <c r="K987" s="36">
        <v>2017</v>
      </c>
      <c r="L987" s="32">
        <f t="shared" si="45"/>
        <v>42942</v>
      </c>
      <c r="M987" s="42">
        <v>1</v>
      </c>
      <c r="N987" s="33">
        <v>281</v>
      </c>
      <c r="O987" s="34">
        <f>AVERAGEIF(L3:L1205,"&lt;2017/7/17",N3:N1205)</f>
        <v>101.91707317073171</v>
      </c>
      <c r="P987" s="38">
        <v>0</v>
      </c>
      <c r="Q987" s="38">
        <f>AVERAGEIF(L3:L1205,"&lt;2017/7/17",P3:P1205)</f>
        <v>0.41463414634146339</v>
      </c>
      <c r="R987" s="38">
        <v>2</v>
      </c>
      <c r="S987" s="38">
        <f>AVERAGEIF(L3:L1205,"&lt;2017/7/17",R3:R1205)</f>
        <v>1.2975609756097561</v>
      </c>
      <c r="T987" s="38">
        <v>9</v>
      </c>
      <c r="U987" s="38">
        <f>AVERAGEIF(L3:L1205,"&lt;2017/7/17",T3:T1205)</f>
        <v>10.092682926829267</v>
      </c>
      <c r="V987" s="24">
        <v>218</v>
      </c>
      <c r="W987" s="47" t="s">
        <v>4870</v>
      </c>
    </row>
    <row r="988" spans="1:23">
      <c r="A988" s="23">
        <v>3</v>
      </c>
      <c r="B988" s="23">
        <v>25</v>
      </c>
      <c r="C988" s="18">
        <v>4</v>
      </c>
      <c r="D988" s="18">
        <v>6</v>
      </c>
      <c r="E988" s="20">
        <v>21</v>
      </c>
      <c r="F988" s="21">
        <f t="shared" si="46"/>
        <v>111.11059907834101</v>
      </c>
      <c r="G988" s="22">
        <v>0.58182379973856102</v>
      </c>
      <c r="H988" s="3">
        <v>1</v>
      </c>
      <c r="I988" s="18">
        <f t="shared" si="47"/>
        <v>0</v>
      </c>
      <c r="J988" s="41">
        <v>42932</v>
      </c>
      <c r="K988" s="36">
        <v>2017</v>
      </c>
      <c r="L988" s="32">
        <f t="shared" si="45"/>
        <v>42938</v>
      </c>
      <c r="M988" s="37">
        <v>0</v>
      </c>
      <c r="N988" s="33">
        <v>122</v>
      </c>
      <c r="O988" s="34">
        <f>AVERAGEIF(L3:L1205,"&lt;2017/7/16",N3:N1205)</f>
        <v>101.91707317073171</v>
      </c>
      <c r="P988" s="38">
        <v>0</v>
      </c>
      <c r="Q988" s="38">
        <f>AVERAGEIF(L3:L1205,"&lt;2017/7/16",P3:P1205)</f>
        <v>0.41463414634146339</v>
      </c>
      <c r="R988" s="38">
        <v>1</v>
      </c>
      <c r="S988" s="38">
        <f>AVERAGEIF(L3:L1205,"&lt;2017/7/16",R3:R1205)</f>
        <v>1.2975609756097561</v>
      </c>
      <c r="T988" s="38">
        <v>6</v>
      </c>
      <c r="U988" s="38">
        <f>AVERAGEIF(L3:L1205,"&lt;2017/7/16",T3:T1205)</f>
        <v>10.092682926829267</v>
      </c>
      <c r="V988" s="24">
        <v>217</v>
      </c>
      <c r="W988" s="47" t="s">
        <v>4529</v>
      </c>
    </row>
    <row r="989" spans="1:23">
      <c r="A989" s="23">
        <v>4</v>
      </c>
      <c r="B989" s="23">
        <v>37</v>
      </c>
      <c r="C989" s="18">
        <v>4</v>
      </c>
      <c r="D989" s="18">
        <v>6</v>
      </c>
      <c r="E989" s="20">
        <v>45</v>
      </c>
      <c r="F989" s="21">
        <f t="shared" si="46"/>
        <v>111.41666666666667</v>
      </c>
      <c r="G989" s="22">
        <v>0.39588702060953701</v>
      </c>
      <c r="H989" s="18">
        <v>1</v>
      </c>
      <c r="I989" s="18">
        <f t="shared" si="47"/>
        <v>0</v>
      </c>
      <c r="J989" s="45">
        <v>42932</v>
      </c>
      <c r="K989" s="36">
        <v>2017</v>
      </c>
      <c r="L989" s="32">
        <f t="shared" si="45"/>
        <v>42942</v>
      </c>
      <c r="M989" s="42">
        <v>1</v>
      </c>
      <c r="N989" s="33">
        <v>280</v>
      </c>
      <c r="O989" s="34">
        <f>AVERAGEIF(L3:L1205,"&lt;2017/7/16",N3:N1205)</f>
        <v>101.91707317073171</v>
      </c>
      <c r="P989" s="38">
        <v>0</v>
      </c>
      <c r="Q989" s="38">
        <f>AVERAGEIF(L3:L1205,"&lt;2017/7/16",P3:P1205)</f>
        <v>0.41463414634146339</v>
      </c>
      <c r="R989" s="38">
        <v>2</v>
      </c>
      <c r="S989" s="38">
        <f>AVERAGEIF(L3:L1205,"&lt;2017/7/16",R3:R1205)</f>
        <v>1.2975609756097561</v>
      </c>
      <c r="T989" s="38">
        <v>10</v>
      </c>
      <c r="U989" s="38">
        <f>AVERAGEIF(L3:L1205,"&lt;2017/7/16",T3:T1205)</f>
        <v>10.092682926829267</v>
      </c>
      <c r="V989" s="24">
        <v>216</v>
      </c>
      <c r="W989" s="47" t="s">
        <v>4980</v>
      </c>
    </row>
    <row r="990" spans="1:23">
      <c r="A990" s="23">
        <v>4</v>
      </c>
      <c r="B990" s="23">
        <v>37</v>
      </c>
      <c r="C990" s="18">
        <v>4</v>
      </c>
      <c r="D990" s="18">
        <v>6</v>
      </c>
      <c r="E990" s="20">
        <v>63</v>
      </c>
      <c r="F990" s="21">
        <f t="shared" si="46"/>
        <v>111.64186046511628</v>
      </c>
      <c r="G990" s="22">
        <v>0.42707469323009001</v>
      </c>
      <c r="H990" s="18">
        <v>1</v>
      </c>
      <c r="I990" s="18">
        <f t="shared" si="47"/>
        <v>0</v>
      </c>
      <c r="J990" s="45">
        <v>42931</v>
      </c>
      <c r="K990" s="36">
        <v>2017</v>
      </c>
      <c r="L990" s="32">
        <f t="shared" si="45"/>
        <v>42942</v>
      </c>
      <c r="M990" s="42">
        <v>1</v>
      </c>
      <c r="N990" s="33">
        <v>282</v>
      </c>
      <c r="O990" s="34">
        <f>AVERAGEIF(L3:L1205,"&lt;2017/7/15",N3:N1205)</f>
        <v>101.91707317073171</v>
      </c>
      <c r="P990" s="38">
        <v>0</v>
      </c>
      <c r="Q990" s="38">
        <f>AVERAGEIF(L3:L1205,"&lt;2017/7/15",P3:P1205)</f>
        <v>0.41463414634146339</v>
      </c>
      <c r="R990" s="38">
        <v>2</v>
      </c>
      <c r="S990" s="38">
        <f>AVERAGEIF(L3:L1205,"&lt;2017/7/15",R3:R1205)</f>
        <v>1.2975609756097561</v>
      </c>
      <c r="T990" s="38">
        <v>11</v>
      </c>
      <c r="U990" s="38">
        <f>AVERAGEIF(L3:L1205,"&lt;2017/7/15",T3:T1205)</f>
        <v>10.092682926829267</v>
      </c>
      <c r="V990" s="24">
        <v>215</v>
      </c>
      <c r="W990" s="47" t="s">
        <v>4870</v>
      </c>
    </row>
    <row r="991" spans="1:23">
      <c r="A991" s="23">
        <v>4</v>
      </c>
      <c r="B991" s="23">
        <v>37</v>
      </c>
      <c r="C991" s="18">
        <v>4</v>
      </c>
      <c r="D991" s="18">
        <v>6</v>
      </c>
      <c r="E991" s="20">
        <v>48</v>
      </c>
      <c r="F991" s="21">
        <f t="shared" si="46"/>
        <v>111.9392523364486</v>
      </c>
      <c r="G991" s="22">
        <v>0.37860672638204701</v>
      </c>
      <c r="H991" s="18">
        <v>1</v>
      </c>
      <c r="I991" s="18">
        <f t="shared" si="47"/>
        <v>0</v>
      </c>
      <c r="J991" s="45">
        <v>42929</v>
      </c>
      <c r="K991" s="36">
        <v>2017</v>
      </c>
      <c r="L991" s="32">
        <f t="shared" si="45"/>
        <v>42942</v>
      </c>
      <c r="M991" s="42">
        <v>1</v>
      </c>
      <c r="N991" s="33">
        <v>282</v>
      </c>
      <c r="O991" s="34">
        <f>AVERAGEIF(L3:L1205,"&lt;2017/7/13",N3:N1205)</f>
        <v>98.120603015075375</v>
      </c>
      <c r="P991" s="38">
        <v>0</v>
      </c>
      <c r="Q991" s="38">
        <f>AVERAGEIF(L3:L1205,"&lt;2017/7/13",P3:P1205)</f>
        <v>0.42713567839195982</v>
      </c>
      <c r="R991" s="38">
        <v>2</v>
      </c>
      <c r="S991" s="38">
        <f>AVERAGEIF(L3:L1205,"&lt;2017/7/13",R3:R1205)</f>
        <v>1.2814070351758795</v>
      </c>
      <c r="T991" s="38">
        <v>13</v>
      </c>
      <c r="U991" s="38">
        <f>AVERAGEIF(L3:L1205,"&lt;2017/7/13",T3:T1205)</f>
        <v>10.165829145728644</v>
      </c>
      <c r="V991" s="24">
        <v>214</v>
      </c>
      <c r="W991" s="47" t="s">
        <v>4817</v>
      </c>
    </row>
    <row r="992" spans="1:23">
      <c r="A992" s="23">
        <v>4</v>
      </c>
      <c r="B992" s="23">
        <v>37</v>
      </c>
      <c r="C992" s="18">
        <v>4</v>
      </c>
      <c r="D992" s="18">
        <v>6</v>
      </c>
      <c r="E992" s="20">
        <v>112</v>
      </c>
      <c r="F992" s="21">
        <f t="shared" si="46"/>
        <v>111.93896713615024</v>
      </c>
      <c r="G992" s="22">
        <v>0.73479700235470702</v>
      </c>
      <c r="H992" s="18">
        <v>1</v>
      </c>
      <c r="I992" s="18">
        <f t="shared" si="47"/>
        <v>0</v>
      </c>
      <c r="J992" s="45">
        <v>42928</v>
      </c>
      <c r="K992" s="36">
        <v>2017</v>
      </c>
      <c r="L992" s="32">
        <f t="shared" si="45"/>
        <v>42929</v>
      </c>
      <c r="M992" s="42">
        <v>1</v>
      </c>
      <c r="N992" s="33">
        <v>236</v>
      </c>
      <c r="O992" s="34">
        <f>AVERAGEIF(L3:L1205,"&lt;2017/7/12",N3:N1205)</f>
        <v>98.120603015075375</v>
      </c>
      <c r="P992" s="38">
        <v>0</v>
      </c>
      <c r="Q992" s="38">
        <f>AVERAGEIF(L3:L1205,"&lt;2017/7/12",P3:P1205)</f>
        <v>0.42713567839195982</v>
      </c>
      <c r="R992" s="38">
        <v>2</v>
      </c>
      <c r="S992" s="38">
        <f>AVERAGEIF(L3:L1205,"&lt;2017/7/12",R3:R1205)</f>
        <v>1.2814070351758795</v>
      </c>
      <c r="T992" s="38">
        <v>1</v>
      </c>
      <c r="U992" s="38">
        <f>AVERAGEIF(L3:L1205,"&lt;2017/7/12",T3:T1205)</f>
        <v>10.165829145728644</v>
      </c>
      <c r="V992" s="24">
        <v>213</v>
      </c>
      <c r="W992" s="47" t="s">
        <v>4873</v>
      </c>
    </row>
    <row r="993" spans="1:23">
      <c r="A993" s="23">
        <v>2</v>
      </c>
      <c r="B993" s="23">
        <v>4</v>
      </c>
      <c r="C993" s="18">
        <v>4</v>
      </c>
      <c r="D993" s="18">
        <v>6</v>
      </c>
      <c r="E993" s="20">
        <v>174</v>
      </c>
      <c r="F993" s="21">
        <f t="shared" si="46"/>
        <v>111.64622641509433</v>
      </c>
      <c r="G993" s="22">
        <v>0.70827035928231197</v>
      </c>
      <c r="H993" s="18">
        <v>1</v>
      </c>
      <c r="I993" s="18">
        <f t="shared" si="47"/>
        <v>0</v>
      </c>
      <c r="J993" s="41">
        <v>42927</v>
      </c>
      <c r="K993" s="36">
        <v>2017</v>
      </c>
      <c r="L993" s="32">
        <f t="shared" si="45"/>
        <v>42934</v>
      </c>
      <c r="M993" s="24">
        <v>1</v>
      </c>
      <c r="N993" s="33">
        <v>197</v>
      </c>
      <c r="O993" s="34">
        <f>AVERAGEIF(L3:L1205,"&lt;2017/7/11",N3:N1205)</f>
        <v>98.120603015075375</v>
      </c>
      <c r="P993" s="38">
        <v>0</v>
      </c>
      <c r="Q993" s="38">
        <f>AVERAGEIF(L3:L1205,"&lt;2017/7/11",P3:P1205)</f>
        <v>0.42713567839195982</v>
      </c>
      <c r="R993" s="38">
        <v>1</v>
      </c>
      <c r="S993" s="38">
        <f>AVERAGEIF(L3:L1205,"&lt;2017/7/11",R3:R1205)</f>
        <v>1.2814070351758795</v>
      </c>
      <c r="T993" s="38">
        <v>7</v>
      </c>
      <c r="U993" s="38">
        <f>AVERAGEIF(L3:L1205,"&lt;2017/7/11",T3:T1205)</f>
        <v>10.165829145728644</v>
      </c>
      <c r="V993" s="24">
        <v>212</v>
      </c>
      <c r="W993" s="47" t="s">
        <v>4550</v>
      </c>
    </row>
    <row r="994" spans="1:23">
      <c r="A994" s="23">
        <v>4</v>
      </c>
      <c r="B994" s="23">
        <v>37</v>
      </c>
      <c r="C994" s="18">
        <v>4</v>
      </c>
      <c r="D994" s="18">
        <v>6</v>
      </c>
      <c r="E994" s="20">
        <v>45</v>
      </c>
      <c r="F994" s="21">
        <f t="shared" si="46"/>
        <v>111.96208530805687</v>
      </c>
      <c r="G994" s="22">
        <v>0.63840828867337496</v>
      </c>
      <c r="H994" s="18">
        <v>1</v>
      </c>
      <c r="I994" s="18">
        <f t="shared" si="47"/>
        <v>0</v>
      </c>
      <c r="J994" s="45">
        <v>42927</v>
      </c>
      <c r="K994" s="36">
        <v>2017</v>
      </c>
      <c r="L994" s="32">
        <f t="shared" si="45"/>
        <v>42936</v>
      </c>
      <c r="M994" s="42">
        <v>1</v>
      </c>
      <c r="N994" s="33">
        <v>295</v>
      </c>
      <c r="O994" s="34">
        <f>AVERAGEIF(L3:L1205,"&lt;2017/7/11",N3:N1205)</f>
        <v>98.120603015075375</v>
      </c>
      <c r="P994" s="38">
        <v>0</v>
      </c>
      <c r="Q994" s="38">
        <f>AVERAGEIF(L3:L1205,"&lt;2017/7/11",P3:P1205)</f>
        <v>0.42713567839195982</v>
      </c>
      <c r="R994" s="38">
        <v>2</v>
      </c>
      <c r="S994" s="38">
        <f>AVERAGEIF(L3:L1205,"&lt;2017/7/11",R3:R1205)</f>
        <v>1.2814070351758795</v>
      </c>
      <c r="T994" s="38">
        <v>9</v>
      </c>
      <c r="U994" s="38">
        <f>AVERAGEIF(L3:L1205,"&lt;2017/7/11",T3:T1205)</f>
        <v>10.165829145728644</v>
      </c>
      <c r="V994" s="24">
        <v>211</v>
      </c>
      <c r="W994" s="47" t="s">
        <v>4980</v>
      </c>
    </row>
    <row r="995" spans="1:23">
      <c r="A995" s="23">
        <v>4</v>
      </c>
      <c r="B995" s="23">
        <v>37</v>
      </c>
      <c r="C995" s="18">
        <v>4</v>
      </c>
      <c r="D995" s="18">
        <v>6</v>
      </c>
      <c r="E995" s="20">
        <v>65</v>
      </c>
      <c r="F995" s="21">
        <f t="shared" si="46"/>
        <v>112.18571428571428</v>
      </c>
      <c r="G995" s="22">
        <v>0.80661357530421296</v>
      </c>
      <c r="H995" s="18">
        <v>1</v>
      </c>
      <c r="I995" s="18">
        <f t="shared" si="47"/>
        <v>0</v>
      </c>
      <c r="J995" s="45">
        <v>42926</v>
      </c>
      <c r="K995" s="36">
        <v>2017</v>
      </c>
      <c r="L995" s="32">
        <f t="shared" si="45"/>
        <v>42935</v>
      </c>
      <c r="M995" s="42">
        <v>1</v>
      </c>
      <c r="N995" s="33">
        <v>295</v>
      </c>
      <c r="O995" s="34">
        <f>AVERAGEIF(L3:L1205,"&lt;2017/7/10",N3:N1205)</f>
        <v>97.782828282828277</v>
      </c>
      <c r="P995" s="38">
        <v>0</v>
      </c>
      <c r="Q995" s="38">
        <f>AVERAGEIF(L3:L1205,"&lt;2017/7/10",P3:P1205)</f>
        <v>0.42929292929292928</v>
      </c>
      <c r="R995" s="38">
        <v>2</v>
      </c>
      <c r="S995" s="38">
        <f>AVERAGEIF(L3:L1205,"&lt;2017/7/10",R3:R1205)</f>
        <v>1.2828282828282829</v>
      </c>
      <c r="T995" s="38">
        <v>9</v>
      </c>
      <c r="U995" s="38">
        <f>AVERAGEIF(L3:L1205,"&lt;2017/7/10",T3:T1205)</f>
        <v>10.212121212121213</v>
      </c>
      <c r="V995" s="24">
        <v>210</v>
      </c>
      <c r="W995" s="47" t="s">
        <v>5060</v>
      </c>
    </row>
    <row r="996" spans="1:23">
      <c r="A996" s="23">
        <v>2</v>
      </c>
      <c r="B996" s="23">
        <v>4</v>
      </c>
      <c r="C996" s="18">
        <v>1</v>
      </c>
      <c r="D996" s="18">
        <v>6</v>
      </c>
      <c r="E996" s="20">
        <v>82</v>
      </c>
      <c r="F996" s="21">
        <f t="shared" si="46"/>
        <v>112.33014354066985</v>
      </c>
      <c r="G996" s="22">
        <v>0.840230499906923</v>
      </c>
      <c r="H996" s="18">
        <v>1</v>
      </c>
      <c r="I996" s="18">
        <f t="shared" si="47"/>
        <v>0</v>
      </c>
      <c r="J996" s="41">
        <v>42925</v>
      </c>
      <c r="K996" s="36">
        <v>2017</v>
      </c>
      <c r="L996" s="32">
        <f t="shared" si="45"/>
        <v>42926</v>
      </c>
      <c r="M996" s="40">
        <v>1</v>
      </c>
      <c r="N996" s="33">
        <v>165</v>
      </c>
      <c r="O996" s="34">
        <f>AVERAGEIF(L3:L1205,"&lt;2017/7/9",N3:N1205)</f>
        <v>97.782828282828277</v>
      </c>
      <c r="P996" s="38">
        <v>0</v>
      </c>
      <c r="Q996" s="38">
        <f>AVERAGEIF(L3:L1205,"&lt;2017/7/9",P3:P1205)</f>
        <v>0.42929292929292928</v>
      </c>
      <c r="R996" s="38">
        <v>1</v>
      </c>
      <c r="S996" s="38">
        <f>AVERAGEIF(L3:L1205,"&lt;2017/7/9",R3:R1205)</f>
        <v>1.2828282828282829</v>
      </c>
      <c r="T996" s="38">
        <v>1</v>
      </c>
      <c r="U996" s="38">
        <f>AVERAGEIF(L3:L1205,"&lt;2017/7/9",T3:T1205)</f>
        <v>10.212121212121213</v>
      </c>
      <c r="V996" s="24">
        <v>209</v>
      </c>
      <c r="W996" s="47" t="s">
        <v>4529</v>
      </c>
    </row>
    <row r="997" spans="1:23">
      <c r="A997" s="23">
        <v>2</v>
      </c>
      <c r="B997" s="23">
        <v>11</v>
      </c>
      <c r="C997" s="18">
        <v>4</v>
      </c>
      <c r="D997" s="18">
        <v>4</v>
      </c>
      <c r="E997" s="20">
        <v>123</v>
      </c>
      <c r="F997" s="21">
        <f t="shared" si="46"/>
        <v>112.27884615384616</v>
      </c>
      <c r="G997" s="22">
        <v>0.25613494844438101</v>
      </c>
      <c r="H997" s="18">
        <v>1</v>
      </c>
      <c r="I997" s="18">
        <f t="shared" si="47"/>
        <v>0</v>
      </c>
      <c r="J997" s="41">
        <v>42925</v>
      </c>
      <c r="K997" s="36">
        <v>2017</v>
      </c>
      <c r="L997" s="32">
        <f t="shared" si="45"/>
        <v>42934</v>
      </c>
      <c r="M997" s="40">
        <v>0</v>
      </c>
      <c r="N997" s="33">
        <v>48</v>
      </c>
      <c r="O997" s="34">
        <f>AVERAGEIF(L3:L1205,"&lt;2017/7/9",N3:N1205)</f>
        <v>97.782828282828277</v>
      </c>
      <c r="P997" s="38">
        <v>0</v>
      </c>
      <c r="Q997" s="38">
        <f>AVERAGEIF(L3:L1205,"&lt;2017/7/9",P3:P1205)</f>
        <v>0.42929292929292928</v>
      </c>
      <c r="R997" s="38">
        <v>1</v>
      </c>
      <c r="S997" s="38">
        <f>AVERAGEIF(L3:L1205,"&lt;2017/7/9",R3:R1205)</f>
        <v>1.2828282828282829</v>
      </c>
      <c r="T997" s="38">
        <v>9</v>
      </c>
      <c r="U997" s="38">
        <f>AVERAGEIF(L3:L1205,"&lt;2017/7/9",T3:T1205)</f>
        <v>10.212121212121213</v>
      </c>
      <c r="V997" s="24">
        <v>208</v>
      </c>
      <c r="W997" s="47" t="s">
        <v>4945</v>
      </c>
    </row>
    <row r="998" spans="1:23">
      <c r="A998" s="23">
        <v>2</v>
      </c>
      <c r="B998" s="23">
        <v>4</v>
      </c>
      <c r="C998" s="18">
        <v>4</v>
      </c>
      <c r="D998" s="18">
        <v>6</v>
      </c>
      <c r="E998" s="20">
        <v>256</v>
      </c>
      <c r="F998" s="21">
        <f t="shared" si="46"/>
        <v>111.58454106280193</v>
      </c>
      <c r="G998" s="22">
        <v>0.81903569664355402</v>
      </c>
      <c r="H998" s="18">
        <v>1</v>
      </c>
      <c r="I998" s="18">
        <f t="shared" si="47"/>
        <v>0</v>
      </c>
      <c r="J998" s="41">
        <v>42924</v>
      </c>
      <c r="K998" s="36">
        <v>2017</v>
      </c>
      <c r="L998" s="32">
        <f t="shared" si="45"/>
        <v>42933</v>
      </c>
      <c r="M998" s="40">
        <v>1</v>
      </c>
      <c r="N998" s="33">
        <v>256</v>
      </c>
      <c r="O998" s="34">
        <f>AVERAGEIF(L3:L1205,"&lt;2017/7/8",N3:N1205)</f>
        <v>97.782828282828277</v>
      </c>
      <c r="P998" s="38">
        <v>0</v>
      </c>
      <c r="Q998" s="38">
        <f>AVERAGEIF(L3:L1205,"&lt;2017/7/8",P3:P1205)</f>
        <v>0.42929292929292928</v>
      </c>
      <c r="R998" s="38">
        <v>1</v>
      </c>
      <c r="S998" s="38">
        <f>AVERAGEIF(L3:L1205,"&lt;2017/7/8",R3:R1205)</f>
        <v>1.2828282828282829</v>
      </c>
      <c r="T998" s="38">
        <v>9</v>
      </c>
      <c r="U998" s="38">
        <f>AVERAGEIF(L3:L1205,"&lt;2017/7/8",T3:T1205)</f>
        <v>10.212121212121213</v>
      </c>
      <c r="V998" s="24">
        <v>207</v>
      </c>
      <c r="W998" s="47" t="s">
        <v>5062</v>
      </c>
    </row>
    <row r="999" spans="1:23">
      <c r="A999" s="23">
        <v>4</v>
      </c>
      <c r="B999" s="23">
        <v>37</v>
      </c>
      <c r="C999" s="18">
        <v>4</v>
      </c>
      <c r="D999" s="18">
        <v>6</v>
      </c>
      <c r="E999" s="20">
        <v>48</v>
      </c>
      <c r="F999" s="21">
        <f t="shared" si="46"/>
        <v>111.89320388349515</v>
      </c>
      <c r="G999" s="22">
        <v>0.51703568490457097</v>
      </c>
      <c r="H999" s="18">
        <v>1</v>
      </c>
      <c r="I999" s="18">
        <f t="shared" si="47"/>
        <v>0</v>
      </c>
      <c r="J999" s="45">
        <v>42924</v>
      </c>
      <c r="K999" s="36">
        <v>2017</v>
      </c>
      <c r="L999" s="32">
        <f t="shared" si="45"/>
        <v>42935</v>
      </c>
      <c r="M999" s="42">
        <v>1</v>
      </c>
      <c r="N999" s="33">
        <v>295</v>
      </c>
      <c r="O999" s="34">
        <f>AVERAGEIF(L3:L1205,"&lt;2017/7/8",N3:N1205)</f>
        <v>97.782828282828277</v>
      </c>
      <c r="P999" s="38">
        <v>0</v>
      </c>
      <c r="Q999" s="38">
        <f>AVERAGEIF(L3:L1205,"&lt;2017/7/8",P3:P1205)</f>
        <v>0.42929292929292928</v>
      </c>
      <c r="R999" s="38">
        <v>2</v>
      </c>
      <c r="S999" s="38">
        <f>AVERAGEIF(L3:L1205,"&lt;2017/7/8",R3:R1205)</f>
        <v>1.2828282828282829</v>
      </c>
      <c r="T999" s="38">
        <v>11</v>
      </c>
      <c r="U999" s="38">
        <f>AVERAGEIF(L3:L1205,"&lt;2017/7/8",T3:T1205)</f>
        <v>10.212121212121213</v>
      </c>
      <c r="V999" s="24">
        <v>206</v>
      </c>
      <c r="W999" s="47" t="s">
        <v>4572</v>
      </c>
    </row>
    <row r="1000" spans="1:23">
      <c r="A1000" s="23">
        <v>2</v>
      </c>
      <c r="B1000" s="23">
        <v>4</v>
      </c>
      <c r="C1000" s="18">
        <v>1</v>
      </c>
      <c r="D1000" s="18">
        <v>6</v>
      </c>
      <c r="E1000" s="20">
        <v>161</v>
      </c>
      <c r="F1000" s="21">
        <f t="shared" si="46"/>
        <v>111.65365853658537</v>
      </c>
      <c r="G1000" s="22">
        <v>0.95374998226924601</v>
      </c>
      <c r="H1000" s="18">
        <v>1</v>
      </c>
      <c r="I1000" s="18">
        <f t="shared" si="47"/>
        <v>0</v>
      </c>
      <c r="J1000" s="41">
        <v>42923</v>
      </c>
      <c r="K1000" s="36">
        <v>2017</v>
      </c>
      <c r="L1000" s="32">
        <f t="shared" si="45"/>
        <v>42930</v>
      </c>
      <c r="M1000" s="40">
        <v>1</v>
      </c>
      <c r="N1000" s="33">
        <v>242</v>
      </c>
      <c r="O1000" s="34">
        <f>AVERAGEIF(L3:L1205,"&lt;2017/7/7",N3:N1205)</f>
        <v>94.805128205128199</v>
      </c>
      <c r="P1000" s="38">
        <v>0</v>
      </c>
      <c r="Q1000" s="38">
        <f>AVERAGEIF(L3:L1205,"&lt;2017/7/7",P3:P1205)</f>
        <v>0.42564102564102563</v>
      </c>
      <c r="R1000" s="38">
        <v>2</v>
      </c>
      <c r="S1000" s="38">
        <f>AVERAGEIF(L3:L1205,"&lt;2017/7/7",R3:R1205)</f>
        <v>1.2820512820512822</v>
      </c>
      <c r="T1000" s="38">
        <v>7</v>
      </c>
      <c r="U1000" s="38">
        <f>AVERAGEIF(L3:L1205,"&lt;2017/7/7",T3:T1205)</f>
        <v>10.297435897435898</v>
      </c>
      <c r="V1000" s="24">
        <v>205</v>
      </c>
      <c r="W1000" s="47" t="s">
        <v>4659</v>
      </c>
    </row>
    <row r="1001" spans="1:23">
      <c r="A1001" s="23">
        <v>4</v>
      </c>
      <c r="B1001" s="23">
        <v>37</v>
      </c>
      <c r="C1001" s="18">
        <v>4</v>
      </c>
      <c r="D1001" s="18">
        <v>6</v>
      </c>
      <c r="E1001" s="20">
        <v>79</v>
      </c>
      <c r="F1001" s="21">
        <f t="shared" si="46"/>
        <v>111.81372549019608</v>
      </c>
      <c r="G1001" s="22">
        <v>0.408088931364537</v>
      </c>
      <c r="H1001" s="18">
        <v>1</v>
      </c>
      <c r="I1001" s="18">
        <f t="shared" si="47"/>
        <v>0</v>
      </c>
      <c r="J1001" s="45">
        <v>42923</v>
      </c>
      <c r="K1001" s="36">
        <v>2017</v>
      </c>
      <c r="L1001" s="32">
        <f t="shared" si="45"/>
        <v>42935</v>
      </c>
      <c r="M1001" s="42">
        <v>1</v>
      </c>
      <c r="N1001" s="33">
        <v>295</v>
      </c>
      <c r="O1001" s="34">
        <f>AVERAGEIF(L3:L1205,"&lt;2017/7/7",N3:N1205)</f>
        <v>94.805128205128199</v>
      </c>
      <c r="P1001" s="38">
        <v>0</v>
      </c>
      <c r="Q1001" s="38">
        <f>AVERAGEIF(L3:L1205,"&lt;2017/7/7",P3:P1205)</f>
        <v>0.42564102564102563</v>
      </c>
      <c r="R1001" s="38">
        <v>2</v>
      </c>
      <c r="S1001" s="38">
        <f>AVERAGEIF(L3:L1205,"&lt;2017/7/7",R3:R1205)</f>
        <v>1.2820512820512822</v>
      </c>
      <c r="T1001" s="38">
        <v>12</v>
      </c>
      <c r="U1001" s="38">
        <f>AVERAGEIF(L3:L1205,"&lt;2017/7/7",T3:T1205)</f>
        <v>10.297435897435898</v>
      </c>
      <c r="V1001" s="24">
        <v>204</v>
      </c>
      <c r="W1001" s="47" t="s">
        <v>4817</v>
      </c>
    </row>
    <row r="1002" spans="1:23">
      <c r="A1002" s="23">
        <v>2</v>
      </c>
      <c r="B1002" s="23">
        <v>4</v>
      </c>
      <c r="C1002" s="18">
        <v>4</v>
      </c>
      <c r="D1002" s="18">
        <v>6</v>
      </c>
      <c r="E1002" s="20">
        <v>159</v>
      </c>
      <c r="F1002" s="21">
        <f t="shared" si="46"/>
        <v>111.58128078817734</v>
      </c>
      <c r="G1002" s="22">
        <v>0.78164849237259904</v>
      </c>
      <c r="H1002" s="18">
        <v>1</v>
      </c>
      <c r="I1002" s="18">
        <f t="shared" si="47"/>
        <v>0</v>
      </c>
      <c r="J1002" s="41">
        <v>42922</v>
      </c>
      <c r="K1002" s="36">
        <v>2017</v>
      </c>
      <c r="L1002" s="32">
        <f t="shared" si="45"/>
        <v>42923</v>
      </c>
      <c r="M1002" s="40">
        <v>1</v>
      </c>
      <c r="N1002" s="33">
        <v>370</v>
      </c>
      <c r="O1002" s="34">
        <f>AVERAGEIF(L3:L1205,"&lt;2017/7/6",N3:N1205)</f>
        <v>93.531578947368416</v>
      </c>
      <c r="P1002" s="38">
        <v>1</v>
      </c>
      <c r="Q1002" s="38">
        <f>AVERAGEIF(L3:L1205,"&lt;2017/7/6",P3:P1205)</f>
        <v>0.43157894736842106</v>
      </c>
      <c r="R1002" s="38">
        <v>2</v>
      </c>
      <c r="S1002" s="38">
        <f>AVERAGEIF(L3:L1205,"&lt;2017/7/6",R3:R1205)</f>
        <v>1.2736842105263158</v>
      </c>
      <c r="T1002" s="38">
        <v>1</v>
      </c>
      <c r="U1002" s="38">
        <f>AVERAGEIF(L3:L1205,"&lt;2017/7/6",T3:T1205)</f>
        <v>10.352631578947369</v>
      </c>
      <c r="V1002" s="24">
        <v>203</v>
      </c>
      <c r="W1002" s="47" t="s">
        <v>4874</v>
      </c>
    </row>
    <row r="1003" spans="1:23">
      <c r="A1003" s="23">
        <v>2</v>
      </c>
      <c r="B1003" s="23">
        <v>4</v>
      </c>
      <c r="C1003" s="18">
        <v>4</v>
      </c>
      <c r="D1003" s="18">
        <v>6</v>
      </c>
      <c r="E1003" s="20">
        <v>231</v>
      </c>
      <c r="F1003" s="21">
        <f t="shared" si="46"/>
        <v>110.99009900990099</v>
      </c>
      <c r="G1003" s="22">
        <v>0.40210429300373601</v>
      </c>
      <c r="H1003" s="18">
        <v>1</v>
      </c>
      <c r="I1003" s="18">
        <f t="shared" si="47"/>
        <v>0</v>
      </c>
      <c r="J1003" s="41">
        <v>42922</v>
      </c>
      <c r="K1003" s="36">
        <v>2017</v>
      </c>
      <c r="L1003" s="32">
        <f t="shared" si="45"/>
        <v>42930</v>
      </c>
      <c r="M1003" s="40">
        <v>1</v>
      </c>
      <c r="N1003" s="33">
        <v>242</v>
      </c>
      <c r="O1003" s="34">
        <f>AVERAGEIF(L3:L1205,"&lt;2017/7/6",N3:N1205)</f>
        <v>93.531578947368416</v>
      </c>
      <c r="P1003" s="38">
        <v>0</v>
      </c>
      <c r="Q1003" s="38">
        <f>AVERAGEIF(L3:L1205,"&lt;2017/7/6",P3:P1205)</f>
        <v>0.43157894736842106</v>
      </c>
      <c r="R1003" s="38">
        <v>2</v>
      </c>
      <c r="S1003" s="38">
        <f>AVERAGEIF(L3:L1205,"&lt;2017/7/6",R3:R1205)</f>
        <v>1.2736842105263158</v>
      </c>
      <c r="T1003" s="38">
        <v>8</v>
      </c>
      <c r="U1003" s="38">
        <f>AVERAGEIF(L3:L1205,"&lt;2017/7/6",T3:T1205)</f>
        <v>10.352631578947369</v>
      </c>
      <c r="V1003" s="24">
        <v>202</v>
      </c>
      <c r="W1003" s="47" t="s">
        <v>5067</v>
      </c>
    </row>
    <row r="1004" spans="1:23">
      <c r="A1004" s="23">
        <v>4</v>
      </c>
      <c r="B1004" s="23">
        <v>37</v>
      </c>
      <c r="C1004" s="18">
        <v>4</v>
      </c>
      <c r="D1004" s="18">
        <v>6</v>
      </c>
      <c r="E1004" s="20">
        <v>73</v>
      </c>
      <c r="F1004" s="21">
        <f t="shared" si="46"/>
        <v>111.17910447761194</v>
      </c>
      <c r="G1004" s="22">
        <v>0.37648385291175701</v>
      </c>
      <c r="H1004" s="18">
        <v>1</v>
      </c>
      <c r="I1004" s="18">
        <f t="shared" si="47"/>
        <v>0</v>
      </c>
      <c r="J1004" s="45">
        <v>42922</v>
      </c>
      <c r="K1004" s="36">
        <v>2017</v>
      </c>
      <c r="L1004" s="32">
        <f t="shared" si="45"/>
        <v>42935</v>
      </c>
      <c r="M1004" s="42">
        <v>1</v>
      </c>
      <c r="N1004" s="33">
        <v>255</v>
      </c>
      <c r="O1004" s="34">
        <f>AVERAGEIF(L3:L1205,"&lt;2017/7/6",N3:N1205)</f>
        <v>93.531578947368416</v>
      </c>
      <c r="P1004" s="38">
        <v>0</v>
      </c>
      <c r="Q1004" s="38">
        <f>AVERAGEIF(L3:L1205,"&lt;2017/7/6",P3:P1205)</f>
        <v>0.43157894736842106</v>
      </c>
      <c r="R1004" s="38">
        <v>2</v>
      </c>
      <c r="S1004" s="38">
        <f>AVERAGEIF(L3:L1205,"&lt;2017/7/6",R3:R1205)</f>
        <v>1.2736842105263158</v>
      </c>
      <c r="T1004" s="38">
        <v>13</v>
      </c>
      <c r="U1004" s="38">
        <f>AVERAGEIF(L3:L1205,"&lt;2017/7/6",T3:T1205)</f>
        <v>10.352631578947369</v>
      </c>
      <c r="V1004" s="24">
        <v>201</v>
      </c>
      <c r="W1004" s="47" t="s">
        <v>4741</v>
      </c>
    </row>
    <row r="1005" spans="1:23">
      <c r="A1005" s="23">
        <v>2</v>
      </c>
      <c r="B1005" s="23">
        <v>4</v>
      </c>
      <c r="C1005" s="18">
        <v>4</v>
      </c>
      <c r="D1005" s="18">
        <v>6</v>
      </c>
      <c r="E1005" s="20">
        <v>149</v>
      </c>
      <c r="F1005" s="21">
        <f t="shared" si="46"/>
        <v>110.99</v>
      </c>
      <c r="G1005" s="22">
        <v>0.87499999510330595</v>
      </c>
      <c r="H1005" s="18">
        <v>1</v>
      </c>
      <c r="I1005" s="18">
        <f t="shared" si="47"/>
        <v>0</v>
      </c>
      <c r="J1005" s="41">
        <v>42921</v>
      </c>
      <c r="K1005" s="36">
        <v>2017</v>
      </c>
      <c r="L1005" s="32">
        <f t="shared" si="45"/>
        <v>42923</v>
      </c>
      <c r="M1005" s="40">
        <v>1</v>
      </c>
      <c r="N1005" s="33">
        <v>370</v>
      </c>
      <c r="O1005" s="34">
        <f>AVERAGEIF(L3:L1205,"&lt;2017/7/5",N3:N1205)</f>
        <v>93.312169312169317</v>
      </c>
      <c r="P1005" s="38">
        <v>1</v>
      </c>
      <c r="Q1005" s="38">
        <f>AVERAGEIF(L3:L1205,"&lt;2017/7/5",P3:P1205)</f>
        <v>0.42857142857142855</v>
      </c>
      <c r="R1005" s="38">
        <v>1</v>
      </c>
      <c r="S1005" s="38">
        <f>AVERAGEIF(L3:L1205,"&lt;2017/7/5",R3:R1205)</f>
        <v>1.2698412698412698</v>
      </c>
      <c r="T1005" s="38">
        <v>2</v>
      </c>
      <c r="U1005" s="38">
        <f>AVERAGEIF(L3:L1205,"&lt;2017/7/5",T3:T1205)</f>
        <v>10.37037037037037</v>
      </c>
      <c r="V1005" s="24">
        <v>200</v>
      </c>
      <c r="W1005" s="47" t="s">
        <v>4550</v>
      </c>
    </row>
    <row r="1006" spans="1:23">
      <c r="A1006" s="23">
        <v>2</v>
      </c>
      <c r="B1006" s="23">
        <v>6</v>
      </c>
      <c r="C1006" s="18">
        <v>4</v>
      </c>
      <c r="D1006" s="18">
        <v>6</v>
      </c>
      <c r="E1006" s="20">
        <v>59</v>
      </c>
      <c r="F1006" s="21">
        <f t="shared" si="46"/>
        <v>111.25125628140704</v>
      </c>
      <c r="G1006" s="22">
        <v>0.72835093067370404</v>
      </c>
      <c r="H1006" s="18">
        <v>1</v>
      </c>
      <c r="I1006" s="18">
        <f t="shared" si="47"/>
        <v>0</v>
      </c>
      <c r="J1006" s="41">
        <v>42921</v>
      </c>
      <c r="K1006" s="36">
        <v>2017</v>
      </c>
      <c r="L1006" s="32">
        <f t="shared" si="45"/>
        <v>42922</v>
      </c>
      <c r="M1006" s="40">
        <v>0</v>
      </c>
      <c r="N1006" s="33">
        <v>126</v>
      </c>
      <c r="O1006" s="34">
        <f>AVERAGEIF(L3:L1205,"&lt;2017/7/5",N3:N1205)</f>
        <v>93.312169312169317</v>
      </c>
      <c r="P1006" s="38">
        <v>0</v>
      </c>
      <c r="Q1006" s="38">
        <f>AVERAGEIF(L3:L1205,"&lt;2017/7/5",P3:P1205)</f>
        <v>0.42857142857142855</v>
      </c>
      <c r="R1006" s="38">
        <v>1</v>
      </c>
      <c r="S1006" s="38">
        <f>AVERAGEIF(L3:L1205,"&lt;2017/7/5",R3:R1205)</f>
        <v>1.2698412698412698</v>
      </c>
      <c r="T1006" s="38">
        <v>1</v>
      </c>
      <c r="U1006" s="38">
        <f>AVERAGEIF(L3:L1205,"&lt;2017/7/5",T3:T1205)</f>
        <v>10.37037037037037</v>
      </c>
      <c r="V1006" s="24">
        <v>199</v>
      </c>
      <c r="W1006" s="47" t="s">
        <v>4529</v>
      </c>
    </row>
    <row r="1007" spans="1:23">
      <c r="A1007" s="23">
        <v>2</v>
      </c>
      <c r="B1007" s="23">
        <v>9</v>
      </c>
      <c r="C1007" s="18">
        <v>4</v>
      </c>
      <c r="D1007" s="18">
        <v>4</v>
      </c>
      <c r="E1007" s="20">
        <v>150</v>
      </c>
      <c r="F1007" s="21">
        <f t="shared" si="46"/>
        <v>111.05555555555556</v>
      </c>
      <c r="G1007" s="22">
        <v>0.34413356669776901</v>
      </c>
      <c r="H1007" s="18">
        <v>0</v>
      </c>
      <c r="I1007" s="18">
        <f t="shared" si="47"/>
        <v>1</v>
      </c>
      <c r="J1007" s="41">
        <v>42921</v>
      </c>
      <c r="K1007" s="36">
        <v>2017</v>
      </c>
      <c r="L1007" s="32">
        <f t="shared" si="45"/>
        <v>42929</v>
      </c>
      <c r="M1007" s="40">
        <v>1</v>
      </c>
      <c r="N1007" s="33">
        <v>175</v>
      </c>
      <c r="O1007" s="34">
        <f>AVERAGEIF(L3:L1205,"&lt;2017/7/5",N3:N1205)</f>
        <v>93.312169312169317</v>
      </c>
      <c r="P1007" s="38">
        <v>0</v>
      </c>
      <c r="Q1007" s="38">
        <f>AVERAGEIF(L3:L1205,"&lt;2017/7/5",P3:P1205)</f>
        <v>0.42857142857142855</v>
      </c>
      <c r="R1007" s="38">
        <v>1</v>
      </c>
      <c r="S1007" s="38">
        <f>AVERAGEIF(L3:L1205,"&lt;2017/7/5",R3:R1205)</f>
        <v>1.2698412698412698</v>
      </c>
      <c r="T1007" s="38">
        <v>8</v>
      </c>
      <c r="U1007" s="38">
        <f>AVERAGEIF(L3:L1205,"&lt;2017/7/5",T3:T1205)</f>
        <v>10.37037037037037</v>
      </c>
      <c r="V1007" s="24">
        <v>198</v>
      </c>
      <c r="W1007" s="47" t="s">
        <v>4899</v>
      </c>
    </row>
    <row r="1008" spans="1:23">
      <c r="A1008" s="23">
        <v>4</v>
      </c>
      <c r="B1008" s="23">
        <v>37</v>
      </c>
      <c r="C1008" s="18">
        <v>4</v>
      </c>
      <c r="D1008" s="18">
        <v>6</v>
      </c>
      <c r="E1008" s="20">
        <v>100</v>
      </c>
      <c r="F1008" s="21">
        <f t="shared" si="46"/>
        <v>111.11167512690355</v>
      </c>
      <c r="G1008" s="22">
        <v>0.39573776888803502</v>
      </c>
      <c r="H1008" s="18">
        <v>1</v>
      </c>
      <c r="I1008" s="18">
        <f t="shared" si="47"/>
        <v>0</v>
      </c>
      <c r="J1008" s="45">
        <v>42921</v>
      </c>
      <c r="K1008" s="36">
        <v>2017</v>
      </c>
      <c r="L1008" s="32">
        <f t="shared" si="45"/>
        <v>42935</v>
      </c>
      <c r="M1008" s="42">
        <v>1</v>
      </c>
      <c r="N1008" s="33">
        <v>255</v>
      </c>
      <c r="O1008" s="34">
        <f>AVERAGEIF(L3:L1205,"&lt;2017/7/5",N3:N1205)</f>
        <v>93.312169312169317</v>
      </c>
      <c r="P1008" s="38">
        <v>0</v>
      </c>
      <c r="Q1008" s="38">
        <f>AVERAGEIF(L3:L1205,"&lt;2017/7/5",P3:P1205)</f>
        <v>0.42857142857142855</v>
      </c>
      <c r="R1008" s="38">
        <v>2</v>
      </c>
      <c r="S1008" s="38">
        <f>AVERAGEIF(L3:L1205,"&lt;2017/7/5",R3:R1205)</f>
        <v>1.2698412698412698</v>
      </c>
      <c r="T1008" s="38">
        <v>14</v>
      </c>
      <c r="U1008" s="38">
        <f>AVERAGEIF(L3:L1205,"&lt;2017/7/5",T3:T1205)</f>
        <v>10.37037037037037</v>
      </c>
      <c r="V1008" s="24">
        <v>197</v>
      </c>
      <c r="W1008" s="47" t="s">
        <v>5069</v>
      </c>
    </row>
    <row r="1009" spans="1:23">
      <c r="A1009" s="23">
        <v>4</v>
      </c>
      <c r="B1009" s="23">
        <v>37</v>
      </c>
      <c r="C1009" s="18">
        <v>4</v>
      </c>
      <c r="D1009" s="18">
        <v>6</v>
      </c>
      <c r="E1009" s="20">
        <v>52</v>
      </c>
      <c r="F1009" s="21">
        <f t="shared" si="46"/>
        <v>111.41326530612245</v>
      </c>
      <c r="G1009" s="22">
        <v>0.42803932338489697</v>
      </c>
      <c r="H1009" s="18">
        <v>1</v>
      </c>
      <c r="I1009" s="18">
        <f t="shared" si="47"/>
        <v>0</v>
      </c>
      <c r="J1009" s="45">
        <v>42920</v>
      </c>
      <c r="K1009" s="36">
        <v>2017</v>
      </c>
      <c r="L1009" s="32">
        <f t="shared" si="45"/>
        <v>42929</v>
      </c>
      <c r="M1009" s="42">
        <v>1</v>
      </c>
      <c r="N1009" s="33">
        <v>236</v>
      </c>
      <c r="O1009" s="34">
        <f>AVERAGEIF(L3:L1205,"&lt;2017/7/4",N3:N1205)</f>
        <v>94.107526881720432</v>
      </c>
      <c r="P1009" s="38">
        <v>0</v>
      </c>
      <c r="Q1009" s="38">
        <f>AVERAGEIF(L3:L1205,"&lt;2017/7/4",P3:P1205)</f>
        <v>0.43010752688172044</v>
      </c>
      <c r="R1009" s="38">
        <v>2</v>
      </c>
      <c r="S1009" s="38">
        <f>AVERAGEIF(L3:L1205,"&lt;2017/7/4",R3:R1205)</f>
        <v>1.2741935483870968</v>
      </c>
      <c r="T1009" s="38">
        <v>9</v>
      </c>
      <c r="U1009" s="38">
        <f>AVERAGEIF(L3:L1205,"&lt;2017/7/4",T3:T1205)</f>
        <v>10.456989247311828</v>
      </c>
      <c r="V1009" s="24">
        <v>196</v>
      </c>
      <c r="W1009" s="47" t="s">
        <v>4817</v>
      </c>
    </row>
    <row r="1010" spans="1:23">
      <c r="A1010" s="23">
        <v>4</v>
      </c>
      <c r="B1010" s="23">
        <v>29</v>
      </c>
      <c r="C1010" s="18">
        <v>5</v>
      </c>
      <c r="D1010" s="18">
        <v>4</v>
      </c>
      <c r="E1010" s="20">
        <v>74</v>
      </c>
      <c r="F1010" s="21">
        <f t="shared" si="46"/>
        <v>111.60512820512821</v>
      </c>
      <c r="G1010" s="22">
        <v>0.82801988712175401</v>
      </c>
      <c r="H1010" s="18">
        <v>1</v>
      </c>
      <c r="I1010" s="18">
        <f t="shared" si="47"/>
        <v>0</v>
      </c>
      <c r="J1010" s="45">
        <v>42917</v>
      </c>
      <c r="K1010" s="36">
        <v>2017</v>
      </c>
      <c r="L1010" s="32">
        <f t="shared" si="45"/>
        <v>42920</v>
      </c>
      <c r="M1010" s="42">
        <v>0</v>
      </c>
      <c r="N1010" s="33">
        <v>57</v>
      </c>
      <c r="O1010" s="34">
        <f>AVERAGEIF(L3:L1205,"&lt;2017/7/1",N3:N1205)</f>
        <v>94.107526881720432</v>
      </c>
      <c r="P1010" s="38">
        <v>1</v>
      </c>
      <c r="Q1010" s="38">
        <f>AVERAGEIF(L3:L1205,"&lt;2017/7/1",P3:P1205)</f>
        <v>0.43010752688172044</v>
      </c>
      <c r="R1010" s="38">
        <v>1</v>
      </c>
      <c r="S1010" s="38">
        <f>AVERAGEIF(L3:L1205,"&lt;2017/7/1",R3:R1205)</f>
        <v>1.2741935483870968</v>
      </c>
      <c r="T1010" s="38">
        <v>3</v>
      </c>
      <c r="U1010" s="38">
        <f>AVERAGEIF(L3:L1205,"&lt;2017/7/1",T3:T1205)</f>
        <v>10.456989247311828</v>
      </c>
      <c r="V1010" s="24">
        <v>195</v>
      </c>
      <c r="W1010" s="47" t="s">
        <v>4563</v>
      </c>
    </row>
    <row r="1011" spans="1:23">
      <c r="A1011" s="23">
        <v>4</v>
      </c>
      <c r="B1011" s="23">
        <v>37</v>
      </c>
      <c r="C1011" s="18">
        <v>2</v>
      </c>
      <c r="D1011" s="18">
        <v>6</v>
      </c>
      <c r="E1011" s="20">
        <v>74</v>
      </c>
      <c r="F1011" s="21">
        <f t="shared" si="46"/>
        <v>111.79896907216495</v>
      </c>
      <c r="G1011" s="22">
        <v>0.37556262802478502</v>
      </c>
      <c r="H1011" s="18">
        <v>1</v>
      </c>
      <c r="I1011" s="18">
        <f t="shared" si="47"/>
        <v>0</v>
      </c>
      <c r="J1011" s="45">
        <v>42916</v>
      </c>
      <c r="K1011" s="36">
        <v>2017</v>
      </c>
      <c r="L1011" s="32">
        <f t="shared" si="45"/>
        <v>42929</v>
      </c>
      <c r="M1011" s="42">
        <v>1</v>
      </c>
      <c r="N1011" s="33">
        <v>236</v>
      </c>
      <c r="O1011" s="34">
        <f>AVERAGEIF(L3:L1205,"&lt;2017/6/30",N3:N1205)</f>
        <v>93.679347826086953</v>
      </c>
      <c r="P1011" s="38">
        <v>0</v>
      </c>
      <c r="Q1011" s="38">
        <f>AVERAGEIF(L3:L1205,"&lt;2017/6/30",P3:P1205)</f>
        <v>0.42934782608695654</v>
      </c>
      <c r="R1011" s="38">
        <v>2</v>
      </c>
      <c r="S1011" s="38">
        <f>AVERAGEIF(L3:L1205,"&lt;2017/6/30",R3:R1205)</f>
        <v>1.2771739130434783</v>
      </c>
      <c r="T1011" s="38">
        <v>13</v>
      </c>
      <c r="U1011" s="38">
        <f>AVERAGEIF(L3:L1205,"&lt;2017/6/30",T3:T1205)</f>
        <v>10.483695652173912</v>
      </c>
      <c r="V1011" s="24">
        <v>194</v>
      </c>
      <c r="W1011" s="47" t="s">
        <v>4741</v>
      </c>
    </row>
    <row r="1012" spans="1:23">
      <c r="A1012" s="23">
        <v>3</v>
      </c>
      <c r="B1012" s="23">
        <v>24</v>
      </c>
      <c r="C1012" s="18">
        <v>5</v>
      </c>
      <c r="D1012" s="18">
        <v>6</v>
      </c>
      <c r="E1012" s="20">
        <v>111</v>
      </c>
      <c r="F1012" s="21">
        <f t="shared" si="46"/>
        <v>111.80310880829016</v>
      </c>
      <c r="G1012" s="22">
        <v>0.37148647858943601</v>
      </c>
      <c r="H1012" s="3">
        <v>1</v>
      </c>
      <c r="I1012" s="18">
        <f t="shared" si="47"/>
        <v>0</v>
      </c>
      <c r="J1012" s="41">
        <v>42915</v>
      </c>
      <c r="K1012" s="36">
        <v>2017</v>
      </c>
      <c r="L1012" s="32">
        <f t="shared" si="45"/>
        <v>42920</v>
      </c>
      <c r="M1012" s="40">
        <v>0</v>
      </c>
      <c r="N1012" s="33">
        <v>28</v>
      </c>
      <c r="O1012" s="34">
        <f>AVERAGEIF(L3:L1205,"&lt;2017/6/29",N3:N1205)</f>
        <v>93.679347826086953</v>
      </c>
      <c r="P1012" s="38">
        <v>0</v>
      </c>
      <c r="Q1012" s="38">
        <f>AVERAGEIF(L3:L1205,"&lt;2017/6/29",P3:P1205)</f>
        <v>0.42934782608695654</v>
      </c>
      <c r="R1012" s="38">
        <v>1</v>
      </c>
      <c r="S1012" s="38">
        <f>AVERAGEIF(L3:L1205,"&lt;2017/6/29",R3:R1205)</f>
        <v>1.2771739130434783</v>
      </c>
      <c r="T1012" s="38">
        <v>5</v>
      </c>
      <c r="U1012" s="38">
        <f>AVERAGEIF(L3:L1205,"&lt;2017/6/29",T3:T1205)</f>
        <v>10.483695652173912</v>
      </c>
      <c r="V1012" s="24">
        <v>193</v>
      </c>
      <c r="W1012" s="47" t="s">
        <v>4618</v>
      </c>
    </row>
    <row r="1013" spans="1:23">
      <c r="A1013" s="23">
        <v>2</v>
      </c>
      <c r="B1013" s="23">
        <v>7</v>
      </c>
      <c r="C1013" s="18">
        <v>5</v>
      </c>
      <c r="D1013" s="18">
        <v>6</v>
      </c>
      <c r="E1013" s="20">
        <v>121</v>
      </c>
      <c r="F1013" s="21">
        <f t="shared" si="46"/>
        <v>111.75520833333333</v>
      </c>
      <c r="G1013" s="22">
        <v>0.42450415258920599</v>
      </c>
      <c r="H1013" s="18">
        <v>1</v>
      </c>
      <c r="I1013" s="18">
        <f t="shared" si="47"/>
        <v>0</v>
      </c>
      <c r="J1013" s="41">
        <v>42914</v>
      </c>
      <c r="K1013" s="36">
        <v>2017</v>
      </c>
      <c r="L1013" s="32">
        <f t="shared" si="45"/>
        <v>42921</v>
      </c>
      <c r="M1013" s="40">
        <v>1</v>
      </c>
      <c r="N1013" s="33">
        <v>135</v>
      </c>
      <c r="O1013" s="34">
        <f>AVERAGEIF(L3:L1205,"&lt;2017/6/28",N3:N1205)</f>
        <v>93.679347826086953</v>
      </c>
      <c r="P1013" s="38">
        <v>1</v>
      </c>
      <c r="Q1013" s="38">
        <f>AVERAGEIF(L3:L1205,"&lt;2017/6/28",P3:P1205)</f>
        <v>0.42934782608695654</v>
      </c>
      <c r="R1013" s="38">
        <v>2</v>
      </c>
      <c r="S1013" s="38">
        <f>AVERAGEIF(L3:L1205,"&lt;2017/6/28",R3:R1205)</f>
        <v>1.2771739130434783</v>
      </c>
      <c r="T1013" s="38">
        <v>7</v>
      </c>
      <c r="U1013" s="38">
        <f>AVERAGEIF(L3:L1205,"&lt;2017/6/28",T3:T1205)</f>
        <v>10.483695652173912</v>
      </c>
      <c r="V1013" s="24">
        <v>192</v>
      </c>
      <c r="W1013" s="47" t="s">
        <v>4563</v>
      </c>
    </row>
    <row r="1014" spans="1:23">
      <c r="A1014" s="23">
        <v>2</v>
      </c>
      <c r="B1014" s="23">
        <v>7</v>
      </c>
      <c r="C1014" s="18">
        <v>5</v>
      </c>
      <c r="D1014" s="18">
        <v>6</v>
      </c>
      <c r="E1014" s="20">
        <v>57</v>
      </c>
      <c r="F1014" s="21">
        <f t="shared" si="46"/>
        <v>112.04188481675392</v>
      </c>
      <c r="G1014" s="22">
        <v>0.30991856828223602</v>
      </c>
      <c r="H1014" s="18">
        <v>1</v>
      </c>
      <c r="I1014" s="18">
        <f t="shared" si="47"/>
        <v>0</v>
      </c>
      <c r="J1014" s="41">
        <v>42914</v>
      </c>
      <c r="K1014" s="36">
        <v>2017</v>
      </c>
      <c r="L1014" s="32">
        <f t="shared" si="45"/>
        <v>42922</v>
      </c>
      <c r="M1014" s="40">
        <v>1</v>
      </c>
      <c r="N1014" s="33">
        <v>41</v>
      </c>
      <c r="O1014" s="34">
        <f>AVERAGEIF(L3:L1205,"&lt;2017/6/28",N3:N1205)</f>
        <v>93.679347826086953</v>
      </c>
      <c r="P1014" s="38">
        <v>1</v>
      </c>
      <c r="Q1014" s="38">
        <f>AVERAGEIF(L3:L1205,"&lt;2017/6/28",P3:P1205)</f>
        <v>0.42934782608695654</v>
      </c>
      <c r="R1014" s="38">
        <v>1</v>
      </c>
      <c r="S1014" s="38">
        <f>AVERAGEIF(L3:L1205,"&lt;2017/6/28",R3:R1205)</f>
        <v>1.2771739130434783</v>
      </c>
      <c r="T1014" s="38">
        <v>8</v>
      </c>
      <c r="U1014" s="38">
        <f>AVERAGEIF(L3:L1205,"&lt;2017/6/28",T3:T1205)</f>
        <v>10.483695652173912</v>
      </c>
      <c r="V1014" s="24">
        <v>191</v>
      </c>
      <c r="W1014" s="47" t="s">
        <v>4563</v>
      </c>
    </row>
    <row r="1015" spans="1:23">
      <c r="A1015" s="23">
        <v>2</v>
      </c>
      <c r="B1015" s="23">
        <v>6</v>
      </c>
      <c r="C1015" s="18">
        <v>4</v>
      </c>
      <c r="D1015" s="18">
        <v>6</v>
      </c>
      <c r="E1015" s="20">
        <v>205</v>
      </c>
      <c r="F1015" s="21">
        <f t="shared" si="46"/>
        <v>111.55263157894737</v>
      </c>
      <c r="G1015" s="22">
        <v>0.375000595118817</v>
      </c>
      <c r="H1015" s="18">
        <v>1</v>
      </c>
      <c r="I1015" s="18">
        <f t="shared" si="47"/>
        <v>0</v>
      </c>
      <c r="J1015" s="41">
        <v>42913</v>
      </c>
      <c r="K1015" s="36">
        <v>2017</v>
      </c>
      <c r="L1015" s="32">
        <f t="shared" si="45"/>
        <v>42920</v>
      </c>
      <c r="M1015" s="40">
        <v>0</v>
      </c>
      <c r="N1015" s="33">
        <v>47</v>
      </c>
      <c r="O1015" s="34">
        <f>AVERAGEIF(L3:L1205,"&lt;2017/6/27",N3:N1205)</f>
        <v>93.814207650273218</v>
      </c>
      <c r="P1015" s="38">
        <v>0</v>
      </c>
      <c r="Q1015" s="38">
        <f>AVERAGEIF(L3:L1205,"&lt;2017/6/27",P3:P1205)</f>
        <v>0.43169398907103823</v>
      </c>
      <c r="R1015" s="38">
        <v>1</v>
      </c>
      <c r="S1015" s="38">
        <f>AVERAGEIF(L3:L1205,"&lt;2017/6/27",R3:R1205)</f>
        <v>1.278688524590164</v>
      </c>
      <c r="T1015" s="38">
        <v>7</v>
      </c>
      <c r="U1015" s="38">
        <f>AVERAGEIF(L3:L1205,"&lt;2017/6/27",T3:T1205)</f>
        <v>10.530054644808743</v>
      </c>
      <c r="V1015" s="24">
        <v>190</v>
      </c>
      <c r="W1015" s="47" t="s">
        <v>4529</v>
      </c>
    </row>
    <row r="1016" spans="1:23">
      <c r="A1016" s="23">
        <v>2</v>
      </c>
      <c r="B1016" s="23">
        <v>11</v>
      </c>
      <c r="C1016" s="18">
        <v>4</v>
      </c>
      <c r="D1016" s="18">
        <v>4</v>
      </c>
      <c r="E1016" s="20">
        <v>97</v>
      </c>
      <c r="F1016" s="21">
        <f t="shared" si="46"/>
        <v>111.62962962962963</v>
      </c>
      <c r="G1016" s="22">
        <v>0.59212137106621399</v>
      </c>
      <c r="H1016" s="18">
        <v>1</v>
      </c>
      <c r="I1016" s="18">
        <f t="shared" si="47"/>
        <v>0</v>
      </c>
      <c r="J1016" s="41">
        <v>42912</v>
      </c>
      <c r="K1016" s="36">
        <v>2017</v>
      </c>
      <c r="L1016" s="32">
        <f t="shared" si="45"/>
        <v>42923</v>
      </c>
      <c r="M1016" s="40">
        <v>1</v>
      </c>
      <c r="N1016" s="33">
        <v>134</v>
      </c>
      <c r="O1016" s="34">
        <f>AVERAGEIF(L3:L1205,"&lt;2017/6/26",N3:N1205)</f>
        <v>93.983516483516482</v>
      </c>
      <c r="P1016" s="38">
        <v>0</v>
      </c>
      <c r="Q1016" s="38">
        <f>AVERAGEIF(L3:L1205,"&lt;2017/6/26",P3:P1205)</f>
        <v>0.43406593406593408</v>
      </c>
      <c r="R1016" s="38">
        <v>1</v>
      </c>
      <c r="S1016" s="38">
        <f>AVERAGEIF(L3:L1205,"&lt;2017/6/26",R3:R1205)</f>
        <v>1.2802197802197801</v>
      </c>
      <c r="T1016" s="38">
        <v>11</v>
      </c>
      <c r="U1016" s="38">
        <f>AVERAGEIF(L3:L1205,"&lt;2017/6/26",T3:T1205)</f>
        <v>10.549450549450549</v>
      </c>
      <c r="V1016" s="24">
        <v>189</v>
      </c>
      <c r="W1016" s="47" t="s">
        <v>4634</v>
      </c>
    </row>
    <row r="1017" spans="1:23">
      <c r="A1017" s="23">
        <v>4</v>
      </c>
      <c r="B1017" s="23">
        <v>37</v>
      </c>
      <c r="C1017" s="18">
        <v>2</v>
      </c>
      <c r="D1017" s="18">
        <v>6</v>
      </c>
      <c r="E1017" s="20">
        <v>70</v>
      </c>
      <c r="F1017" s="21">
        <f t="shared" si="46"/>
        <v>111.85106382978724</v>
      </c>
      <c r="G1017" s="22">
        <v>0.54768169131186495</v>
      </c>
      <c r="H1017" s="18">
        <v>1</v>
      </c>
      <c r="I1017" s="18">
        <f t="shared" si="47"/>
        <v>0</v>
      </c>
      <c r="J1017" s="45">
        <v>42912</v>
      </c>
      <c r="K1017" s="36">
        <v>2017</v>
      </c>
      <c r="L1017" s="32">
        <f t="shared" si="45"/>
        <v>42922</v>
      </c>
      <c r="M1017" s="42">
        <v>1</v>
      </c>
      <c r="N1017" s="33">
        <v>183</v>
      </c>
      <c r="O1017" s="34">
        <f>AVERAGEIF(L3:L1205,"&lt;2017/6/26",N3:N1205)</f>
        <v>93.983516483516482</v>
      </c>
      <c r="P1017" s="38">
        <v>0</v>
      </c>
      <c r="Q1017" s="38">
        <f>AVERAGEIF(L3:L1205,"&lt;2017/6/26",P3:P1205)</f>
        <v>0.43406593406593408</v>
      </c>
      <c r="R1017" s="38">
        <v>2</v>
      </c>
      <c r="S1017" s="38">
        <f>AVERAGEIF(L3:L1205,"&lt;2017/6/26",R3:R1205)</f>
        <v>1.2802197802197801</v>
      </c>
      <c r="T1017" s="38">
        <v>10</v>
      </c>
      <c r="U1017" s="38">
        <f>AVERAGEIF(L3:L1205,"&lt;2017/6/26",T3:T1205)</f>
        <v>10.549450549450549</v>
      </c>
      <c r="V1017" s="24">
        <v>188</v>
      </c>
      <c r="W1017" s="47" t="s">
        <v>4980</v>
      </c>
    </row>
    <row r="1018" spans="1:23">
      <c r="A1018" s="23">
        <v>4</v>
      </c>
      <c r="B1018" s="23">
        <v>37</v>
      </c>
      <c r="C1018" s="18">
        <v>2</v>
      </c>
      <c r="D1018" s="18">
        <v>6</v>
      </c>
      <c r="E1018" s="20">
        <v>107</v>
      </c>
      <c r="F1018" s="21">
        <f t="shared" si="46"/>
        <v>111.87700534759358</v>
      </c>
      <c r="G1018" s="22">
        <v>0.43933013543622501</v>
      </c>
      <c r="H1018" s="18">
        <v>1</v>
      </c>
      <c r="I1018" s="18">
        <f t="shared" si="47"/>
        <v>0</v>
      </c>
      <c r="J1018" s="45">
        <v>42912</v>
      </c>
      <c r="K1018" s="36">
        <v>2017</v>
      </c>
      <c r="L1018" s="32">
        <f t="shared" si="45"/>
        <v>42922</v>
      </c>
      <c r="M1018" s="42">
        <v>1</v>
      </c>
      <c r="N1018" s="33">
        <v>183</v>
      </c>
      <c r="O1018" s="34">
        <f>AVERAGEIF(L3:L1205,"&lt;2017/6/26",N3:N1205)</f>
        <v>93.983516483516482</v>
      </c>
      <c r="P1018" s="38">
        <v>0</v>
      </c>
      <c r="Q1018" s="38">
        <f>AVERAGEIF(L3:L1205,"&lt;2017/6/26",P3:P1205)</f>
        <v>0.43406593406593408</v>
      </c>
      <c r="R1018" s="38">
        <v>2</v>
      </c>
      <c r="S1018" s="38">
        <f>AVERAGEIF(L3:L1205,"&lt;2017/6/26",R3:R1205)</f>
        <v>1.2802197802197801</v>
      </c>
      <c r="T1018" s="38">
        <v>10</v>
      </c>
      <c r="U1018" s="38">
        <f>AVERAGEIF(L3:L1205,"&lt;2017/6/26",T3:T1205)</f>
        <v>10.549450549450549</v>
      </c>
      <c r="V1018" s="24">
        <v>187</v>
      </c>
      <c r="W1018" s="47" t="s">
        <v>5070</v>
      </c>
    </row>
    <row r="1019" spans="1:23">
      <c r="A1019" s="23">
        <v>2</v>
      </c>
      <c r="B1019" s="23">
        <v>13</v>
      </c>
      <c r="C1019" s="18">
        <v>5</v>
      </c>
      <c r="D1019" s="18">
        <v>4</v>
      </c>
      <c r="E1019" s="20">
        <v>30</v>
      </c>
      <c r="F1019" s="21">
        <f t="shared" si="46"/>
        <v>112.31720430107526</v>
      </c>
      <c r="G1019" s="22">
        <v>0.37025671766316398</v>
      </c>
      <c r="H1019" s="18">
        <v>1</v>
      </c>
      <c r="I1019" s="18">
        <f t="shared" si="47"/>
        <v>0</v>
      </c>
      <c r="J1019" s="41">
        <v>42911</v>
      </c>
      <c r="K1019" s="36">
        <v>2017</v>
      </c>
      <c r="L1019" s="32">
        <f t="shared" si="45"/>
        <v>42913</v>
      </c>
      <c r="M1019" s="37">
        <v>1</v>
      </c>
      <c r="N1019" s="33">
        <v>69</v>
      </c>
      <c r="O1019" s="34">
        <f>AVERAGEIF(L3:L1205,"&lt;2017/6/25",N3:N1205)</f>
        <v>93.983516483516482</v>
      </c>
      <c r="P1019" s="38">
        <v>0</v>
      </c>
      <c r="Q1019" s="38">
        <f>AVERAGEIF(L3:L1205,"&lt;2017/6/25",P3:P1205)</f>
        <v>0.43406593406593408</v>
      </c>
      <c r="R1019" s="38">
        <v>1</v>
      </c>
      <c r="S1019" s="38">
        <f>AVERAGEIF(L3:L1205,"&lt;2017/6/25",R3:R1205)</f>
        <v>1.2802197802197801</v>
      </c>
      <c r="T1019" s="38">
        <v>2</v>
      </c>
      <c r="U1019" s="38">
        <f>AVERAGEIF(L3:L1205,"&lt;2017/6/25",T3:T1205)</f>
        <v>10.549450549450549</v>
      </c>
      <c r="V1019" s="24">
        <v>186</v>
      </c>
      <c r="W1019" s="47" t="s">
        <v>4742</v>
      </c>
    </row>
    <row r="1020" spans="1:23">
      <c r="A1020" s="23">
        <v>2</v>
      </c>
      <c r="B1020" s="23">
        <v>9</v>
      </c>
      <c r="C1020" s="18">
        <v>4</v>
      </c>
      <c r="D1020" s="18">
        <v>4</v>
      </c>
      <c r="E1020" s="20">
        <v>60</v>
      </c>
      <c r="F1020" s="21">
        <f t="shared" si="46"/>
        <v>112.6</v>
      </c>
      <c r="G1020" s="22">
        <v>0.86575962460070499</v>
      </c>
      <c r="H1020" s="18">
        <v>1</v>
      </c>
      <c r="I1020" s="18">
        <f t="shared" si="47"/>
        <v>0</v>
      </c>
      <c r="J1020" s="41">
        <v>42910</v>
      </c>
      <c r="K1020" s="36">
        <v>2017</v>
      </c>
      <c r="L1020" s="32">
        <f t="shared" si="45"/>
        <v>42916</v>
      </c>
      <c r="M1020" s="40">
        <v>0</v>
      </c>
      <c r="N1020" s="33">
        <v>176</v>
      </c>
      <c r="O1020" s="34">
        <f>AVERAGEIF(L3:L1205,"&lt;2017/6/24",N3:N1205)</f>
        <v>93.983516483516482</v>
      </c>
      <c r="P1020" s="38">
        <v>0</v>
      </c>
      <c r="Q1020" s="38">
        <f>AVERAGEIF(L3:L1205,"&lt;2017/6/24",P3:P1205)</f>
        <v>0.43406593406593408</v>
      </c>
      <c r="R1020" s="38">
        <v>1</v>
      </c>
      <c r="S1020" s="38">
        <f>AVERAGEIF(L3:L1205,"&lt;2017/6/24",R3:R1205)</f>
        <v>1.2802197802197801</v>
      </c>
      <c r="T1020" s="38">
        <v>6</v>
      </c>
      <c r="U1020" s="38">
        <f>AVERAGEIF(L3:L1205,"&lt;2017/6/24",T3:T1205)</f>
        <v>10.549450549450549</v>
      </c>
      <c r="V1020" s="24">
        <v>185</v>
      </c>
      <c r="W1020" s="47" t="s">
        <v>4785</v>
      </c>
    </row>
    <row r="1021" spans="1:23">
      <c r="A1021" s="23">
        <v>4</v>
      </c>
      <c r="B1021" s="23">
        <v>37</v>
      </c>
      <c r="C1021" s="18">
        <v>2</v>
      </c>
      <c r="D1021" s="18">
        <v>6</v>
      </c>
      <c r="E1021" s="20">
        <v>50</v>
      </c>
      <c r="F1021" s="21">
        <f t="shared" si="46"/>
        <v>112.94021739130434</v>
      </c>
      <c r="G1021" s="22">
        <v>0.34092461291735399</v>
      </c>
      <c r="H1021" s="18">
        <v>1</v>
      </c>
      <c r="I1021" s="18">
        <f t="shared" si="47"/>
        <v>0</v>
      </c>
      <c r="J1021" s="45">
        <v>42910</v>
      </c>
      <c r="K1021" s="36">
        <v>2017</v>
      </c>
      <c r="L1021" s="32">
        <f t="shared" si="45"/>
        <v>42922</v>
      </c>
      <c r="M1021" s="42">
        <v>1</v>
      </c>
      <c r="N1021" s="33">
        <v>183</v>
      </c>
      <c r="O1021" s="34">
        <f>AVERAGEIF(L3:L1205,"&lt;2017/6/24",N3:N1205)</f>
        <v>93.983516483516482</v>
      </c>
      <c r="P1021" s="38">
        <v>0</v>
      </c>
      <c r="Q1021" s="38">
        <f>AVERAGEIF(L3:L1205,"&lt;2017/6/24",P3:P1205)</f>
        <v>0.43406593406593408</v>
      </c>
      <c r="R1021" s="38">
        <v>2</v>
      </c>
      <c r="S1021" s="38">
        <f>AVERAGEIF(L3:L1205,"&lt;2017/6/24",R3:R1205)</f>
        <v>1.2802197802197801</v>
      </c>
      <c r="T1021" s="38">
        <v>12</v>
      </c>
      <c r="U1021" s="38">
        <f>AVERAGEIF(L3:L1205,"&lt;2017/6/24",T3:T1205)</f>
        <v>10.549450549450549</v>
      </c>
      <c r="V1021" s="24">
        <v>184</v>
      </c>
      <c r="W1021" s="47" t="s">
        <v>4624</v>
      </c>
    </row>
    <row r="1022" spans="1:23">
      <c r="A1022" s="23">
        <v>2</v>
      </c>
      <c r="B1022" s="23">
        <v>4</v>
      </c>
      <c r="C1022" s="18">
        <v>1</v>
      </c>
      <c r="D1022" s="18">
        <v>6</v>
      </c>
      <c r="E1022" s="20">
        <v>112</v>
      </c>
      <c r="F1022" s="21">
        <f t="shared" si="46"/>
        <v>112.94535519125684</v>
      </c>
      <c r="G1022" s="22">
        <v>0.73157415028397699</v>
      </c>
      <c r="H1022" s="18">
        <v>1</v>
      </c>
      <c r="I1022" s="18">
        <f t="shared" si="47"/>
        <v>0</v>
      </c>
      <c r="J1022" s="41">
        <v>42906</v>
      </c>
      <c r="K1022" s="36">
        <v>2017</v>
      </c>
      <c r="L1022" s="32">
        <f t="shared" si="45"/>
        <v>42916</v>
      </c>
      <c r="M1022" s="40">
        <v>1</v>
      </c>
      <c r="N1022" s="33">
        <v>91</v>
      </c>
      <c r="O1022" s="34">
        <f>AVERAGEIF(L3:L1205,"&lt;2017/6/20",N3:N1205)</f>
        <v>93.81460674157303</v>
      </c>
      <c r="P1022" s="38">
        <v>1</v>
      </c>
      <c r="Q1022" s="38">
        <f>AVERAGEIF(L3:L1205,"&lt;2017/6/20",P3:P1205)</f>
        <v>0.43820224719101125</v>
      </c>
      <c r="R1022" s="38">
        <v>1</v>
      </c>
      <c r="S1022" s="38">
        <f>AVERAGEIF(L3:L1205,"&lt;2017/6/20",R3:R1205)</f>
        <v>1.2808988764044944</v>
      </c>
      <c r="T1022" s="38">
        <v>10</v>
      </c>
      <c r="U1022" s="38">
        <f>AVERAGEIF(L3:L1205,"&lt;2017/6/20",T3:T1205)</f>
        <v>10.617977528089888</v>
      </c>
      <c r="V1022" s="24">
        <v>183</v>
      </c>
      <c r="W1022" s="47" t="s">
        <v>4529</v>
      </c>
    </row>
    <row r="1023" spans="1:23">
      <c r="A1023" s="23">
        <v>2</v>
      </c>
      <c r="B1023" s="23">
        <v>10</v>
      </c>
      <c r="C1023" s="18">
        <v>4</v>
      </c>
      <c r="D1023" s="18">
        <v>6</v>
      </c>
      <c r="E1023" s="20">
        <v>128</v>
      </c>
      <c r="F1023" s="21">
        <f t="shared" si="46"/>
        <v>112.86263736263736</v>
      </c>
      <c r="G1023" s="22">
        <v>0.38546417839611602</v>
      </c>
      <c r="H1023" s="18">
        <v>1</v>
      </c>
      <c r="I1023" s="18">
        <f t="shared" si="47"/>
        <v>0</v>
      </c>
      <c r="J1023" s="41">
        <v>42905</v>
      </c>
      <c r="K1023" s="36">
        <v>2017</v>
      </c>
      <c r="L1023" s="32">
        <f t="shared" si="45"/>
        <v>42912</v>
      </c>
      <c r="M1023" s="40">
        <v>0</v>
      </c>
      <c r="N1023" s="33">
        <v>63</v>
      </c>
      <c r="O1023" s="34">
        <f>AVERAGEIF(L3:L1205,"&lt;2017/6/19",N3:N1205)</f>
        <v>93.949152542372886</v>
      </c>
      <c r="P1023" s="38">
        <v>0</v>
      </c>
      <c r="Q1023" s="38">
        <f>AVERAGEIF(L3:L1205,"&lt;2017/6/19",P3:P1205)</f>
        <v>0.44067796610169491</v>
      </c>
      <c r="R1023" s="38">
        <v>1</v>
      </c>
      <c r="S1023" s="38">
        <f>AVERAGEIF(L3:L1205,"&lt;2017/6/19",R3:R1205)</f>
        <v>1.2824858757062148</v>
      </c>
      <c r="T1023" s="38">
        <v>7</v>
      </c>
      <c r="U1023" s="38">
        <f>AVERAGEIF(L3:L1205,"&lt;2017/6/19",T3:T1205)</f>
        <v>10.621468926553673</v>
      </c>
      <c r="V1023" s="24">
        <v>182</v>
      </c>
      <c r="W1023" s="47" t="s">
        <v>4563</v>
      </c>
    </row>
    <row r="1024" spans="1:23">
      <c r="A1024" s="23">
        <v>3</v>
      </c>
      <c r="B1024" s="23">
        <v>20</v>
      </c>
      <c r="C1024" s="18">
        <v>4</v>
      </c>
      <c r="D1024" s="18">
        <v>6</v>
      </c>
      <c r="E1024" s="20">
        <v>113</v>
      </c>
      <c r="F1024" s="21">
        <f t="shared" si="46"/>
        <v>112.86187845303867</v>
      </c>
      <c r="G1024" s="22">
        <v>0.37527800987559401</v>
      </c>
      <c r="H1024" s="3">
        <v>1</v>
      </c>
      <c r="I1024" s="18">
        <f t="shared" si="47"/>
        <v>0</v>
      </c>
      <c r="J1024" s="41">
        <v>42905</v>
      </c>
      <c r="K1024" s="36">
        <v>2017</v>
      </c>
      <c r="L1024" s="32">
        <f t="shared" si="45"/>
        <v>42907</v>
      </c>
      <c r="M1024" s="40">
        <v>0</v>
      </c>
      <c r="N1024" s="33">
        <v>106</v>
      </c>
      <c r="O1024" s="34">
        <f>AVERAGEIF(L3:L1205,"&lt;2017/6/19",N3:N1205)</f>
        <v>93.949152542372886</v>
      </c>
      <c r="P1024" s="38">
        <v>0</v>
      </c>
      <c r="Q1024" s="38">
        <f>AVERAGEIF(L3:L1205,"&lt;2017/6/19",P3:P1205)</f>
        <v>0.44067796610169491</v>
      </c>
      <c r="R1024" s="38">
        <v>1</v>
      </c>
      <c r="S1024" s="38">
        <f>AVERAGEIF(L3:L1205,"&lt;2017/6/19",R3:R1205)</f>
        <v>1.2824858757062148</v>
      </c>
      <c r="T1024" s="38">
        <v>2</v>
      </c>
      <c r="U1024" s="38">
        <f>AVERAGEIF(L3:L1205,"&lt;2017/6/19",T3:T1205)</f>
        <v>10.621468926553673</v>
      </c>
      <c r="V1024" s="24">
        <v>181</v>
      </c>
      <c r="W1024" s="47" t="s">
        <v>4550</v>
      </c>
    </row>
    <row r="1025" spans="1:23">
      <c r="A1025" s="23">
        <v>3</v>
      </c>
      <c r="B1025" s="23">
        <v>24</v>
      </c>
      <c r="C1025" s="18">
        <v>5</v>
      </c>
      <c r="D1025" s="18">
        <v>6</v>
      </c>
      <c r="E1025" s="20">
        <v>57</v>
      </c>
      <c r="F1025" s="21">
        <f t="shared" si="46"/>
        <v>113.17222222222222</v>
      </c>
      <c r="G1025" s="22">
        <v>0.34091128557428402</v>
      </c>
      <c r="H1025" s="3">
        <v>1</v>
      </c>
      <c r="I1025" s="18">
        <f t="shared" si="47"/>
        <v>0</v>
      </c>
      <c r="J1025" s="41">
        <v>42905</v>
      </c>
      <c r="K1025" s="36">
        <v>2017</v>
      </c>
      <c r="L1025" s="32">
        <f t="shared" si="45"/>
        <v>42907</v>
      </c>
      <c r="M1025" s="40">
        <v>0</v>
      </c>
      <c r="N1025" s="33">
        <v>121</v>
      </c>
      <c r="O1025" s="34">
        <f>AVERAGEIF(L3:L1205,"&lt;2017/6/19",N3:N1205)</f>
        <v>93.949152542372886</v>
      </c>
      <c r="P1025" s="38">
        <v>0</v>
      </c>
      <c r="Q1025" s="38">
        <f>AVERAGEIF(L3:L1205,"&lt;2017/6/19",P3:P1205)</f>
        <v>0.44067796610169491</v>
      </c>
      <c r="R1025" s="38">
        <v>1</v>
      </c>
      <c r="S1025" s="38">
        <f>AVERAGEIF(L3:L1205,"&lt;2017/6/19",R3:R1205)</f>
        <v>1.2824858757062148</v>
      </c>
      <c r="T1025" s="38">
        <v>2</v>
      </c>
      <c r="U1025" s="38">
        <f>AVERAGEIF(L3:L1205,"&lt;2017/6/19",T3:T1205)</f>
        <v>10.621468926553673</v>
      </c>
      <c r="V1025" s="24">
        <v>180</v>
      </c>
      <c r="W1025" s="47" t="s">
        <v>4563</v>
      </c>
    </row>
    <row r="1026" spans="1:23">
      <c r="A1026" s="23">
        <v>4</v>
      </c>
      <c r="B1026" s="23">
        <v>37</v>
      </c>
      <c r="C1026" s="18">
        <v>2</v>
      </c>
      <c r="D1026" s="18">
        <v>6</v>
      </c>
      <c r="E1026" s="20">
        <v>67</v>
      </c>
      <c r="F1026" s="21">
        <f t="shared" si="46"/>
        <v>113.43016759776536</v>
      </c>
      <c r="G1026" s="22">
        <v>0.50029256802418398</v>
      </c>
      <c r="H1026" s="18">
        <v>1</v>
      </c>
      <c r="I1026" s="18">
        <f t="shared" si="47"/>
        <v>0</v>
      </c>
      <c r="J1026" s="45">
        <v>42898</v>
      </c>
      <c r="K1026" s="36">
        <v>2017</v>
      </c>
      <c r="L1026" s="32">
        <f t="shared" si="45"/>
        <v>42909</v>
      </c>
      <c r="M1026" s="42">
        <v>1</v>
      </c>
      <c r="N1026" s="33">
        <v>121</v>
      </c>
      <c r="O1026" s="34">
        <f>AVERAGEIF(L3:L1205,"&lt;2017/6/12",N3:N1205)</f>
        <v>94.245714285714286</v>
      </c>
      <c r="P1026" s="38">
        <v>0</v>
      </c>
      <c r="Q1026" s="38">
        <f>AVERAGEIF(L3:L1205,"&lt;2017/6/12",P3:P1205)</f>
        <v>0.43428571428571427</v>
      </c>
      <c r="R1026" s="38">
        <v>2</v>
      </c>
      <c r="S1026" s="38">
        <f>AVERAGEIF(L3:L1205,"&lt;2017/6/12",R3:R1205)</f>
        <v>1.2857142857142858</v>
      </c>
      <c r="T1026" s="38">
        <v>11</v>
      </c>
      <c r="U1026" s="38">
        <f>AVERAGEIF(L3:L1205,"&lt;2017/6/12",T3:T1205)</f>
        <v>10.56</v>
      </c>
      <c r="V1026" s="24">
        <v>179</v>
      </c>
      <c r="W1026" s="47" t="s">
        <v>4870</v>
      </c>
    </row>
    <row r="1027" spans="1:23">
      <c r="A1027" s="23">
        <v>2</v>
      </c>
      <c r="B1027" s="23">
        <v>7</v>
      </c>
      <c r="C1027" s="18">
        <v>4</v>
      </c>
      <c r="D1027" s="18">
        <v>4</v>
      </c>
      <c r="E1027" s="20">
        <v>38</v>
      </c>
      <c r="F1027" s="21">
        <f t="shared" si="46"/>
        <v>113.85393258426966</v>
      </c>
      <c r="G1027" s="22">
        <v>0.37500824763755902</v>
      </c>
      <c r="H1027" s="18">
        <v>1</v>
      </c>
      <c r="I1027" s="18">
        <f t="shared" si="47"/>
        <v>0</v>
      </c>
      <c r="J1027" s="41">
        <v>42895</v>
      </c>
      <c r="K1027" s="36">
        <v>2017</v>
      </c>
      <c r="L1027" s="32">
        <f t="shared" ref="L1027:L1090" si="48">J1027+T1027</f>
        <v>42905</v>
      </c>
      <c r="M1027" s="40">
        <v>0</v>
      </c>
      <c r="N1027" s="33">
        <v>70</v>
      </c>
      <c r="O1027" s="34">
        <f>AVERAGEIF(L3:L1205,"&lt;2017/6/9",N3:N1205)</f>
        <v>94.245714285714286</v>
      </c>
      <c r="P1027" s="38">
        <v>0</v>
      </c>
      <c r="Q1027" s="38">
        <f>AVERAGEIF(L3:L1205,"&lt;2017/6/9",P3:P1205)</f>
        <v>0.43428571428571427</v>
      </c>
      <c r="R1027" s="38">
        <v>1</v>
      </c>
      <c r="S1027" s="38">
        <f>AVERAGEIF(L3:L1205,"&lt;2017/6/9",R3:R1205)</f>
        <v>1.2857142857142858</v>
      </c>
      <c r="T1027" s="38">
        <v>10</v>
      </c>
      <c r="U1027" s="38">
        <f>AVERAGEIF(L3:L1205,"&lt;2017/6/9",T3:T1205)</f>
        <v>10.56</v>
      </c>
      <c r="V1027" s="24">
        <v>178</v>
      </c>
      <c r="W1027" s="47" t="s">
        <v>4618</v>
      </c>
    </row>
    <row r="1028" spans="1:23">
      <c r="A1028" s="23">
        <v>2</v>
      </c>
      <c r="B1028" s="23">
        <v>4</v>
      </c>
      <c r="C1028" s="18">
        <v>4</v>
      </c>
      <c r="D1028" s="18">
        <v>6</v>
      </c>
      <c r="E1028" s="20">
        <v>85</v>
      </c>
      <c r="F1028" s="21">
        <f t="shared" ref="F1028:F1091" si="49">AVERAGE(E1029:E2230)</f>
        <v>114.01694915254237</v>
      </c>
      <c r="G1028" s="22">
        <v>0.74963024524755395</v>
      </c>
      <c r="H1028" s="18">
        <v>1</v>
      </c>
      <c r="I1028" s="18">
        <f t="shared" ref="I1028:I1091" si="50">IF(H1028=1,0,1)</f>
        <v>0</v>
      </c>
      <c r="J1028" s="41">
        <v>42893</v>
      </c>
      <c r="K1028" s="36">
        <v>2017</v>
      </c>
      <c r="L1028" s="32">
        <f t="shared" si="48"/>
        <v>42908</v>
      </c>
      <c r="M1028" s="40">
        <v>1</v>
      </c>
      <c r="N1028" s="33">
        <v>58</v>
      </c>
      <c r="O1028" s="34">
        <f>AVERAGEIF(L3:L1205,"&lt;2017/6/7",N3:N1205)</f>
        <v>93.877906976744185</v>
      </c>
      <c r="P1028" s="38">
        <v>1</v>
      </c>
      <c r="Q1028" s="38">
        <f>AVERAGEIF(L3:L1205,"&lt;2017/6/7",P3:P1205)</f>
        <v>0.43604651162790697</v>
      </c>
      <c r="R1028" s="38">
        <v>1</v>
      </c>
      <c r="S1028" s="38">
        <f>AVERAGEIF(L3:L1205,"&lt;2017/6/7",R3:R1205)</f>
        <v>1.2790697674418605</v>
      </c>
      <c r="T1028" s="38">
        <v>15</v>
      </c>
      <c r="U1028" s="38">
        <f>AVERAGEIF(L3:L1205,"&lt;2017/6/7",T3:T1205)</f>
        <v>10.436046511627907</v>
      </c>
      <c r="V1028" s="24">
        <v>177</v>
      </c>
      <c r="W1028" s="47" t="s">
        <v>4618</v>
      </c>
    </row>
    <row r="1029" spans="1:23">
      <c r="A1029" s="23">
        <v>4</v>
      </c>
      <c r="B1029" s="23">
        <v>29</v>
      </c>
      <c r="C1029" s="18">
        <v>5</v>
      </c>
      <c r="D1029" s="18">
        <v>6</v>
      </c>
      <c r="E1029" s="20">
        <v>71</v>
      </c>
      <c r="F1029" s="21">
        <f t="shared" si="49"/>
        <v>114.26136363636364</v>
      </c>
      <c r="G1029" s="22">
        <v>0.23519226085627501</v>
      </c>
      <c r="H1029" s="18">
        <v>1</v>
      </c>
      <c r="I1029" s="18">
        <f t="shared" si="50"/>
        <v>0</v>
      </c>
      <c r="J1029" s="45">
        <v>42890</v>
      </c>
      <c r="K1029" s="36">
        <v>2017</v>
      </c>
      <c r="L1029" s="32">
        <f t="shared" si="48"/>
        <v>42898</v>
      </c>
      <c r="M1029" s="42">
        <v>0</v>
      </c>
      <c r="N1029" s="33">
        <v>37</v>
      </c>
      <c r="O1029" s="34">
        <f>AVERAGEIF(L3:L1205,"&lt;2017/6/4",N3:N1205)</f>
        <v>93.777777777777771</v>
      </c>
      <c r="P1029" s="38">
        <v>0</v>
      </c>
      <c r="Q1029" s="38">
        <f>AVERAGEIF(L3:L1205,"&lt;2017/6/4",P3:P1205)</f>
        <v>0.43859649122807015</v>
      </c>
      <c r="R1029" s="38">
        <v>1</v>
      </c>
      <c r="S1029" s="38">
        <f>AVERAGEIF(L3:L1205,"&lt;2017/6/4",R3:R1205)</f>
        <v>1.2807017543859649</v>
      </c>
      <c r="T1029" s="38">
        <v>8</v>
      </c>
      <c r="U1029" s="38">
        <f>AVERAGEIF(L3:L1205,"&lt;2017/6/4",T3:T1205)</f>
        <v>10.432748538011696</v>
      </c>
      <c r="V1029" s="24">
        <v>176</v>
      </c>
      <c r="W1029" s="47" t="s">
        <v>4563</v>
      </c>
    </row>
    <row r="1030" spans="1:23">
      <c r="A1030" s="23">
        <v>2</v>
      </c>
      <c r="B1030" s="23">
        <v>7</v>
      </c>
      <c r="C1030" s="18">
        <v>4</v>
      </c>
      <c r="D1030" s="18">
        <v>4</v>
      </c>
      <c r="E1030" s="20">
        <v>80</v>
      </c>
      <c r="F1030" s="21">
        <f t="shared" si="49"/>
        <v>114.45714285714286</v>
      </c>
      <c r="G1030" s="22">
        <v>0.340926636816762</v>
      </c>
      <c r="H1030" s="18">
        <v>1</v>
      </c>
      <c r="I1030" s="18">
        <f t="shared" si="50"/>
        <v>0</v>
      </c>
      <c r="J1030" s="41">
        <v>42883</v>
      </c>
      <c r="K1030" s="36">
        <v>2017</v>
      </c>
      <c r="L1030" s="32">
        <f t="shared" si="48"/>
        <v>42893</v>
      </c>
      <c r="M1030" s="24">
        <v>0</v>
      </c>
      <c r="N1030" s="33">
        <v>111</v>
      </c>
      <c r="O1030" s="34">
        <f>AVERAGEIF(L3:L1205,"&lt;2017/5/28",N3:N1205)</f>
        <v>93.818749999999994</v>
      </c>
      <c r="P1030" s="38">
        <v>0</v>
      </c>
      <c r="Q1030" s="38">
        <f>AVERAGEIF(L3:L1205,"&lt;2017/5/28",P3:P1205)</f>
        <v>0.45</v>
      </c>
      <c r="R1030" s="38">
        <v>1</v>
      </c>
      <c r="S1030" s="38">
        <f>AVERAGEIF(L3:L1205,"&lt;2017/5/28",R3:R1205)</f>
        <v>1.2625</v>
      </c>
      <c r="T1030" s="38">
        <v>10</v>
      </c>
      <c r="U1030" s="38">
        <f>AVERAGEIF(L3:L1205,"&lt;2017/5/28",T3:T1205)</f>
        <v>10.331250000000001</v>
      </c>
      <c r="V1030" s="24">
        <v>175</v>
      </c>
      <c r="W1030" s="47" t="s">
        <v>4659</v>
      </c>
    </row>
    <row r="1031" spans="1:23">
      <c r="A1031" s="23">
        <v>2</v>
      </c>
      <c r="B1031" s="23">
        <v>7</v>
      </c>
      <c r="C1031" s="18">
        <v>4</v>
      </c>
      <c r="D1031" s="18">
        <v>6</v>
      </c>
      <c r="E1031" s="20">
        <v>92</v>
      </c>
      <c r="F1031" s="21">
        <f t="shared" si="49"/>
        <v>114.58620689655173</v>
      </c>
      <c r="G1031" s="22">
        <v>0.54048298286281604</v>
      </c>
      <c r="H1031" s="18">
        <v>0</v>
      </c>
      <c r="I1031" s="18">
        <f t="shared" si="50"/>
        <v>1</v>
      </c>
      <c r="J1031" s="41">
        <v>42881</v>
      </c>
      <c r="K1031" s="36">
        <v>2017</v>
      </c>
      <c r="L1031" s="32">
        <f t="shared" si="48"/>
        <v>42892</v>
      </c>
      <c r="M1031" s="24">
        <v>0</v>
      </c>
      <c r="N1031" s="33">
        <v>111</v>
      </c>
      <c r="O1031" s="34">
        <f>AVERAGEIF(L3:L1205,"&lt;2017/5/26",N3:N1205)</f>
        <v>93.818749999999994</v>
      </c>
      <c r="P1031" s="38">
        <v>0</v>
      </c>
      <c r="Q1031" s="38">
        <f>AVERAGEIF(L3:L1205,"&lt;2017/5/26",P3:P1205)</f>
        <v>0.45</v>
      </c>
      <c r="R1031" s="38">
        <v>1</v>
      </c>
      <c r="S1031" s="38">
        <f>AVERAGEIF(L3:L1205,"&lt;2017/5/26",R3:R1205)</f>
        <v>1.2625</v>
      </c>
      <c r="T1031" s="38">
        <v>11</v>
      </c>
      <c r="U1031" s="38">
        <f>AVERAGEIF(L3:L1205,"&lt;2017/5/26",T3:T1205)</f>
        <v>10.331250000000001</v>
      </c>
      <c r="V1031" s="24">
        <v>174</v>
      </c>
      <c r="W1031" s="47" t="s">
        <v>4529</v>
      </c>
    </row>
    <row r="1032" spans="1:23">
      <c r="A1032" s="23">
        <v>2</v>
      </c>
      <c r="B1032" s="23">
        <v>6</v>
      </c>
      <c r="C1032" s="18">
        <v>4</v>
      </c>
      <c r="D1032" s="18">
        <v>6</v>
      </c>
      <c r="E1032" s="20">
        <v>136</v>
      </c>
      <c r="F1032" s="21">
        <f t="shared" si="49"/>
        <v>114.46242774566474</v>
      </c>
      <c r="G1032" s="22">
        <v>0.87499999574690102</v>
      </c>
      <c r="H1032" s="18">
        <v>1</v>
      </c>
      <c r="I1032" s="18">
        <f t="shared" si="50"/>
        <v>0</v>
      </c>
      <c r="J1032" s="41">
        <v>42880</v>
      </c>
      <c r="K1032" s="36">
        <v>2017</v>
      </c>
      <c r="L1032" s="32">
        <f t="shared" si="48"/>
        <v>42888</v>
      </c>
      <c r="M1032" s="40">
        <v>0</v>
      </c>
      <c r="N1032" s="33">
        <v>107</v>
      </c>
      <c r="O1032" s="34">
        <f>AVERAGEIF(L3:L1205,"&lt;2017/5/25",N3:N1205)</f>
        <v>94.082278481012665</v>
      </c>
      <c r="P1032" s="38">
        <v>0</v>
      </c>
      <c r="Q1032" s="38">
        <f>AVERAGEIF(L3:L1205,"&lt;2017/5/25",P3:P1205)</f>
        <v>0.44936708860759494</v>
      </c>
      <c r="R1032" s="38">
        <v>1</v>
      </c>
      <c r="S1032" s="38">
        <f>AVERAGEIF(L3:L1205,"&lt;2017/5/25",R3:R1205)</f>
        <v>1.259493670886076</v>
      </c>
      <c r="T1032" s="38">
        <v>8</v>
      </c>
      <c r="U1032" s="38">
        <f>AVERAGEIF(L3:L1205,"&lt;2017/5/25",T3:T1205)</f>
        <v>10.291139240506329</v>
      </c>
      <c r="V1032" s="24">
        <v>173</v>
      </c>
      <c r="W1032" s="47" t="s">
        <v>5072</v>
      </c>
    </row>
    <row r="1033" spans="1:23">
      <c r="A1033" s="23">
        <v>2</v>
      </c>
      <c r="B1033" s="23">
        <v>9</v>
      </c>
      <c r="C1033" s="18">
        <v>4</v>
      </c>
      <c r="D1033" s="18">
        <v>6</v>
      </c>
      <c r="E1033" s="20">
        <v>219</v>
      </c>
      <c r="F1033" s="21">
        <f t="shared" si="49"/>
        <v>113.8546511627907</v>
      </c>
      <c r="G1033" s="22">
        <v>0.91128492762622704</v>
      </c>
      <c r="H1033" s="18">
        <v>1</v>
      </c>
      <c r="I1033" s="18">
        <f t="shared" si="50"/>
        <v>0</v>
      </c>
      <c r="J1033" s="41">
        <v>42880</v>
      </c>
      <c r="K1033" s="36">
        <v>2017</v>
      </c>
      <c r="L1033" s="32">
        <f t="shared" si="48"/>
        <v>42888</v>
      </c>
      <c r="M1033" s="24">
        <v>0</v>
      </c>
      <c r="N1033" s="33">
        <v>107</v>
      </c>
      <c r="O1033" s="34">
        <f>AVERAGEIF(L3:L1205,"&lt;2017/5/25",N3:N1205)</f>
        <v>94.082278481012665</v>
      </c>
      <c r="P1033" s="38">
        <v>1</v>
      </c>
      <c r="Q1033" s="38">
        <f>AVERAGEIF(L3:L1205,"&lt;2017/5/25",P3:P1205)</f>
        <v>0.44936708860759494</v>
      </c>
      <c r="R1033" s="38">
        <v>3</v>
      </c>
      <c r="S1033" s="38">
        <f>AVERAGEIF(L3:L1205,"&lt;2017/5/25",R3:R1205)</f>
        <v>1.259493670886076</v>
      </c>
      <c r="T1033" s="38">
        <v>8</v>
      </c>
      <c r="U1033" s="38">
        <f>AVERAGEIF(L3:L1205,"&lt;2017/5/25",T3:T1205)</f>
        <v>10.291139240506329</v>
      </c>
      <c r="V1033" s="24">
        <v>172</v>
      </c>
      <c r="W1033" s="47" t="s">
        <v>5072</v>
      </c>
    </row>
    <row r="1034" spans="1:23">
      <c r="A1034" s="23">
        <v>2</v>
      </c>
      <c r="B1034" s="23">
        <v>6</v>
      </c>
      <c r="C1034" s="18">
        <v>4</v>
      </c>
      <c r="D1034" s="18">
        <v>6</v>
      </c>
      <c r="E1034" s="20">
        <v>97</v>
      </c>
      <c r="F1034" s="21">
        <f t="shared" si="49"/>
        <v>113.953216374269</v>
      </c>
      <c r="G1034" s="22">
        <v>0.50235226870260696</v>
      </c>
      <c r="H1034" s="18">
        <v>1</v>
      </c>
      <c r="I1034" s="18">
        <f t="shared" si="50"/>
        <v>0</v>
      </c>
      <c r="J1034" s="41">
        <v>42879</v>
      </c>
      <c r="K1034" s="36">
        <v>2017</v>
      </c>
      <c r="L1034" s="32">
        <f t="shared" si="48"/>
        <v>42886</v>
      </c>
      <c r="M1034" s="40">
        <v>0</v>
      </c>
      <c r="N1034" s="33">
        <v>115</v>
      </c>
      <c r="O1034" s="34">
        <f>AVERAGEIF(L3:L1205,"&lt;2017/5/24",N3:N1205)</f>
        <v>94.407643312101911</v>
      </c>
      <c r="P1034" s="38">
        <v>0</v>
      </c>
      <c r="Q1034" s="38">
        <f>AVERAGEIF(L3:L1205,"&lt;2017/5/24",P3:P1205)</f>
        <v>0.45222929936305734</v>
      </c>
      <c r="R1034" s="38">
        <v>1</v>
      </c>
      <c r="S1034" s="38">
        <f>AVERAGEIF(L3:L1205,"&lt;2017/5/24",R3:R1205)</f>
        <v>1.2611464968152866</v>
      </c>
      <c r="T1034" s="38">
        <v>7</v>
      </c>
      <c r="U1034" s="38">
        <f>AVERAGEIF(L3:L1205,"&lt;2017/5/24",T3:T1205)</f>
        <v>10.337579617834395</v>
      </c>
      <c r="V1034" s="24">
        <v>171</v>
      </c>
      <c r="W1034" s="47" t="s">
        <v>4742</v>
      </c>
    </row>
    <row r="1035" spans="1:23">
      <c r="A1035" s="23">
        <v>4</v>
      </c>
      <c r="B1035" s="23">
        <v>37</v>
      </c>
      <c r="C1035" s="18">
        <v>2</v>
      </c>
      <c r="D1035" s="18">
        <v>6</v>
      </c>
      <c r="E1035" s="20">
        <v>104</v>
      </c>
      <c r="F1035" s="21">
        <f t="shared" si="49"/>
        <v>114.01176470588236</v>
      </c>
      <c r="G1035" s="22">
        <v>0.43310010453777298</v>
      </c>
      <c r="H1035" s="18">
        <v>1</v>
      </c>
      <c r="I1035" s="18">
        <f t="shared" si="50"/>
        <v>0</v>
      </c>
      <c r="J1035" s="45">
        <v>42879</v>
      </c>
      <c r="K1035" s="36">
        <v>2017</v>
      </c>
      <c r="L1035" s="32">
        <f t="shared" si="48"/>
        <v>42893</v>
      </c>
      <c r="M1035" s="42">
        <v>1</v>
      </c>
      <c r="N1035" s="33">
        <v>199</v>
      </c>
      <c r="O1035" s="34">
        <f>AVERAGEIF(L3:L1205,"&lt;2017/5/24",N3:N1205)</f>
        <v>94.407643312101911</v>
      </c>
      <c r="P1035" s="38">
        <v>0</v>
      </c>
      <c r="Q1035" s="38">
        <f>AVERAGEIF(L3:L1205,"&lt;2017/5/24",P3:P1205)</f>
        <v>0.45222929936305734</v>
      </c>
      <c r="R1035" s="38">
        <v>2</v>
      </c>
      <c r="S1035" s="38">
        <f>AVERAGEIF(L3:L1205,"&lt;2017/5/24",R3:R1205)</f>
        <v>1.2611464968152866</v>
      </c>
      <c r="T1035" s="38">
        <v>14</v>
      </c>
      <c r="U1035" s="38">
        <f>AVERAGEIF(L3:L1205,"&lt;2017/5/24",T3:T1205)</f>
        <v>10.337579617834395</v>
      </c>
      <c r="V1035" s="24">
        <v>170</v>
      </c>
      <c r="W1035" s="47" t="s">
        <v>4980</v>
      </c>
    </row>
    <row r="1036" spans="1:23">
      <c r="A1036" s="17">
        <v>1</v>
      </c>
      <c r="B1036" s="17">
        <v>2</v>
      </c>
      <c r="C1036" s="18">
        <v>4</v>
      </c>
      <c r="D1036" s="18">
        <v>6</v>
      </c>
      <c r="E1036" s="20">
        <v>124</v>
      </c>
      <c r="F1036" s="21">
        <f t="shared" si="49"/>
        <v>113.95266272189349</v>
      </c>
      <c r="G1036" s="22">
        <v>0.38904461223341102</v>
      </c>
      <c r="H1036" s="18">
        <v>0</v>
      </c>
      <c r="I1036" s="18">
        <f t="shared" si="50"/>
        <v>1</v>
      </c>
      <c r="J1036" s="41">
        <v>42877</v>
      </c>
      <c r="K1036" s="36">
        <v>2017</v>
      </c>
      <c r="L1036" s="32">
        <f t="shared" si="48"/>
        <v>42901</v>
      </c>
      <c r="M1036" s="24">
        <v>1</v>
      </c>
      <c r="N1036" s="33">
        <v>99</v>
      </c>
      <c r="O1036" s="34">
        <f>AVERAGEIF(L3:L1205,"&lt;2017/5/22",N3:N1205)</f>
        <v>94.161290322580641</v>
      </c>
      <c r="P1036" s="24">
        <v>2</v>
      </c>
      <c r="Q1036" s="24">
        <f>AVERAGEIF(L3:L1205,"&lt;2017/5/22",P3:P1205)</f>
        <v>0.44516129032258067</v>
      </c>
      <c r="R1036" s="24">
        <v>1</v>
      </c>
      <c r="S1036" s="24">
        <f>AVERAGEIF(L3:L1205,"&lt;2017/5/22",R3:R1205)</f>
        <v>1.2580645161290323</v>
      </c>
      <c r="T1036" s="24">
        <v>24</v>
      </c>
      <c r="U1036" s="24">
        <f>AVERAGEIF(L3:L1205,"&lt;2017/5/22",T3:T1205)</f>
        <v>10.341935483870968</v>
      </c>
      <c r="V1036" s="24">
        <v>169</v>
      </c>
      <c r="W1036" s="47" t="s">
        <v>4855</v>
      </c>
    </row>
    <row r="1037" spans="1:23">
      <c r="A1037" s="23">
        <v>2</v>
      </c>
      <c r="B1037" s="23">
        <v>7</v>
      </c>
      <c r="C1037" s="18">
        <v>4</v>
      </c>
      <c r="D1037" s="18">
        <v>4</v>
      </c>
      <c r="E1037" s="20">
        <v>84</v>
      </c>
      <c r="F1037" s="21">
        <f t="shared" si="49"/>
        <v>114.13095238095238</v>
      </c>
      <c r="G1037" s="22">
        <v>0.37501150461566801</v>
      </c>
      <c r="H1037" s="18">
        <v>1</v>
      </c>
      <c r="I1037" s="18">
        <f t="shared" si="50"/>
        <v>0</v>
      </c>
      <c r="J1037" s="41">
        <v>42877</v>
      </c>
      <c r="K1037" s="36">
        <v>2017</v>
      </c>
      <c r="L1037" s="32">
        <f t="shared" si="48"/>
        <v>42887</v>
      </c>
      <c r="M1037" s="40">
        <v>0</v>
      </c>
      <c r="N1037" s="33">
        <v>121</v>
      </c>
      <c r="O1037" s="34">
        <f>AVERAGEIF(L3:L1205,"&lt;2017/5/22",N3:N1205)</f>
        <v>94.161290322580641</v>
      </c>
      <c r="P1037" s="40">
        <v>0</v>
      </c>
      <c r="Q1037" s="40">
        <f>AVERAGEIF(L3:L1205,"&lt;2017/5/22",P3:P1205)</f>
        <v>0.44516129032258067</v>
      </c>
      <c r="R1037" s="40">
        <v>1</v>
      </c>
      <c r="S1037" s="40">
        <f>AVERAGEIF(L3:L1205,"&lt;2017/5/22",R3:R1205)</f>
        <v>1.2580645161290323</v>
      </c>
      <c r="T1037" s="40">
        <v>10</v>
      </c>
      <c r="U1037" s="40">
        <f>AVERAGEIF(L3:L1205,"&lt;2017/5/22",T3:T1205)</f>
        <v>10.341935483870968</v>
      </c>
      <c r="V1037" s="24">
        <v>168</v>
      </c>
      <c r="W1037" s="47" t="s">
        <v>4542</v>
      </c>
    </row>
    <row r="1038" spans="1:23">
      <c r="A1038" s="23">
        <v>2</v>
      </c>
      <c r="B1038" s="23">
        <v>7</v>
      </c>
      <c r="C1038" s="18">
        <v>4</v>
      </c>
      <c r="D1038" s="18">
        <v>4</v>
      </c>
      <c r="E1038" s="20">
        <v>56</v>
      </c>
      <c r="F1038" s="21">
        <f t="shared" si="49"/>
        <v>114.47904191616766</v>
      </c>
      <c r="G1038" s="22">
        <v>0.37500182631775503</v>
      </c>
      <c r="H1038" s="18">
        <v>1</v>
      </c>
      <c r="I1038" s="18">
        <f t="shared" si="50"/>
        <v>0</v>
      </c>
      <c r="J1038" s="41">
        <v>42877</v>
      </c>
      <c r="K1038" s="36">
        <v>2017</v>
      </c>
      <c r="L1038" s="32">
        <f t="shared" si="48"/>
        <v>42886</v>
      </c>
      <c r="M1038" s="40">
        <v>0</v>
      </c>
      <c r="N1038" s="33">
        <v>91</v>
      </c>
      <c r="O1038" s="34">
        <f>AVERAGEIF(L3:L1205,"&lt;2017/5/22",N3:N1205)</f>
        <v>94.161290322580641</v>
      </c>
      <c r="P1038" s="38">
        <v>0</v>
      </c>
      <c r="Q1038" s="24">
        <f>AVERAGEIF(L5:L1207,"&lt;2017/5/22",P5:P1207)</f>
        <v>0.44516129032258067</v>
      </c>
      <c r="R1038" s="38">
        <v>1</v>
      </c>
      <c r="S1038" s="38">
        <f>AVERAGEIF(L3:L1205,"&lt;2017/5/22",R3:R1205)</f>
        <v>1.2580645161290323</v>
      </c>
      <c r="T1038" s="38">
        <v>9</v>
      </c>
      <c r="U1038" s="24">
        <f>AVERAGEIF(L5:L1207,"&lt;2017/5/22",T5:T1207)</f>
        <v>10.341935483870968</v>
      </c>
      <c r="V1038" s="24">
        <v>167</v>
      </c>
      <c r="W1038" s="47" t="s">
        <v>4529</v>
      </c>
    </row>
    <row r="1039" spans="1:23">
      <c r="A1039" s="23">
        <v>2</v>
      </c>
      <c r="B1039" s="23">
        <v>4</v>
      </c>
      <c r="C1039" s="18">
        <v>4</v>
      </c>
      <c r="D1039" s="18">
        <v>6</v>
      </c>
      <c r="E1039" s="20">
        <v>55</v>
      </c>
      <c r="F1039" s="21">
        <f t="shared" si="49"/>
        <v>114.83734939759036</v>
      </c>
      <c r="G1039" s="22">
        <v>0.44366536339274099</v>
      </c>
      <c r="H1039" s="18">
        <v>1</v>
      </c>
      <c r="I1039" s="18">
        <f t="shared" si="50"/>
        <v>0</v>
      </c>
      <c r="J1039" s="41">
        <v>42876</v>
      </c>
      <c r="K1039" s="36">
        <v>2017</v>
      </c>
      <c r="L1039" s="32">
        <f t="shared" si="48"/>
        <v>42885</v>
      </c>
      <c r="M1039" s="24">
        <v>1</v>
      </c>
      <c r="N1039" s="33">
        <v>74</v>
      </c>
      <c r="O1039" s="34">
        <f>AVERAGEIF(L3:L1205,"&lt;2017/5/21",N3:N1205)</f>
        <v>94.161290322580641</v>
      </c>
      <c r="P1039" s="38">
        <v>0</v>
      </c>
      <c r="Q1039" s="38">
        <f>AVERAGEIF(L3:L1205,"&lt;2017/5/21",P3:P1205)</f>
        <v>0.44516129032258067</v>
      </c>
      <c r="R1039" s="38">
        <v>1</v>
      </c>
      <c r="S1039" s="38">
        <f>AVERAGEIF(L3:L1205,"&lt;2017/5/21",R3:R1205)</f>
        <v>1.2580645161290323</v>
      </c>
      <c r="T1039" s="38">
        <v>9</v>
      </c>
      <c r="U1039" s="38">
        <f>AVERAGEIF(L3:L1205,"&lt;2017/5/21",T3:T1205)</f>
        <v>10.341935483870968</v>
      </c>
      <c r="V1039" s="24">
        <v>166</v>
      </c>
      <c r="W1039" s="47" t="s">
        <v>4564</v>
      </c>
    </row>
    <row r="1040" spans="1:23">
      <c r="A1040" s="23">
        <v>2</v>
      </c>
      <c r="B1040" s="23">
        <v>4</v>
      </c>
      <c r="C1040" s="18">
        <v>4</v>
      </c>
      <c r="D1040" s="18">
        <v>4</v>
      </c>
      <c r="E1040" s="20">
        <v>45</v>
      </c>
      <c r="F1040" s="21">
        <f t="shared" si="49"/>
        <v>115.26060606060607</v>
      </c>
      <c r="G1040" s="22">
        <v>0.25715598120865402</v>
      </c>
      <c r="H1040" s="18">
        <v>1</v>
      </c>
      <c r="I1040" s="18">
        <f t="shared" si="50"/>
        <v>0</v>
      </c>
      <c r="J1040" s="41">
        <v>42876</v>
      </c>
      <c r="K1040" s="36">
        <v>2017</v>
      </c>
      <c r="L1040" s="32">
        <f t="shared" si="48"/>
        <v>42879</v>
      </c>
      <c r="M1040" s="40">
        <v>1</v>
      </c>
      <c r="N1040" s="33">
        <v>43</v>
      </c>
      <c r="O1040" s="34">
        <f>AVERAGEIF(L3:L1205,"&lt;2017/5/21",N3:N1205)</f>
        <v>94.161290322580641</v>
      </c>
      <c r="P1040" s="38">
        <v>0</v>
      </c>
      <c r="Q1040" s="38">
        <f>AVERAGEIF(L3:L1205,"&lt;2017/5/21",P3:P1205)</f>
        <v>0.44516129032258067</v>
      </c>
      <c r="R1040" s="38">
        <v>1</v>
      </c>
      <c r="S1040" s="38">
        <f>AVERAGEIF(L3:L1205,"&lt;2017/5/21",R3:R1205)</f>
        <v>1.2580645161290323</v>
      </c>
      <c r="T1040" s="38">
        <v>3</v>
      </c>
      <c r="U1040" s="38">
        <f>AVERAGEIF(L3:L1205,"&lt;2017/5/21",T3:T1205)</f>
        <v>10.341935483870968</v>
      </c>
      <c r="V1040" s="24">
        <v>165</v>
      </c>
      <c r="W1040" s="47" t="s">
        <v>4634</v>
      </c>
    </row>
    <row r="1041" spans="1:23">
      <c r="A1041" s="23">
        <v>2</v>
      </c>
      <c r="B1041" s="23">
        <v>6</v>
      </c>
      <c r="C1041" s="18">
        <v>4</v>
      </c>
      <c r="D1041" s="18">
        <v>6</v>
      </c>
      <c r="E1041" s="20">
        <v>30</v>
      </c>
      <c r="F1041" s="21">
        <f t="shared" si="49"/>
        <v>115.78048780487805</v>
      </c>
      <c r="G1041" s="22">
        <v>0.30999980249390502</v>
      </c>
      <c r="H1041" s="18">
        <v>1</v>
      </c>
      <c r="I1041" s="18">
        <f t="shared" si="50"/>
        <v>0</v>
      </c>
      <c r="J1041" s="41">
        <v>42875</v>
      </c>
      <c r="K1041" s="36">
        <v>2017</v>
      </c>
      <c r="L1041" s="32">
        <f t="shared" si="48"/>
        <v>42886</v>
      </c>
      <c r="M1041" s="37">
        <v>0</v>
      </c>
      <c r="N1041" s="33">
        <v>56</v>
      </c>
      <c r="O1041" s="34">
        <f>AVERAGEIF(L3:L1205,"&lt;2017/5/20",N3:N1205)</f>
        <v>94.161290322580641</v>
      </c>
      <c r="P1041" s="40">
        <v>0</v>
      </c>
      <c r="Q1041" s="40">
        <f>AVERAGEIF(L3:L1205,"&lt;2017/5/20",P3:P1205)</f>
        <v>0.44516129032258067</v>
      </c>
      <c r="R1041" s="40">
        <v>1</v>
      </c>
      <c r="S1041" s="40">
        <f>AVERAGEIF(L3:L1205,"&lt;2017/5/20",R3:R1205)</f>
        <v>1.2580645161290323</v>
      </c>
      <c r="T1041" s="40">
        <v>11</v>
      </c>
      <c r="U1041" s="40">
        <f>AVERAGEIF(L3:L1205,"&lt;2017/5/20",T3:T1205)</f>
        <v>10.341935483870968</v>
      </c>
      <c r="V1041" s="24">
        <v>164</v>
      </c>
      <c r="W1041" s="47" t="e">
        <v>#N/A</v>
      </c>
    </row>
    <row r="1042" spans="1:23">
      <c r="A1042" s="23">
        <v>2</v>
      </c>
      <c r="B1042" s="23">
        <v>6</v>
      </c>
      <c r="C1042" s="18">
        <v>4</v>
      </c>
      <c r="D1042" s="18">
        <v>6</v>
      </c>
      <c r="E1042" s="20">
        <v>115</v>
      </c>
      <c r="F1042" s="21">
        <f t="shared" si="49"/>
        <v>115.78527607361963</v>
      </c>
      <c r="G1042" s="22">
        <v>0.375082447122004</v>
      </c>
      <c r="H1042" s="18">
        <v>1</v>
      </c>
      <c r="I1042" s="18">
        <f t="shared" si="50"/>
        <v>0</v>
      </c>
      <c r="J1042" s="41">
        <v>42875</v>
      </c>
      <c r="K1042" s="36">
        <v>2017</v>
      </c>
      <c r="L1042" s="32">
        <f t="shared" si="48"/>
        <v>42886</v>
      </c>
      <c r="M1042" s="40">
        <v>0</v>
      </c>
      <c r="N1042" s="33">
        <v>59</v>
      </c>
      <c r="O1042" s="34">
        <f>AVERAGEIF(L3:L1205,"&lt;2017/5/20",N3:N1205)</f>
        <v>94.161290322580641</v>
      </c>
      <c r="P1042" s="40">
        <v>0</v>
      </c>
      <c r="Q1042" s="40">
        <f>AVERAGEIF(L3:L1205,"&lt;2017/5/20",P3:P1205)</f>
        <v>0.44516129032258067</v>
      </c>
      <c r="R1042" s="40">
        <v>1</v>
      </c>
      <c r="S1042" s="40">
        <f>AVERAGEIF(L3:L1205,"&lt;2017/5/20",R3:R1205)</f>
        <v>1.2580645161290323</v>
      </c>
      <c r="T1042" s="40">
        <v>11</v>
      </c>
      <c r="U1042" s="40">
        <f>AVERAGEIF(L3:L1205,"&lt;2017/5/20",T3:T1205)</f>
        <v>10.341935483870968</v>
      </c>
      <c r="V1042" s="24">
        <v>163</v>
      </c>
      <c r="W1042" s="47" t="s">
        <v>4550</v>
      </c>
    </row>
    <row r="1043" spans="1:23">
      <c r="A1043" s="23">
        <v>2</v>
      </c>
      <c r="B1043" s="23">
        <v>6</v>
      </c>
      <c r="C1043" s="18">
        <v>4</v>
      </c>
      <c r="D1043" s="18">
        <v>6</v>
      </c>
      <c r="E1043" s="20">
        <v>78</v>
      </c>
      <c r="F1043" s="21">
        <f t="shared" si="49"/>
        <v>116.01851851851852</v>
      </c>
      <c r="G1043" s="22">
        <v>0.83721137882465202</v>
      </c>
      <c r="H1043" s="18">
        <v>0</v>
      </c>
      <c r="I1043" s="18">
        <f t="shared" si="50"/>
        <v>1</v>
      </c>
      <c r="J1043" s="41">
        <v>42870</v>
      </c>
      <c r="K1043" s="36">
        <v>2017</v>
      </c>
      <c r="L1043" s="32">
        <f t="shared" si="48"/>
        <v>42886</v>
      </c>
      <c r="M1043" s="40">
        <v>1</v>
      </c>
      <c r="N1043" s="33">
        <v>72</v>
      </c>
      <c r="O1043" s="34">
        <f>AVERAGEIF(L3:L1205,"&lt;2017/5/15",N3:N1205)</f>
        <v>93.586666666666673</v>
      </c>
      <c r="P1043" s="40">
        <v>1</v>
      </c>
      <c r="Q1043" s="40">
        <f>AVERAGEIF(L3:L1205,"&lt;2017/5/15",P3:P1205)</f>
        <v>0.44</v>
      </c>
      <c r="R1043" s="40">
        <v>2</v>
      </c>
      <c r="S1043" s="40">
        <f>AVERAGEIF(L3:L1205,"&lt;2017/5/15",R3:R1205)</f>
        <v>1.26</v>
      </c>
      <c r="T1043" s="40">
        <v>16</v>
      </c>
      <c r="U1043" s="40">
        <f>AVERAGEIF(L3:L1205,"&lt;2017/5/15",T3:T1205)</f>
        <v>10.413333333333334</v>
      </c>
      <c r="V1043" s="24">
        <v>162</v>
      </c>
      <c r="W1043" s="47" t="s">
        <v>4742</v>
      </c>
    </row>
    <row r="1044" spans="1:23">
      <c r="A1044" s="23">
        <v>2</v>
      </c>
      <c r="B1044" s="23">
        <v>7</v>
      </c>
      <c r="C1044" s="18">
        <v>2</v>
      </c>
      <c r="D1044" s="18">
        <v>9</v>
      </c>
      <c r="E1044" s="20">
        <v>50</v>
      </c>
      <c r="F1044" s="21">
        <f t="shared" si="49"/>
        <v>116.42857142857143</v>
      </c>
      <c r="G1044" s="22">
        <v>0.41251420477502199</v>
      </c>
      <c r="H1044" s="18">
        <v>1</v>
      </c>
      <c r="I1044" s="18">
        <f t="shared" si="50"/>
        <v>0</v>
      </c>
      <c r="J1044" s="41">
        <v>42870</v>
      </c>
      <c r="K1044" s="36">
        <v>2017</v>
      </c>
      <c r="L1044" s="32">
        <f t="shared" si="48"/>
        <v>42877</v>
      </c>
      <c r="M1044" s="24">
        <v>0</v>
      </c>
      <c r="N1044" s="33">
        <v>197</v>
      </c>
      <c r="O1044" s="34">
        <f>AVERAGEIF(L3:L1205,"&lt;2017/5/15",N3:N1205)</f>
        <v>93.586666666666673</v>
      </c>
      <c r="P1044" s="38">
        <v>1</v>
      </c>
      <c r="Q1044" s="38">
        <f>AVERAGEIF(L3:L1205,"&lt;2017/5/15",P3:P1205)</f>
        <v>0.44</v>
      </c>
      <c r="R1044" s="38">
        <v>1</v>
      </c>
      <c r="S1044" s="38">
        <f>AVERAGEIF(L3:L1205,"&lt;2017/5/15",R3:R1205)</f>
        <v>1.26</v>
      </c>
      <c r="T1044" s="38">
        <v>7</v>
      </c>
      <c r="U1044" s="38">
        <f>AVERAGEIF(L3:L1205,"&lt;2017/5/15",T3:T1205)</f>
        <v>10.413333333333334</v>
      </c>
      <c r="V1044" s="24">
        <v>161</v>
      </c>
      <c r="W1044" s="47" t="s">
        <v>4550</v>
      </c>
    </row>
    <row r="1045" spans="1:23">
      <c r="A1045" s="23">
        <v>3</v>
      </c>
      <c r="B1045" s="23">
        <v>27</v>
      </c>
      <c r="C1045" s="18">
        <v>4</v>
      </c>
      <c r="D1045" s="18">
        <v>6</v>
      </c>
      <c r="E1045" s="20">
        <v>79</v>
      </c>
      <c r="F1045" s="21">
        <f t="shared" si="49"/>
        <v>116.66249999999999</v>
      </c>
      <c r="G1045" s="22">
        <v>0.31260320354226101</v>
      </c>
      <c r="H1045" s="3">
        <v>1</v>
      </c>
      <c r="I1045" s="18">
        <f t="shared" si="50"/>
        <v>0</v>
      </c>
      <c r="J1045" s="32">
        <v>42868</v>
      </c>
      <c r="K1045" s="36">
        <v>2017</v>
      </c>
      <c r="L1045" s="32">
        <f t="shared" si="48"/>
        <v>42888</v>
      </c>
      <c r="M1045" s="40">
        <v>0</v>
      </c>
      <c r="N1045" s="33">
        <v>180</v>
      </c>
      <c r="O1045" s="34">
        <f>AVERAGEIF(L3:L1205,"&lt;2017/5/13",N3:N1205)</f>
        <v>93.586666666666673</v>
      </c>
      <c r="P1045" s="38">
        <v>0</v>
      </c>
      <c r="Q1045" s="38">
        <f>AVERAGEIF(L3:L1205,"&lt;2017/5/13",P3:P1205)</f>
        <v>0.44</v>
      </c>
      <c r="R1045" s="38">
        <v>3</v>
      </c>
      <c r="S1045" s="38">
        <f>AVERAGEIF(L3:L1205,"&lt;2017/5/13",R3:R1205)</f>
        <v>1.26</v>
      </c>
      <c r="T1045" s="38">
        <v>20</v>
      </c>
      <c r="U1045" s="38">
        <f>AVERAGEIF(L3:L1205,"&lt;2017/5/13",T3:T1205)</f>
        <v>10.413333333333334</v>
      </c>
      <c r="V1045" s="24">
        <v>160</v>
      </c>
      <c r="W1045" s="47" t="s">
        <v>4529</v>
      </c>
    </row>
    <row r="1046" spans="1:23">
      <c r="A1046" s="23">
        <v>2</v>
      </c>
      <c r="B1046" s="23">
        <v>6</v>
      </c>
      <c r="C1046" s="18">
        <v>4</v>
      </c>
      <c r="D1046" s="18">
        <v>4</v>
      </c>
      <c r="E1046" s="20">
        <v>122</v>
      </c>
      <c r="F1046" s="21">
        <f t="shared" si="49"/>
        <v>116.62893081761007</v>
      </c>
      <c r="G1046" s="22">
        <v>0.37501837716995001</v>
      </c>
      <c r="H1046" s="18">
        <v>1</v>
      </c>
      <c r="I1046" s="18">
        <f t="shared" si="50"/>
        <v>0</v>
      </c>
      <c r="J1046" s="41">
        <v>42867</v>
      </c>
      <c r="K1046" s="36">
        <v>2017</v>
      </c>
      <c r="L1046" s="32">
        <f t="shared" si="48"/>
        <v>42880</v>
      </c>
      <c r="M1046" s="40">
        <v>1</v>
      </c>
      <c r="N1046" s="33">
        <v>25</v>
      </c>
      <c r="O1046" s="34">
        <f>AVERAGEIF(L3:L1205,"&lt;2017/5/12",N3:N1205)</f>
        <v>93.630872483221481</v>
      </c>
      <c r="P1046" s="40">
        <v>0</v>
      </c>
      <c r="Q1046" s="40">
        <f>AVERAGEIF(L3:L1205,"&lt;2017/5/12",P3:P1205)</f>
        <v>0.44295302013422821</v>
      </c>
      <c r="R1046" s="40">
        <v>2</v>
      </c>
      <c r="S1046" s="40">
        <f>AVERAGEIF(L3:L1205,"&lt;2017/5/12",R3:R1205)</f>
        <v>1.261744966442953</v>
      </c>
      <c r="T1046" s="40">
        <v>13</v>
      </c>
      <c r="U1046" s="40">
        <f>AVERAGEIF(L3:L1205,"&lt;2017/5/12",T3:T1205)</f>
        <v>10.469798657718121</v>
      </c>
      <c r="V1046" s="24">
        <v>159</v>
      </c>
      <c r="W1046" s="47" t="s">
        <v>4652</v>
      </c>
    </row>
    <row r="1047" spans="1:23">
      <c r="A1047" s="23">
        <v>2</v>
      </c>
      <c r="B1047" s="23">
        <v>7</v>
      </c>
      <c r="C1047" s="18">
        <v>4</v>
      </c>
      <c r="D1047" s="18">
        <v>4</v>
      </c>
      <c r="E1047" s="20">
        <v>89</v>
      </c>
      <c r="F1047" s="21">
        <f t="shared" si="49"/>
        <v>116.80379746835443</v>
      </c>
      <c r="G1047" s="22">
        <v>0.84090902579191995</v>
      </c>
      <c r="H1047" s="18">
        <v>1</v>
      </c>
      <c r="I1047" s="18">
        <f t="shared" si="50"/>
        <v>0</v>
      </c>
      <c r="J1047" s="41">
        <v>42866</v>
      </c>
      <c r="K1047" s="36">
        <v>2017</v>
      </c>
      <c r="L1047" s="32">
        <f t="shared" si="48"/>
        <v>42880</v>
      </c>
      <c r="M1047" s="40">
        <v>0</v>
      </c>
      <c r="N1047" s="33">
        <v>121</v>
      </c>
      <c r="O1047" s="34">
        <f>AVERAGEIF(L3:L1205,"&lt;2017/5/11",N3:N1205)</f>
        <v>93.871621621621628</v>
      </c>
      <c r="P1047" s="40">
        <v>1</v>
      </c>
      <c r="Q1047" s="40">
        <f>AVERAGEIF(L3:L1205,"&lt;2017/5/11",P3:P1205)</f>
        <v>0.44594594594594594</v>
      </c>
      <c r="R1047" s="40">
        <v>1</v>
      </c>
      <c r="S1047" s="40">
        <f>AVERAGEIF(L3:L1205,"&lt;2017/5/11",R3:R1205)</f>
        <v>1.2635135135135136</v>
      </c>
      <c r="T1047" s="40">
        <v>14</v>
      </c>
      <c r="U1047" s="40">
        <f>AVERAGEIF(L3:L1205,"&lt;2017/5/11",T3:T1205)</f>
        <v>10.486486486486486</v>
      </c>
      <c r="V1047" s="24">
        <v>158</v>
      </c>
      <c r="W1047" s="47" t="s">
        <v>4618</v>
      </c>
    </row>
    <row r="1048" spans="1:23">
      <c r="A1048" s="23">
        <v>2</v>
      </c>
      <c r="B1048" s="23">
        <v>7</v>
      </c>
      <c r="C1048" s="18">
        <v>4</v>
      </c>
      <c r="D1048" s="18">
        <v>6</v>
      </c>
      <c r="E1048" s="20">
        <v>326</v>
      </c>
      <c r="F1048" s="21">
        <f t="shared" si="49"/>
        <v>115.47133757961784</v>
      </c>
      <c r="G1048" s="22">
        <v>0.52511105419191295</v>
      </c>
      <c r="H1048" s="18">
        <v>1</v>
      </c>
      <c r="I1048" s="18">
        <f t="shared" si="50"/>
        <v>0</v>
      </c>
      <c r="J1048" s="41">
        <v>42866</v>
      </c>
      <c r="K1048" s="36">
        <v>2017</v>
      </c>
      <c r="L1048" s="32">
        <f t="shared" si="48"/>
        <v>42874</v>
      </c>
      <c r="M1048" s="40">
        <v>0</v>
      </c>
      <c r="N1048" s="33">
        <v>100</v>
      </c>
      <c r="O1048" s="34">
        <f>AVERAGEIF(L3:L1205,"&lt;2017/5/11",N3:N1205)</f>
        <v>93.871621621621628</v>
      </c>
      <c r="P1048" s="38">
        <v>0</v>
      </c>
      <c r="Q1048" s="38">
        <f>AVERAGEIF(L3:L1205,"&lt;2017/5/11",P3:P1205)</f>
        <v>0.44594594594594594</v>
      </c>
      <c r="R1048" s="38">
        <v>1</v>
      </c>
      <c r="S1048" s="38">
        <f>AVERAGEIF(L3:L1205,"&lt;2017/5/11",R3:R1205)</f>
        <v>1.2635135135135136</v>
      </c>
      <c r="T1048" s="38">
        <v>8</v>
      </c>
      <c r="U1048" s="38">
        <f>AVERAGEIF(L3:L1205,"&lt;2017/5/11",T3:T1205)</f>
        <v>10.486486486486486</v>
      </c>
      <c r="V1048" s="24">
        <v>157</v>
      </c>
      <c r="W1048" s="47" t="s">
        <v>4690</v>
      </c>
    </row>
    <row r="1049" spans="1:23">
      <c r="A1049" s="23">
        <v>2</v>
      </c>
      <c r="B1049" s="23">
        <v>7</v>
      </c>
      <c r="C1049" s="18">
        <v>4</v>
      </c>
      <c r="D1049" s="18">
        <v>4</v>
      </c>
      <c r="E1049" s="20">
        <v>55</v>
      </c>
      <c r="F1049" s="21">
        <f t="shared" si="49"/>
        <v>115.85897435897436</v>
      </c>
      <c r="G1049" s="22">
        <v>0.41316461634356999</v>
      </c>
      <c r="H1049" s="18">
        <v>1</v>
      </c>
      <c r="I1049" s="18">
        <f t="shared" si="50"/>
        <v>0</v>
      </c>
      <c r="J1049" s="41">
        <v>42866</v>
      </c>
      <c r="K1049" s="36">
        <v>2017</v>
      </c>
      <c r="L1049" s="32">
        <f t="shared" si="48"/>
        <v>42873</v>
      </c>
      <c r="M1049" s="40">
        <v>1</v>
      </c>
      <c r="N1049" s="33">
        <v>111</v>
      </c>
      <c r="O1049" s="34">
        <f>AVERAGEIF(L3:L1205,"&lt;2017/5/11",N3:N1205)</f>
        <v>93.871621621621628</v>
      </c>
      <c r="P1049" s="38">
        <v>0</v>
      </c>
      <c r="Q1049" s="38">
        <f>AVERAGEIF(L3:L1205,"&lt;2017/5/11",P3:P1205)</f>
        <v>0.44594594594594594</v>
      </c>
      <c r="R1049" s="38">
        <v>1</v>
      </c>
      <c r="S1049" s="38">
        <f>AVERAGEIF(L3:L1205,"&lt;2017/5/11",R3:R1205)</f>
        <v>1.2635135135135136</v>
      </c>
      <c r="T1049" s="38">
        <v>7</v>
      </c>
      <c r="U1049" s="38">
        <f>AVERAGEIF(L3:L1205,"&lt;2017/5/11",T3:T1205)</f>
        <v>10.486486486486486</v>
      </c>
      <c r="V1049" s="24">
        <v>156</v>
      </c>
      <c r="W1049" s="47" t="s">
        <v>4634</v>
      </c>
    </row>
    <row r="1050" spans="1:23">
      <c r="A1050" s="23">
        <v>2</v>
      </c>
      <c r="B1050" s="23">
        <v>7</v>
      </c>
      <c r="C1050" s="18">
        <v>4</v>
      </c>
      <c r="D1050" s="18">
        <v>6</v>
      </c>
      <c r="E1050" s="20">
        <v>108</v>
      </c>
      <c r="F1050" s="21">
        <f t="shared" si="49"/>
        <v>115.90967741935484</v>
      </c>
      <c r="G1050" s="22">
        <v>0.376092830322942</v>
      </c>
      <c r="H1050" s="18">
        <v>1</v>
      </c>
      <c r="I1050" s="18">
        <f t="shared" si="50"/>
        <v>0</v>
      </c>
      <c r="J1050" s="41">
        <v>42866</v>
      </c>
      <c r="K1050" s="36">
        <v>2017</v>
      </c>
      <c r="L1050" s="32">
        <f t="shared" si="48"/>
        <v>42888</v>
      </c>
      <c r="M1050" s="40">
        <v>1</v>
      </c>
      <c r="N1050" s="33">
        <v>43</v>
      </c>
      <c r="O1050" s="34">
        <f>AVERAGEIF(L3:L1205,"&lt;2017/5/11",N3:N1205)</f>
        <v>93.871621621621628</v>
      </c>
      <c r="P1050" s="38">
        <v>1</v>
      </c>
      <c r="Q1050" s="38">
        <f>AVERAGEIF(L3:L1205,"&lt;2017/5/11",P3:P1205)</f>
        <v>0.44594594594594594</v>
      </c>
      <c r="R1050" s="38">
        <v>2</v>
      </c>
      <c r="S1050" s="38">
        <f>AVERAGEIF(L3:L1205,"&lt;2017/5/11",R3:R1205)</f>
        <v>1.2635135135135136</v>
      </c>
      <c r="T1050" s="38">
        <v>22</v>
      </c>
      <c r="U1050" s="38">
        <f>AVERAGEIF(L3:L1205,"&lt;2017/5/11",T3:T1205)</f>
        <v>10.486486486486486</v>
      </c>
      <c r="V1050" s="24">
        <v>155</v>
      </c>
      <c r="W1050" s="47" t="s">
        <v>4529</v>
      </c>
    </row>
    <row r="1051" spans="1:23">
      <c r="A1051" s="23">
        <v>2</v>
      </c>
      <c r="B1051" s="23">
        <v>7</v>
      </c>
      <c r="C1051" s="18">
        <v>5</v>
      </c>
      <c r="D1051" s="18">
        <v>6</v>
      </c>
      <c r="E1051" s="20">
        <v>155</v>
      </c>
      <c r="F1051" s="21">
        <f t="shared" si="49"/>
        <v>115.65584415584415</v>
      </c>
      <c r="G1051" s="22">
        <v>0.37501283061986401</v>
      </c>
      <c r="H1051" s="18">
        <v>1</v>
      </c>
      <c r="I1051" s="18">
        <f t="shared" si="50"/>
        <v>0</v>
      </c>
      <c r="J1051" s="41">
        <v>42866</v>
      </c>
      <c r="K1051" s="36">
        <v>2017</v>
      </c>
      <c r="L1051" s="32">
        <f t="shared" si="48"/>
        <v>42872</v>
      </c>
      <c r="M1051" s="40">
        <v>1</v>
      </c>
      <c r="N1051" s="33">
        <v>121</v>
      </c>
      <c r="O1051" s="34">
        <f>AVERAGEIF(L3:L1205,"&lt;2017/5/11",N3:N1205)</f>
        <v>93.871621621621628</v>
      </c>
      <c r="P1051" s="38">
        <v>0</v>
      </c>
      <c r="Q1051" s="38">
        <f>AVERAGEIF(L3:L1205,"&lt;2017/5/11",P3:P1205)</f>
        <v>0.44594594594594594</v>
      </c>
      <c r="R1051" s="38">
        <v>1</v>
      </c>
      <c r="S1051" s="38">
        <f>AVERAGEIF(L3:L1205,"&lt;2017/5/11",R3:R1205)</f>
        <v>1.2635135135135136</v>
      </c>
      <c r="T1051" s="38">
        <v>6</v>
      </c>
      <c r="U1051" s="38">
        <f>AVERAGEIF(L3:L1205,"&lt;2017/5/11",T3:T1205)</f>
        <v>10.486486486486486</v>
      </c>
      <c r="V1051" s="24">
        <v>154</v>
      </c>
      <c r="W1051" s="47" t="s">
        <v>4543</v>
      </c>
    </row>
    <row r="1052" spans="1:23">
      <c r="A1052" s="23">
        <v>2</v>
      </c>
      <c r="B1052" s="23">
        <v>6</v>
      </c>
      <c r="C1052" s="18">
        <v>4</v>
      </c>
      <c r="D1052" s="18">
        <v>6</v>
      </c>
      <c r="E1052" s="20">
        <v>268</v>
      </c>
      <c r="F1052" s="21">
        <f t="shared" si="49"/>
        <v>114.66013071895425</v>
      </c>
      <c r="G1052" s="22">
        <v>0.872964399201273</v>
      </c>
      <c r="H1052" s="18">
        <v>1</v>
      </c>
      <c r="I1052" s="18">
        <f t="shared" si="50"/>
        <v>0</v>
      </c>
      <c r="J1052" s="41">
        <v>42865</v>
      </c>
      <c r="K1052" s="36">
        <v>2017</v>
      </c>
      <c r="L1052" s="32">
        <f t="shared" si="48"/>
        <v>42867</v>
      </c>
      <c r="M1052" s="40">
        <v>1</v>
      </c>
      <c r="N1052" s="33">
        <v>87</v>
      </c>
      <c r="O1052" s="34">
        <f>AVERAGEIF(L3:L1205,"&lt;2017/5/10",N3:N1205)</f>
        <v>93.986301369863014</v>
      </c>
      <c r="P1052" s="38">
        <v>0</v>
      </c>
      <c r="Q1052" s="38">
        <f>AVERAGEIF(L3:L1205,"&lt;2017/5/10",P3:P1205)</f>
        <v>0.45205479452054792</v>
      </c>
      <c r="R1052" s="38">
        <v>1</v>
      </c>
      <c r="S1052" s="38">
        <f>AVERAGEIF(L3:L1205,"&lt;2017/5/10",R3:R1205)</f>
        <v>1.2602739726027397</v>
      </c>
      <c r="T1052" s="38">
        <v>2</v>
      </c>
      <c r="U1052" s="38">
        <f>AVERAGEIF(L3:L1205,"&lt;2017/5/10",T3:T1205)</f>
        <v>10.5</v>
      </c>
      <c r="V1052" s="24">
        <v>153</v>
      </c>
      <c r="W1052" s="47" t="s">
        <v>4785</v>
      </c>
    </row>
    <row r="1053" spans="1:23">
      <c r="A1053" s="23">
        <v>4</v>
      </c>
      <c r="B1053" s="23">
        <v>30</v>
      </c>
      <c r="C1053" s="18">
        <v>5</v>
      </c>
      <c r="D1053" s="18">
        <v>6</v>
      </c>
      <c r="E1053" s="20">
        <v>82</v>
      </c>
      <c r="F1053" s="21">
        <f t="shared" si="49"/>
        <v>114.875</v>
      </c>
      <c r="G1053" s="22">
        <v>0.58603761722008596</v>
      </c>
      <c r="H1053" s="18">
        <v>0</v>
      </c>
      <c r="I1053" s="18">
        <f t="shared" si="50"/>
        <v>1</v>
      </c>
      <c r="J1053" s="45">
        <v>42865</v>
      </c>
      <c r="K1053" s="36">
        <v>2017</v>
      </c>
      <c r="L1053" s="32">
        <f t="shared" si="48"/>
        <v>42878</v>
      </c>
      <c r="M1053" s="24">
        <v>0</v>
      </c>
      <c r="N1053" s="33">
        <v>30</v>
      </c>
      <c r="O1053" s="34">
        <f>AVERAGEIF(L3:L1205,"&lt;2017/5/10",N3:N1205)</f>
        <v>93.986301369863014</v>
      </c>
      <c r="P1053" s="38">
        <v>1</v>
      </c>
      <c r="Q1053" s="38">
        <f>AVERAGEIF(L3:L1205,"&lt;2017/5/10",P3:P1205)</f>
        <v>0.45205479452054792</v>
      </c>
      <c r="R1053" s="38">
        <v>2</v>
      </c>
      <c r="S1053" s="38">
        <f>AVERAGEIF(L3:L1205,"&lt;2017/5/10",R3:R1205)</f>
        <v>1.2602739726027397</v>
      </c>
      <c r="T1053" s="38">
        <v>13</v>
      </c>
      <c r="U1053" s="38">
        <f>AVERAGEIF(L3:L1205,"&lt;2017/5/10",T3:T1205)</f>
        <v>10.5</v>
      </c>
      <c r="V1053" s="24">
        <v>152</v>
      </c>
      <c r="W1053" s="47" t="s">
        <v>4659</v>
      </c>
    </row>
    <row r="1054" spans="1:23">
      <c r="A1054" s="23">
        <v>2</v>
      </c>
      <c r="B1054" s="23">
        <v>11</v>
      </c>
      <c r="C1054" s="18">
        <v>4</v>
      </c>
      <c r="D1054" s="18">
        <v>6</v>
      </c>
      <c r="E1054" s="20">
        <v>32</v>
      </c>
      <c r="F1054" s="21">
        <f t="shared" si="49"/>
        <v>115.42384105960265</v>
      </c>
      <c r="G1054" s="22">
        <v>0.33730340581991203</v>
      </c>
      <c r="H1054" s="18">
        <v>0</v>
      </c>
      <c r="I1054" s="18">
        <f t="shared" si="50"/>
        <v>1</v>
      </c>
      <c r="J1054" s="41">
        <v>42864</v>
      </c>
      <c r="K1054" s="36">
        <v>2017</v>
      </c>
      <c r="L1054" s="32">
        <f t="shared" si="48"/>
        <v>42893</v>
      </c>
      <c r="M1054" s="37">
        <v>1</v>
      </c>
      <c r="N1054" s="33">
        <v>36</v>
      </c>
      <c r="O1054" s="34">
        <f>AVERAGEIF(L3:L1205,"&lt;2017/5/9",N3:N1205)</f>
        <v>93.986301369863014</v>
      </c>
      <c r="P1054" s="40">
        <v>1</v>
      </c>
      <c r="Q1054" s="40">
        <f>AVERAGEIF(L3:L1205,"&lt;2017/5/9",P3:P1205)</f>
        <v>0.45205479452054792</v>
      </c>
      <c r="R1054" s="40">
        <v>2</v>
      </c>
      <c r="S1054" s="40">
        <f>AVERAGEIF(L3:L1205,"&lt;2017/5/9",R3:R1205)</f>
        <v>1.2602739726027397</v>
      </c>
      <c r="T1054" s="40">
        <v>29</v>
      </c>
      <c r="U1054" s="40">
        <f>AVERAGEIF(L3:L1205,"&lt;2017/5/9",T3:T1205)</f>
        <v>10.5</v>
      </c>
      <c r="V1054" s="24">
        <v>151</v>
      </c>
      <c r="W1054" s="47" t="s">
        <v>4529</v>
      </c>
    </row>
    <row r="1055" spans="1:23">
      <c r="A1055" s="23">
        <v>2</v>
      </c>
      <c r="B1055" s="23">
        <v>8</v>
      </c>
      <c r="C1055" s="18">
        <v>4</v>
      </c>
      <c r="D1055" s="18">
        <v>4</v>
      </c>
      <c r="E1055" s="20">
        <v>136</v>
      </c>
      <c r="F1055" s="21">
        <f t="shared" si="49"/>
        <v>115.28666666666666</v>
      </c>
      <c r="G1055" s="22">
        <v>0.38755811372593901</v>
      </c>
      <c r="H1055" s="18">
        <v>1</v>
      </c>
      <c r="I1055" s="18">
        <f t="shared" si="50"/>
        <v>0</v>
      </c>
      <c r="J1055" s="41">
        <v>42860</v>
      </c>
      <c r="K1055" s="36">
        <v>2017</v>
      </c>
      <c r="L1055" s="32">
        <f t="shared" si="48"/>
        <v>42870</v>
      </c>
      <c r="M1055" s="40">
        <v>0</v>
      </c>
      <c r="N1055" s="33">
        <v>36</v>
      </c>
      <c r="O1055" s="34">
        <f>AVERAGEIF(L3:L1205,"&lt;2017/5/5",N3:N1205)</f>
        <v>93.875862068965517</v>
      </c>
      <c r="P1055" s="38">
        <v>3</v>
      </c>
      <c r="Q1055" s="38">
        <f>AVERAGEIF(L3:L1205,"&lt;2017/5/5",P3:P1205)</f>
        <v>0.45517241379310347</v>
      </c>
      <c r="R1055" s="38">
        <v>1</v>
      </c>
      <c r="S1055" s="38">
        <f>AVERAGEIF(L3:L1205,"&lt;2017/5/5",R3:R1205)</f>
        <v>1.2551724137931035</v>
      </c>
      <c r="T1055" s="38">
        <v>10</v>
      </c>
      <c r="U1055" s="38">
        <f>AVERAGEIF(L3:L1205,"&lt;2017/5/5",T3:T1205)</f>
        <v>10.489655172413793</v>
      </c>
      <c r="V1055" s="24">
        <v>150</v>
      </c>
      <c r="W1055" s="47" t="s">
        <v>4634</v>
      </c>
    </row>
    <row r="1056" spans="1:23">
      <c r="A1056" s="23">
        <v>4</v>
      </c>
      <c r="B1056" s="23">
        <v>37</v>
      </c>
      <c r="C1056" s="18">
        <v>2</v>
      </c>
      <c r="D1056" s="18">
        <v>6</v>
      </c>
      <c r="E1056" s="20">
        <v>46</v>
      </c>
      <c r="F1056" s="21">
        <f t="shared" si="49"/>
        <v>115.75167785234899</v>
      </c>
      <c r="G1056" s="22">
        <v>0.41250125432847601</v>
      </c>
      <c r="H1056" s="18">
        <v>1</v>
      </c>
      <c r="I1056" s="18">
        <f t="shared" si="50"/>
        <v>0</v>
      </c>
      <c r="J1056" s="45">
        <v>42860</v>
      </c>
      <c r="K1056" s="36">
        <v>2017</v>
      </c>
      <c r="L1056" s="32">
        <f t="shared" si="48"/>
        <v>42870</v>
      </c>
      <c r="M1056" s="42">
        <v>1</v>
      </c>
      <c r="N1056" s="33">
        <v>189</v>
      </c>
      <c r="O1056" s="34">
        <f>AVERAGEIF(L3:L1205,"&lt;2017/5/5",N3:N1205)</f>
        <v>93.875862068965517</v>
      </c>
      <c r="P1056" s="38">
        <v>0</v>
      </c>
      <c r="Q1056" s="38">
        <f>AVERAGEIF(L3:L1205,"&lt;2017/5/5",P3:P1205)</f>
        <v>0.45517241379310347</v>
      </c>
      <c r="R1056" s="38">
        <v>2</v>
      </c>
      <c r="S1056" s="38">
        <f>AVERAGEIF(L3:L1205,"&lt;2017/5/5",R3:R1205)</f>
        <v>1.2551724137931035</v>
      </c>
      <c r="T1056" s="38">
        <v>10</v>
      </c>
      <c r="U1056" s="38">
        <f>AVERAGEIF(L3:L1205,"&lt;2017/5/5",T3:T1205)</f>
        <v>10.489655172413793</v>
      </c>
      <c r="V1056" s="24">
        <v>149</v>
      </c>
      <c r="W1056" s="47" t="s">
        <v>4870</v>
      </c>
    </row>
    <row r="1057" spans="1:23">
      <c r="A1057" s="23">
        <v>2</v>
      </c>
      <c r="B1057" s="23">
        <v>6</v>
      </c>
      <c r="C1057" s="18">
        <v>4</v>
      </c>
      <c r="D1057" s="18">
        <v>4</v>
      </c>
      <c r="E1057" s="20">
        <v>42</v>
      </c>
      <c r="F1057" s="21">
        <f t="shared" si="49"/>
        <v>116.25</v>
      </c>
      <c r="G1057" s="22">
        <v>0.58127907168505399</v>
      </c>
      <c r="H1057" s="18">
        <v>1</v>
      </c>
      <c r="I1057" s="18">
        <f t="shared" si="50"/>
        <v>0</v>
      </c>
      <c r="J1057" s="41">
        <v>42858</v>
      </c>
      <c r="K1057" s="36">
        <v>2017</v>
      </c>
      <c r="L1057" s="32">
        <f t="shared" si="48"/>
        <v>42866</v>
      </c>
      <c r="M1057" s="40">
        <v>1</v>
      </c>
      <c r="N1057" s="33">
        <v>58</v>
      </c>
      <c r="O1057" s="34">
        <f>AVERAGEIF(L3:L1205,"&lt;2017/5/3",N3:N1205)</f>
        <v>90.894366197183103</v>
      </c>
      <c r="P1057" s="38">
        <v>0</v>
      </c>
      <c r="Q1057" s="38">
        <f>AVERAGEIF(L3:L1205,"&lt;2017/5/3",P3:P1205)</f>
        <v>0.46478873239436619</v>
      </c>
      <c r="R1057" s="38">
        <v>1</v>
      </c>
      <c r="S1057" s="38">
        <f>AVERAGEIF(L3:L1205,"&lt;2017/5/3",R3:R1205)</f>
        <v>1.2605633802816902</v>
      </c>
      <c r="T1057" s="38">
        <v>8</v>
      </c>
      <c r="U1057" s="38">
        <f>AVERAGEIF(L3:L1205,"&lt;2017/5/3",T3:T1205)</f>
        <v>10.647887323943662</v>
      </c>
      <c r="V1057" s="24">
        <v>148</v>
      </c>
      <c r="W1057" s="47" t="s">
        <v>4618</v>
      </c>
    </row>
    <row r="1058" spans="1:23">
      <c r="A1058" s="23">
        <v>2</v>
      </c>
      <c r="B1058" s="23">
        <v>6</v>
      </c>
      <c r="C1058" s="18">
        <v>4</v>
      </c>
      <c r="D1058" s="18">
        <v>3</v>
      </c>
      <c r="E1058" s="20">
        <v>470</v>
      </c>
      <c r="F1058" s="21">
        <f t="shared" si="49"/>
        <v>113.84353741496598</v>
      </c>
      <c r="G1058" s="22">
        <v>0.41250000029196399</v>
      </c>
      <c r="H1058" s="18">
        <v>1</v>
      </c>
      <c r="I1058" s="18">
        <f t="shared" si="50"/>
        <v>0</v>
      </c>
      <c r="J1058" s="48">
        <v>42858</v>
      </c>
      <c r="K1058" s="36">
        <v>2017</v>
      </c>
      <c r="L1058" s="32">
        <f t="shared" si="48"/>
        <v>42865</v>
      </c>
      <c r="M1058" s="24">
        <v>0</v>
      </c>
      <c r="N1058" s="33">
        <v>113</v>
      </c>
      <c r="O1058" s="34">
        <f>AVERAGEIF(L3:L1205,"&lt;2017/5/3",N3:N1205)</f>
        <v>90.894366197183103</v>
      </c>
      <c r="P1058" s="38">
        <v>0</v>
      </c>
      <c r="Q1058" s="38">
        <f>AVERAGEIF(L3:L1205,"&lt;2017/5/3",P3:P1205)</f>
        <v>0.46478873239436619</v>
      </c>
      <c r="R1058" s="38">
        <v>2</v>
      </c>
      <c r="S1058" s="38">
        <f>AVERAGEIF(L3:L1205,"&lt;2017/5/3",R3:R1205)</f>
        <v>1.2605633802816902</v>
      </c>
      <c r="T1058" s="38">
        <v>7</v>
      </c>
      <c r="U1058" s="38">
        <f>AVERAGEIF(L3:L1205,"&lt;2017/5/3",T3:T1205)</f>
        <v>10.647887323943662</v>
      </c>
      <c r="V1058" s="24">
        <v>147</v>
      </c>
      <c r="W1058" s="47" t="s">
        <v>4634</v>
      </c>
    </row>
    <row r="1059" spans="1:23">
      <c r="A1059" s="23">
        <v>2</v>
      </c>
      <c r="B1059" s="23">
        <v>6</v>
      </c>
      <c r="C1059" s="18">
        <v>5</v>
      </c>
      <c r="D1059" s="18">
        <v>6</v>
      </c>
      <c r="E1059" s="20">
        <v>162</v>
      </c>
      <c r="F1059" s="21">
        <f t="shared" si="49"/>
        <v>113.51369863013699</v>
      </c>
      <c r="G1059" s="22">
        <v>0.34723870799899398</v>
      </c>
      <c r="H1059" s="18">
        <v>1</v>
      </c>
      <c r="I1059" s="18">
        <f t="shared" si="50"/>
        <v>0</v>
      </c>
      <c r="J1059" s="41">
        <v>42856</v>
      </c>
      <c r="K1059" s="36">
        <v>2017</v>
      </c>
      <c r="L1059" s="32">
        <f t="shared" si="48"/>
        <v>42859</v>
      </c>
      <c r="M1059" s="40">
        <v>1</v>
      </c>
      <c r="N1059" s="33">
        <v>272</v>
      </c>
      <c r="O1059" s="34">
        <f>AVERAGEIF(L3:L1205,"&lt;2017/5/1",N3:N1205)</f>
        <v>90.894366197183103</v>
      </c>
      <c r="P1059" s="38">
        <v>0</v>
      </c>
      <c r="Q1059" s="38">
        <f>AVERAGEIF(L3:L1205,"&lt;2017/5/1",P3:P1205)</f>
        <v>0.46478873239436619</v>
      </c>
      <c r="R1059" s="38">
        <v>1</v>
      </c>
      <c r="S1059" s="38">
        <f>AVERAGEIF(L3:L1205,"&lt;2017/5/1",R3:R1205)</f>
        <v>1.2605633802816902</v>
      </c>
      <c r="T1059" s="38">
        <v>3</v>
      </c>
      <c r="U1059" s="38">
        <f>AVERAGEIF(L3:L1205,"&lt;2017/5/1",T3:T1205)</f>
        <v>10.647887323943662</v>
      </c>
      <c r="V1059" s="24">
        <v>146</v>
      </c>
      <c r="W1059" s="47" t="s">
        <v>4563</v>
      </c>
    </row>
    <row r="1060" spans="1:23">
      <c r="A1060" s="23">
        <v>2</v>
      </c>
      <c r="B1060" s="23">
        <v>7</v>
      </c>
      <c r="C1060" s="18">
        <v>5</v>
      </c>
      <c r="D1060" s="18">
        <v>6</v>
      </c>
      <c r="E1060" s="20">
        <v>162</v>
      </c>
      <c r="F1060" s="21">
        <f t="shared" si="49"/>
        <v>113.17931034482758</v>
      </c>
      <c r="G1060" s="22">
        <v>0.34481275469003903</v>
      </c>
      <c r="H1060" s="18">
        <v>1</v>
      </c>
      <c r="I1060" s="18">
        <f t="shared" si="50"/>
        <v>0</v>
      </c>
      <c r="J1060" s="41">
        <v>42856</v>
      </c>
      <c r="K1060" s="36">
        <v>2017</v>
      </c>
      <c r="L1060" s="32">
        <f t="shared" si="48"/>
        <v>42859</v>
      </c>
      <c r="M1060" s="40">
        <v>0</v>
      </c>
      <c r="N1060" s="33">
        <v>271</v>
      </c>
      <c r="O1060" s="34">
        <f>AVERAGEIF(L3:L1205,"&lt;2017/5/1",N3:N1205)</f>
        <v>90.894366197183103</v>
      </c>
      <c r="P1060" s="38">
        <v>0</v>
      </c>
      <c r="Q1060" s="38">
        <f>AVERAGEIF(L3:L1205,"&lt;2017/5/1",P3:P1205)</f>
        <v>0.46478873239436619</v>
      </c>
      <c r="R1060" s="38">
        <v>1</v>
      </c>
      <c r="S1060" s="38">
        <f>AVERAGEIF(L3:L1205,"&lt;2017/5/1",R3:R1205)</f>
        <v>1.2605633802816902</v>
      </c>
      <c r="T1060" s="38">
        <v>3</v>
      </c>
      <c r="U1060" s="38">
        <f>AVERAGEIF(L3:L1205,"&lt;2017/5/1",T3:T1205)</f>
        <v>10.647887323943662</v>
      </c>
      <c r="V1060" s="24">
        <v>145</v>
      </c>
      <c r="W1060" s="47" t="s">
        <v>4563</v>
      </c>
    </row>
    <row r="1061" spans="1:23">
      <c r="A1061" s="23">
        <v>2</v>
      </c>
      <c r="B1061" s="23">
        <v>7</v>
      </c>
      <c r="C1061" s="18">
        <v>5</v>
      </c>
      <c r="D1061" s="18">
        <v>6</v>
      </c>
      <c r="E1061" s="20">
        <v>51</v>
      </c>
      <c r="F1061" s="21">
        <f t="shared" si="49"/>
        <v>113.61111111111111</v>
      </c>
      <c r="G1061" s="22">
        <v>0.31011727826852398</v>
      </c>
      <c r="H1061" s="18">
        <v>1</v>
      </c>
      <c r="I1061" s="18">
        <f t="shared" si="50"/>
        <v>0</v>
      </c>
      <c r="J1061" s="41">
        <v>42856</v>
      </c>
      <c r="K1061" s="36">
        <v>2017</v>
      </c>
      <c r="L1061" s="32">
        <f t="shared" si="48"/>
        <v>42859</v>
      </c>
      <c r="M1061" s="40">
        <v>1</v>
      </c>
      <c r="N1061" s="33">
        <v>162</v>
      </c>
      <c r="O1061" s="34">
        <f>AVERAGEIF(L3:L1205,"&lt;2017/5/1",N3:N1205)</f>
        <v>90.894366197183103</v>
      </c>
      <c r="P1061" s="38">
        <v>0</v>
      </c>
      <c r="Q1061" s="38">
        <f>AVERAGEIF(L3:L1205,"&lt;2017/5/1",P3:P1205)</f>
        <v>0.46478873239436619</v>
      </c>
      <c r="R1061" s="38">
        <v>1</v>
      </c>
      <c r="S1061" s="38">
        <f>AVERAGEIF(L3:L1205,"&lt;2017/5/1",R3:R1205)</f>
        <v>1.2605633802816902</v>
      </c>
      <c r="T1061" s="38">
        <v>3</v>
      </c>
      <c r="U1061" s="38">
        <f>AVERAGEIF(L3:L1205,"&lt;2017/5/1",T3:T1205)</f>
        <v>10.647887323943662</v>
      </c>
      <c r="V1061" s="24">
        <v>144</v>
      </c>
      <c r="W1061" s="47" t="s">
        <v>4563</v>
      </c>
    </row>
    <row r="1062" spans="1:23">
      <c r="A1062" s="23">
        <v>2</v>
      </c>
      <c r="B1062" s="23">
        <v>6</v>
      </c>
      <c r="C1062" s="18">
        <v>4</v>
      </c>
      <c r="D1062" s="18">
        <v>4</v>
      </c>
      <c r="E1062" s="20">
        <v>157</v>
      </c>
      <c r="F1062" s="21">
        <f t="shared" si="49"/>
        <v>113.30769230769231</v>
      </c>
      <c r="G1062" s="22">
        <v>0.34090950494896299</v>
      </c>
      <c r="H1062" s="18">
        <v>1</v>
      </c>
      <c r="I1062" s="18">
        <f t="shared" si="50"/>
        <v>0</v>
      </c>
      <c r="J1062" s="41">
        <v>42853</v>
      </c>
      <c r="K1062" s="36">
        <v>2017</v>
      </c>
      <c r="L1062" s="32">
        <f t="shared" si="48"/>
        <v>42865</v>
      </c>
      <c r="M1062" s="40">
        <v>0</v>
      </c>
      <c r="N1062" s="33">
        <v>58</v>
      </c>
      <c r="O1062" s="34">
        <f>AVERAGEIF(L3:L1205,"&lt;2017/4/28",N3:N1205)</f>
        <v>90.894366197183103</v>
      </c>
      <c r="P1062" s="40">
        <v>0</v>
      </c>
      <c r="Q1062" s="40">
        <f>AVERAGEIF(L3:L1205,"&lt;2017/4/28",P3:P1205)</f>
        <v>0.46478873239436619</v>
      </c>
      <c r="R1062" s="40">
        <v>1</v>
      </c>
      <c r="S1062" s="40">
        <f>AVERAGEIF(L3:L1205,"&lt;2017/4/28",R3:R1205)</f>
        <v>1.2605633802816902</v>
      </c>
      <c r="T1062" s="40">
        <v>12</v>
      </c>
      <c r="U1062" s="40">
        <f>AVERAGEIF(L3:L1205,"&lt;2017/4/28",T3:T1205)</f>
        <v>10.647887323943662</v>
      </c>
      <c r="V1062" s="24">
        <v>143</v>
      </c>
      <c r="W1062" s="47" t="s">
        <v>4926</v>
      </c>
    </row>
    <row r="1063" spans="1:23">
      <c r="A1063" s="23">
        <v>2</v>
      </c>
      <c r="B1063" s="23">
        <v>6</v>
      </c>
      <c r="C1063" s="18">
        <v>4</v>
      </c>
      <c r="D1063" s="18">
        <v>4</v>
      </c>
      <c r="E1063" s="20">
        <v>83</v>
      </c>
      <c r="F1063" s="21">
        <f t="shared" si="49"/>
        <v>113.52112676056338</v>
      </c>
      <c r="G1063" s="22">
        <v>0.37500000027493602</v>
      </c>
      <c r="H1063" s="18">
        <v>1</v>
      </c>
      <c r="I1063" s="18">
        <f t="shared" si="50"/>
        <v>0</v>
      </c>
      <c r="J1063" s="41">
        <v>42851</v>
      </c>
      <c r="K1063" s="36">
        <v>2017</v>
      </c>
      <c r="L1063" s="32">
        <f t="shared" si="48"/>
        <v>42863</v>
      </c>
      <c r="M1063" s="40">
        <v>0</v>
      </c>
      <c r="N1063" s="33">
        <v>110</v>
      </c>
      <c r="O1063" s="34">
        <f>AVERAGEIF(L3:L1205,"&lt;2017/4/26",N3:N1205)</f>
        <v>90.879432624113477</v>
      </c>
      <c r="P1063" s="38">
        <v>0</v>
      </c>
      <c r="Q1063" s="38">
        <f>AVERAGEIF(L3:L1205,"&lt;2017/4/26",P3:P1205)</f>
        <v>0.46099290780141844</v>
      </c>
      <c r="R1063" s="38">
        <v>2</v>
      </c>
      <c r="S1063" s="38">
        <f>AVERAGEIF(L3:L1205,"&lt;2017/4/26",R3:R1205)</f>
        <v>1.2624113475177305</v>
      </c>
      <c r="T1063" s="38">
        <v>12</v>
      </c>
      <c r="U1063" s="38">
        <f>AVERAGEIF(L3:L1205,"&lt;2017/4/26",T3:T1205)</f>
        <v>10.666666666666666</v>
      </c>
      <c r="V1063" s="24">
        <v>142</v>
      </c>
      <c r="W1063" s="47" t="s">
        <v>4542</v>
      </c>
    </row>
    <row r="1064" spans="1:23">
      <c r="A1064" s="23">
        <v>2</v>
      </c>
      <c r="B1064" s="23">
        <v>6</v>
      </c>
      <c r="C1064" s="18">
        <v>4</v>
      </c>
      <c r="D1064" s="18">
        <v>4</v>
      </c>
      <c r="E1064" s="20">
        <v>88</v>
      </c>
      <c r="F1064" s="21">
        <f t="shared" si="49"/>
        <v>113.70212765957447</v>
      </c>
      <c r="G1064" s="22">
        <v>0.46207868268248498</v>
      </c>
      <c r="H1064" s="18">
        <v>1</v>
      </c>
      <c r="I1064" s="18">
        <f t="shared" si="50"/>
        <v>0</v>
      </c>
      <c r="J1064" s="41">
        <v>42848</v>
      </c>
      <c r="K1064" s="36">
        <v>2017</v>
      </c>
      <c r="L1064" s="32">
        <f t="shared" si="48"/>
        <v>42850</v>
      </c>
      <c r="M1064" s="40">
        <v>0</v>
      </c>
      <c r="N1064" s="33">
        <v>102</v>
      </c>
      <c r="O1064" s="34">
        <f>AVERAGEIF(L3:L1205,"&lt;2017/4/23",N3:N1205)</f>
        <v>90.517985611510795</v>
      </c>
      <c r="P1064" s="38">
        <v>0</v>
      </c>
      <c r="Q1064" s="38">
        <f>AVERAGEIF(L3:L1205,"&lt;2017/4/23",P3:P1205)</f>
        <v>0.46762589928057552</v>
      </c>
      <c r="R1064" s="38">
        <v>1</v>
      </c>
      <c r="S1064" s="38">
        <f>AVERAGEIF(L3:L1205,"&lt;2017/4/23",R3:R1205)</f>
        <v>1.2661870503597121</v>
      </c>
      <c r="T1064" s="38">
        <v>2</v>
      </c>
      <c r="U1064" s="38">
        <f>AVERAGEIF(L3:L1205,"&lt;2017/4/23",T3:T1205)</f>
        <v>10.719424460431656</v>
      </c>
      <c r="V1064" s="24">
        <v>141</v>
      </c>
      <c r="W1064" s="47" t="s">
        <v>4630</v>
      </c>
    </row>
    <row r="1065" spans="1:23">
      <c r="A1065" s="23">
        <v>2</v>
      </c>
      <c r="B1065" s="23">
        <v>12</v>
      </c>
      <c r="C1065" s="18">
        <v>4</v>
      </c>
      <c r="D1065" s="18">
        <v>6</v>
      </c>
      <c r="E1065" s="20">
        <v>294</v>
      </c>
      <c r="F1065" s="21">
        <f t="shared" si="49"/>
        <v>112.41428571428571</v>
      </c>
      <c r="G1065" s="22">
        <v>0.99902945291885403</v>
      </c>
      <c r="H1065" s="18">
        <v>0</v>
      </c>
      <c r="I1065" s="18">
        <f t="shared" si="50"/>
        <v>1</v>
      </c>
      <c r="J1065" s="41">
        <v>42843</v>
      </c>
      <c r="K1065" s="36">
        <v>2017</v>
      </c>
      <c r="L1065" s="32">
        <f t="shared" si="48"/>
        <v>42851</v>
      </c>
      <c r="M1065" s="24">
        <v>0</v>
      </c>
      <c r="N1065" s="33">
        <v>93</v>
      </c>
      <c r="O1065" s="34">
        <f>AVERAGEIF(L3:L1205,"&lt;2017/4/18",N3:N1205)</f>
        <v>90.489051094890513</v>
      </c>
      <c r="P1065" s="38">
        <v>1</v>
      </c>
      <c r="Q1065" s="38">
        <f>AVERAGEIF(L3:L1205,"&lt;2017/4/18",P3:P1205)</f>
        <v>0.47445255474452552</v>
      </c>
      <c r="R1065" s="38">
        <v>1</v>
      </c>
      <c r="S1065" s="38">
        <f>AVERAGEIF(L3:L1205,"&lt;2017/4/18",R3:R1205)</f>
        <v>1.2700729927007299</v>
      </c>
      <c r="T1065" s="38">
        <v>8</v>
      </c>
      <c r="U1065" s="38">
        <f>AVERAGEIF(L3:L1205,"&lt;2017/4/18",T3:T1205)</f>
        <v>10.737226277372264</v>
      </c>
      <c r="V1065" s="24">
        <v>140</v>
      </c>
      <c r="W1065" s="47" t="s">
        <v>4716</v>
      </c>
    </row>
    <row r="1066" spans="1:23">
      <c r="A1066" s="23">
        <v>2</v>
      </c>
      <c r="B1066" s="23">
        <v>6</v>
      </c>
      <c r="C1066" s="18">
        <v>4</v>
      </c>
      <c r="D1066" s="18">
        <v>4</v>
      </c>
      <c r="E1066" s="20">
        <v>130</v>
      </c>
      <c r="F1066" s="21">
        <f t="shared" si="49"/>
        <v>112.28776978417267</v>
      </c>
      <c r="G1066" s="22">
        <v>0.645547940826522</v>
      </c>
      <c r="H1066" s="18">
        <v>1</v>
      </c>
      <c r="I1066" s="18">
        <f t="shared" si="50"/>
        <v>0</v>
      </c>
      <c r="J1066" s="41">
        <v>42839</v>
      </c>
      <c r="K1066" s="36">
        <v>2017</v>
      </c>
      <c r="L1066" s="32">
        <f t="shared" si="48"/>
        <v>42846</v>
      </c>
      <c r="M1066" s="40">
        <v>0</v>
      </c>
      <c r="N1066" s="33">
        <v>111</v>
      </c>
      <c r="O1066" s="34">
        <f>AVERAGEIF(L3:L1205,"&lt;2017/4/14",N3:N1205)</f>
        <v>90.489051094890513</v>
      </c>
      <c r="P1066" s="40">
        <v>0</v>
      </c>
      <c r="Q1066" s="40">
        <f>AVERAGEIF(L3:L1205,"&lt;2017/4/14",P3:P1205)</f>
        <v>0.47445255474452552</v>
      </c>
      <c r="R1066" s="40">
        <v>1</v>
      </c>
      <c r="S1066" s="40">
        <f>AVERAGEIF(L3:L1205,"&lt;2017/4/14",R3:R1205)</f>
        <v>1.2700729927007299</v>
      </c>
      <c r="T1066" s="40">
        <v>7</v>
      </c>
      <c r="U1066" s="40">
        <f>AVERAGEIF(L3:L1205,"&lt;2017/4/14",T3:T1205)</f>
        <v>10.737226277372264</v>
      </c>
      <c r="V1066" s="24">
        <v>139</v>
      </c>
      <c r="W1066" s="47" t="s">
        <v>4618</v>
      </c>
    </row>
    <row r="1067" spans="1:23">
      <c r="A1067" s="23">
        <v>2</v>
      </c>
      <c r="B1067" s="23">
        <v>5</v>
      </c>
      <c r="C1067" s="18">
        <v>4</v>
      </c>
      <c r="D1067" s="18">
        <v>4</v>
      </c>
      <c r="E1067" s="20">
        <v>51</v>
      </c>
      <c r="F1067" s="21">
        <f t="shared" si="49"/>
        <v>112.73188405797102</v>
      </c>
      <c r="G1067" s="22">
        <v>0.35948133823692202</v>
      </c>
      <c r="H1067" s="18">
        <v>1</v>
      </c>
      <c r="I1067" s="18">
        <f t="shared" si="50"/>
        <v>0</v>
      </c>
      <c r="J1067" s="41">
        <v>42837</v>
      </c>
      <c r="K1067" s="36">
        <v>2017</v>
      </c>
      <c r="L1067" s="32">
        <f t="shared" si="48"/>
        <v>42849</v>
      </c>
      <c r="M1067" s="40">
        <v>1</v>
      </c>
      <c r="N1067" s="33">
        <v>130</v>
      </c>
      <c r="O1067" s="34">
        <f>AVERAGEIF(L3:L1205,"&lt;2017/4/12",N3:N1205)</f>
        <v>90.639705882352942</v>
      </c>
      <c r="P1067" s="40">
        <v>0</v>
      </c>
      <c r="Q1067" s="40">
        <f>AVERAGEIF(L3:L1205,"&lt;2017/4/12",P3:P1205)</f>
        <v>0.47794117647058826</v>
      </c>
      <c r="R1067" s="40">
        <v>1</v>
      </c>
      <c r="S1067" s="40">
        <f>AVERAGEIF(L3:L1205,"&lt;2017/4/12",R3:R1205)</f>
        <v>1.2720588235294117</v>
      </c>
      <c r="T1067" s="40">
        <v>12</v>
      </c>
      <c r="U1067" s="40">
        <f>AVERAGEIF(L3:L1205,"&lt;2017/4/12",T3:T1205)</f>
        <v>10.801470588235293</v>
      </c>
      <c r="V1067" s="24">
        <v>138</v>
      </c>
      <c r="W1067" s="47" t="s">
        <v>4563</v>
      </c>
    </row>
    <row r="1068" spans="1:23">
      <c r="A1068" s="23">
        <v>2</v>
      </c>
      <c r="B1068" s="23">
        <v>6</v>
      </c>
      <c r="C1068" s="18">
        <v>5</v>
      </c>
      <c r="D1068" s="18">
        <v>6</v>
      </c>
      <c r="E1068" s="20">
        <v>26</v>
      </c>
      <c r="F1068" s="21">
        <f t="shared" si="49"/>
        <v>113.36496350364963</v>
      </c>
      <c r="G1068" s="22">
        <v>0.377158133968517</v>
      </c>
      <c r="H1068" s="18">
        <v>1</v>
      </c>
      <c r="I1068" s="18">
        <f t="shared" si="50"/>
        <v>0</v>
      </c>
      <c r="J1068" s="41">
        <v>42835</v>
      </c>
      <c r="K1068" s="36">
        <v>2017</v>
      </c>
      <c r="L1068" s="32">
        <f t="shared" si="48"/>
        <v>42837</v>
      </c>
      <c r="M1068" s="37">
        <v>0</v>
      </c>
      <c r="N1068" s="33">
        <v>70</v>
      </c>
      <c r="O1068" s="34">
        <f>AVERAGEIF(L3:L1205,"&lt;2017/4/10",N3:N1205)</f>
        <v>90.422222222222217</v>
      </c>
      <c r="P1068" s="38">
        <v>0</v>
      </c>
      <c r="Q1068" s="38">
        <f>AVERAGEIF(L3:L1205,"&lt;2017/4/10",P3:P1205)</f>
        <v>0.48148148148148145</v>
      </c>
      <c r="R1068" s="38">
        <v>1</v>
      </c>
      <c r="S1068" s="38">
        <f>AVERAGEIF(L3:L1205,"&lt;2017/4/10",R3:R1205)</f>
        <v>1.2740740740740741</v>
      </c>
      <c r="T1068" s="38">
        <v>2</v>
      </c>
      <c r="U1068" s="38">
        <f>AVERAGEIF(L3:L1205,"&lt;2017/4/10",T3:T1205)</f>
        <v>10.807407407407407</v>
      </c>
      <c r="V1068" s="24">
        <v>137</v>
      </c>
      <c r="W1068" s="47" t="s">
        <v>4563</v>
      </c>
    </row>
    <row r="1069" spans="1:23">
      <c r="A1069" s="23">
        <v>3</v>
      </c>
      <c r="B1069" s="23">
        <v>23</v>
      </c>
      <c r="C1069" s="18">
        <v>4</v>
      </c>
      <c r="D1069" s="18">
        <v>4</v>
      </c>
      <c r="E1069" s="20">
        <v>61</v>
      </c>
      <c r="F1069" s="21">
        <f t="shared" si="49"/>
        <v>113.75</v>
      </c>
      <c r="G1069" s="22">
        <v>0.41253779133929003</v>
      </c>
      <c r="H1069" s="3">
        <v>1</v>
      </c>
      <c r="I1069" s="18">
        <f t="shared" si="50"/>
        <v>0</v>
      </c>
      <c r="J1069" s="41">
        <v>42834</v>
      </c>
      <c r="K1069" s="36">
        <v>2017</v>
      </c>
      <c r="L1069" s="32">
        <f t="shared" si="48"/>
        <v>42846</v>
      </c>
      <c r="M1069" s="40">
        <v>0</v>
      </c>
      <c r="N1069" s="33">
        <v>74</v>
      </c>
      <c r="O1069" s="34">
        <f>AVERAGEIF(L3:L1205,"&lt;2017/4/9",N3:N1205)</f>
        <v>90.422222222222217</v>
      </c>
      <c r="P1069" s="38">
        <v>0</v>
      </c>
      <c r="Q1069" s="38">
        <f>AVERAGEIF(L3:L1205,"&lt;2017/4/9",P3:P1205)</f>
        <v>0.48148148148148145</v>
      </c>
      <c r="R1069" s="38">
        <v>1</v>
      </c>
      <c r="S1069" s="38">
        <f>AVERAGEIF(L3:L1205,"&lt;2017/4/9",R3:R1205)</f>
        <v>1.2740740740740741</v>
      </c>
      <c r="T1069" s="38">
        <v>12</v>
      </c>
      <c r="U1069" s="38">
        <f>AVERAGEIF(L3:L1205,"&lt;2017/4/9",T3:T1205)</f>
        <v>10.807407407407407</v>
      </c>
      <c r="V1069" s="24">
        <v>136</v>
      </c>
      <c r="W1069" s="47" t="s">
        <v>4550</v>
      </c>
    </row>
    <row r="1070" spans="1:23">
      <c r="A1070" s="23">
        <v>3</v>
      </c>
      <c r="B1070" s="23">
        <v>19</v>
      </c>
      <c r="C1070" s="18">
        <v>1</v>
      </c>
      <c r="D1070" s="18">
        <v>6</v>
      </c>
      <c r="E1070" s="20">
        <v>117</v>
      </c>
      <c r="F1070" s="21">
        <f t="shared" si="49"/>
        <v>113.72592592592592</v>
      </c>
      <c r="G1070" s="22">
        <v>0.83900908522704998</v>
      </c>
      <c r="H1070" s="3">
        <v>0</v>
      </c>
      <c r="I1070" s="18">
        <f t="shared" si="50"/>
        <v>1</v>
      </c>
      <c r="J1070" s="57">
        <v>42825</v>
      </c>
      <c r="K1070" s="36">
        <v>2017</v>
      </c>
      <c r="L1070" s="32">
        <f t="shared" si="48"/>
        <v>42835</v>
      </c>
      <c r="M1070" s="24">
        <v>1</v>
      </c>
      <c r="N1070" s="33">
        <v>120</v>
      </c>
      <c r="O1070" s="34">
        <f>AVERAGEIF(L3:L1205,"&lt;2017/3/31",N3:N1205)</f>
        <v>89.590909090909093</v>
      </c>
      <c r="P1070" s="38">
        <v>0</v>
      </c>
      <c r="Q1070" s="38">
        <f>AVERAGEIF(L3:L1205,"&lt;2017/3/31",P3:P1205)</f>
        <v>0.48484848484848486</v>
      </c>
      <c r="R1070" s="38">
        <v>1</v>
      </c>
      <c r="S1070" s="38">
        <f>AVERAGEIF(L3:L1205,"&lt;2017/3/31",R3:R1205)</f>
        <v>1.2803030303030303</v>
      </c>
      <c r="T1070" s="38">
        <v>10</v>
      </c>
      <c r="U1070" s="38">
        <f>AVERAGEIF(L3:L1205,"&lt;2017/3/31",T3:T1205)</f>
        <v>10.772727272727273</v>
      </c>
      <c r="V1070" s="24">
        <v>135</v>
      </c>
      <c r="W1070" s="47" t="s">
        <v>4529</v>
      </c>
    </row>
    <row r="1071" spans="1:23">
      <c r="A1071" s="23">
        <v>2</v>
      </c>
      <c r="B1071" s="23">
        <v>6</v>
      </c>
      <c r="C1071" s="18">
        <v>4</v>
      </c>
      <c r="D1071" s="18">
        <v>4</v>
      </c>
      <c r="E1071" s="20">
        <v>34</v>
      </c>
      <c r="F1071" s="21">
        <f t="shared" si="49"/>
        <v>114.32089552238806</v>
      </c>
      <c r="G1071" s="22">
        <v>0.59361912165089203</v>
      </c>
      <c r="H1071" s="18">
        <v>1</v>
      </c>
      <c r="I1071" s="18">
        <f t="shared" si="50"/>
        <v>0</v>
      </c>
      <c r="J1071" s="41">
        <v>42818</v>
      </c>
      <c r="K1071" s="36">
        <v>2017</v>
      </c>
      <c r="L1071" s="32">
        <f t="shared" si="48"/>
        <v>42831</v>
      </c>
      <c r="M1071" s="37">
        <v>0</v>
      </c>
      <c r="N1071" s="33">
        <v>58</v>
      </c>
      <c r="O1071" s="34">
        <f>AVERAGEIF(L3:L1205,"&lt;2017/3/24",N3:N1205)</f>
        <v>89.590909090909093</v>
      </c>
      <c r="P1071" s="40">
        <v>0</v>
      </c>
      <c r="Q1071" s="40">
        <f>AVERAGEIF(L3:L1205,"&lt;2017/3/24",P3:P1205)</f>
        <v>0.48484848484848486</v>
      </c>
      <c r="R1071" s="40">
        <v>1</v>
      </c>
      <c r="S1071" s="40">
        <f>AVERAGEIF(L3:L1205,"&lt;2017/3/24",R3:R1205)</f>
        <v>1.2803030303030303</v>
      </c>
      <c r="T1071" s="40">
        <v>13</v>
      </c>
      <c r="U1071" s="40">
        <f>AVERAGEIF(L3:L1205,"&lt;2017/3/24",T3:T1205)</f>
        <v>10.772727272727273</v>
      </c>
      <c r="V1071" s="24">
        <v>134</v>
      </c>
      <c r="W1071" s="47" t="s">
        <v>4542</v>
      </c>
    </row>
    <row r="1072" spans="1:23">
      <c r="A1072" s="23">
        <v>2</v>
      </c>
      <c r="B1072" s="23">
        <v>7</v>
      </c>
      <c r="C1072" s="18">
        <v>4</v>
      </c>
      <c r="D1072" s="18">
        <v>6</v>
      </c>
      <c r="E1072" s="20">
        <v>134</v>
      </c>
      <c r="F1072" s="21">
        <f t="shared" si="49"/>
        <v>114.17293233082707</v>
      </c>
      <c r="G1072" s="22">
        <v>0.37734957803311697</v>
      </c>
      <c r="H1072" s="18">
        <v>1</v>
      </c>
      <c r="I1072" s="18">
        <f t="shared" si="50"/>
        <v>0</v>
      </c>
      <c r="J1072" s="41">
        <v>42818</v>
      </c>
      <c r="K1072" s="36">
        <v>2017</v>
      </c>
      <c r="L1072" s="32">
        <f t="shared" si="48"/>
        <v>42832</v>
      </c>
      <c r="M1072" s="40">
        <v>1</v>
      </c>
      <c r="N1072" s="33">
        <v>82</v>
      </c>
      <c r="O1072" s="34">
        <f>AVERAGEIF(L3:L1205,"&lt;2017/3/24",N3:N1205)</f>
        <v>89.590909090909093</v>
      </c>
      <c r="P1072" s="38">
        <v>0</v>
      </c>
      <c r="Q1072" s="38">
        <f>AVERAGEIF(L3:L1205,"&lt;2017/3/24",P3:P1205)</f>
        <v>0.48484848484848486</v>
      </c>
      <c r="R1072" s="38">
        <v>1</v>
      </c>
      <c r="S1072" s="38">
        <f>AVERAGEIF(L3:L1205,"&lt;2017/3/24",R3:R1205)</f>
        <v>1.2803030303030303</v>
      </c>
      <c r="T1072" s="38">
        <v>14</v>
      </c>
      <c r="U1072" s="38">
        <f>AVERAGEIF(L3:L1205,"&lt;2017/3/24",T3:T1205)</f>
        <v>10.772727272727273</v>
      </c>
      <c r="V1072" s="24">
        <v>133</v>
      </c>
      <c r="W1072" s="47" t="s">
        <v>4550</v>
      </c>
    </row>
    <row r="1073" spans="1:23">
      <c r="A1073" s="23">
        <v>2</v>
      </c>
      <c r="B1073" s="23">
        <v>9</v>
      </c>
      <c r="C1073" s="18">
        <v>4</v>
      </c>
      <c r="D1073" s="18">
        <v>4</v>
      </c>
      <c r="E1073" s="20">
        <v>194</v>
      </c>
      <c r="F1073" s="21">
        <f t="shared" si="49"/>
        <v>113.56818181818181</v>
      </c>
      <c r="G1073" s="22">
        <v>0.87480325174339901</v>
      </c>
      <c r="H1073" s="18">
        <v>1</v>
      </c>
      <c r="I1073" s="18">
        <f t="shared" si="50"/>
        <v>0</v>
      </c>
      <c r="J1073" s="41">
        <v>42815</v>
      </c>
      <c r="K1073" s="36">
        <v>2017</v>
      </c>
      <c r="L1073" s="32">
        <f t="shared" si="48"/>
        <v>42825</v>
      </c>
      <c r="M1073" s="40">
        <v>0</v>
      </c>
      <c r="N1073" s="33">
        <v>241</v>
      </c>
      <c r="O1073" s="34">
        <f>AVERAGEIF(L3:L1205,"&lt;2017/3/21",N3:N1205)</f>
        <v>89.376923076923077</v>
      </c>
      <c r="P1073" s="38">
        <v>1</v>
      </c>
      <c r="Q1073" s="38">
        <f>AVERAGEIF(L3:L1205,"&lt;2017/3/21",P3:P1205)</f>
        <v>0.49230769230769234</v>
      </c>
      <c r="R1073" s="38">
        <v>1</v>
      </c>
      <c r="S1073" s="38">
        <f>AVERAGEIF(L3:L1205,"&lt;2017/3/21",R3:R1205)</f>
        <v>1.2769230769230768</v>
      </c>
      <c r="T1073" s="38">
        <v>10</v>
      </c>
      <c r="U1073" s="38">
        <f>AVERAGEIF(L3:L1205,"&lt;2017/3/21",T3:T1205)</f>
        <v>10.761538461538462</v>
      </c>
      <c r="V1073" s="24">
        <v>132</v>
      </c>
      <c r="W1073" s="47" t="s">
        <v>4542</v>
      </c>
    </row>
    <row r="1074" spans="1:23">
      <c r="A1074" s="23">
        <v>2</v>
      </c>
      <c r="B1074" s="23">
        <v>7</v>
      </c>
      <c r="C1074" s="18">
        <v>5</v>
      </c>
      <c r="D1074" s="18">
        <v>6</v>
      </c>
      <c r="E1074" s="20">
        <v>117</v>
      </c>
      <c r="F1074" s="21">
        <f t="shared" si="49"/>
        <v>113.54198473282443</v>
      </c>
      <c r="G1074" s="22">
        <v>0.375000414039872</v>
      </c>
      <c r="H1074" s="18">
        <v>1</v>
      </c>
      <c r="I1074" s="18">
        <f t="shared" si="50"/>
        <v>0</v>
      </c>
      <c r="J1074" s="52">
        <v>42814</v>
      </c>
      <c r="K1074" s="36">
        <v>2017</v>
      </c>
      <c r="L1074" s="32">
        <f t="shared" si="48"/>
        <v>42817</v>
      </c>
      <c r="M1074" s="40">
        <v>1</v>
      </c>
      <c r="N1074" s="33">
        <v>83</v>
      </c>
      <c r="O1074" s="34">
        <f>AVERAGEIF(L3:L1205,"&lt;2017/3/20",N3:N1205)</f>
        <v>89.109375</v>
      </c>
      <c r="P1074" s="38">
        <v>0</v>
      </c>
      <c r="Q1074" s="38">
        <f>AVERAGEIF(L3:L1205,"&lt;2017/3/20",P3:P1205)</f>
        <v>0.4921875</v>
      </c>
      <c r="R1074" s="38">
        <v>1</v>
      </c>
      <c r="S1074" s="38">
        <f>AVERAGEIF(L3:L1205,"&lt;2017/3/20",R3:R1205)</f>
        <v>1.28125</v>
      </c>
      <c r="T1074" s="38">
        <v>3</v>
      </c>
      <c r="U1074" s="38">
        <f>AVERAGEIF(L3:L1205,"&lt;2017/3/20",T3:T1205)</f>
        <v>10.7734375</v>
      </c>
      <c r="V1074" s="24">
        <v>131</v>
      </c>
      <c r="W1074" s="47" t="s">
        <v>4529</v>
      </c>
    </row>
    <row r="1075" spans="1:23">
      <c r="A1075" s="17">
        <v>1</v>
      </c>
      <c r="B1075" s="17">
        <v>3</v>
      </c>
      <c r="C1075" s="18">
        <v>4</v>
      </c>
      <c r="D1075" s="18">
        <v>6</v>
      </c>
      <c r="E1075" s="20">
        <v>286</v>
      </c>
      <c r="F1075" s="21">
        <f t="shared" si="49"/>
        <v>112.21538461538462</v>
      </c>
      <c r="G1075" s="22">
        <v>0.375317905873848</v>
      </c>
      <c r="H1075" s="18">
        <v>1</v>
      </c>
      <c r="I1075" s="18">
        <f t="shared" si="50"/>
        <v>0</v>
      </c>
      <c r="J1075" s="32">
        <v>42807</v>
      </c>
      <c r="K1075" s="36">
        <v>2017</v>
      </c>
      <c r="L1075" s="32">
        <f t="shared" si="48"/>
        <v>42814</v>
      </c>
      <c r="M1075" s="24">
        <v>1</v>
      </c>
      <c r="N1075" s="33">
        <v>106</v>
      </c>
      <c r="O1075" s="34">
        <f>AVERAGEIF(L3:L1205,"&lt;2017/3/13",N3:N1205)</f>
        <v>89.109375</v>
      </c>
      <c r="P1075" s="24">
        <v>0</v>
      </c>
      <c r="Q1075" s="24">
        <f>AVERAGEIF(L3:L1205,"&lt;2017/3/13",P3:P1205)</f>
        <v>0.4921875</v>
      </c>
      <c r="R1075" s="24">
        <v>1</v>
      </c>
      <c r="S1075" s="24">
        <f>AVERAGEIF(L3:L1205,"&lt;2017/3/13",R3:R1205)</f>
        <v>1.28125</v>
      </c>
      <c r="T1075" s="24">
        <v>7</v>
      </c>
      <c r="U1075" s="24">
        <f>AVERAGEIF(L3:L1205,"&lt;2017/3/13",T3:T1205)</f>
        <v>10.7734375</v>
      </c>
      <c r="V1075" s="24">
        <v>130</v>
      </c>
      <c r="W1075" s="47" t="s">
        <v>4652</v>
      </c>
    </row>
    <row r="1076" spans="1:23">
      <c r="A1076" s="23">
        <v>2</v>
      </c>
      <c r="B1076" s="23">
        <v>5</v>
      </c>
      <c r="C1076" s="18">
        <v>5</v>
      </c>
      <c r="D1076" s="18">
        <v>6</v>
      </c>
      <c r="E1076" s="20">
        <v>98</v>
      </c>
      <c r="F1076" s="21">
        <f t="shared" si="49"/>
        <v>112.32558139534883</v>
      </c>
      <c r="G1076" s="22">
        <v>0.299593397973139</v>
      </c>
      <c r="H1076" s="18">
        <v>1</v>
      </c>
      <c r="I1076" s="18">
        <f t="shared" si="50"/>
        <v>0</v>
      </c>
      <c r="J1076" s="41">
        <v>42801</v>
      </c>
      <c r="K1076" s="36">
        <v>2017</v>
      </c>
      <c r="L1076" s="32">
        <f t="shared" si="48"/>
        <v>42814</v>
      </c>
      <c r="M1076" s="24">
        <v>1</v>
      </c>
      <c r="N1076" s="33">
        <v>107</v>
      </c>
      <c r="O1076" s="34">
        <f>AVERAGEIF(L3:L1205,"&lt;2017/3/7",N3:N1205)</f>
        <v>88.864000000000004</v>
      </c>
      <c r="P1076" s="38">
        <v>1</v>
      </c>
      <c r="Q1076" s="38">
        <f>AVERAGEIF(L3:L1205,"&lt;2017/3/7",P3:P1205)</f>
        <v>0.504</v>
      </c>
      <c r="R1076" s="38">
        <v>1</v>
      </c>
      <c r="S1076" s="38">
        <f>AVERAGEIF(L3:L1205,"&lt;2017/3/7",R3:R1205)</f>
        <v>1.264</v>
      </c>
      <c r="T1076" s="38">
        <v>13</v>
      </c>
      <c r="U1076" s="38">
        <f>AVERAGEIF(L3:L1205,"&lt;2017/3/7",T3:T1205)</f>
        <v>10.688000000000001</v>
      </c>
      <c r="V1076" s="24">
        <v>129</v>
      </c>
      <c r="W1076" s="47" t="s">
        <v>4742</v>
      </c>
    </row>
    <row r="1077" spans="1:23">
      <c r="A1077" s="23">
        <v>2</v>
      </c>
      <c r="B1077" s="23">
        <v>6</v>
      </c>
      <c r="C1077" s="18">
        <v>5</v>
      </c>
      <c r="D1077" s="18">
        <v>6</v>
      </c>
      <c r="E1077" s="20">
        <v>12</v>
      </c>
      <c r="F1077" s="21">
        <f t="shared" si="49"/>
        <v>113.109375</v>
      </c>
      <c r="G1077" s="22">
        <v>0.30993569565819401</v>
      </c>
      <c r="H1077" s="18">
        <v>1</v>
      </c>
      <c r="I1077" s="18">
        <f t="shared" si="50"/>
        <v>0</v>
      </c>
      <c r="J1077" s="41">
        <v>42797</v>
      </c>
      <c r="K1077" s="36">
        <v>2017</v>
      </c>
      <c r="L1077" s="32">
        <f t="shared" si="48"/>
        <v>42803</v>
      </c>
      <c r="M1077" s="37">
        <v>0</v>
      </c>
      <c r="N1077" s="33">
        <v>89</v>
      </c>
      <c r="O1077" s="34">
        <f>AVERAGEIF(L3:L1205,"&lt;2017/3/3",N3:N1205)</f>
        <v>88.864000000000004</v>
      </c>
      <c r="P1077" s="38">
        <v>0</v>
      </c>
      <c r="Q1077" s="38">
        <f>AVERAGEIF(L3:L1205,"&lt;2017/3/3",P3:P1205)</f>
        <v>0.504</v>
      </c>
      <c r="R1077" s="38">
        <v>1</v>
      </c>
      <c r="S1077" s="38">
        <f>AVERAGEIF(L3:L1205,"&lt;2017/3/3",R3:R1205)</f>
        <v>1.264</v>
      </c>
      <c r="T1077" s="38">
        <v>6</v>
      </c>
      <c r="U1077" s="38">
        <f>AVERAGEIF(L3:L1205,"&lt;2017/3/3",T3:T1205)</f>
        <v>10.688000000000001</v>
      </c>
      <c r="V1077" s="24">
        <v>128</v>
      </c>
      <c r="W1077" s="47" t="e">
        <v>#N/A</v>
      </c>
    </row>
    <row r="1078" spans="1:23">
      <c r="A1078" s="23">
        <v>2</v>
      </c>
      <c r="B1078" s="23">
        <v>6</v>
      </c>
      <c r="C1078" s="18">
        <v>4</v>
      </c>
      <c r="D1078" s="18">
        <v>4</v>
      </c>
      <c r="E1078" s="20">
        <v>222</v>
      </c>
      <c r="F1078" s="21">
        <f t="shared" si="49"/>
        <v>112.25196850393701</v>
      </c>
      <c r="G1078" s="22">
        <v>0.86518261371182104</v>
      </c>
      <c r="H1078" s="18">
        <v>1</v>
      </c>
      <c r="I1078" s="18">
        <f t="shared" si="50"/>
        <v>0</v>
      </c>
      <c r="J1078" s="41">
        <v>42797</v>
      </c>
      <c r="K1078" s="36">
        <v>2017</v>
      </c>
      <c r="L1078" s="32">
        <f t="shared" si="48"/>
        <v>42817</v>
      </c>
      <c r="M1078" s="40">
        <v>0</v>
      </c>
      <c r="N1078" s="33">
        <v>124</v>
      </c>
      <c r="O1078" s="34">
        <f>AVERAGEIF(L3:L1205,"&lt;2017/3/3",N3:N1205)</f>
        <v>88.864000000000004</v>
      </c>
      <c r="P1078" s="38">
        <v>0</v>
      </c>
      <c r="Q1078" s="38">
        <f>AVERAGEIF(L3:L1205,"&lt;2017/3/3",P3:P1205)</f>
        <v>0.504</v>
      </c>
      <c r="R1078" s="38">
        <v>2</v>
      </c>
      <c r="S1078" s="38">
        <f>AVERAGEIF(L3:L1205,"&lt;2017/3/3",R3:R1205)</f>
        <v>1.264</v>
      </c>
      <c r="T1078" s="38">
        <v>20</v>
      </c>
      <c r="U1078" s="38">
        <f>AVERAGEIF(L3:L1205,"&lt;2017/3/3",T3:T1205)</f>
        <v>10.688000000000001</v>
      </c>
      <c r="V1078" s="24">
        <v>127</v>
      </c>
      <c r="W1078" s="47" t="s">
        <v>4926</v>
      </c>
    </row>
    <row r="1079" spans="1:23">
      <c r="A1079" s="23">
        <v>2</v>
      </c>
      <c r="B1079" s="23">
        <v>7</v>
      </c>
      <c r="C1079" s="18">
        <v>4</v>
      </c>
      <c r="D1079" s="18">
        <v>6</v>
      </c>
      <c r="E1079" s="20">
        <v>25</v>
      </c>
      <c r="F1079" s="21">
        <f t="shared" si="49"/>
        <v>112.94444444444444</v>
      </c>
      <c r="G1079" s="22">
        <v>0.85047475271722695</v>
      </c>
      <c r="H1079" s="18">
        <v>1</v>
      </c>
      <c r="I1079" s="18">
        <f t="shared" si="50"/>
        <v>0</v>
      </c>
      <c r="J1079" s="41">
        <v>42793</v>
      </c>
      <c r="K1079" s="36">
        <v>2017</v>
      </c>
      <c r="L1079" s="32">
        <f t="shared" si="48"/>
        <v>42804</v>
      </c>
      <c r="M1079" s="40">
        <v>1</v>
      </c>
      <c r="N1079" s="33">
        <v>142</v>
      </c>
      <c r="O1079" s="34">
        <f>AVERAGEIF(L3:L1205,"&lt;2017/2/27",N3:N1205)</f>
        <v>88.864000000000004</v>
      </c>
      <c r="P1079" s="40">
        <v>0</v>
      </c>
      <c r="Q1079" s="40">
        <f>AVERAGEIF(L3:L1205,"&lt;2017/2/27",P3:P1205)</f>
        <v>0.504</v>
      </c>
      <c r="R1079" s="40">
        <v>1</v>
      </c>
      <c r="S1079" s="40">
        <f>AVERAGEIF(L3:L1205,"&lt;2017/2/27",R3:R1205)</f>
        <v>1.264</v>
      </c>
      <c r="T1079" s="40">
        <v>11</v>
      </c>
      <c r="U1079" s="40">
        <f>AVERAGEIF(L3:L1205,"&lt;2017/2/27",T3:T1205)</f>
        <v>10.688000000000001</v>
      </c>
      <c r="V1079" s="24">
        <v>126</v>
      </c>
      <c r="W1079" s="47" t="s">
        <v>4529</v>
      </c>
    </row>
    <row r="1080" spans="1:23">
      <c r="A1080" s="23">
        <v>2</v>
      </c>
      <c r="B1080" s="23">
        <v>7</v>
      </c>
      <c r="C1080" s="18">
        <v>2</v>
      </c>
      <c r="D1080" s="18">
        <v>6</v>
      </c>
      <c r="E1080" s="20">
        <v>210</v>
      </c>
      <c r="F1080" s="21">
        <f t="shared" si="49"/>
        <v>112.16800000000001</v>
      </c>
      <c r="G1080" s="22">
        <v>0.41250193963291198</v>
      </c>
      <c r="H1080" s="18">
        <v>0</v>
      </c>
      <c r="I1080" s="18">
        <f t="shared" si="50"/>
        <v>1</v>
      </c>
      <c r="J1080" s="41">
        <v>42778</v>
      </c>
      <c r="K1080" s="36">
        <v>2017</v>
      </c>
      <c r="L1080" s="32">
        <f t="shared" si="48"/>
        <v>42804</v>
      </c>
      <c r="M1080" s="40">
        <v>1</v>
      </c>
      <c r="N1080" s="33">
        <v>67</v>
      </c>
      <c r="O1080" s="34">
        <f>AVERAGEIF(L3:L1205,"&lt;2017/2/12",N3:N1205)</f>
        <v>88.864000000000004</v>
      </c>
      <c r="P1080" s="40">
        <v>0</v>
      </c>
      <c r="Q1080" s="40">
        <f>AVERAGEIF(L3:L1205,"&lt;2017/2/12",P3:P1205)</f>
        <v>0.504</v>
      </c>
      <c r="R1080" s="40">
        <v>4</v>
      </c>
      <c r="S1080" s="40">
        <f>AVERAGEIF(L3:L1205,"&lt;2017/2/12",R3:R1205)</f>
        <v>1.264</v>
      </c>
      <c r="T1080" s="40">
        <v>26</v>
      </c>
      <c r="U1080" s="40">
        <f>AVERAGEIF(L3:L1205,"&lt;2017/2/12",T3:T1205)</f>
        <v>10.688000000000001</v>
      </c>
      <c r="V1080" s="24">
        <v>125</v>
      </c>
      <c r="W1080" s="47" t="s">
        <v>4529</v>
      </c>
    </row>
    <row r="1081" spans="1:23">
      <c r="A1081" s="23">
        <v>2</v>
      </c>
      <c r="B1081" s="23">
        <v>6</v>
      </c>
      <c r="C1081" s="18">
        <v>4</v>
      </c>
      <c r="D1081" s="18">
        <v>4</v>
      </c>
      <c r="E1081" s="20">
        <v>33</v>
      </c>
      <c r="F1081" s="21">
        <f t="shared" si="49"/>
        <v>112.80645161290323</v>
      </c>
      <c r="G1081" s="22">
        <v>0.86518261371182104</v>
      </c>
      <c r="H1081" s="18">
        <v>1</v>
      </c>
      <c r="I1081" s="18">
        <f t="shared" si="50"/>
        <v>0</v>
      </c>
      <c r="J1081" s="41">
        <v>42757</v>
      </c>
      <c r="K1081" s="36">
        <v>2017</v>
      </c>
      <c r="L1081" s="32">
        <f t="shared" si="48"/>
        <v>42773</v>
      </c>
      <c r="M1081" s="37">
        <v>0</v>
      </c>
      <c r="N1081" s="33">
        <v>82</v>
      </c>
      <c r="O1081" s="34">
        <f>AVERAGEIF(L3:L1205,"&lt;2017/1/22",N3:N1205)</f>
        <v>87.516393442622956</v>
      </c>
      <c r="P1081" s="38">
        <v>0</v>
      </c>
      <c r="Q1081" s="38">
        <f>AVERAGEIF(L3:L1205,"&lt;2017/1/22",P3:P1205)</f>
        <v>0.47540983606557374</v>
      </c>
      <c r="R1081" s="38">
        <v>1</v>
      </c>
      <c r="S1081" s="38">
        <f>AVERAGEIF(L3:L1205,"&lt;2017/1/22",R3:R1205)</f>
        <v>1.2540983606557377</v>
      </c>
      <c r="T1081" s="38">
        <v>16</v>
      </c>
      <c r="U1081" s="38">
        <f>AVERAGEIF(L3:L1205,"&lt;2017/1/22",T3:T1205)</f>
        <v>10.483606557377049</v>
      </c>
      <c r="V1081" s="24">
        <v>124</v>
      </c>
      <c r="W1081" s="47" t="s">
        <v>4542</v>
      </c>
    </row>
    <row r="1082" spans="1:23">
      <c r="A1082" s="23">
        <v>3</v>
      </c>
      <c r="B1082" s="23">
        <v>24</v>
      </c>
      <c r="C1082" s="18">
        <v>4</v>
      </c>
      <c r="D1082" s="18">
        <v>6</v>
      </c>
      <c r="E1082" s="20">
        <v>92</v>
      </c>
      <c r="F1082" s="21">
        <f t="shared" si="49"/>
        <v>112.97560975609755</v>
      </c>
      <c r="G1082" s="22">
        <v>0.85339638703592602</v>
      </c>
      <c r="H1082" s="3">
        <v>1</v>
      </c>
      <c r="I1082" s="18">
        <f t="shared" si="50"/>
        <v>0</v>
      </c>
      <c r="J1082" s="41">
        <v>42746</v>
      </c>
      <c r="K1082" s="36">
        <v>2017</v>
      </c>
      <c r="L1082" s="32">
        <f t="shared" si="48"/>
        <v>42772</v>
      </c>
      <c r="M1082" s="40">
        <v>0</v>
      </c>
      <c r="N1082" s="33">
        <v>122</v>
      </c>
      <c r="O1082" s="34">
        <f>AVERAGEIF(L3:L1205,"&lt;2017/1/11",N3:N1205)</f>
        <v>87.949152542372886</v>
      </c>
      <c r="P1082" s="38">
        <v>5</v>
      </c>
      <c r="Q1082" s="38">
        <f>AVERAGEIF(L3:L1205,"&lt;2017/1/11",P3:P1205)</f>
        <v>0.4576271186440678</v>
      </c>
      <c r="R1082" s="38">
        <v>3</v>
      </c>
      <c r="S1082" s="38">
        <f>AVERAGEIF(L3:L1205,"&lt;2017/1/11",R3:R1205)</f>
        <v>1.2457627118644068</v>
      </c>
      <c r="T1082" s="38">
        <v>26</v>
      </c>
      <c r="U1082" s="38">
        <f>AVERAGEIF(L3:L1205,"&lt;2017/1/11",T3:T1205)</f>
        <v>10.228813559322035</v>
      </c>
      <c r="V1082" s="24">
        <v>123</v>
      </c>
      <c r="W1082" s="47" t="s">
        <v>4529</v>
      </c>
    </row>
    <row r="1083" spans="1:23">
      <c r="A1083" s="23">
        <v>2</v>
      </c>
      <c r="B1083" s="23">
        <v>7</v>
      </c>
      <c r="C1083" s="18">
        <v>4</v>
      </c>
      <c r="D1083" s="18">
        <v>6</v>
      </c>
      <c r="E1083" s="20">
        <v>145</v>
      </c>
      <c r="F1083" s="21">
        <f t="shared" si="49"/>
        <v>112.71311475409836</v>
      </c>
      <c r="G1083" s="22">
        <v>0.41355260993725301</v>
      </c>
      <c r="H1083" s="18">
        <v>1</v>
      </c>
      <c r="I1083" s="18">
        <f t="shared" si="50"/>
        <v>0</v>
      </c>
      <c r="J1083" s="41">
        <v>42743</v>
      </c>
      <c r="K1083" s="36">
        <v>2017</v>
      </c>
      <c r="L1083" s="32">
        <f t="shared" si="48"/>
        <v>42758</v>
      </c>
      <c r="M1083" s="40">
        <v>0</v>
      </c>
      <c r="N1083" s="33">
        <v>227</v>
      </c>
      <c r="O1083" s="34">
        <f>AVERAGEIF(L3:L1205,"&lt;2017/1/8",N3:N1205)</f>
        <v>87.949152542372886</v>
      </c>
      <c r="P1083" s="38">
        <v>0</v>
      </c>
      <c r="Q1083" s="38">
        <f>AVERAGEIF(L3:L1205,"&lt;2017/1/8",P3:P1205)</f>
        <v>0.4576271186440678</v>
      </c>
      <c r="R1083" s="38">
        <v>1</v>
      </c>
      <c r="S1083" s="38">
        <f>AVERAGEIF(L3:L1205,"&lt;2017/1/8",R3:R1205)</f>
        <v>1.2457627118644068</v>
      </c>
      <c r="T1083" s="38">
        <v>15</v>
      </c>
      <c r="U1083" s="38">
        <f>AVERAGEIF(L3:L1205,"&lt;2017/1/8",T3:T1205)</f>
        <v>10.228813559322035</v>
      </c>
      <c r="V1083" s="24">
        <v>122</v>
      </c>
      <c r="W1083" s="47" t="s">
        <v>4558</v>
      </c>
    </row>
    <row r="1084" spans="1:23">
      <c r="A1084" s="23">
        <v>2</v>
      </c>
      <c r="B1084" s="23">
        <v>5</v>
      </c>
      <c r="C1084" s="18">
        <v>4</v>
      </c>
      <c r="D1084" s="18">
        <v>4</v>
      </c>
      <c r="E1084" s="20">
        <v>56</v>
      </c>
      <c r="F1084" s="21">
        <f t="shared" si="49"/>
        <v>113.18181818181819</v>
      </c>
      <c r="G1084" s="22">
        <v>0.65147944272477099</v>
      </c>
      <c r="H1084" s="18">
        <v>1</v>
      </c>
      <c r="I1084" s="18">
        <f t="shared" si="50"/>
        <v>0</v>
      </c>
      <c r="J1084" s="41">
        <v>42735</v>
      </c>
      <c r="K1084" s="8">
        <v>2016</v>
      </c>
      <c r="L1084" s="32">
        <f t="shared" si="48"/>
        <v>42751</v>
      </c>
      <c r="M1084" s="40">
        <v>1</v>
      </c>
      <c r="N1084" s="33">
        <v>24</v>
      </c>
      <c r="O1084" s="34">
        <f>AVERAGEIF(L3:L1205,"&lt;2016/12/31",N3:N1205)</f>
        <v>88.591304347826082</v>
      </c>
      <c r="P1084" s="40">
        <v>1</v>
      </c>
      <c r="Q1084" s="40">
        <f>AVERAGEIF(L3:L1205,"&lt;2016/12/31",P3:P1205)</f>
        <v>0.46086956521739131</v>
      </c>
      <c r="R1084" s="40">
        <v>1</v>
      </c>
      <c r="S1084" s="40">
        <f>AVERAGEIF(L3:L1205,"&lt;2016/12/31",R3:R1205)</f>
        <v>1.2521739130434784</v>
      </c>
      <c r="T1084" s="40">
        <v>16</v>
      </c>
      <c r="U1084" s="40">
        <f>AVERAGEIF(L3:L1205,"&lt;2016/12/31",T3:T1205)</f>
        <v>10.234782608695653</v>
      </c>
      <c r="V1084" s="24">
        <v>121</v>
      </c>
      <c r="W1084" s="47" t="s">
        <v>4564</v>
      </c>
    </row>
    <row r="1085" spans="1:23">
      <c r="A1085" s="17">
        <v>1</v>
      </c>
      <c r="B1085" s="17">
        <v>2</v>
      </c>
      <c r="C1085" s="18">
        <v>4</v>
      </c>
      <c r="D1085" s="18">
        <v>6</v>
      </c>
      <c r="E1085" s="20">
        <v>70</v>
      </c>
      <c r="F1085" s="21">
        <f t="shared" si="49"/>
        <v>113.54166666666667</v>
      </c>
      <c r="G1085" s="22">
        <v>0.74524766730518999</v>
      </c>
      <c r="H1085" s="18">
        <v>1</v>
      </c>
      <c r="I1085" s="18">
        <f t="shared" si="50"/>
        <v>0</v>
      </c>
      <c r="J1085" s="41">
        <v>42734</v>
      </c>
      <c r="K1085" s="8">
        <v>2016</v>
      </c>
      <c r="L1085" s="32">
        <f t="shared" si="48"/>
        <v>42746</v>
      </c>
      <c r="M1085" s="40">
        <v>1</v>
      </c>
      <c r="N1085" s="33">
        <v>40</v>
      </c>
      <c r="O1085" s="34">
        <f>AVERAGEIF(L3:L1205,"&lt;2016/12/30",N3:N1205)</f>
        <v>88.591304347826082</v>
      </c>
      <c r="P1085" s="24">
        <v>1</v>
      </c>
      <c r="Q1085" s="24">
        <f>AVERAGEIF(L3:L1205,"&lt;2016/12/30",P3:P1205)</f>
        <v>0.46086956521739131</v>
      </c>
      <c r="R1085" s="24">
        <v>1</v>
      </c>
      <c r="S1085" s="24">
        <f>AVERAGEIF(L3:L1205,"&lt;2016/12/30",R3:R1205)</f>
        <v>1.2521739130434784</v>
      </c>
      <c r="T1085" s="24">
        <v>12</v>
      </c>
      <c r="U1085" s="24">
        <f>AVERAGEIF(L3:L1205,"&lt;2016/12/30",T3:T1205)</f>
        <v>10.234782608695653</v>
      </c>
      <c r="V1085" s="24">
        <v>120</v>
      </c>
      <c r="W1085" s="47" t="s">
        <v>4618</v>
      </c>
    </row>
    <row r="1086" spans="1:23">
      <c r="A1086" s="23">
        <v>2</v>
      </c>
      <c r="B1086" s="23">
        <v>4</v>
      </c>
      <c r="C1086" s="18">
        <v>5</v>
      </c>
      <c r="D1086" s="18">
        <v>6</v>
      </c>
      <c r="E1086" s="20">
        <v>30</v>
      </c>
      <c r="F1086" s="21">
        <f t="shared" si="49"/>
        <v>114.24369747899159</v>
      </c>
      <c r="G1086" s="22">
        <v>0.34138867397608802</v>
      </c>
      <c r="H1086" s="18">
        <v>0</v>
      </c>
      <c r="I1086" s="18">
        <f t="shared" si="50"/>
        <v>1</v>
      </c>
      <c r="J1086" s="41">
        <v>42734</v>
      </c>
      <c r="K1086" s="8">
        <v>2016</v>
      </c>
      <c r="L1086" s="32">
        <f t="shared" si="48"/>
        <v>42741</v>
      </c>
      <c r="M1086" s="24">
        <v>1</v>
      </c>
      <c r="N1086" s="33">
        <v>93</v>
      </c>
      <c r="O1086" s="34">
        <f>AVERAGEIF(L3:L1205,"&lt;2016/12/30",N3:N1205)</f>
        <v>88.591304347826082</v>
      </c>
      <c r="P1086" s="38">
        <v>1</v>
      </c>
      <c r="Q1086" s="38">
        <f>AVERAGEIF(L3:L1205,"&lt;2016/12/30",P3:P1205)</f>
        <v>0.46086956521739131</v>
      </c>
      <c r="R1086" s="38">
        <v>1</v>
      </c>
      <c r="S1086" s="38">
        <f>AVERAGEIF(L3:L1205,"&lt;2016/12/30",R3:R1205)</f>
        <v>1.2521739130434784</v>
      </c>
      <c r="T1086" s="38">
        <v>7</v>
      </c>
      <c r="U1086" s="38">
        <f>AVERAGEIF(L3:L1205,"&lt;2016/12/30",T3:T1205)</f>
        <v>10.234782608695653</v>
      </c>
      <c r="V1086" s="24">
        <v>119</v>
      </c>
      <c r="W1086" s="47" t="s">
        <v>4563</v>
      </c>
    </row>
    <row r="1087" spans="1:23">
      <c r="A1087" s="23">
        <v>3</v>
      </c>
      <c r="B1087" s="23">
        <v>24</v>
      </c>
      <c r="C1087" s="18">
        <v>4</v>
      </c>
      <c r="D1087" s="18">
        <v>6</v>
      </c>
      <c r="E1087" s="20">
        <v>111</v>
      </c>
      <c r="F1087" s="21">
        <f t="shared" si="49"/>
        <v>114.27118644067797</v>
      </c>
      <c r="G1087" s="22">
        <v>0.42375053567500898</v>
      </c>
      <c r="H1087" s="3">
        <v>1</v>
      </c>
      <c r="I1087" s="18">
        <f t="shared" si="50"/>
        <v>0</v>
      </c>
      <c r="J1087" s="41">
        <v>42731</v>
      </c>
      <c r="K1087" s="8">
        <v>2016</v>
      </c>
      <c r="L1087" s="32">
        <f t="shared" si="48"/>
        <v>42748</v>
      </c>
      <c r="M1087" s="40">
        <v>0</v>
      </c>
      <c r="N1087" s="33">
        <v>154</v>
      </c>
      <c r="O1087" s="34">
        <f>AVERAGEIF(L3:L1205,"&lt;2016/12/27",N3:N1205)</f>
        <v>88.763157894736835</v>
      </c>
      <c r="P1087" s="38">
        <v>1</v>
      </c>
      <c r="Q1087" s="38">
        <f>AVERAGEIF(L3:L1205,"&lt;2016/12/27",P3:P1205)</f>
        <v>0.46491228070175439</v>
      </c>
      <c r="R1087" s="38">
        <v>2</v>
      </c>
      <c r="S1087" s="38">
        <f>AVERAGEIF(L3:L1205,"&lt;2016/12/27",R3:R1205)</f>
        <v>1.2543859649122806</v>
      </c>
      <c r="T1087" s="38">
        <v>17</v>
      </c>
      <c r="U1087" s="38">
        <f>AVERAGEIF(L3:L1205,"&lt;2016/12/27",T3:T1205)</f>
        <v>10.245614035087719</v>
      </c>
      <c r="V1087" s="24">
        <v>118</v>
      </c>
      <c r="W1087" s="47" t="s">
        <v>4521</v>
      </c>
    </row>
    <row r="1088" spans="1:23">
      <c r="A1088" s="23">
        <v>4</v>
      </c>
      <c r="B1088" s="23">
        <v>35</v>
      </c>
      <c r="C1088" s="18">
        <v>4</v>
      </c>
      <c r="D1088" s="18">
        <v>4</v>
      </c>
      <c r="E1088" s="20">
        <v>122</v>
      </c>
      <c r="F1088" s="21">
        <f t="shared" si="49"/>
        <v>114.2051282051282</v>
      </c>
      <c r="G1088" s="22">
        <v>0.87499991423363799</v>
      </c>
      <c r="H1088" s="18">
        <v>1</v>
      </c>
      <c r="I1088" s="18">
        <f t="shared" si="50"/>
        <v>0</v>
      </c>
      <c r="J1088" s="45">
        <v>42729</v>
      </c>
      <c r="K1088" s="8">
        <v>2016</v>
      </c>
      <c r="L1088" s="32">
        <f t="shared" si="48"/>
        <v>42738</v>
      </c>
      <c r="M1088" s="42">
        <v>1</v>
      </c>
      <c r="N1088" s="33">
        <v>64</v>
      </c>
      <c r="O1088" s="34">
        <f>AVERAGEIF(L3:L1205,"&lt;2016/12/25",N3:N1205)</f>
        <v>88.763157894736835</v>
      </c>
      <c r="P1088" s="38">
        <v>0</v>
      </c>
      <c r="Q1088" s="38">
        <f>AVERAGEIF(L3:L1205,"&lt;2016/12/25",P3:P1205)</f>
        <v>0.46491228070175439</v>
      </c>
      <c r="R1088" s="38">
        <v>1</v>
      </c>
      <c r="S1088" s="38">
        <f>AVERAGEIF(L3:L1205,"&lt;2016/12/25",R3:R1205)</f>
        <v>1.2543859649122806</v>
      </c>
      <c r="T1088" s="38">
        <v>9</v>
      </c>
      <c r="U1088" s="38">
        <f>AVERAGEIF(L3:L1205,"&lt;2016/12/25",T3:T1205)</f>
        <v>10.245614035087719</v>
      </c>
      <c r="V1088" s="24">
        <v>117</v>
      </c>
      <c r="W1088" s="47" t="s">
        <v>4618</v>
      </c>
    </row>
    <row r="1089" spans="1:23">
      <c r="A1089" s="17">
        <v>1</v>
      </c>
      <c r="B1089" s="17">
        <v>3</v>
      </c>
      <c r="C1089" s="18">
        <v>4</v>
      </c>
      <c r="D1089" s="18">
        <v>4</v>
      </c>
      <c r="E1089" s="20">
        <v>90</v>
      </c>
      <c r="F1089" s="21">
        <f t="shared" si="49"/>
        <v>114.41379310344827</v>
      </c>
      <c r="G1089" s="22">
        <v>0.41270396990254898</v>
      </c>
      <c r="H1089" s="18">
        <v>1</v>
      </c>
      <c r="I1089" s="18">
        <f t="shared" si="50"/>
        <v>0</v>
      </c>
      <c r="J1089" s="32">
        <v>42726</v>
      </c>
      <c r="K1089" s="8">
        <v>2016</v>
      </c>
      <c r="L1089" s="32">
        <f t="shared" si="48"/>
        <v>42740</v>
      </c>
      <c r="M1089" s="24">
        <v>1</v>
      </c>
      <c r="N1089" s="33">
        <v>33</v>
      </c>
      <c r="O1089" s="34">
        <f>AVERAGEIF(L3:L1205,"&lt;2016/12/22",N3:N1205)</f>
        <v>88.938053097345133</v>
      </c>
      <c r="P1089" s="24">
        <v>0</v>
      </c>
      <c r="Q1089" s="24">
        <f>AVERAGEIF(L3:L1205,"&lt;2016/12/22",P3:P1205)</f>
        <v>0.46902654867256638</v>
      </c>
      <c r="R1089" s="24">
        <v>1</v>
      </c>
      <c r="S1089" s="24">
        <f>AVERAGEIF(L3:L1205,"&lt;2016/12/22",R3:R1205)</f>
        <v>1.2566371681415929</v>
      </c>
      <c r="T1089" s="24">
        <v>14</v>
      </c>
      <c r="U1089" s="24">
        <f>AVERAGEIF(L3:L1205,"&lt;2016/12/22",T3:T1205)</f>
        <v>10.238938053097344</v>
      </c>
      <c r="V1089" s="24">
        <v>116</v>
      </c>
      <c r="W1089" s="47" t="s">
        <v>4618</v>
      </c>
    </row>
    <row r="1090" spans="1:23">
      <c r="A1090" s="23">
        <v>2</v>
      </c>
      <c r="B1090" s="23">
        <v>6</v>
      </c>
      <c r="C1090" s="18">
        <v>5</v>
      </c>
      <c r="D1090" s="18">
        <v>4</v>
      </c>
      <c r="E1090" s="20">
        <v>108</v>
      </c>
      <c r="F1090" s="21">
        <f t="shared" si="49"/>
        <v>114.46956521739131</v>
      </c>
      <c r="G1090" s="22">
        <v>0.26803557273114997</v>
      </c>
      <c r="H1090" s="18">
        <v>1</v>
      </c>
      <c r="I1090" s="18">
        <f t="shared" si="50"/>
        <v>0</v>
      </c>
      <c r="J1090" s="41">
        <v>42723</v>
      </c>
      <c r="K1090" s="8">
        <v>2016</v>
      </c>
      <c r="L1090" s="32">
        <f t="shared" si="48"/>
        <v>42724</v>
      </c>
      <c r="M1090" s="40">
        <v>1</v>
      </c>
      <c r="N1090" s="33">
        <v>138</v>
      </c>
      <c r="O1090" s="34">
        <f>AVERAGEIF(L3:L1205,"&lt;2016/12/19",N3:N1205)</f>
        <v>88.5</v>
      </c>
      <c r="P1090" s="38">
        <v>0</v>
      </c>
      <c r="Q1090" s="38">
        <f>AVERAGEIF(L3:L1205,"&lt;2016/12/19",P3:P1205)</f>
        <v>0.4732142857142857</v>
      </c>
      <c r="R1090" s="38">
        <v>1</v>
      </c>
      <c r="S1090" s="38">
        <f>AVERAGEIF(L3:L1205,"&lt;2016/12/19",R3:R1205)</f>
        <v>1.2589285714285714</v>
      </c>
      <c r="T1090" s="38">
        <v>1</v>
      </c>
      <c r="U1090" s="38">
        <f>AVERAGEIF(L3:L1205,"&lt;2016/12/19",T3:T1205)</f>
        <v>10.321428571428571</v>
      </c>
      <c r="V1090" s="24">
        <v>115</v>
      </c>
      <c r="W1090" s="47" t="s">
        <v>4742</v>
      </c>
    </row>
    <row r="1091" spans="1:23">
      <c r="A1091" s="23">
        <v>2</v>
      </c>
      <c r="B1091" s="23">
        <v>6</v>
      </c>
      <c r="C1091" s="18">
        <v>4</v>
      </c>
      <c r="D1091" s="18">
        <v>4</v>
      </c>
      <c r="E1091" s="20">
        <v>192</v>
      </c>
      <c r="F1091" s="21">
        <f t="shared" si="49"/>
        <v>113.78947368421052</v>
      </c>
      <c r="G1091" s="22">
        <v>0.30996298217083701</v>
      </c>
      <c r="H1091" s="18">
        <v>1</v>
      </c>
      <c r="I1091" s="18">
        <f t="shared" si="50"/>
        <v>0</v>
      </c>
      <c r="J1091" s="41">
        <v>42723</v>
      </c>
      <c r="K1091" s="8">
        <v>2016</v>
      </c>
      <c r="L1091" s="32">
        <f t="shared" ref="L1091:L1154" si="51">J1091+T1091</f>
        <v>42732</v>
      </c>
      <c r="M1091" s="40">
        <v>0</v>
      </c>
      <c r="N1091" s="33">
        <v>69</v>
      </c>
      <c r="O1091" s="34">
        <f>AVERAGEIF(L3:L1205,"&lt;2016/12/19",N3:N1205)</f>
        <v>88.5</v>
      </c>
      <c r="P1091" s="40">
        <v>0</v>
      </c>
      <c r="Q1091" s="40">
        <f>AVERAGEIF(L3:L1205,"&lt;2016/12/19",P3:P1205)</f>
        <v>0.4732142857142857</v>
      </c>
      <c r="R1091" s="40">
        <v>1</v>
      </c>
      <c r="S1091" s="40">
        <f>AVERAGEIF(L3:L1205,"&lt;2016/12/19",R3:R1205)</f>
        <v>1.2589285714285714</v>
      </c>
      <c r="T1091" s="40">
        <v>9</v>
      </c>
      <c r="U1091" s="40">
        <f>AVERAGEIF(L3:L1205,"&lt;2016/12/19",T3:T1205)</f>
        <v>10.321428571428571</v>
      </c>
      <c r="V1091" s="24">
        <v>114</v>
      </c>
      <c r="W1091" s="47" t="s">
        <v>4553</v>
      </c>
    </row>
    <row r="1092" spans="1:23">
      <c r="A1092" s="23">
        <v>4</v>
      </c>
      <c r="B1092" s="23">
        <v>30</v>
      </c>
      <c r="C1092" s="18">
        <v>4</v>
      </c>
      <c r="D1092" s="18">
        <v>4</v>
      </c>
      <c r="E1092" s="20">
        <v>84</v>
      </c>
      <c r="F1092" s="21">
        <f t="shared" ref="F1092:F1155" si="52">AVERAGE(E1093:E2294)</f>
        <v>114.05309734513274</v>
      </c>
      <c r="G1092" s="22">
        <v>0.86372759736698801</v>
      </c>
      <c r="H1092" s="18">
        <v>1</v>
      </c>
      <c r="I1092" s="18">
        <f t="shared" ref="I1092:I1155" si="53">IF(H1092=1,0,1)</f>
        <v>0</v>
      </c>
      <c r="J1092" s="45">
        <v>42719</v>
      </c>
      <c r="K1092" s="8">
        <v>2016</v>
      </c>
      <c r="L1092" s="32">
        <f t="shared" si="51"/>
        <v>42746</v>
      </c>
      <c r="M1092" s="42">
        <v>1</v>
      </c>
      <c r="N1092" s="33">
        <v>81</v>
      </c>
      <c r="O1092" s="34">
        <f>AVERAGEIF(L3:L1205,"&lt;2016/12/15",N3:N1205)</f>
        <v>88.5</v>
      </c>
      <c r="P1092" s="38">
        <v>1</v>
      </c>
      <c r="Q1092" s="38">
        <f>AVERAGEIF(L3:L1205,"&lt;2016/12/15",P3:P1205)</f>
        <v>0.4732142857142857</v>
      </c>
      <c r="R1092" s="38">
        <v>2</v>
      </c>
      <c r="S1092" s="38">
        <f>AVERAGEIF(L3:L1205,"&lt;2016/12/15",R3:R1205)</f>
        <v>1.2589285714285714</v>
      </c>
      <c r="T1092" s="38">
        <v>27</v>
      </c>
      <c r="U1092" s="38">
        <f>AVERAGEIF(L3:L1205,"&lt;2016/12/15",T3:T1205)</f>
        <v>10.321428571428571</v>
      </c>
      <c r="V1092" s="24">
        <v>113</v>
      </c>
      <c r="W1092" s="47" t="s">
        <v>4529</v>
      </c>
    </row>
    <row r="1093" spans="1:23">
      <c r="A1093" s="23">
        <v>2</v>
      </c>
      <c r="B1093" s="23">
        <v>6</v>
      </c>
      <c r="C1093" s="18">
        <v>4</v>
      </c>
      <c r="D1093" s="18">
        <v>4</v>
      </c>
      <c r="E1093" s="20">
        <v>70</v>
      </c>
      <c r="F1093" s="21">
        <f t="shared" si="52"/>
        <v>114.44642857142857</v>
      </c>
      <c r="G1093" s="22">
        <v>0.87294968890091396</v>
      </c>
      <c r="H1093" s="18">
        <v>1</v>
      </c>
      <c r="I1093" s="18">
        <f t="shared" si="53"/>
        <v>0</v>
      </c>
      <c r="J1093" s="41">
        <v>42716</v>
      </c>
      <c r="K1093" s="8">
        <v>2016</v>
      </c>
      <c r="L1093" s="32">
        <f t="shared" si="51"/>
        <v>42727</v>
      </c>
      <c r="M1093" s="40">
        <v>0</v>
      </c>
      <c r="N1093" s="33">
        <v>69</v>
      </c>
      <c r="O1093" s="34">
        <f>AVERAGEIF(L3:L1205,"&lt;2016/12/12",N3:N1205)</f>
        <v>88.5</v>
      </c>
      <c r="P1093" s="38">
        <v>0</v>
      </c>
      <c r="Q1093" s="38">
        <f>AVERAGEIF(L3:L1205,"&lt;2016/12/12",P3:P1205)</f>
        <v>0.4732142857142857</v>
      </c>
      <c r="R1093" s="38">
        <v>1</v>
      </c>
      <c r="S1093" s="38">
        <f>AVERAGEIF(L3:L1205,"&lt;2016/12/12",R3:R1205)</f>
        <v>1.2589285714285714</v>
      </c>
      <c r="T1093" s="38">
        <v>11</v>
      </c>
      <c r="U1093" s="38">
        <f>AVERAGEIF(L3:L1205,"&lt;2016/12/12",T3:T1205)</f>
        <v>10.321428571428571</v>
      </c>
      <c r="V1093" s="24">
        <v>112</v>
      </c>
      <c r="W1093" s="47" t="s">
        <v>4630</v>
      </c>
    </row>
    <row r="1094" spans="1:23">
      <c r="A1094" s="23">
        <v>2</v>
      </c>
      <c r="B1094" s="23">
        <v>6</v>
      </c>
      <c r="C1094" s="18">
        <v>4</v>
      </c>
      <c r="D1094" s="18">
        <v>4</v>
      </c>
      <c r="E1094" s="20">
        <v>71</v>
      </c>
      <c r="F1094" s="21">
        <f t="shared" si="52"/>
        <v>114.83783783783784</v>
      </c>
      <c r="G1094" s="22">
        <v>0.375000811688108</v>
      </c>
      <c r="H1094" s="18">
        <v>1</v>
      </c>
      <c r="I1094" s="18">
        <f t="shared" si="53"/>
        <v>0</v>
      </c>
      <c r="J1094" s="41">
        <v>42703</v>
      </c>
      <c r="K1094" s="8">
        <v>2016</v>
      </c>
      <c r="L1094" s="32">
        <f t="shared" si="51"/>
        <v>42712</v>
      </c>
      <c r="M1094" s="40">
        <v>0</v>
      </c>
      <c r="N1094" s="33">
        <v>57</v>
      </c>
      <c r="O1094" s="34">
        <f>AVERAGEIF(L3:L1205,"&lt;2016/11/29",N3:N1205)</f>
        <v>88.54205607476635</v>
      </c>
      <c r="P1094" s="38">
        <v>0</v>
      </c>
      <c r="Q1094" s="38">
        <f>AVERAGEIF(L3:L1205,"&lt;2016/11/29",P3:P1205)</f>
        <v>0.46728971962616822</v>
      </c>
      <c r="R1094" s="38">
        <v>1</v>
      </c>
      <c r="S1094" s="38">
        <f>AVERAGEIF(L3:L1205,"&lt;2016/11/29",R3:R1205)</f>
        <v>1.2710280373831775</v>
      </c>
      <c r="T1094" s="38">
        <v>9</v>
      </c>
      <c r="U1094" s="38">
        <f>AVERAGEIF(L3:L1205,"&lt;2016/11/29",T3:T1205)</f>
        <v>10.261682242990654</v>
      </c>
      <c r="V1094" s="24">
        <v>111</v>
      </c>
      <c r="W1094" s="47" t="s">
        <v>4630</v>
      </c>
    </row>
    <row r="1095" spans="1:23">
      <c r="A1095" s="23">
        <v>2</v>
      </c>
      <c r="B1095" s="23">
        <v>10</v>
      </c>
      <c r="C1095" s="18">
        <v>4</v>
      </c>
      <c r="D1095" s="18">
        <v>6</v>
      </c>
      <c r="E1095" s="20">
        <v>95</v>
      </c>
      <c r="F1095" s="21">
        <f t="shared" si="52"/>
        <v>115.01818181818182</v>
      </c>
      <c r="G1095" s="22">
        <v>0.37652709107659799</v>
      </c>
      <c r="H1095" s="18">
        <v>1</v>
      </c>
      <c r="I1095" s="18">
        <f t="shared" si="53"/>
        <v>0</v>
      </c>
      <c r="J1095" s="41">
        <v>42696</v>
      </c>
      <c r="K1095" s="8">
        <v>2016</v>
      </c>
      <c r="L1095" s="32">
        <f t="shared" si="51"/>
        <v>42709</v>
      </c>
      <c r="M1095" s="40">
        <v>0</v>
      </c>
      <c r="N1095" s="33">
        <v>138</v>
      </c>
      <c r="O1095" s="34">
        <f>AVERAGEIF(L3:L1205,"&lt;2016/11/22",N3:N1205)</f>
        <v>88.695238095238096</v>
      </c>
      <c r="P1095" s="38">
        <v>1</v>
      </c>
      <c r="Q1095" s="38">
        <f>AVERAGEIF(L3:L1205,"&lt;2016/11/22",P3:P1205)</f>
        <v>0.47619047619047616</v>
      </c>
      <c r="R1095" s="38">
        <v>1</v>
      </c>
      <c r="S1095" s="38">
        <f>AVERAGEIF(L3:L1205,"&lt;2016/11/22",R3:R1205)</f>
        <v>1.2761904761904761</v>
      </c>
      <c r="T1095" s="38">
        <v>13</v>
      </c>
      <c r="U1095" s="38">
        <f>AVERAGEIF(L3:L1205,"&lt;2016/11/22",T3:T1205)</f>
        <v>10.323809523809524</v>
      </c>
      <c r="V1095" s="24">
        <v>110</v>
      </c>
      <c r="W1095" s="47" t="s">
        <v>4529</v>
      </c>
    </row>
    <row r="1096" spans="1:23">
      <c r="A1096" s="17">
        <v>1</v>
      </c>
      <c r="B1096" s="17">
        <v>3</v>
      </c>
      <c r="C1096" s="18">
        <v>4</v>
      </c>
      <c r="D1096" s="18">
        <v>6</v>
      </c>
      <c r="E1096" s="20">
        <v>39</v>
      </c>
      <c r="F1096" s="21">
        <f t="shared" si="52"/>
        <v>115.71559633027523</v>
      </c>
      <c r="G1096" s="22">
        <v>0.37665396514071597</v>
      </c>
      <c r="H1096" s="18">
        <v>1</v>
      </c>
      <c r="I1096" s="18">
        <f t="shared" si="53"/>
        <v>0</v>
      </c>
      <c r="J1096" s="32">
        <v>42692</v>
      </c>
      <c r="K1096" s="8">
        <v>2016</v>
      </c>
      <c r="L1096" s="32">
        <f t="shared" si="51"/>
        <v>42703</v>
      </c>
      <c r="M1096" s="24">
        <v>0</v>
      </c>
      <c r="N1096" s="33">
        <v>51</v>
      </c>
      <c r="O1096" s="34">
        <f>AVERAGEIF(L3:L1205,"&lt;2016/11/28",N3:N1205)</f>
        <v>88.54205607476635</v>
      </c>
      <c r="P1096" s="24">
        <v>2</v>
      </c>
      <c r="Q1096" s="24">
        <f>AVERAGEIF(L3:L1205,"&lt;2016/11/18",P3:P1205)</f>
        <v>0.47115384615384615</v>
      </c>
      <c r="R1096" s="24">
        <v>1</v>
      </c>
      <c r="S1096" s="24">
        <f>AVERAGEIF(L3:L1205,"&lt;2016/11/18",R3:R1205)</f>
        <v>1.2307692307692308</v>
      </c>
      <c r="T1096" s="24">
        <v>11</v>
      </c>
      <c r="U1096" s="24">
        <f>AVERAGEIF(L3:L1205,"&lt;2016/11/18",T3:T1205)</f>
        <v>10.182692307692308</v>
      </c>
      <c r="V1096" s="24">
        <v>109</v>
      </c>
      <c r="W1096" s="47" t="s">
        <v>4542</v>
      </c>
    </row>
    <row r="1097" spans="1:23">
      <c r="A1097" s="23">
        <v>2</v>
      </c>
      <c r="B1097" s="23">
        <v>6</v>
      </c>
      <c r="C1097" s="18">
        <v>4</v>
      </c>
      <c r="D1097" s="18">
        <v>4</v>
      </c>
      <c r="E1097" s="20">
        <v>214</v>
      </c>
      <c r="F1097" s="21">
        <f t="shared" si="52"/>
        <v>114.80555555555556</v>
      </c>
      <c r="G1097" s="22">
        <v>0.601970457149544</v>
      </c>
      <c r="H1097" s="18">
        <v>1</v>
      </c>
      <c r="I1097" s="18">
        <f t="shared" si="53"/>
        <v>0</v>
      </c>
      <c r="J1097" s="41">
        <v>42691</v>
      </c>
      <c r="K1097" s="8">
        <v>2016</v>
      </c>
      <c r="L1097" s="32">
        <f t="shared" si="51"/>
        <v>42703</v>
      </c>
      <c r="M1097" s="40">
        <v>0</v>
      </c>
      <c r="N1097" s="33">
        <v>109</v>
      </c>
      <c r="O1097" s="34">
        <f>AVERAGEIF(L3:L1205,"&lt;2016/11/17",N3:N1205)</f>
        <v>87.882352941176464</v>
      </c>
      <c r="P1097" s="38">
        <v>0</v>
      </c>
      <c r="Q1097" s="38">
        <f>AVERAGEIF(L3:L1205,"&lt;2016/11/17",P3:P1205)</f>
        <v>0.45098039215686275</v>
      </c>
      <c r="R1097" s="38">
        <v>1</v>
      </c>
      <c r="S1097" s="38">
        <f>AVERAGEIF(L3:L1205,"&lt;2016/11/17",R3:R1205)</f>
        <v>1.2352941176470589</v>
      </c>
      <c r="T1097" s="38">
        <v>12</v>
      </c>
      <c r="U1097" s="38">
        <f>AVERAGEIF(L3:L1205,"&lt;2016/11/17",T3:T1205)</f>
        <v>10.058823529411764</v>
      </c>
      <c r="V1097" s="24">
        <v>108</v>
      </c>
      <c r="W1097" s="47" t="s">
        <v>4652</v>
      </c>
    </row>
    <row r="1098" spans="1:23">
      <c r="A1098" s="23">
        <v>4</v>
      </c>
      <c r="B1098" s="23">
        <v>28</v>
      </c>
      <c r="C1098" s="18">
        <v>4</v>
      </c>
      <c r="D1098" s="18">
        <v>6</v>
      </c>
      <c r="E1098" s="20">
        <v>107</v>
      </c>
      <c r="F1098" s="21">
        <f t="shared" si="52"/>
        <v>114.87850467289719</v>
      </c>
      <c r="G1098" s="22">
        <v>0.256137520885384</v>
      </c>
      <c r="H1098" s="18">
        <v>1</v>
      </c>
      <c r="I1098" s="18">
        <f t="shared" si="53"/>
        <v>0</v>
      </c>
      <c r="J1098" s="45">
        <v>42691</v>
      </c>
      <c r="K1098" s="8">
        <v>2016</v>
      </c>
      <c r="L1098" s="32">
        <f t="shared" si="51"/>
        <v>42696</v>
      </c>
      <c r="M1098" s="44">
        <v>0</v>
      </c>
      <c r="N1098" s="33">
        <v>78</v>
      </c>
      <c r="O1098" s="34">
        <f>AVERAGEIF(L3:L1205,"&lt;2016/11/17",N3:N1205)</f>
        <v>87.882352941176464</v>
      </c>
      <c r="P1098" s="38">
        <v>0</v>
      </c>
      <c r="Q1098" s="38">
        <f>AVERAGEIF(L3:L1205,"&lt;2016/11/17",P3:P1205)</f>
        <v>0.45098039215686275</v>
      </c>
      <c r="R1098" s="38">
        <v>1</v>
      </c>
      <c r="S1098" s="38">
        <f>AVERAGEIF(L3:L1205,"&lt;2016/11/17",R3:R1205)</f>
        <v>1.2352941176470589</v>
      </c>
      <c r="T1098" s="38">
        <v>5</v>
      </c>
      <c r="U1098" s="38">
        <f>AVERAGEIF(L3:L1205,"&lt;2016/11/17",T3:T1205)</f>
        <v>10.058823529411764</v>
      </c>
      <c r="V1098" s="24">
        <v>107</v>
      </c>
      <c r="W1098" s="47" t="s">
        <v>4558</v>
      </c>
    </row>
    <row r="1099" spans="1:23">
      <c r="A1099" s="23">
        <v>2</v>
      </c>
      <c r="B1099" s="23">
        <v>6</v>
      </c>
      <c r="C1099" s="18">
        <v>4</v>
      </c>
      <c r="D1099" s="18">
        <v>6</v>
      </c>
      <c r="E1099" s="20">
        <v>172</v>
      </c>
      <c r="F1099" s="21">
        <f t="shared" si="52"/>
        <v>114.33962264150944</v>
      </c>
      <c r="G1099" s="22">
        <v>0.49938781252144498</v>
      </c>
      <c r="H1099" s="18">
        <v>1</v>
      </c>
      <c r="I1099" s="18">
        <f t="shared" si="53"/>
        <v>0</v>
      </c>
      <c r="J1099" s="41">
        <v>42690</v>
      </c>
      <c r="K1099" s="8">
        <v>2016</v>
      </c>
      <c r="L1099" s="32">
        <f t="shared" si="51"/>
        <v>42703</v>
      </c>
      <c r="M1099" s="40">
        <v>0</v>
      </c>
      <c r="N1099" s="33">
        <v>83</v>
      </c>
      <c r="O1099" s="34">
        <f>AVERAGEIF(L3:L1205,"&lt;2016/11/16",N3:N1205)</f>
        <v>87.882352941176464</v>
      </c>
      <c r="P1099" s="38">
        <v>0</v>
      </c>
      <c r="Q1099" s="38">
        <f>AVERAGEIF(L3:L1205,"&lt;2016/11/16",P3:P1205)</f>
        <v>0.45098039215686275</v>
      </c>
      <c r="R1099" s="38">
        <v>1</v>
      </c>
      <c r="S1099" s="38">
        <f>AVERAGEIF(L3:L1205,"&lt;2016/11/16",R3:R1205)</f>
        <v>1.2352941176470589</v>
      </c>
      <c r="T1099" s="38">
        <v>13</v>
      </c>
      <c r="U1099" s="38">
        <f>AVERAGEIF(L3:L1205,"&lt;2016/11/16",T3:T1205)</f>
        <v>10.058823529411764</v>
      </c>
      <c r="V1099" s="24">
        <v>106</v>
      </c>
      <c r="W1099" s="47" t="s">
        <v>4899</v>
      </c>
    </row>
    <row r="1100" spans="1:23">
      <c r="A1100" s="23">
        <v>2</v>
      </c>
      <c r="B1100" s="23">
        <v>6</v>
      </c>
      <c r="C1100" s="18">
        <v>4</v>
      </c>
      <c r="D1100" s="18">
        <v>4</v>
      </c>
      <c r="E1100" s="20">
        <v>33</v>
      </c>
      <c r="F1100" s="21">
        <f t="shared" si="52"/>
        <v>115.11428571428571</v>
      </c>
      <c r="G1100" s="22">
        <v>0.34090913941471401</v>
      </c>
      <c r="H1100" s="18">
        <v>1</v>
      </c>
      <c r="I1100" s="18">
        <f t="shared" si="53"/>
        <v>0</v>
      </c>
      <c r="J1100" s="41">
        <v>42690</v>
      </c>
      <c r="K1100" s="8">
        <v>2016</v>
      </c>
      <c r="L1100" s="32">
        <f t="shared" si="51"/>
        <v>42699</v>
      </c>
      <c r="M1100" s="40">
        <v>0</v>
      </c>
      <c r="N1100" s="33">
        <v>83</v>
      </c>
      <c r="O1100" s="34">
        <f>AVERAGEIF(L3:L1205,"&lt;2016/11/16",N3:N1205)</f>
        <v>87.882352941176464</v>
      </c>
      <c r="P1100" s="40">
        <v>0</v>
      </c>
      <c r="Q1100" s="40">
        <f>AVERAGEIF(L3:L1205,"&lt;2016/11/16",P3:P1205)</f>
        <v>0.45098039215686275</v>
      </c>
      <c r="R1100" s="40">
        <v>1</v>
      </c>
      <c r="S1100" s="40">
        <f>AVERAGEIF(L3:L1205,"&lt;2016/11/16",R3:R1205)</f>
        <v>1.2352941176470589</v>
      </c>
      <c r="T1100" s="40">
        <v>9</v>
      </c>
      <c r="U1100" s="40">
        <f>AVERAGEIF(L3:L1205,"&lt;2016/11/16",T3:T1205)</f>
        <v>10.058823529411764</v>
      </c>
      <c r="V1100" s="24">
        <v>105</v>
      </c>
      <c r="W1100" s="47" t="s">
        <v>4626</v>
      </c>
    </row>
    <row r="1101" spans="1:23">
      <c r="A1101" s="23">
        <v>2</v>
      </c>
      <c r="B1101" s="23">
        <v>9</v>
      </c>
      <c r="C1101" s="18">
        <v>4</v>
      </c>
      <c r="D1101" s="18">
        <v>4</v>
      </c>
      <c r="E1101" s="20">
        <v>113</v>
      </c>
      <c r="F1101" s="21">
        <f t="shared" si="52"/>
        <v>115.13461538461539</v>
      </c>
      <c r="G1101" s="22">
        <v>0.38361857581898701</v>
      </c>
      <c r="H1101" s="18">
        <v>0</v>
      </c>
      <c r="I1101" s="18">
        <f t="shared" si="53"/>
        <v>1</v>
      </c>
      <c r="J1101" s="41">
        <v>42679</v>
      </c>
      <c r="K1101" s="8">
        <v>2016</v>
      </c>
      <c r="L1101" s="32">
        <f t="shared" si="51"/>
        <v>42691</v>
      </c>
      <c r="M1101" s="40">
        <v>0</v>
      </c>
      <c r="N1101" s="33">
        <v>79</v>
      </c>
      <c r="O1101" s="34">
        <f>AVERAGEIF(L3:L1205,"&lt;2016/11/5",N3:N1205)</f>
        <v>88.42</v>
      </c>
      <c r="P1101" s="38">
        <v>0</v>
      </c>
      <c r="Q1101" s="38">
        <f>AVERAGEIF(L3:L1205,"&lt;2016/11/5",P3:P1205)</f>
        <v>0.44</v>
      </c>
      <c r="R1101" s="38">
        <v>1</v>
      </c>
      <c r="S1101" s="38">
        <f>AVERAGEIF(L3:L1205,"&lt;2016/11/5",R3:R1205)</f>
        <v>1.23</v>
      </c>
      <c r="T1101" s="38">
        <v>12</v>
      </c>
      <c r="U1101" s="38">
        <f>AVERAGEIF(L3:L1205,"&lt;2016/11/5",T3:T1205)</f>
        <v>9.86</v>
      </c>
      <c r="V1101" s="24">
        <v>104</v>
      </c>
      <c r="W1101" s="47" t="s">
        <v>4817</v>
      </c>
    </row>
    <row r="1102" spans="1:23">
      <c r="A1102" s="17">
        <v>1</v>
      </c>
      <c r="B1102" s="17">
        <v>1</v>
      </c>
      <c r="C1102" s="18">
        <v>4</v>
      </c>
      <c r="D1102" s="18">
        <v>4</v>
      </c>
      <c r="E1102" s="20">
        <v>63</v>
      </c>
      <c r="F1102" s="21">
        <f t="shared" si="52"/>
        <v>115.64077669902913</v>
      </c>
      <c r="G1102" s="22">
        <v>0.391826132959879</v>
      </c>
      <c r="H1102" s="18">
        <v>1</v>
      </c>
      <c r="I1102" s="18">
        <f t="shared" si="53"/>
        <v>0</v>
      </c>
      <c r="J1102" s="64">
        <v>42674</v>
      </c>
      <c r="K1102" s="8">
        <v>2016</v>
      </c>
      <c r="L1102" s="32">
        <f t="shared" si="51"/>
        <v>42674</v>
      </c>
      <c r="M1102" s="24">
        <v>1</v>
      </c>
      <c r="N1102" s="33">
        <v>24</v>
      </c>
      <c r="O1102" s="34">
        <f>AVERAGEIF(L3:L1205,"&lt;2016/10/31",N3:N1205)</f>
        <v>87.4375</v>
      </c>
      <c r="P1102" s="24">
        <v>0</v>
      </c>
      <c r="Q1102" s="24">
        <f>AVERAGEIF(L3:L1205,"&lt;2016/10/31",P3:P1205)</f>
        <v>0.4375</v>
      </c>
      <c r="R1102" s="24">
        <v>1</v>
      </c>
      <c r="S1102" s="24">
        <f>AVERAGEIF(L3:L1205,"&lt;2016/10/31",R3:R1205)</f>
        <v>1.2083333333333333</v>
      </c>
      <c r="T1102" s="24">
        <v>0</v>
      </c>
      <c r="U1102" s="24">
        <f>AVERAGEIF(L3:L1205,"&lt;2016/10/31",T3:T1205)</f>
        <v>9.9270833333333339</v>
      </c>
      <c r="V1102" s="24">
        <v>103</v>
      </c>
      <c r="W1102" s="47" t="s">
        <v>4618</v>
      </c>
    </row>
    <row r="1103" spans="1:23">
      <c r="A1103" s="23">
        <v>2</v>
      </c>
      <c r="B1103" s="23">
        <v>9</v>
      </c>
      <c r="C1103" s="18">
        <v>4</v>
      </c>
      <c r="D1103" s="18">
        <v>6</v>
      </c>
      <c r="E1103" s="20">
        <v>265</v>
      </c>
      <c r="F1103" s="21">
        <f t="shared" si="52"/>
        <v>114.17647058823529</v>
      </c>
      <c r="G1103" s="22">
        <v>0.429401276338641</v>
      </c>
      <c r="H1103" s="18">
        <v>1</v>
      </c>
      <c r="I1103" s="18">
        <f t="shared" si="53"/>
        <v>0</v>
      </c>
      <c r="J1103" s="41">
        <v>42670</v>
      </c>
      <c r="K1103" s="8">
        <v>2016</v>
      </c>
      <c r="L1103" s="32">
        <f t="shared" si="51"/>
        <v>42691</v>
      </c>
      <c r="M1103" s="24">
        <v>1</v>
      </c>
      <c r="N1103" s="33">
        <v>80</v>
      </c>
      <c r="O1103" s="34">
        <f>AVERAGEIF(L3:L1205,"&lt;2016/10/27",N3:N1205)</f>
        <v>86.74444444444444</v>
      </c>
      <c r="P1103" s="38">
        <v>3</v>
      </c>
      <c r="Q1103" s="38">
        <f>AVERAGEIF(L3:L1205,"&lt;2016/10/27",P3:P1205)</f>
        <v>0.46666666666666667</v>
      </c>
      <c r="R1103" s="38">
        <v>1</v>
      </c>
      <c r="S1103" s="38">
        <f>AVERAGEIF(L3:L1205,"&lt;2016/10/27",R3:R1205)</f>
        <v>1.2222222222222223</v>
      </c>
      <c r="T1103" s="38">
        <v>21</v>
      </c>
      <c r="U1103" s="38">
        <f>AVERAGEIF(L3:L1205,"&lt;2016/10/27",T3:T1205)</f>
        <v>10.155555555555555</v>
      </c>
      <c r="V1103" s="24">
        <v>102</v>
      </c>
      <c r="W1103" s="47" t="s">
        <v>4618</v>
      </c>
    </row>
    <row r="1104" spans="1:23">
      <c r="A1104" s="17">
        <v>1</v>
      </c>
      <c r="B1104" s="17">
        <v>3</v>
      </c>
      <c r="C1104" s="18">
        <v>4</v>
      </c>
      <c r="D1104" s="18">
        <v>6</v>
      </c>
      <c r="E1104" s="20">
        <v>454</v>
      </c>
      <c r="F1104" s="21">
        <f t="shared" si="52"/>
        <v>110.81188118811882</v>
      </c>
      <c r="G1104" s="22">
        <v>0.874999999999998</v>
      </c>
      <c r="H1104" s="18">
        <v>1</v>
      </c>
      <c r="I1104" s="18">
        <f t="shared" si="53"/>
        <v>0</v>
      </c>
      <c r="J1104" s="41">
        <v>42669</v>
      </c>
      <c r="K1104" s="8">
        <v>2016</v>
      </c>
      <c r="L1104" s="32">
        <f t="shared" si="51"/>
        <v>42678</v>
      </c>
      <c r="M1104" s="24">
        <v>1</v>
      </c>
      <c r="N1104" s="33">
        <v>67</v>
      </c>
      <c r="O1104" s="34">
        <f>AVERAGEIF(L3:L1205,"&lt;2016/10/26",N3:N1205)</f>
        <v>86.651685393258433</v>
      </c>
      <c r="P1104" s="24">
        <v>1</v>
      </c>
      <c r="Q1104" s="24">
        <f>AVERAGEIF(L3:L1205,"&lt;2016/10/26",P3:P1205)</f>
        <v>0.47191011235955055</v>
      </c>
      <c r="R1104" s="24">
        <v>1</v>
      </c>
      <c r="S1104" s="24">
        <f>AVERAGEIF(L3:L1205,"&lt;2016/10/26",R3:R1205)</f>
        <v>1.2247191011235956</v>
      </c>
      <c r="T1104" s="24">
        <v>9</v>
      </c>
      <c r="U1104" s="24">
        <f>AVERAGEIF(L3:L1205,"&lt;2016/10/26",T3:T1205)</f>
        <v>10.247191011235955</v>
      </c>
      <c r="V1104" s="24">
        <v>101</v>
      </c>
      <c r="W1104" s="47" t="s">
        <v>4550</v>
      </c>
    </row>
    <row r="1105" spans="1:23">
      <c r="A1105" s="23">
        <v>2</v>
      </c>
      <c r="B1105" s="23">
        <v>18</v>
      </c>
      <c r="C1105" s="18">
        <v>4</v>
      </c>
      <c r="D1105" s="18">
        <v>4</v>
      </c>
      <c r="E1105" s="20">
        <v>32</v>
      </c>
      <c r="F1105" s="21">
        <f t="shared" si="52"/>
        <v>111.6</v>
      </c>
      <c r="G1105" s="22">
        <v>0.37500002476222399</v>
      </c>
      <c r="H1105" s="18">
        <v>1</v>
      </c>
      <c r="I1105" s="18">
        <f t="shared" si="53"/>
        <v>0</v>
      </c>
      <c r="J1105" s="41">
        <v>42669</v>
      </c>
      <c r="K1105" s="8">
        <v>2016</v>
      </c>
      <c r="L1105" s="32">
        <f t="shared" si="51"/>
        <v>42683</v>
      </c>
      <c r="M1105" s="40">
        <v>1</v>
      </c>
      <c r="N1105" s="33">
        <v>41</v>
      </c>
      <c r="O1105" s="34">
        <f>AVERAGEIF(L3:L1205,"&lt;2016/10/26",N3:N1205)</f>
        <v>86.651685393258433</v>
      </c>
      <c r="P1105" s="38">
        <v>0</v>
      </c>
      <c r="Q1105" s="38">
        <f>AVERAGEIF(L3:L1205,"&lt;2016/10/26",P3:P1205)</f>
        <v>0.47191011235955055</v>
      </c>
      <c r="R1105" s="38">
        <v>2</v>
      </c>
      <c r="S1105" s="38">
        <f>AVERAGEIF(L3:L1205,"&lt;2016/10/26",R3:R1205)</f>
        <v>1.2247191011235956</v>
      </c>
      <c r="T1105" s="38">
        <v>14</v>
      </c>
      <c r="U1105" s="38">
        <f>AVERAGEIF(L3:L1205,"&lt;2016/10/26",T3:T1205)</f>
        <v>10.247191011235955</v>
      </c>
      <c r="V1105" s="24">
        <v>100</v>
      </c>
      <c r="W1105" s="47" t="s">
        <v>4618</v>
      </c>
    </row>
    <row r="1106" spans="1:23">
      <c r="A1106" s="23">
        <v>2</v>
      </c>
      <c r="B1106" s="23">
        <v>4</v>
      </c>
      <c r="C1106" s="18">
        <v>4</v>
      </c>
      <c r="D1106" s="18">
        <v>6</v>
      </c>
      <c r="E1106" s="20">
        <v>288</v>
      </c>
      <c r="F1106" s="21">
        <f t="shared" si="52"/>
        <v>109.81818181818181</v>
      </c>
      <c r="G1106" s="22">
        <v>0.87494012636886698</v>
      </c>
      <c r="H1106" s="18">
        <v>1</v>
      </c>
      <c r="I1106" s="18">
        <f t="shared" si="53"/>
        <v>0</v>
      </c>
      <c r="J1106" s="41">
        <v>42668</v>
      </c>
      <c r="K1106" s="8">
        <v>2016</v>
      </c>
      <c r="L1106" s="32">
        <f t="shared" si="51"/>
        <v>42671</v>
      </c>
      <c r="M1106" s="24">
        <v>1</v>
      </c>
      <c r="N1106" s="33">
        <v>84</v>
      </c>
      <c r="O1106" s="34">
        <f>AVERAGEIF(L3:L1205,"&lt;2016/10/25",N3:N1205)</f>
        <v>86.651685393258433</v>
      </c>
      <c r="P1106" s="38">
        <v>0</v>
      </c>
      <c r="Q1106" s="38">
        <f>AVERAGEIF(L3:L1205,"&lt;2016/10/25",P3:P1205)</f>
        <v>0.47191011235955055</v>
      </c>
      <c r="R1106" s="38">
        <v>1</v>
      </c>
      <c r="S1106" s="38">
        <f>AVERAGEIF(L3:L1205,"&lt;2016/10/25",R3:R1205)</f>
        <v>1.2247191011235956</v>
      </c>
      <c r="T1106" s="38">
        <v>3</v>
      </c>
      <c r="U1106" s="38">
        <f>AVERAGEIF(L3:L1205,"&lt;2016/10/25",T3:T1205)</f>
        <v>10.247191011235955</v>
      </c>
      <c r="V1106" s="24">
        <v>99</v>
      </c>
      <c r="W1106" s="47" t="s">
        <v>4542</v>
      </c>
    </row>
    <row r="1107" spans="1:23">
      <c r="A1107" s="23">
        <v>2</v>
      </c>
      <c r="B1107" s="23">
        <v>5</v>
      </c>
      <c r="C1107" s="18">
        <v>4</v>
      </c>
      <c r="D1107" s="18">
        <v>6</v>
      </c>
      <c r="E1107" s="20">
        <v>288</v>
      </c>
      <c r="F1107" s="21">
        <f t="shared" si="52"/>
        <v>108</v>
      </c>
      <c r="G1107" s="22">
        <v>0.87494012636886698</v>
      </c>
      <c r="H1107" s="18">
        <v>1</v>
      </c>
      <c r="I1107" s="18">
        <f t="shared" si="53"/>
        <v>0</v>
      </c>
      <c r="J1107" s="41">
        <v>42668</v>
      </c>
      <c r="K1107" s="8">
        <v>2016</v>
      </c>
      <c r="L1107" s="32">
        <f t="shared" si="51"/>
        <v>42671</v>
      </c>
      <c r="M1107" s="24">
        <v>1</v>
      </c>
      <c r="N1107" s="33">
        <v>84</v>
      </c>
      <c r="O1107" s="34">
        <f>AVERAGEIF(L3:L1205,"&lt;2016/10/25",N3:N1205)</f>
        <v>86.651685393258433</v>
      </c>
      <c r="P1107" s="38">
        <v>0</v>
      </c>
      <c r="Q1107" s="38">
        <f>AVERAGEIF(L3:L1205,"&lt;2016/10/25",P3:P1205)</f>
        <v>0.47191011235955055</v>
      </c>
      <c r="R1107" s="38">
        <v>1</v>
      </c>
      <c r="S1107" s="38">
        <f>AVERAGEIF(L3:L1205,"&lt;2016/10/25",R3:R1205)</f>
        <v>1.2247191011235956</v>
      </c>
      <c r="T1107" s="38">
        <v>3</v>
      </c>
      <c r="U1107" s="38">
        <f>AVERAGEIF(L3:L1205,"&lt;2016/10/25",T3:T1205)</f>
        <v>10.247191011235955</v>
      </c>
      <c r="V1107" s="24">
        <v>98</v>
      </c>
      <c r="W1107" s="47" t="s">
        <v>4542</v>
      </c>
    </row>
    <row r="1108" spans="1:23">
      <c r="A1108" s="23">
        <v>3</v>
      </c>
      <c r="B1108" s="23">
        <v>19</v>
      </c>
      <c r="C1108" s="18">
        <v>4</v>
      </c>
      <c r="D1108" s="18">
        <v>6</v>
      </c>
      <c r="E1108" s="20">
        <v>462</v>
      </c>
      <c r="F1108" s="21">
        <f t="shared" si="52"/>
        <v>104.35051546391753</v>
      </c>
      <c r="G1108" s="22">
        <v>0.87499977430542797</v>
      </c>
      <c r="H1108" s="3">
        <v>1</v>
      </c>
      <c r="I1108" s="18">
        <f t="shared" si="53"/>
        <v>0</v>
      </c>
      <c r="J1108" s="57">
        <v>42667</v>
      </c>
      <c r="K1108" s="8">
        <v>2016</v>
      </c>
      <c r="L1108" s="32">
        <f t="shared" si="51"/>
        <v>42692</v>
      </c>
      <c r="M1108" s="24">
        <v>1</v>
      </c>
      <c r="N1108" s="33">
        <v>190</v>
      </c>
      <c r="O1108" s="34">
        <f>AVERAGEIF(L3:L1205,"&lt;2016/10/24",N3:N1205)</f>
        <v>85.056818181818187</v>
      </c>
      <c r="P1108" s="38">
        <v>1</v>
      </c>
      <c r="Q1108" s="38">
        <f>AVERAGEIF(L3:L1205,"&lt;2016/10/24",P3:P1205)</f>
        <v>0.47727272727272729</v>
      </c>
      <c r="R1108" s="38">
        <v>6</v>
      </c>
      <c r="S1108" s="38">
        <f>AVERAGEIF(L3:L1205,"&lt;2016/10/24",R3:R1205)</f>
        <v>1.2272727272727273</v>
      </c>
      <c r="T1108" s="38">
        <v>25</v>
      </c>
      <c r="U1108" s="38">
        <f>AVERAGEIF(L3:L1205,"&lt;2016/10/24",T3:T1205)</f>
        <v>10.227272727272727</v>
      </c>
      <c r="V1108" s="24">
        <v>97</v>
      </c>
      <c r="W1108" s="47" t="s">
        <v>4529</v>
      </c>
    </row>
    <row r="1109" spans="1:23">
      <c r="A1109" s="23">
        <v>3</v>
      </c>
      <c r="B1109" s="23">
        <v>22</v>
      </c>
      <c r="C1109" s="18">
        <v>4</v>
      </c>
      <c r="D1109" s="18">
        <v>4</v>
      </c>
      <c r="E1109" s="20">
        <v>95</v>
      </c>
      <c r="F1109" s="21">
        <f t="shared" si="52"/>
        <v>104.44791666666667</v>
      </c>
      <c r="G1109" s="22">
        <v>0.41250001230905597</v>
      </c>
      <c r="H1109" s="3">
        <v>1</v>
      </c>
      <c r="I1109" s="18">
        <f t="shared" si="53"/>
        <v>0</v>
      </c>
      <c r="J1109" s="41">
        <v>42667</v>
      </c>
      <c r="K1109" s="8">
        <v>2016</v>
      </c>
      <c r="L1109" s="32">
        <f t="shared" si="51"/>
        <v>42669</v>
      </c>
      <c r="M1109" s="40">
        <v>0</v>
      </c>
      <c r="N1109" s="33">
        <v>95</v>
      </c>
      <c r="O1109" s="34">
        <f>AVERAGEIF(L3:L1205,"&lt;2016/10/24",N3:N1205)</f>
        <v>85.056818181818187</v>
      </c>
      <c r="P1109" s="38">
        <v>0</v>
      </c>
      <c r="Q1109" s="38">
        <f>AVERAGEIF(L3:L1205,"&lt;2016/10/24",P3:P1205)</f>
        <v>0.47727272727272729</v>
      </c>
      <c r="R1109" s="38">
        <v>1</v>
      </c>
      <c r="S1109" s="38">
        <f>AVERAGEIF(L3:L1205,"&lt;2016/10/24",R3:R1205)</f>
        <v>1.2272727272727273</v>
      </c>
      <c r="T1109" s="38">
        <v>2</v>
      </c>
      <c r="U1109" s="38">
        <f>AVERAGEIF(L3:L1205,"&lt;2016/10/24",T3:T1205)</f>
        <v>10.227272727272727</v>
      </c>
      <c r="V1109" s="24">
        <v>96</v>
      </c>
      <c r="W1109" s="47" t="s">
        <v>4742</v>
      </c>
    </row>
    <row r="1110" spans="1:23">
      <c r="A1110" s="23">
        <v>3</v>
      </c>
      <c r="B1110" s="23">
        <v>19</v>
      </c>
      <c r="C1110" s="18">
        <v>5</v>
      </c>
      <c r="D1110" s="18">
        <v>6</v>
      </c>
      <c r="E1110" s="20">
        <v>202</v>
      </c>
      <c r="F1110" s="21">
        <f t="shared" si="52"/>
        <v>103.42105263157895</v>
      </c>
      <c r="G1110" s="22">
        <v>0.831630555747916</v>
      </c>
      <c r="H1110" s="3">
        <v>1</v>
      </c>
      <c r="I1110" s="18">
        <f t="shared" si="53"/>
        <v>0</v>
      </c>
      <c r="J1110" s="41">
        <v>42666</v>
      </c>
      <c r="K1110" s="8">
        <v>2016</v>
      </c>
      <c r="L1110" s="32">
        <f t="shared" si="51"/>
        <v>42675</v>
      </c>
      <c r="M1110" s="24">
        <v>0</v>
      </c>
      <c r="N1110" s="33">
        <v>199</v>
      </c>
      <c r="O1110" s="34">
        <f>AVERAGEIF(L3:L1205,"&lt;2016/10/23",N3:N1205)</f>
        <v>85.056818181818187</v>
      </c>
      <c r="P1110" s="38">
        <v>0</v>
      </c>
      <c r="Q1110" s="38">
        <f>AVERAGEIF(L3:L1205,"&lt;2016/10/23",P3:P1205)</f>
        <v>0.47727272727272729</v>
      </c>
      <c r="R1110" s="38">
        <v>2</v>
      </c>
      <c r="S1110" s="38">
        <f>AVERAGEIF(L3:L1205,"&lt;2016/10/23",R3:R1205)</f>
        <v>1.2272727272727273</v>
      </c>
      <c r="T1110" s="38">
        <v>9</v>
      </c>
      <c r="U1110" s="38">
        <f>AVERAGEIF(L3:L1205,"&lt;2016/10/23",T3:T1205)</f>
        <v>10.227272727272727</v>
      </c>
      <c r="V1110" s="24">
        <v>95</v>
      </c>
      <c r="W1110" s="47" t="s">
        <v>4558</v>
      </c>
    </row>
    <row r="1111" spans="1:23">
      <c r="A1111" s="23">
        <v>2</v>
      </c>
      <c r="B1111" s="23">
        <v>4</v>
      </c>
      <c r="C1111" s="18">
        <v>1</v>
      </c>
      <c r="D1111" s="18">
        <v>6</v>
      </c>
      <c r="E1111" s="20">
        <v>17</v>
      </c>
      <c r="F1111" s="21">
        <f t="shared" si="52"/>
        <v>104.34042553191489</v>
      </c>
      <c r="G1111" s="22">
        <v>0.75187080067969503</v>
      </c>
      <c r="H1111" s="18">
        <v>1</v>
      </c>
      <c r="I1111" s="18">
        <f t="shared" si="53"/>
        <v>0</v>
      </c>
      <c r="J1111" s="50">
        <v>42664</v>
      </c>
      <c r="K1111" s="8">
        <v>2016</v>
      </c>
      <c r="L1111" s="32">
        <f t="shared" si="51"/>
        <v>42671</v>
      </c>
      <c r="M1111" s="37">
        <v>1</v>
      </c>
      <c r="N1111" s="33">
        <v>84</v>
      </c>
      <c r="O1111" s="34">
        <f>AVERAGEIF(L3:L1205,"&lt;2016/10/21",N3:N1205)</f>
        <v>84.965116279069761</v>
      </c>
      <c r="P1111" s="38">
        <v>0</v>
      </c>
      <c r="Q1111" s="38">
        <f>AVERAGEIF(L3:L1205,"&lt;2016/10/21",P3:P1205)</f>
        <v>0.47674418604651164</v>
      </c>
      <c r="R1111" s="38">
        <v>1</v>
      </c>
      <c r="S1111" s="38">
        <f>AVERAGEIF(L3:L1205,"&lt;2016/10/21",R3:R1205)</f>
        <v>1.2209302325581395</v>
      </c>
      <c r="T1111" s="38">
        <v>7</v>
      </c>
      <c r="U1111" s="38">
        <f>AVERAGEIF(L3:L1205,"&lt;2016/10/21",T3:T1205)</f>
        <v>10.13953488372093</v>
      </c>
      <c r="V1111" s="24">
        <v>94</v>
      </c>
      <c r="W1111" s="47" t="s">
        <v>4618</v>
      </c>
    </row>
    <row r="1112" spans="1:23">
      <c r="A1112" s="23">
        <v>2</v>
      </c>
      <c r="B1112" s="23">
        <v>7</v>
      </c>
      <c r="C1112" s="18">
        <v>4</v>
      </c>
      <c r="D1112" s="18">
        <v>6</v>
      </c>
      <c r="E1112" s="20">
        <v>396</v>
      </c>
      <c r="F1112" s="21">
        <f t="shared" si="52"/>
        <v>101.20430107526882</v>
      </c>
      <c r="G1112" s="22">
        <v>0.745988266670635</v>
      </c>
      <c r="H1112" s="18">
        <v>0</v>
      </c>
      <c r="I1112" s="18">
        <f t="shared" si="53"/>
        <v>1</v>
      </c>
      <c r="J1112" s="41">
        <v>42663</v>
      </c>
      <c r="K1112" s="8">
        <v>2016</v>
      </c>
      <c r="L1112" s="32">
        <f t="shared" si="51"/>
        <v>42671</v>
      </c>
      <c r="M1112" s="24">
        <v>1</v>
      </c>
      <c r="N1112" s="33">
        <v>129</v>
      </c>
      <c r="O1112" s="34">
        <f>AVERAGEIF(L3:L1205,"&lt;2016/10/20",N3:N1205)</f>
        <v>84.965116279069761</v>
      </c>
      <c r="P1112" s="38">
        <v>0</v>
      </c>
      <c r="Q1112" s="38">
        <f>AVERAGEIF(L3:L1205,"&lt;2016/10/20",P3:P1205)</f>
        <v>0.47674418604651164</v>
      </c>
      <c r="R1112" s="38">
        <v>1</v>
      </c>
      <c r="S1112" s="38">
        <f>AVERAGEIF(L3:L1205,"&lt;2016/10/20",R3:R1205)</f>
        <v>1.2209302325581395</v>
      </c>
      <c r="T1112" s="38">
        <v>8</v>
      </c>
      <c r="U1112" s="38">
        <f>AVERAGEIF(L3:L1205,"&lt;2016/10/20",T3:T1205)</f>
        <v>10.13953488372093</v>
      </c>
      <c r="V1112" s="24">
        <v>93</v>
      </c>
      <c r="W1112" s="47" t="s">
        <v>4626</v>
      </c>
    </row>
    <row r="1113" spans="1:23">
      <c r="A1113" s="23">
        <v>2</v>
      </c>
      <c r="B1113" s="23">
        <v>13</v>
      </c>
      <c r="C1113" s="18">
        <v>4</v>
      </c>
      <c r="D1113" s="18">
        <v>6</v>
      </c>
      <c r="E1113" s="20">
        <v>397</v>
      </c>
      <c r="F1113" s="21">
        <f t="shared" si="52"/>
        <v>97.989130434782609</v>
      </c>
      <c r="G1113" s="22">
        <v>0.35268656740967702</v>
      </c>
      <c r="H1113" s="18">
        <v>0</v>
      </c>
      <c r="I1113" s="18">
        <f t="shared" si="53"/>
        <v>1</v>
      </c>
      <c r="J1113" s="48">
        <v>42663</v>
      </c>
      <c r="K1113" s="8">
        <v>2016</v>
      </c>
      <c r="L1113" s="32">
        <f t="shared" si="51"/>
        <v>42671</v>
      </c>
      <c r="M1113" s="24">
        <v>0</v>
      </c>
      <c r="N1113" s="33">
        <v>129</v>
      </c>
      <c r="O1113" s="34">
        <f>AVERAGEIF(L3:L1205,"&lt;2016/10/20",N3:N1205)</f>
        <v>84.965116279069761</v>
      </c>
      <c r="P1113" s="38">
        <v>0</v>
      </c>
      <c r="Q1113" s="38">
        <f>AVERAGEIF(L3:L1205,"&lt;2016/10/20",P3:P1205)</f>
        <v>0.47674418604651164</v>
      </c>
      <c r="R1113" s="38">
        <v>1</v>
      </c>
      <c r="S1113" s="38">
        <f>AVERAGEIF(L3:L1205,"&lt;2016/10/20",R3:R1205)</f>
        <v>1.2209302325581395</v>
      </c>
      <c r="T1113" s="38">
        <v>8</v>
      </c>
      <c r="U1113" s="38">
        <f>AVERAGEIF(L3:L1205,"&lt;2016/10/20",T3:T1205)</f>
        <v>10.13953488372093</v>
      </c>
      <c r="V1113" s="24">
        <v>92</v>
      </c>
      <c r="W1113" s="47" t="s">
        <v>4626</v>
      </c>
    </row>
    <row r="1114" spans="1:23">
      <c r="A1114" s="23">
        <v>4</v>
      </c>
      <c r="B1114" s="23">
        <v>29</v>
      </c>
      <c r="C1114" s="18">
        <v>4</v>
      </c>
      <c r="D1114" s="18">
        <v>4</v>
      </c>
      <c r="E1114" s="20">
        <v>23</v>
      </c>
      <c r="F1114" s="21">
        <f t="shared" si="52"/>
        <v>98.813186813186817</v>
      </c>
      <c r="G1114" s="22">
        <v>0.310142560125033</v>
      </c>
      <c r="H1114" s="18">
        <v>1</v>
      </c>
      <c r="I1114" s="18">
        <f t="shared" si="53"/>
        <v>0</v>
      </c>
      <c r="J1114" s="45">
        <v>42663</v>
      </c>
      <c r="K1114" s="8">
        <v>2016</v>
      </c>
      <c r="L1114" s="32">
        <f t="shared" si="51"/>
        <v>42678</v>
      </c>
      <c r="M1114" s="42">
        <v>0</v>
      </c>
      <c r="N1114" s="33">
        <v>158</v>
      </c>
      <c r="O1114" s="34">
        <f>AVERAGEIF(L3:L1205,"&lt;2016/10/20",N3:N1205)</f>
        <v>84.965116279069761</v>
      </c>
      <c r="P1114" s="38">
        <v>1</v>
      </c>
      <c r="Q1114" s="38">
        <f>AVERAGEIF(L3:L1205,"&lt;2016/10/20",P3:P1205)</f>
        <v>0.47674418604651164</v>
      </c>
      <c r="R1114" s="38">
        <v>3</v>
      </c>
      <c r="S1114" s="38">
        <f>AVERAGEIF(L3:L1205,"&lt;2016/10/20",R3:R1205)</f>
        <v>1.2209302325581395</v>
      </c>
      <c r="T1114" s="38">
        <v>15</v>
      </c>
      <c r="U1114" s="38">
        <f>AVERAGEIF(L3:L1205,"&lt;2016/10/20",T3:T1205)</f>
        <v>10.13953488372093</v>
      </c>
      <c r="V1114" s="24">
        <v>91</v>
      </c>
      <c r="W1114" s="47" t="s">
        <v>4563</v>
      </c>
    </row>
    <row r="1115" spans="1:23">
      <c r="A1115" s="23">
        <v>2</v>
      </c>
      <c r="B1115" s="23">
        <v>8</v>
      </c>
      <c r="C1115" s="18">
        <v>4</v>
      </c>
      <c r="D1115" s="18">
        <v>6</v>
      </c>
      <c r="E1115" s="20">
        <v>380</v>
      </c>
      <c r="F1115" s="21">
        <f t="shared" si="52"/>
        <v>95.688888888888883</v>
      </c>
      <c r="G1115" s="22">
        <v>0.36523316010576101</v>
      </c>
      <c r="H1115" s="18">
        <v>1</v>
      </c>
      <c r="I1115" s="18">
        <f t="shared" si="53"/>
        <v>0</v>
      </c>
      <c r="J1115" s="41">
        <v>42661</v>
      </c>
      <c r="K1115" s="8">
        <v>2016</v>
      </c>
      <c r="L1115" s="32">
        <f t="shared" si="51"/>
        <v>42671</v>
      </c>
      <c r="M1115" s="40">
        <v>0</v>
      </c>
      <c r="N1115" s="33">
        <v>77</v>
      </c>
      <c r="O1115" s="34">
        <f>AVERAGEIF(L3:L1205,"&lt;2016/10/18",N3:N1205)</f>
        <v>84.965116279069761</v>
      </c>
      <c r="P1115" s="38">
        <v>0</v>
      </c>
      <c r="Q1115" s="38">
        <f>AVERAGEIF(L3:L1205,"&lt;2016/10/18",P3:P1205)</f>
        <v>0.47674418604651164</v>
      </c>
      <c r="R1115" s="38">
        <v>1</v>
      </c>
      <c r="S1115" s="38">
        <f>AVERAGEIF(L3:L1205,"&lt;2016/10/18",R3:R1205)</f>
        <v>1.2209302325581395</v>
      </c>
      <c r="T1115" s="38">
        <v>10</v>
      </c>
      <c r="U1115" s="38">
        <f>AVERAGEIF(L3:L1205,"&lt;2016/10/18",T3:T1205)</f>
        <v>10.13953488372093</v>
      </c>
      <c r="V1115" s="24">
        <v>90</v>
      </c>
      <c r="W1115" s="47" t="s">
        <v>5024</v>
      </c>
    </row>
    <row r="1116" spans="1:23">
      <c r="A1116" s="23">
        <v>2</v>
      </c>
      <c r="B1116" s="23">
        <v>7</v>
      </c>
      <c r="C1116" s="18">
        <v>4</v>
      </c>
      <c r="D1116" s="18">
        <v>3</v>
      </c>
      <c r="E1116" s="20">
        <v>130</v>
      </c>
      <c r="F1116" s="21">
        <f t="shared" si="52"/>
        <v>95.303370786516851</v>
      </c>
      <c r="G1116" s="22">
        <v>0.83996773369072297</v>
      </c>
      <c r="H1116" s="18">
        <v>1</v>
      </c>
      <c r="I1116" s="18">
        <f t="shared" si="53"/>
        <v>0</v>
      </c>
      <c r="J1116" s="41">
        <v>42655</v>
      </c>
      <c r="K1116" s="8">
        <v>2016</v>
      </c>
      <c r="L1116" s="32">
        <f t="shared" si="51"/>
        <v>42681</v>
      </c>
      <c r="M1116" s="40">
        <v>1</v>
      </c>
      <c r="N1116" s="33">
        <v>81</v>
      </c>
      <c r="O1116" s="34">
        <f>AVERAGEIF(L3:L1205,"&lt;2016/10/12",N3:N1205)</f>
        <v>84.988235294117644</v>
      </c>
      <c r="P1116" s="38">
        <v>2</v>
      </c>
      <c r="Q1116" s="38">
        <f>AVERAGEIF(L3:L1205,"&lt;2016/10/12",P3:P1205)</f>
        <v>0.4823529411764706</v>
      </c>
      <c r="R1116" s="38">
        <v>1</v>
      </c>
      <c r="S1116" s="38">
        <f>AVERAGEIF(L3:L1205,"&lt;2016/10/12",R3:R1205)</f>
        <v>1.223529411764706</v>
      </c>
      <c r="T1116" s="38">
        <v>26</v>
      </c>
      <c r="U1116" s="38">
        <f>AVERAGEIF(L3:L1205,"&lt;2016/10/12",T3:T1205)</f>
        <v>10.094117647058823</v>
      </c>
      <c r="V1116" s="24">
        <v>89</v>
      </c>
      <c r="W1116" s="47" t="s">
        <v>4550</v>
      </c>
    </row>
    <row r="1117" spans="1:23">
      <c r="A1117" s="23">
        <v>2</v>
      </c>
      <c r="B1117" s="23">
        <v>7</v>
      </c>
      <c r="C1117" s="18">
        <v>4</v>
      </c>
      <c r="D1117" s="18">
        <v>3</v>
      </c>
      <c r="E1117" s="20">
        <v>64</v>
      </c>
      <c r="F1117" s="21">
        <f t="shared" si="52"/>
        <v>95.659090909090907</v>
      </c>
      <c r="G1117" s="22">
        <v>0.30991735537304299</v>
      </c>
      <c r="H1117" s="18">
        <v>1</v>
      </c>
      <c r="I1117" s="18">
        <f t="shared" si="53"/>
        <v>0</v>
      </c>
      <c r="J1117" s="41">
        <v>42655</v>
      </c>
      <c r="K1117" s="8">
        <v>2016</v>
      </c>
      <c r="L1117" s="32">
        <f t="shared" si="51"/>
        <v>42667</v>
      </c>
      <c r="M1117" s="40">
        <v>1</v>
      </c>
      <c r="N1117" s="33">
        <v>227</v>
      </c>
      <c r="O1117" s="34">
        <f>AVERAGEIF(L3:L1205,"&lt;2016/10/12",N3:N1205)</f>
        <v>84.988235294117644</v>
      </c>
      <c r="P1117" s="38">
        <v>0</v>
      </c>
      <c r="Q1117" s="38">
        <f>AVERAGEIF(L3:L1205,"&lt;2016/10/12",P3:P1205)</f>
        <v>0.4823529411764706</v>
      </c>
      <c r="R1117" s="38">
        <v>1</v>
      </c>
      <c r="S1117" s="38">
        <f>AVERAGEIF(L3:L1205,"&lt;2016/10/12",R3:R1205)</f>
        <v>1.223529411764706</v>
      </c>
      <c r="T1117" s="38">
        <v>12</v>
      </c>
      <c r="U1117" s="38">
        <f>AVERAGEIF(L3:L1205,"&lt;2016/10/12",T3:T1205)</f>
        <v>10.094117647058823</v>
      </c>
      <c r="V1117" s="24">
        <v>88</v>
      </c>
      <c r="W1117" s="47" t="s">
        <v>4529</v>
      </c>
    </row>
    <row r="1118" spans="1:23">
      <c r="A1118" s="23">
        <v>2</v>
      </c>
      <c r="B1118" s="23">
        <v>7</v>
      </c>
      <c r="C1118" s="18">
        <v>1</v>
      </c>
      <c r="D1118" s="18">
        <v>6</v>
      </c>
      <c r="E1118" s="20">
        <v>64</v>
      </c>
      <c r="F1118" s="21">
        <f t="shared" si="52"/>
        <v>96.022988505747122</v>
      </c>
      <c r="G1118" s="22">
        <v>0.49935020475313202</v>
      </c>
      <c r="H1118" s="18">
        <v>1</v>
      </c>
      <c r="I1118" s="18">
        <f t="shared" si="53"/>
        <v>0</v>
      </c>
      <c r="J1118" s="41">
        <v>42654</v>
      </c>
      <c r="K1118" s="8">
        <v>2016</v>
      </c>
      <c r="L1118" s="32">
        <f t="shared" si="51"/>
        <v>42664</v>
      </c>
      <c r="M1118" s="40">
        <v>1</v>
      </c>
      <c r="N1118" s="33">
        <v>109</v>
      </c>
      <c r="O1118" s="34">
        <f>AVERAGEIF(L3:L1205,"&lt;2016/10/11",N3:N1205)</f>
        <v>84.98795180722891</v>
      </c>
      <c r="P1118" s="38">
        <v>0</v>
      </c>
      <c r="Q1118" s="38">
        <f>AVERAGEIF(L3:L1205,"&lt;2016/10/11",P3:P1205)</f>
        <v>0.44578313253012047</v>
      </c>
      <c r="R1118" s="38">
        <v>1</v>
      </c>
      <c r="S1118" s="38">
        <f>AVERAGEIF(L3:L1205,"&lt;2016/10/11",R3:R1205)</f>
        <v>1.2048192771084338</v>
      </c>
      <c r="T1118" s="38">
        <v>10</v>
      </c>
      <c r="U1118" s="38">
        <f>AVERAGEIF(L3:L1205,"&lt;2016/10/11",T3:T1205)</f>
        <v>9.5662650602409638</v>
      </c>
      <c r="V1118" s="24">
        <v>87</v>
      </c>
      <c r="W1118" s="47" t="s">
        <v>4563</v>
      </c>
    </row>
    <row r="1119" spans="1:23">
      <c r="A1119" s="23">
        <v>4</v>
      </c>
      <c r="B1119" s="23">
        <v>31</v>
      </c>
      <c r="C1119" s="18">
        <v>5</v>
      </c>
      <c r="D1119" s="18">
        <v>6</v>
      </c>
      <c r="E1119" s="20">
        <v>276</v>
      </c>
      <c r="F1119" s="21">
        <f t="shared" si="52"/>
        <v>93.930232558139537</v>
      </c>
      <c r="G1119" s="22">
        <v>0.375</v>
      </c>
      <c r="H1119" s="18">
        <v>1</v>
      </c>
      <c r="I1119" s="18">
        <f t="shared" si="53"/>
        <v>0</v>
      </c>
      <c r="J1119" s="45">
        <v>42651</v>
      </c>
      <c r="K1119" s="8">
        <v>2016</v>
      </c>
      <c r="L1119" s="32">
        <f t="shared" si="51"/>
        <v>42652</v>
      </c>
      <c r="M1119" s="42">
        <v>0</v>
      </c>
      <c r="N1119" s="33">
        <v>207</v>
      </c>
      <c r="O1119" s="34">
        <f>AVERAGEIF(L3:L1205,"&lt;2016/10/8",N3:N1205)</f>
        <v>84.12658227848101</v>
      </c>
      <c r="P1119" s="38">
        <v>0</v>
      </c>
      <c r="Q1119" s="38">
        <f>AVERAGEIF(L3:L1205,"&lt;2016/10/8",P3:P1205)</f>
        <v>0.46835443037974683</v>
      </c>
      <c r="R1119" s="38">
        <v>1</v>
      </c>
      <c r="S1119" s="38">
        <f>AVERAGEIF(L3:L1205,"&lt;2016/10/8",R3:R1205)</f>
        <v>1.2151898734177216</v>
      </c>
      <c r="T1119" s="38">
        <v>1</v>
      </c>
      <c r="U1119" s="38">
        <f>AVERAGEIF(L3:L1205,"&lt;2016/10/8",T3:T1205)</f>
        <v>9.3164556962025316</v>
      </c>
      <c r="V1119" s="24">
        <v>86</v>
      </c>
      <c r="W1119" s="47" t="s">
        <v>4529</v>
      </c>
    </row>
    <row r="1120" spans="1:23">
      <c r="A1120" s="23">
        <v>3</v>
      </c>
      <c r="B1120" s="23">
        <v>22</v>
      </c>
      <c r="C1120" s="18">
        <v>4</v>
      </c>
      <c r="D1120" s="18">
        <v>4</v>
      </c>
      <c r="E1120" s="20">
        <v>36</v>
      </c>
      <c r="F1120" s="21">
        <f t="shared" si="52"/>
        <v>94.611764705882351</v>
      </c>
      <c r="G1120" s="22">
        <v>0.909408875056958</v>
      </c>
      <c r="H1120" s="3">
        <v>1</v>
      </c>
      <c r="I1120" s="18">
        <f t="shared" si="53"/>
        <v>0</v>
      </c>
      <c r="J1120" s="41">
        <v>42646</v>
      </c>
      <c r="K1120" s="8">
        <v>2016</v>
      </c>
      <c r="L1120" s="32">
        <f t="shared" si="51"/>
        <v>42664</v>
      </c>
      <c r="M1120" s="40">
        <v>1</v>
      </c>
      <c r="N1120" s="33">
        <v>69</v>
      </c>
      <c r="O1120" s="34">
        <f>AVERAGEIF(L3:L1205,"&lt;2016/10/3",N3:N1205)</f>
        <v>84.12658227848101</v>
      </c>
      <c r="P1120" s="38">
        <v>1</v>
      </c>
      <c r="Q1120" s="38">
        <f>AVERAGEIF(L3:L1205,"&lt;2016/10/3",P3:P1205)</f>
        <v>0.46835443037974683</v>
      </c>
      <c r="R1120" s="38">
        <v>2</v>
      </c>
      <c r="S1120" s="38">
        <f>AVERAGEIF(L3:L1205,"&lt;2016/10/3",R3:R1205)</f>
        <v>1.2151898734177216</v>
      </c>
      <c r="T1120" s="38">
        <v>18</v>
      </c>
      <c r="U1120" s="38">
        <f>AVERAGEIF(L3:L1205,"&lt;2016/10/3",T3:T1205)</f>
        <v>9.3164556962025316</v>
      </c>
      <c r="V1120" s="24">
        <v>85</v>
      </c>
      <c r="W1120" s="47" t="s">
        <v>4529</v>
      </c>
    </row>
    <row r="1121" spans="1:23">
      <c r="A1121" s="23">
        <v>2</v>
      </c>
      <c r="B1121" s="23">
        <v>6</v>
      </c>
      <c r="C1121" s="18">
        <v>4</v>
      </c>
      <c r="D1121" s="18">
        <v>4</v>
      </c>
      <c r="E1121" s="20">
        <v>75</v>
      </c>
      <c r="F1121" s="21">
        <f t="shared" si="52"/>
        <v>94.845238095238102</v>
      </c>
      <c r="G1121" s="22">
        <v>0.37500317871083899</v>
      </c>
      <c r="H1121" s="18">
        <v>1</v>
      </c>
      <c r="I1121" s="18">
        <f t="shared" si="53"/>
        <v>0</v>
      </c>
      <c r="J1121" s="41">
        <v>42641</v>
      </c>
      <c r="K1121" s="8">
        <v>2016</v>
      </c>
      <c r="L1121" s="32">
        <f t="shared" si="51"/>
        <v>42655</v>
      </c>
      <c r="M1121" s="40">
        <v>0</v>
      </c>
      <c r="N1121" s="33">
        <v>83</v>
      </c>
      <c r="O1121" s="34">
        <f>AVERAGEIF(L3:L1205,"&lt;2016/9/28",N3:N1205)</f>
        <v>84.12658227848101</v>
      </c>
      <c r="P1121" s="38">
        <v>0</v>
      </c>
      <c r="Q1121" s="38">
        <f>AVERAGEIF(L3:L1205,"&lt;2016/9/28",P3:P1205)</f>
        <v>0.46835443037974683</v>
      </c>
      <c r="R1121" s="38">
        <v>1</v>
      </c>
      <c r="S1121" s="38">
        <f>AVERAGEIF(L3:L1205,"&lt;2016/9/28",R3:R1205)</f>
        <v>1.2151898734177216</v>
      </c>
      <c r="T1121" s="38">
        <v>14</v>
      </c>
      <c r="U1121" s="38">
        <f>AVERAGEIF(L3:L1205,"&lt;2016/9/28",T3:T1205)</f>
        <v>9.3164556962025316</v>
      </c>
      <c r="V1121" s="24">
        <v>84</v>
      </c>
      <c r="W1121" s="47" t="s">
        <v>4618</v>
      </c>
    </row>
    <row r="1122" spans="1:23">
      <c r="A1122" s="23">
        <v>2</v>
      </c>
      <c r="B1122" s="23">
        <v>4</v>
      </c>
      <c r="C1122" s="18">
        <v>1</v>
      </c>
      <c r="D1122" s="18">
        <v>6</v>
      </c>
      <c r="E1122" s="20">
        <v>71</v>
      </c>
      <c r="F1122" s="21">
        <f t="shared" si="52"/>
        <v>95.132530120481931</v>
      </c>
      <c r="G1122" s="22">
        <v>0.86257405691973899</v>
      </c>
      <c r="H1122" s="18">
        <v>1</v>
      </c>
      <c r="I1122" s="18">
        <f t="shared" si="53"/>
        <v>0</v>
      </c>
      <c r="J1122" s="50">
        <v>42639</v>
      </c>
      <c r="K1122" s="8">
        <v>2016</v>
      </c>
      <c r="L1122" s="32">
        <f t="shared" si="51"/>
        <v>42653</v>
      </c>
      <c r="M1122" s="40">
        <v>1</v>
      </c>
      <c r="N1122" s="33">
        <v>66</v>
      </c>
      <c r="O1122" s="34">
        <f>AVERAGEIF(L3:L1205,"&lt;2016/9/26",N3:N1205)</f>
        <v>83.974025974025977</v>
      </c>
      <c r="P1122" s="38">
        <v>0</v>
      </c>
      <c r="Q1122" s="38">
        <f>AVERAGEIF(L3:L1205,"&lt;2016/9/26",P3:P1205)</f>
        <v>0.48051948051948051</v>
      </c>
      <c r="R1122" s="38">
        <v>1</v>
      </c>
      <c r="S1122" s="38">
        <f>AVERAGEIF(L3:L1205,"&lt;2016/9/26",R3:R1205)</f>
        <v>1.2207792207792207</v>
      </c>
      <c r="T1122" s="38">
        <v>14</v>
      </c>
      <c r="U1122" s="38">
        <f>AVERAGEIF(L3:L1205,"&lt;2016/9/26",T3:T1205)</f>
        <v>9.2727272727272734</v>
      </c>
      <c r="V1122" s="24">
        <v>83</v>
      </c>
      <c r="W1122" s="47" t="s">
        <v>4542</v>
      </c>
    </row>
    <row r="1123" spans="1:23">
      <c r="A1123" s="17">
        <v>1</v>
      </c>
      <c r="B1123" s="17">
        <v>3</v>
      </c>
      <c r="C1123" s="18">
        <v>4</v>
      </c>
      <c r="D1123" s="18">
        <v>6</v>
      </c>
      <c r="E1123" s="20">
        <v>104</v>
      </c>
      <c r="F1123" s="21">
        <f t="shared" si="52"/>
        <v>95.024390243902445</v>
      </c>
      <c r="G1123" s="22">
        <v>0.41551021920936398</v>
      </c>
      <c r="H1123" s="18">
        <v>1</v>
      </c>
      <c r="I1123" s="18">
        <f t="shared" si="53"/>
        <v>0</v>
      </c>
      <c r="J1123" s="41">
        <v>42637</v>
      </c>
      <c r="K1123" s="8">
        <v>2016</v>
      </c>
      <c r="L1123" s="32">
        <f t="shared" si="51"/>
        <v>42653</v>
      </c>
      <c r="M1123" s="24">
        <v>0</v>
      </c>
      <c r="N1123" s="33">
        <v>57</v>
      </c>
      <c r="O1123" s="34">
        <f>AVERAGEIF(L3:L1205,"&lt;2016/9/24",N3:N1205)</f>
        <v>83.974025974025977</v>
      </c>
      <c r="P1123" s="24">
        <v>0</v>
      </c>
      <c r="Q1123" s="24">
        <f>AVERAGEIF(L3:L1205,"&lt;2016/9/24",P3:P1205)</f>
        <v>0.48051948051948051</v>
      </c>
      <c r="R1123" s="24">
        <v>1</v>
      </c>
      <c r="S1123" s="24">
        <f>AVERAGEIF(L3:L1205,"&lt;2016/9/24",R3:R1205)</f>
        <v>1.2207792207792207</v>
      </c>
      <c r="T1123" s="24">
        <v>16</v>
      </c>
      <c r="U1123" s="24">
        <f>AVERAGEIF(L3:L1205,"&lt;2016/9/24",T3:T1205)</f>
        <v>9.2727272727272734</v>
      </c>
      <c r="V1123" s="24">
        <v>82</v>
      </c>
      <c r="W1123" s="47" t="s">
        <v>4529</v>
      </c>
    </row>
    <row r="1124" spans="1:23">
      <c r="A1124" s="23">
        <v>2</v>
      </c>
      <c r="B1124" s="23">
        <v>4</v>
      </c>
      <c r="C1124" s="18">
        <v>5</v>
      </c>
      <c r="D1124" s="18">
        <v>6</v>
      </c>
      <c r="E1124" s="20">
        <v>90</v>
      </c>
      <c r="F1124" s="21">
        <f t="shared" si="52"/>
        <v>95.086419753086417</v>
      </c>
      <c r="G1124" s="22">
        <v>0.36920354395166999</v>
      </c>
      <c r="H1124" s="18">
        <v>0</v>
      </c>
      <c r="I1124" s="18">
        <f t="shared" si="53"/>
        <v>1</v>
      </c>
      <c r="J1124" s="41">
        <v>42635</v>
      </c>
      <c r="K1124" s="8">
        <v>2016</v>
      </c>
      <c r="L1124" s="32">
        <f t="shared" si="51"/>
        <v>42636</v>
      </c>
      <c r="M1124" s="40">
        <v>1</v>
      </c>
      <c r="N1124" s="33">
        <v>65</v>
      </c>
      <c r="O1124" s="34">
        <f>AVERAGEIF(L3:L1205,"&lt;2016/9/22",N3:N1205)</f>
        <v>82.918918918918919</v>
      </c>
      <c r="P1124" s="38">
        <v>0</v>
      </c>
      <c r="Q1124" s="38">
        <f>AVERAGEIF(L3:L1205,"&lt;2016/9/22",P3:P1205)</f>
        <v>0.48648648648648651</v>
      </c>
      <c r="R1124" s="38">
        <v>1</v>
      </c>
      <c r="S1124" s="38">
        <f>AVERAGEIF(L3:L1205,"&lt;2016/9/22",R3:R1205)</f>
        <v>1.2297297297297298</v>
      </c>
      <c r="T1124" s="38">
        <v>1</v>
      </c>
      <c r="U1124" s="38">
        <f>AVERAGEIF(L3:L1205,"&lt;2016/9/28",T3:T1205)</f>
        <v>9.3164556962025316</v>
      </c>
      <c r="V1124" s="24">
        <v>81</v>
      </c>
      <c r="W1124" s="47" t="s">
        <v>4564</v>
      </c>
    </row>
    <row r="1125" spans="1:23">
      <c r="A1125" s="23">
        <v>4</v>
      </c>
      <c r="B1125" s="23">
        <v>31</v>
      </c>
      <c r="C1125" s="18">
        <v>4</v>
      </c>
      <c r="D1125" s="18">
        <v>6</v>
      </c>
      <c r="E1125" s="20">
        <v>194</v>
      </c>
      <c r="F1125" s="21">
        <f t="shared" si="52"/>
        <v>93.85</v>
      </c>
      <c r="G1125" s="22">
        <v>0.41250000000000198</v>
      </c>
      <c r="H1125" s="18">
        <v>1</v>
      </c>
      <c r="I1125" s="18">
        <f t="shared" si="53"/>
        <v>0</v>
      </c>
      <c r="J1125" s="45">
        <v>42631</v>
      </c>
      <c r="K1125" s="8">
        <v>2016</v>
      </c>
      <c r="L1125" s="32">
        <f t="shared" si="51"/>
        <v>42636</v>
      </c>
      <c r="M1125" s="42">
        <v>0</v>
      </c>
      <c r="N1125" s="33">
        <v>175</v>
      </c>
      <c r="O1125" s="34">
        <f>AVERAGEIF(L3:L1205,"&lt;2016/9/18",N3:N1205)</f>
        <v>84.07352941176471</v>
      </c>
      <c r="P1125" s="38">
        <v>1</v>
      </c>
      <c r="Q1125" s="38">
        <f>AVERAGEIF(L3:L1205,"&lt;2016/9/18",P3:P1205)</f>
        <v>0.51470588235294112</v>
      </c>
      <c r="R1125" s="38">
        <v>1</v>
      </c>
      <c r="S1125" s="38">
        <f>AVERAGEIF(L3:L1205,"&lt;2016/9/18",R3:R1205)</f>
        <v>1.2352941176470589</v>
      </c>
      <c r="T1125" s="38">
        <v>5</v>
      </c>
      <c r="U1125" s="38">
        <f>AVERAGEIF(L3:L1205,"&lt;2016/9/18",T3:T1205)</f>
        <v>9.264705882352942</v>
      </c>
      <c r="V1125" s="24">
        <v>80</v>
      </c>
      <c r="W1125" s="47" t="s">
        <v>4626</v>
      </c>
    </row>
    <row r="1126" spans="1:23">
      <c r="A1126" s="23">
        <v>2</v>
      </c>
      <c r="B1126" s="23">
        <v>6</v>
      </c>
      <c r="C1126" s="18">
        <v>4</v>
      </c>
      <c r="D1126" s="18">
        <v>6</v>
      </c>
      <c r="E1126" s="20">
        <v>129</v>
      </c>
      <c r="F1126" s="21">
        <f t="shared" si="52"/>
        <v>93.405063291139243</v>
      </c>
      <c r="G1126" s="22">
        <v>0.76657671769421998</v>
      </c>
      <c r="H1126" s="18">
        <v>1</v>
      </c>
      <c r="I1126" s="18">
        <f t="shared" si="53"/>
        <v>0</v>
      </c>
      <c r="J1126" s="41">
        <v>42629</v>
      </c>
      <c r="K1126" s="8">
        <v>2016</v>
      </c>
      <c r="L1126" s="32">
        <f t="shared" si="51"/>
        <v>42640</v>
      </c>
      <c r="M1126" s="40">
        <v>0</v>
      </c>
      <c r="N1126" s="33">
        <v>83</v>
      </c>
      <c r="O1126" s="34">
        <f>AVERAGEIF(L3:L1205,"&lt;2016/9/16",N3:N1205)</f>
        <v>84.07352941176471</v>
      </c>
      <c r="P1126" s="38">
        <v>0</v>
      </c>
      <c r="Q1126" s="38">
        <f>AVERAGEIF(L3:L1205,"&lt;2016/9/16",P3:P1205)</f>
        <v>0.51470588235294112</v>
      </c>
      <c r="R1126" s="38">
        <v>1</v>
      </c>
      <c r="S1126" s="4">
        <f>AVERAGEIF(L3:L1205,"&lt;2016/9/16",R3:R1205)</f>
        <v>1.2352941176470589</v>
      </c>
      <c r="T1126" s="38">
        <v>11</v>
      </c>
      <c r="U1126" s="38">
        <f>AVERAGEIF(L3:L1205,"&lt;2016/9/16",T3:T1205)</f>
        <v>9.264705882352942</v>
      </c>
      <c r="V1126" s="24">
        <v>79</v>
      </c>
      <c r="W1126" s="47" t="s">
        <v>4630</v>
      </c>
    </row>
    <row r="1127" spans="1:23">
      <c r="A1127" s="23">
        <v>2</v>
      </c>
      <c r="B1127" s="23">
        <v>6</v>
      </c>
      <c r="C1127" s="18">
        <v>4</v>
      </c>
      <c r="D1127" s="18">
        <v>4</v>
      </c>
      <c r="E1127" s="20">
        <v>73</v>
      </c>
      <c r="F1127" s="21">
        <f t="shared" si="52"/>
        <v>93.666666666666671</v>
      </c>
      <c r="G1127" s="22">
        <v>0.37501264706166998</v>
      </c>
      <c r="H1127" s="18">
        <v>1</v>
      </c>
      <c r="I1127" s="18">
        <f t="shared" si="53"/>
        <v>0</v>
      </c>
      <c r="J1127" s="41">
        <v>42629</v>
      </c>
      <c r="K1127" s="8">
        <v>2016</v>
      </c>
      <c r="L1127" s="32">
        <f t="shared" si="51"/>
        <v>42640</v>
      </c>
      <c r="M1127" s="40">
        <v>0</v>
      </c>
      <c r="N1127" s="33">
        <v>97</v>
      </c>
      <c r="O1127" s="34">
        <f>AVERAGEIF(L3:L1205,"&lt;2016/9/16",N3:N1205)</f>
        <v>84.07352941176471</v>
      </c>
      <c r="P1127" s="38">
        <v>0</v>
      </c>
      <c r="Q1127" s="38">
        <f>AVERAGEIF(L3:L1205,"&lt;2016/9/16",P3:P1205)</f>
        <v>0.51470588235294112</v>
      </c>
      <c r="R1127" s="38">
        <v>1</v>
      </c>
      <c r="S1127" s="38">
        <f>AVERAGEIF(L3:L1205,"&lt;2016/9/16",R3:R1205)</f>
        <v>1.2352941176470589</v>
      </c>
      <c r="T1127" s="38">
        <v>11</v>
      </c>
      <c r="U1127" s="38">
        <f>AVERAGEIF(L3:L1205,"&lt;2016/9/16",T3:T1205)</f>
        <v>9.264705882352942</v>
      </c>
      <c r="V1127" s="24">
        <v>78</v>
      </c>
      <c r="W1127" s="47" t="s">
        <v>4630</v>
      </c>
    </row>
    <row r="1128" spans="1:23">
      <c r="A1128" s="17">
        <v>1</v>
      </c>
      <c r="B1128" s="17">
        <v>1</v>
      </c>
      <c r="C1128" s="18">
        <v>4</v>
      </c>
      <c r="D1128" s="18">
        <v>6</v>
      </c>
      <c r="E1128" s="20">
        <v>19</v>
      </c>
      <c r="F1128" s="21">
        <f t="shared" si="52"/>
        <v>94.63636363636364</v>
      </c>
      <c r="G1128" s="22">
        <v>0.48572820313968901</v>
      </c>
      <c r="H1128" s="18">
        <v>1</v>
      </c>
      <c r="I1128" s="18">
        <f t="shared" si="53"/>
        <v>0</v>
      </c>
      <c r="J1128" s="41">
        <v>42626</v>
      </c>
      <c r="K1128" s="8">
        <v>2016</v>
      </c>
      <c r="L1128" s="32">
        <f t="shared" si="51"/>
        <v>42633</v>
      </c>
      <c r="M1128" s="40">
        <v>0</v>
      </c>
      <c r="N1128" s="33">
        <v>53</v>
      </c>
      <c r="O1128" s="34">
        <f>AVERAGEIF(L3:L1205,"&lt;2016/9/13",N3:N1205)</f>
        <v>87.583333333333329</v>
      </c>
      <c r="P1128" s="24">
        <v>0</v>
      </c>
      <c r="Q1128" s="24">
        <f>AVERAGEIF(L3:L1205,"&lt;2016/9/13",P3:P1205)</f>
        <v>0.55000000000000004</v>
      </c>
      <c r="R1128" s="24">
        <v>1</v>
      </c>
      <c r="S1128" s="24">
        <f>AVERAGEIF(L3:L1205,"&lt;2016/9/13",R3:R1205)</f>
        <v>1.2666666666666666</v>
      </c>
      <c r="T1128" s="24">
        <v>7</v>
      </c>
      <c r="U1128" s="24">
        <f>AVERAGEIF(L3:L1205,"&lt;2016/9/13",T3:T1205)</f>
        <v>9.7833333333333332</v>
      </c>
      <c r="V1128" s="24">
        <v>77</v>
      </c>
      <c r="W1128" s="47" t="s">
        <v>4529</v>
      </c>
    </row>
    <row r="1129" spans="1:23">
      <c r="A1129" s="17">
        <v>1</v>
      </c>
      <c r="B1129" s="17">
        <v>1</v>
      </c>
      <c r="C1129" s="18">
        <v>4</v>
      </c>
      <c r="D1129" s="18">
        <v>6</v>
      </c>
      <c r="E1129" s="20">
        <v>38</v>
      </c>
      <c r="F1129" s="21">
        <f t="shared" si="52"/>
        <v>95.381578947368425</v>
      </c>
      <c r="G1129" s="22">
        <v>0.42281747390850599</v>
      </c>
      <c r="H1129" s="18">
        <v>1</v>
      </c>
      <c r="I1129" s="18">
        <f t="shared" si="53"/>
        <v>0</v>
      </c>
      <c r="J1129" s="41">
        <v>42626</v>
      </c>
      <c r="K1129" s="8">
        <v>2016</v>
      </c>
      <c r="L1129" s="32">
        <f t="shared" si="51"/>
        <v>42633</v>
      </c>
      <c r="M1129" s="24">
        <v>0</v>
      </c>
      <c r="N1129" s="33">
        <v>53</v>
      </c>
      <c r="O1129" s="34">
        <f>AVERAGEIF(L3:L1205,"&lt;2016/9/13",N3:N1205)</f>
        <v>87.583333333333329</v>
      </c>
      <c r="P1129" s="24">
        <v>0</v>
      </c>
      <c r="Q1129" s="24">
        <f>AVERAGEIF(L3:L1205,"&lt;2016/9/13",P3:P1205)</f>
        <v>0.55000000000000004</v>
      </c>
      <c r="R1129" s="24">
        <v>1</v>
      </c>
      <c r="S1129" s="24">
        <f>AVERAGEIF(L3:L1205,"&lt;2016/9/13",R3:R1205)</f>
        <v>1.2666666666666666</v>
      </c>
      <c r="T1129" s="24">
        <v>7</v>
      </c>
      <c r="U1129" s="24">
        <f>AVERAGEIF(L3:L1205,"&lt;2016/9/13",T3:T1205)</f>
        <v>9.7833333333333332</v>
      </c>
      <c r="V1129" s="24">
        <v>76</v>
      </c>
      <c r="W1129" s="47" t="s">
        <v>4529</v>
      </c>
    </row>
    <row r="1130" spans="1:23">
      <c r="A1130" s="17">
        <v>1</v>
      </c>
      <c r="B1130" s="17">
        <v>1</v>
      </c>
      <c r="C1130" s="18">
        <v>4</v>
      </c>
      <c r="D1130" s="18">
        <v>6</v>
      </c>
      <c r="E1130" s="20">
        <v>35</v>
      </c>
      <c r="F1130" s="21">
        <f t="shared" si="52"/>
        <v>96.186666666666667</v>
      </c>
      <c r="G1130" s="22">
        <v>0.41265691082060801</v>
      </c>
      <c r="H1130" s="18">
        <v>1</v>
      </c>
      <c r="I1130" s="18">
        <f t="shared" si="53"/>
        <v>0</v>
      </c>
      <c r="J1130" s="41">
        <v>42626</v>
      </c>
      <c r="K1130" s="8">
        <v>2016</v>
      </c>
      <c r="L1130" s="32">
        <f t="shared" si="51"/>
        <v>42653</v>
      </c>
      <c r="M1130" s="24">
        <v>0</v>
      </c>
      <c r="N1130" s="33">
        <v>78</v>
      </c>
      <c r="O1130" s="34">
        <f>AVERAGEIF(L3:L1205,"&lt;2016/9/13",N3:N1205)</f>
        <v>87.583333333333329</v>
      </c>
      <c r="P1130" s="24">
        <v>0</v>
      </c>
      <c r="Q1130" s="24">
        <f>AVERAGEIF(L3:L1205,"&lt;2016/9/13",P3:P1205)</f>
        <v>0.55000000000000004</v>
      </c>
      <c r="R1130" s="24">
        <v>1</v>
      </c>
      <c r="S1130" s="24">
        <f>AVERAGEIF(L3:L1205,"&lt;2016/9/13",R3:R1205)</f>
        <v>1.2666666666666666</v>
      </c>
      <c r="T1130" s="24">
        <v>27</v>
      </c>
      <c r="U1130" s="24">
        <f>AVERAGEIF(L3:L1205,"&lt;2016/9/13",T3:T1205)</f>
        <v>9.7833333333333332</v>
      </c>
      <c r="V1130" s="24">
        <v>75</v>
      </c>
      <c r="W1130" s="47" t="s">
        <v>4529</v>
      </c>
    </row>
    <row r="1131" spans="1:23">
      <c r="A1131" s="17">
        <v>1</v>
      </c>
      <c r="B1131" s="17">
        <v>1</v>
      </c>
      <c r="C1131" s="18">
        <v>4</v>
      </c>
      <c r="D1131" s="18">
        <v>6</v>
      </c>
      <c r="E1131" s="20">
        <v>38</v>
      </c>
      <c r="F1131" s="21">
        <f t="shared" si="52"/>
        <v>96.972972972972968</v>
      </c>
      <c r="G1131" s="22">
        <v>0.57147796978676302</v>
      </c>
      <c r="H1131" s="18">
        <v>1</v>
      </c>
      <c r="I1131" s="18">
        <f t="shared" si="53"/>
        <v>0</v>
      </c>
      <c r="J1131" s="41">
        <v>42625</v>
      </c>
      <c r="K1131" s="8">
        <v>2016</v>
      </c>
      <c r="L1131" s="32">
        <f t="shared" si="51"/>
        <v>42633</v>
      </c>
      <c r="M1131" s="24">
        <v>0</v>
      </c>
      <c r="N1131" s="33">
        <v>53</v>
      </c>
      <c r="O1131" s="34">
        <f>AVERAGEIF(L3:L1205,"&lt;2016/9/12",N3:N1205)</f>
        <v>88.271186440677965</v>
      </c>
      <c r="P1131" s="24">
        <v>0</v>
      </c>
      <c r="Q1131" s="24">
        <f>AVERAGEIF(L3:L1205,"&lt;2016/9/12",P3:P1205)</f>
        <v>0.55932203389830504</v>
      </c>
      <c r="R1131" s="24">
        <v>1</v>
      </c>
      <c r="S1131" s="24">
        <f>AVERAGEIF(L3:L1205,"&lt;2016/9/12",R3:R1205)</f>
        <v>1.271186440677966</v>
      </c>
      <c r="T1131" s="24">
        <v>8</v>
      </c>
      <c r="U1131" s="24">
        <f>AVERAGEIF(L3:L1205,"&lt;2016/9/12",T3:T1205)</f>
        <v>9.9491525423728806</v>
      </c>
      <c r="V1131" s="24">
        <v>74</v>
      </c>
      <c r="W1131" s="47" t="s">
        <v>4618</v>
      </c>
    </row>
    <row r="1132" spans="1:23">
      <c r="A1132" s="17">
        <v>1</v>
      </c>
      <c r="B1132" s="17">
        <v>1</v>
      </c>
      <c r="C1132" s="18">
        <v>4</v>
      </c>
      <c r="D1132" s="18">
        <v>6</v>
      </c>
      <c r="E1132" s="20">
        <v>31</v>
      </c>
      <c r="F1132" s="21">
        <f t="shared" si="52"/>
        <v>97.876712328767127</v>
      </c>
      <c r="G1132" s="22">
        <v>0.53023962415188997</v>
      </c>
      <c r="H1132" s="18">
        <v>1</v>
      </c>
      <c r="I1132" s="18">
        <f t="shared" si="53"/>
        <v>0</v>
      </c>
      <c r="J1132" s="41">
        <v>42625</v>
      </c>
      <c r="K1132" s="8">
        <v>2016</v>
      </c>
      <c r="L1132" s="32">
        <f t="shared" si="51"/>
        <v>42633</v>
      </c>
      <c r="M1132" s="40">
        <v>0</v>
      </c>
      <c r="N1132" s="33">
        <v>53</v>
      </c>
      <c r="O1132" s="34">
        <f>AVERAGEIF(L3:L1205,"&lt;2016/9/12",N3:N1205)</f>
        <v>88.271186440677965</v>
      </c>
      <c r="P1132" s="24">
        <v>0</v>
      </c>
      <c r="Q1132" s="24">
        <f>AVERAGEIF(L3:L1205,"&lt;2016/9/12",P3:P1205)</f>
        <v>0.55932203389830504</v>
      </c>
      <c r="R1132" s="24">
        <v>1</v>
      </c>
      <c r="S1132" s="24">
        <f>AVERAGEIF(L3:L1205,"&lt;2016/9/12",R3:R1205)</f>
        <v>1.271186440677966</v>
      </c>
      <c r="T1132" s="24">
        <v>8</v>
      </c>
      <c r="U1132" s="24">
        <f>AVERAGEIF(L3:L1205,"&lt;2016/9/12",T3:T1205)</f>
        <v>9.9491525423728806</v>
      </c>
      <c r="V1132" s="24">
        <v>73</v>
      </c>
      <c r="W1132" s="47" t="s">
        <v>4529</v>
      </c>
    </row>
    <row r="1133" spans="1:23">
      <c r="A1133" s="17">
        <v>1</v>
      </c>
      <c r="B1133" s="17">
        <v>1</v>
      </c>
      <c r="C1133" s="18">
        <v>4</v>
      </c>
      <c r="D1133" s="18">
        <v>6</v>
      </c>
      <c r="E1133" s="20">
        <v>34</v>
      </c>
      <c r="F1133" s="21">
        <f t="shared" si="52"/>
        <v>98.763888888888886</v>
      </c>
      <c r="G1133" s="22">
        <v>0.43136504365839801</v>
      </c>
      <c r="H1133" s="18">
        <v>1</v>
      </c>
      <c r="I1133" s="18">
        <f t="shared" si="53"/>
        <v>0</v>
      </c>
      <c r="J1133" s="41">
        <v>42625</v>
      </c>
      <c r="K1133" s="8">
        <v>2016</v>
      </c>
      <c r="L1133" s="32">
        <f t="shared" si="51"/>
        <v>42627</v>
      </c>
      <c r="M1133" s="24">
        <v>0</v>
      </c>
      <c r="N1133" s="33">
        <v>55</v>
      </c>
      <c r="O1133" s="34">
        <f>AVERAGEIF(L3:L1205,"&lt;2016/9/12",N3:N1205)</f>
        <v>88.271186440677965</v>
      </c>
      <c r="P1133" s="24">
        <v>0</v>
      </c>
      <c r="Q1133" s="24">
        <f>AVERAGEIF(L3:L1205,"&lt;2016/9/12",P3:P1205)</f>
        <v>0.55932203389830504</v>
      </c>
      <c r="R1133" s="24">
        <v>1</v>
      </c>
      <c r="S1133" s="24">
        <f>AVERAGEIF(L3:L1205,"&lt;2016/9/12",R3:R1205)</f>
        <v>1.271186440677966</v>
      </c>
      <c r="T1133" s="24">
        <v>2</v>
      </c>
      <c r="U1133" s="24">
        <f>AVERAGEIF(L3:L1205,"&lt;2016/9/12",T3:T1205)</f>
        <v>9.9491525423728806</v>
      </c>
      <c r="V1133" s="24">
        <v>72</v>
      </c>
      <c r="W1133" s="47" t="s">
        <v>4529</v>
      </c>
    </row>
    <row r="1134" spans="1:23">
      <c r="A1134" s="17">
        <v>1</v>
      </c>
      <c r="B1134" s="17">
        <v>1</v>
      </c>
      <c r="C1134" s="18">
        <v>4</v>
      </c>
      <c r="D1134" s="18">
        <v>6</v>
      </c>
      <c r="E1134" s="20">
        <v>41</v>
      </c>
      <c r="F1134" s="21">
        <f t="shared" si="52"/>
        <v>99.577464788732399</v>
      </c>
      <c r="G1134" s="22">
        <v>0.41601020863551202</v>
      </c>
      <c r="H1134" s="18">
        <v>1</v>
      </c>
      <c r="I1134" s="18">
        <f t="shared" si="53"/>
        <v>0</v>
      </c>
      <c r="J1134" s="41">
        <v>42625</v>
      </c>
      <c r="K1134" s="8">
        <v>2016</v>
      </c>
      <c r="L1134" s="32">
        <f t="shared" si="51"/>
        <v>42625</v>
      </c>
      <c r="M1134" s="24">
        <v>0</v>
      </c>
      <c r="N1134" s="33">
        <v>47</v>
      </c>
      <c r="O1134" s="34">
        <f>AVERAGEIF(L3:L1205,"&lt;2016/9/12",N3:N1205)</f>
        <v>88.271186440677965</v>
      </c>
      <c r="P1134" s="24">
        <v>0</v>
      </c>
      <c r="Q1134" s="24">
        <f>AVERAGEIF(L3:L1205,"&lt;2016/9/12",P3:P1205)</f>
        <v>0.55932203389830504</v>
      </c>
      <c r="R1134" s="24">
        <v>1</v>
      </c>
      <c r="S1134" s="24">
        <f>AVERAGEIF(L3:L1205,"&lt;2016/9/12",R3:R1205)</f>
        <v>1.271186440677966</v>
      </c>
      <c r="T1134" s="24">
        <v>0</v>
      </c>
      <c r="U1134" s="24">
        <f>AVERAGEIF(L3:L1205,"&lt;2016/9/12",T3:T1205)</f>
        <v>9.9491525423728806</v>
      </c>
      <c r="V1134" s="24">
        <v>71</v>
      </c>
      <c r="W1134" s="47" t="s">
        <v>4529</v>
      </c>
    </row>
    <row r="1135" spans="1:23">
      <c r="A1135" s="17">
        <v>1</v>
      </c>
      <c r="B1135" s="17">
        <v>1</v>
      </c>
      <c r="C1135" s="18">
        <v>4</v>
      </c>
      <c r="D1135" s="18">
        <v>6</v>
      </c>
      <c r="E1135" s="20">
        <v>12</v>
      </c>
      <c r="F1135" s="21">
        <f t="shared" si="52"/>
        <v>100.82857142857142</v>
      </c>
      <c r="G1135" s="22">
        <v>0.46631527494403702</v>
      </c>
      <c r="H1135" s="18">
        <v>1</v>
      </c>
      <c r="I1135" s="18">
        <f t="shared" si="53"/>
        <v>0</v>
      </c>
      <c r="J1135" s="41">
        <v>42623</v>
      </c>
      <c r="K1135" s="8">
        <v>2016</v>
      </c>
      <c r="L1135" s="32">
        <f t="shared" si="51"/>
        <v>42627</v>
      </c>
      <c r="M1135" s="40">
        <v>0</v>
      </c>
      <c r="N1135" s="33">
        <v>54</v>
      </c>
      <c r="O1135" s="34">
        <f>AVERAGEIF(L3:L1205,"&lt;2016/9/10",N3:N1205)</f>
        <v>88.327586206896555</v>
      </c>
      <c r="P1135" s="24">
        <v>0</v>
      </c>
      <c r="Q1135" s="24">
        <f>AVERAGEIF(L3:L1205,"&lt;2016/9/10",P3:P1205)</f>
        <v>0.53448275862068961</v>
      </c>
      <c r="R1135" s="24">
        <v>1</v>
      </c>
      <c r="S1135" s="24">
        <f>AVERAGEIF(L3:L1205,"&lt;2016/9/10",R3:R1205)</f>
        <v>1.2586206896551724</v>
      </c>
      <c r="T1135" s="24">
        <v>4</v>
      </c>
      <c r="U1135" s="24">
        <f>AVERAGEIF(L3:L1205,"&lt;2016/9/10",T3:T1205)</f>
        <v>10.086206896551724</v>
      </c>
      <c r="V1135" s="24">
        <v>70</v>
      </c>
      <c r="W1135" s="47" t="s">
        <v>4529</v>
      </c>
    </row>
    <row r="1136" spans="1:23">
      <c r="A1136" s="23">
        <v>2</v>
      </c>
      <c r="B1136" s="23">
        <v>7</v>
      </c>
      <c r="C1136" s="18">
        <v>4</v>
      </c>
      <c r="D1136" s="18">
        <v>6</v>
      </c>
      <c r="E1136" s="20">
        <v>382</v>
      </c>
      <c r="F1136" s="21">
        <f t="shared" si="52"/>
        <v>96.753623188405797</v>
      </c>
      <c r="G1136" s="22">
        <v>0.50365794495540395</v>
      </c>
      <c r="H1136" s="18">
        <v>1</v>
      </c>
      <c r="I1136" s="18">
        <f t="shared" si="53"/>
        <v>0</v>
      </c>
      <c r="J1136" s="41">
        <v>42622</v>
      </c>
      <c r="K1136" s="8">
        <v>2016</v>
      </c>
      <c r="L1136" s="32">
        <f t="shared" si="51"/>
        <v>42654</v>
      </c>
      <c r="M1136" s="40">
        <v>1</v>
      </c>
      <c r="N1136" s="33">
        <v>85</v>
      </c>
      <c r="O1136" s="34">
        <f>AVERAGEIF(L3:L1205,"&lt;2016/9/9",N3:N1205)</f>
        <v>88.327586206896555</v>
      </c>
      <c r="P1136" s="38">
        <v>2</v>
      </c>
      <c r="Q1136" s="38">
        <f>AVERAGEIF(L3:L1205,"&lt;2016/9/9",P3:P1205)</f>
        <v>0.53448275862068961</v>
      </c>
      <c r="R1136" s="38">
        <v>2</v>
      </c>
      <c r="S1136" s="38">
        <f>AVERAGEIF(L3:L1205,"&lt;2016/9/9",R3:R1205)</f>
        <v>1.2586206896551724</v>
      </c>
      <c r="T1136" s="38">
        <v>32</v>
      </c>
      <c r="U1136" s="38">
        <f>AVERAGEIF(L3:L1205,"&lt;2016/9/9",T3:T1205)</f>
        <v>10.086206896551724</v>
      </c>
      <c r="V1136" s="24">
        <v>69</v>
      </c>
      <c r="W1136" s="47" t="s">
        <v>4634</v>
      </c>
    </row>
    <row r="1137" spans="1:23">
      <c r="A1137" s="23">
        <v>2</v>
      </c>
      <c r="B1137" s="23">
        <v>8</v>
      </c>
      <c r="C1137" s="18">
        <v>4</v>
      </c>
      <c r="D1137" s="18">
        <v>6</v>
      </c>
      <c r="E1137" s="20">
        <v>382</v>
      </c>
      <c r="F1137" s="21">
        <f t="shared" si="52"/>
        <v>92.558823529411768</v>
      </c>
      <c r="G1137" s="22">
        <v>0.39160749842525799</v>
      </c>
      <c r="H1137" s="18">
        <v>1</v>
      </c>
      <c r="I1137" s="18">
        <f t="shared" si="53"/>
        <v>0</v>
      </c>
      <c r="J1137" s="41">
        <v>42622</v>
      </c>
      <c r="K1137" s="8">
        <v>2016</v>
      </c>
      <c r="L1137" s="32">
        <f t="shared" si="51"/>
        <v>42624</v>
      </c>
      <c r="M1137" s="40">
        <v>1</v>
      </c>
      <c r="N1137" s="33">
        <v>85</v>
      </c>
      <c r="O1137" s="34">
        <f>AVERAGEIF(L3:L1205,"&lt;2016/9/9",N3:N1205)</f>
        <v>88.327586206896555</v>
      </c>
      <c r="P1137" s="38">
        <v>2</v>
      </c>
      <c r="Q1137" s="38">
        <f>AVERAGEIF(L3:L1205,"&lt;2016/9/9",P3:P1205)</f>
        <v>0.53448275862068961</v>
      </c>
      <c r="R1137" s="38">
        <v>2</v>
      </c>
      <c r="S1137" s="38">
        <f>AVERAGEIF(L3:L1205,"&lt;2016/9/9",R3:R1205)</f>
        <v>1.2586206896551724</v>
      </c>
      <c r="T1137" s="38">
        <v>2</v>
      </c>
      <c r="U1137" s="38">
        <f>AVERAGEIF(L3:L1205,"&lt;2016/9/9",T3:T1205)</f>
        <v>10.086206896551724</v>
      </c>
      <c r="V1137" s="24">
        <v>68</v>
      </c>
      <c r="W1137" s="47" t="s">
        <v>4634</v>
      </c>
    </row>
    <row r="1138" spans="1:23">
      <c r="A1138" s="23">
        <v>2</v>
      </c>
      <c r="B1138" s="23">
        <v>10</v>
      </c>
      <c r="C1138" s="18">
        <v>4</v>
      </c>
      <c r="D1138" s="18">
        <v>6</v>
      </c>
      <c r="E1138" s="20">
        <v>381</v>
      </c>
      <c r="F1138" s="21">
        <f t="shared" si="52"/>
        <v>88.253731343283576</v>
      </c>
      <c r="G1138" s="22">
        <v>0.30995183635998402</v>
      </c>
      <c r="H1138" s="18">
        <v>1</v>
      </c>
      <c r="I1138" s="18">
        <f t="shared" si="53"/>
        <v>0</v>
      </c>
      <c r="J1138" s="41">
        <v>42622</v>
      </c>
      <c r="K1138" s="8">
        <v>2016</v>
      </c>
      <c r="L1138" s="32">
        <f t="shared" si="51"/>
        <v>42654</v>
      </c>
      <c r="M1138" s="40">
        <v>1</v>
      </c>
      <c r="N1138" s="33">
        <v>85</v>
      </c>
      <c r="O1138" s="34">
        <f>AVERAGEIF(L3:L1205,"&lt;2016/9/9",N3:N1205)</f>
        <v>88.327586206896555</v>
      </c>
      <c r="P1138" s="38">
        <v>2</v>
      </c>
      <c r="Q1138" s="38">
        <f>AVERAGEIF(L3:L1205,"&lt;2016/9/9",P3:P1205)</f>
        <v>0.53448275862068961</v>
      </c>
      <c r="R1138" s="38">
        <v>2</v>
      </c>
      <c r="S1138" s="38">
        <f>AVERAGEIF(L3:L1205,"&lt;2016/9/9",R3:R1205)</f>
        <v>1.2586206896551724</v>
      </c>
      <c r="T1138" s="38">
        <v>32</v>
      </c>
      <c r="U1138" s="38">
        <f>AVERAGEIF(L3:L1205,"&lt;2016/9/9",T3:T1205)</f>
        <v>10.086206896551724</v>
      </c>
      <c r="V1138" s="24">
        <v>67</v>
      </c>
      <c r="W1138" s="47" t="s">
        <v>4634</v>
      </c>
    </row>
    <row r="1139" spans="1:23">
      <c r="A1139" s="23">
        <v>2</v>
      </c>
      <c r="B1139" s="23">
        <v>12</v>
      </c>
      <c r="C1139" s="18">
        <v>4</v>
      </c>
      <c r="D1139" s="18">
        <v>6</v>
      </c>
      <c r="E1139" s="20">
        <v>86</v>
      </c>
      <c r="F1139" s="21">
        <f t="shared" si="52"/>
        <v>88.287878787878782</v>
      </c>
      <c r="G1139" s="22">
        <v>0.309917356172282</v>
      </c>
      <c r="H1139" s="18">
        <v>1</v>
      </c>
      <c r="I1139" s="18">
        <f t="shared" si="53"/>
        <v>0</v>
      </c>
      <c r="J1139" s="41">
        <v>42622</v>
      </c>
      <c r="K1139" s="8">
        <v>2016</v>
      </c>
      <c r="L1139" s="32">
        <f t="shared" si="51"/>
        <v>42636</v>
      </c>
      <c r="M1139" s="40">
        <v>1</v>
      </c>
      <c r="N1139" s="33">
        <v>90</v>
      </c>
      <c r="O1139" s="34">
        <f>AVERAGEIF(L3:L1205,"&lt;2016/9/9",N3:N1205)</f>
        <v>88.327586206896555</v>
      </c>
      <c r="P1139" s="38">
        <v>0</v>
      </c>
      <c r="Q1139" s="38">
        <f>AVERAGEIF(L3:L1205,"&lt;2016/9/9",P3:P1205)</f>
        <v>0.53448275862068961</v>
      </c>
      <c r="R1139" s="38">
        <v>1</v>
      </c>
      <c r="S1139" s="38">
        <f>AVERAGEIF(L3:L1205,"&lt;2016/9/9",R3:R1205)</f>
        <v>1.2586206896551724</v>
      </c>
      <c r="T1139" s="38">
        <v>14</v>
      </c>
      <c r="U1139" s="38">
        <f>AVERAGEIF(L3:L1205,"&lt;2016/9/9",T3:T1205)</f>
        <v>10.086206896551724</v>
      </c>
      <c r="V1139" s="24">
        <v>66</v>
      </c>
      <c r="W1139" s="47" t="s">
        <v>4529</v>
      </c>
    </row>
    <row r="1140" spans="1:23">
      <c r="A1140" s="23">
        <v>3</v>
      </c>
      <c r="B1140" s="23">
        <v>19</v>
      </c>
      <c r="C1140" s="18">
        <v>4</v>
      </c>
      <c r="D1140" s="18">
        <v>6</v>
      </c>
      <c r="E1140" s="20">
        <v>107</v>
      </c>
      <c r="F1140" s="21">
        <f t="shared" si="52"/>
        <v>88</v>
      </c>
      <c r="G1140" s="22">
        <v>0.30991735573219198</v>
      </c>
      <c r="H1140" s="3">
        <v>1</v>
      </c>
      <c r="I1140" s="18">
        <f t="shared" si="53"/>
        <v>0</v>
      </c>
      <c r="J1140" s="41">
        <v>42622</v>
      </c>
      <c r="K1140" s="8">
        <v>2016</v>
      </c>
      <c r="L1140" s="32">
        <f t="shared" si="51"/>
        <v>42632</v>
      </c>
      <c r="M1140" s="24">
        <v>0</v>
      </c>
      <c r="N1140" s="33">
        <v>154</v>
      </c>
      <c r="O1140" s="34">
        <f>AVERAGEIF(L3:L1205,"&lt;2016/9/9",N3:N1205)</f>
        <v>88.327586206896555</v>
      </c>
      <c r="P1140" s="38">
        <v>0</v>
      </c>
      <c r="Q1140" s="38">
        <f>AVERAGEIF(L3:L1205,"&lt;2016/9/9",P3:P1205)</f>
        <v>0.53448275862068961</v>
      </c>
      <c r="R1140" s="38">
        <v>1</v>
      </c>
      <c r="S1140" s="38">
        <f>AVERAGEIF(L3:L1205,"&lt;2016/9/9",R3:R1205)</f>
        <v>1.2586206896551724</v>
      </c>
      <c r="T1140" s="38">
        <v>10</v>
      </c>
      <c r="U1140" s="38">
        <f>AVERAGEIF(L3:L1205,"&lt;2016/9/9",T3:T1205)</f>
        <v>10.086206896551724</v>
      </c>
      <c r="V1140" s="24">
        <v>65</v>
      </c>
      <c r="W1140" s="47" t="s">
        <v>4558</v>
      </c>
    </row>
    <row r="1141" spans="1:23">
      <c r="A1141" s="17">
        <v>1</v>
      </c>
      <c r="B1141" s="17">
        <v>1</v>
      </c>
      <c r="C1141" s="18">
        <v>4</v>
      </c>
      <c r="D1141" s="18">
        <v>6</v>
      </c>
      <c r="E1141" s="20">
        <v>28</v>
      </c>
      <c r="F1141" s="21">
        <f t="shared" si="52"/>
        <v>88.9375</v>
      </c>
      <c r="G1141" s="22">
        <v>0.70944289213781797</v>
      </c>
      <c r="H1141" s="18">
        <v>1</v>
      </c>
      <c r="I1141" s="18">
        <f t="shared" si="53"/>
        <v>0</v>
      </c>
      <c r="J1141" s="41">
        <v>42621</v>
      </c>
      <c r="K1141" s="8">
        <v>2016</v>
      </c>
      <c r="L1141" s="32">
        <f t="shared" si="51"/>
        <v>42627</v>
      </c>
      <c r="M1141" s="40">
        <v>0</v>
      </c>
      <c r="N1141" s="33">
        <v>54</v>
      </c>
      <c r="O1141" s="34">
        <f>AVERAGEIF(L3:L1205,"&lt;2016/9/8",N3:N1205)</f>
        <v>88.578947368421055</v>
      </c>
      <c r="P1141" s="24">
        <v>2</v>
      </c>
      <c r="Q1141" s="24">
        <f>AVERAGEIF(L3:L1205,"&lt;2016/9/8",P3:P1205)</f>
        <v>0.52631578947368418</v>
      </c>
      <c r="R1141" s="24">
        <v>1</v>
      </c>
      <c r="S1141" s="24">
        <f>AVERAGEIF(L3:L1205,"&lt;2016/9/8",R3:R1205)</f>
        <v>1.263157894736842</v>
      </c>
      <c r="T1141" s="24">
        <v>6</v>
      </c>
      <c r="U1141" s="24">
        <f>AVERAGEIF(L3:L1205,"&lt;2016/9/8",T3:T1205)</f>
        <v>10.140350877192983</v>
      </c>
      <c r="V1141" s="24">
        <v>64</v>
      </c>
      <c r="W1141" s="47" t="s">
        <v>4529</v>
      </c>
    </row>
    <row r="1142" spans="1:23">
      <c r="A1142" s="17">
        <v>1</v>
      </c>
      <c r="B1142" s="17">
        <v>1</v>
      </c>
      <c r="C1142" s="18">
        <v>4</v>
      </c>
      <c r="D1142" s="18">
        <v>6</v>
      </c>
      <c r="E1142" s="20">
        <v>21</v>
      </c>
      <c r="F1142" s="21">
        <f t="shared" si="52"/>
        <v>90.015873015873012</v>
      </c>
      <c r="G1142" s="22">
        <v>0.70180417227236702</v>
      </c>
      <c r="H1142" s="18">
        <v>1</v>
      </c>
      <c r="I1142" s="18">
        <f t="shared" si="53"/>
        <v>0</v>
      </c>
      <c r="J1142" s="41">
        <v>42621</v>
      </c>
      <c r="K1142" s="8">
        <v>2016</v>
      </c>
      <c r="L1142" s="32">
        <f t="shared" si="51"/>
        <v>42627</v>
      </c>
      <c r="M1142" s="40">
        <v>0</v>
      </c>
      <c r="N1142" s="33">
        <v>54</v>
      </c>
      <c r="O1142" s="34">
        <f>AVERAGEIF(L3:L1205,"&lt;2016/9/8",N3:N1205)</f>
        <v>88.578947368421055</v>
      </c>
      <c r="P1142" s="24">
        <v>0</v>
      </c>
      <c r="Q1142" s="24">
        <f>AVERAGEIF(L3:L1205,"&lt;2016/9/8",P3:P1205)</f>
        <v>0.52631578947368418</v>
      </c>
      <c r="R1142" s="24">
        <v>1</v>
      </c>
      <c r="S1142" s="24">
        <f>AVERAGEIF(L3:L1205,"&lt;2016/9/8",R3:R1205)</f>
        <v>1.263157894736842</v>
      </c>
      <c r="T1142" s="24">
        <v>6</v>
      </c>
      <c r="U1142" s="24">
        <f>AVERAGEIF(L3:L1205,"&lt;2016/9/8",T3:T1205)</f>
        <v>10.140350877192983</v>
      </c>
      <c r="V1142" s="24">
        <v>63</v>
      </c>
      <c r="W1142" s="47" t="s">
        <v>4529</v>
      </c>
    </row>
    <row r="1143" spans="1:23">
      <c r="A1143" s="17">
        <v>1</v>
      </c>
      <c r="B1143" s="17">
        <v>1</v>
      </c>
      <c r="C1143" s="18">
        <v>5</v>
      </c>
      <c r="D1143" s="18">
        <v>6</v>
      </c>
      <c r="E1143" s="20">
        <v>30</v>
      </c>
      <c r="F1143" s="21">
        <f t="shared" si="52"/>
        <v>90.983870967741936</v>
      </c>
      <c r="G1143" s="22">
        <v>0.58043275923494397</v>
      </c>
      <c r="H1143" s="18">
        <v>1</v>
      </c>
      <c r="I1143" s="18">
        <f t="shared" si="53"/>
        <v>0</v>
      </c>
      <c r="J1143" s="41">
        <v>42621</v>
      </c>
      <c r="K1143" s="8">
        <v>2016</v>
      </c>
      <c r="L1143" s="32">
        <f t="shared" si="51"/>
        <v>42627</v>
      </c>
      <c r="M1143" s="40">
        <v>0</v>
      </c>
      <c r="N1143" s="33">
        <v>54</v>
      </c>
      <c r="O1143" s="34">
        <f>AVERAGEIF(L3:L1205,"&lt;2016/9/8",N3:N1205)</f>
        <v>88.578947368421055</v>
      </c>
      <c r="P1143" s="24">
        <v>0</v>
      </c>
      <c r="Q1143" s="24">
        <f>AVERAGEIF(L3:L1205,"&lt;2016/9/8",P3:P1205)</f>
        <v>0.52631578947368418</v>
      </c>
      <c r="R1143" s="24">
        <v>1</v>
      </c>
      <c r="S1143" s="24">
        <f>AVERAGEIF(L3:L1205,"&lt;2016/9/8",R3:R1205)</f>
        <v>1.263157894736842</v>
      </c>
      <c r="T1143" s="24">
        <v>6</v>
      </c>
      <c r="U1143" s="24">
        <f>AVERAGEIF(L3:L1205,"&lt;2016/9/8",T3:T1205)</f>
        <v>10.140350877192983</v>
      </c>
      <c r="V1143" s="24">
        <v>62</v>
      </c>
      <c r="W1143" s="47" t="s">
        <v>4618</v>
      </c>
    </row>
    <row r="1144" spans="1:23">
      <c r="A1144" s="17">
        <v>1</v>
      </c>
      <c r="B1144" s="17">
        <v>1</v>
      </c>
      <c r="C1144" s="18">
        <v>5</v>
      </c>
      <c r="D1144" s="18">
        <v>6</v>
      </c>
      <c r="E1144" s="20">
        <v>41</v>
      </c>
      <c r="F1144" s="21">
        <f t="shared" si="52"/>
        <v>91.803278688524586</v>
      </c>
      <c r="G1144" s="22">
        <v>0.481572640096673</v>
      </c>
      <c r="H1144" s="18">
        <v>1</v>
      </c>
      <c r="I1144" s="18">
        <f t="shared" si="53"/>
        <v>0</v>
      </c>
      <c r="J1144" s="41">
        <v>42621</v>
      </c>
      <c r="K1144" s="8">
        <v>2016</v>
      </c>
      <c r="L1144" s="32">
        <f t="shared" si="51"/>
        <v>42627</v>
      </c>
      <c r="M1144" s="40">
        <v>0</v>
      </c>
      <c r="N1144" s="33">
        <v>54</v>
      </c>
      <c r="O1144" s="34">
        <f>AVERAGEIF(L3:L1205,"&lt;2016/9/8",N3:N1205)</f>
        <v>88.578947368421055</v>
      </c>
      <c r="P1144" s="24">
        <v>0</v>
      </c>
      <c r="Q1144" s="24">
        <f>AVERAGEIF(L3:L1205,"&lt;2016/9/8",P3:P1205)</f>
        <v>0.52631578947368418</v>
      </c>
      <c r="R1144" s="24">
        <v>1</v>
      </c>
      <c r="S1144" s="24">
        <f>AVERAGEIF(L3:L1205,"&lt;2016/9/8",R3:R1205)</f>
        <v>1.263157894736842</v>
      </c>
      <c r="T1144" s="24">
        <v>6</v>
      </c>
      <c r="U1144" s="24">
        <f>AVERAGEIF(L3:L1205,"&lt;2016/9/8",T3:T1205)</f>
        <v>10.140350877192983</v>
      </c>
      <c r="V1144" s="24">
        <v>61</v>
      </c>
      <c r="W1144" s="47" t="s">
        <v>4618</v>
      </c>
    </row>
    <row r="1145" spans="1:23">
      <c r="A1145" s="17">
        <v>1</v>
      </c>
      <c r="B1145" s="17">
        <v>1</v>
      </c>
      <c r="C1145" s="18">
        <v>5</v>
      </c>
      <c r="D1145" s="18">
        <v>6</v>
      </c>
      <c r="E1145" s="20">
        <v>27</v>
      </c>
      <c r="F1145" s="21">
        <f t="shared" si="52"/>
        <v>92.88333333333334</v>
      </c>
      <c r="G1145" s="22">
        <v>0.42255013251835699</v>
      </c>
      <c r="H1145" s="18">
        <v>1</v>
      </c>
      <c r="I1145" s="18">
        <f t="shared" si="53"/>
        <v>0</v>
      </c>
      <c r="J1145" s="41">
        <v>42621</v>
      </c>
      <c r="K1145" s="8">
        <v>2016</v>
      </c>
      <c r="L1145" s="32">
        <f t="shared" si="51"/>
        <v>42627</v>
      </c>
      <c r="M1145" s="40">
        <v>0</v>
      </c>
      <c r="N1145" s="33">
        <v>54</v>
      </c>
      <c r="O1145" s="34">
        <f>AVERAGEIF(L3:L1205,"&lt;2016/9/8",N3:N1205)</f>
        <v>88.578947368421055</v>
      </c>
      <c r="P1145" s="24">
        <v>0</v>
      </c>
      <c r="Q1145" s="24">
        <f>AVERAGEIF(L3:L1205,"&lt;2016/9/8",P3:P1205)</f>
        <v>0.52631578947368418</v>
      </c>
      <c r="R1145" s="24">
        <v>1</v>
      </c>
      <c r="S1145" s="24">
        <f>AVERAGEIF(L3:L1205,"&lt;2016/9/8",R3:R1205)</f>
        <v>1.263157894736842</v>
      </c>
      <c r="T1145" s="24">
        <v>6</v>
      </c>
      <c r="U1145" s="24">
        <f>AVERAGEIF(L3:L1205,"&lt;2016/9/8",T3:T1205)</f>
        <v>10.140350877192983</v>
      </c>
      <c r="V1145" s="24">
        <v>60</v>
      </c>
      <c r="W1145" s="47" t="s">
        <v>4529</v>
      </c>
    </row>
    <row r="1146" spans="1:23">
      <c r="A1146" s="23">
        <v>2</v>
      </c>
      <c r="B1146" s="23">
        <v>6</v>
      </c>
      <c r="C1146" s="18">
        <v>4</v>
      </c>
      <c r="D1146" s="18">
        <v>4</v>
      </c>
      <c r="E1146" s="20">
        <v>75</v>
      </c>
      <c r="F1146" s="21">
        <f t="shared" si="52"/>
        <v>93.186440677966104</v>
      </c>
      <c r="G1146" s="22">
        <v>0.88511216688545802</v>
      </c>
      <c r="H1146" s="18">
        <v>1</v>
      </c>
      <c r="I1146" s="18">
        <f t="shared" si="53"/>
        <v>0</v>
      </c>
      <c r="J1146" s="41">
        <v>42619</v>
      </c>
      <c r="K1146" s="8">
        <v>2016</v>
      </c>
      <c r="L1146" s="32">
        <f t="shared" si="51"/>
        <v>42626</v>
      </c>
      <c r="M1146" s="40">
        <v>0</v>
      </c>
      <c r="N1146" s="33">
        <v>83</v>
      </c>
      <c r="O1146" s="34">
        <f>AVERAGEIF(L3:L1205,"&lt;2016/9/6",N3:N1205)</f>
        <v>89.490909090909085</v>
      </c>
      <c r="P1146" s="38">
        <v>0</v>
      </c>
      <c r="Q1146" s="38">
        <f>AVERAGEIF(L3:L1205,"&lt;2016/9/6",P3:P1205)</f>
        <v>0.54545454545454541</v>
      </c>
      <c r="R1146" s="38">
        <v>1</v>
      </c>
      <c r="S1146" s="38">
        <f>AVERAGEIF(L3:L1205,"&lt;2016/9/6",R3:R1205)</f>
        <v>1.2545454545454546</v>
      </c>
      <c r="T1146" s="38">
        <v>7</v>
      </c>
      <c r="U1146" s="38">
        <f>AVERAGEIF(L3:L1205,"&lt;2016/9/6",T3:T1205)</f>
        <v>10.309090909090909</v>
      </c>
      <c r="V1146" s="24">
        <v>59</v>
      </c>
      <c r="W1146" s="47" t="s">
        <v>4550</v>
      </c>
    </row>
    <row r="1147" spans="1:23">
      <c r="A1147" s="23">
        <v>2</v>
      </c>
      <c r="B1147" s="23">
        <v>6</v>
      </c>
      <c r="C1147" s="18">
        <v>5</v>
      </c>
      <c r="D1147" s="18">
        <v>6</v>
      </c>
      <c r="E1147" s="20">
        <v>33</v>
      </c>
      <c r="F1147" s="21">
        <f t="shared" si="52"/>
        <v>94.224137931034477</v>
      </c>
      <c r="G1147" s="22">
        <v>0.37514502765243002</v>
      </c>
      <c r="H1147" s="18">
        <v>1</v>
      </c>
      <c r="I1147" s="18">
        <f t="shared" si="53"/>
        <v>0</v>
      </c>
      <c r="J1147" s="52">
        <v>42619</v>
      </c>
      <c r="K1147" s="8">
        <v>2016</v>
      </c>
      <c r="L1147" s="32">
        <f t="shared" si="51"/>
        <v>42620</v>
      </c>
      <c r="M1147" s="37">
        <v>0</v>
      </c>
      <c r="N1147" s="33">
        <v>83</v>
      </c>
      <c r="O1147" s="34">
        <f>AVERAGEIF(L3:L1205,"&lt;2016/9/6",N3:N1205)</f>
        <v>89.490909090909085</v>
      </c>
      <c r="P1147" s="40">
        <v>0</v>
      </c>
      <c r="Q1147" s="40">
        <f>AVERAGEIF(L3:L1205,"&lt;2016/9/6",P3:P1205)</f>
        <v>0.54545454545454541</v>
      </c>
      <c r="R1147" s="40">
        <v>1</v>
      </c>
      <c r="S1147" s="40">
        <f>AVERAGEIF(L3:L1205,"&lt;2016/9/6",R3:R1205)</f>
        <v>1.2545454545454546</v>
      </c>
      <c r="T1147" s="40">
        <v>1</v>
      </c>
      <c r="U1147" s="40">
        <f>AVERAGEIF(L3:L1205,"&lt;2016/9/6",T3:T1205)</f>
        <v>10.309090909090909</v>
      </c>
      <c r="V1147" s="24">
        <v>58</v>
      </c>
      <c r="W1147" s="47" t="s">
        <v>4626</v>
      </c>
    </row>
    <row r="1148" spans="1:23">
      <c r="A1148" s="23">
        <v>4</v>
      </c>
      <c r="B1148" s="23">
        <v>36</v>
      </c>
      <c r="C1148" s="18">
        <v>4</v>
      </c>
      <c r="D1148" s="18">
        <v>6</v>
      </c>
      <c r="E1148" s="20">
        <v>476</v>
      </c>
      <c r="F1148" s="21">
        <f t="shared" si="52"/>
        <v>87.526315789473685</v>
      </c>
      <c r="G1148" s="22">
        <v>0.875</v>
      </c>
      <c r="H1148" s="18">
        <v>1</v>
      </c>
      <c r="I1148" s="18">
        <f t="shared" si="53"/>
        <v>0</v>
      </c>
      <c r="J1148" s="45">
        <v>42614</v>
      </c>
      <c r="K1148" s="8">
        <v>2016</v>
      </c>
      <c r="L1148" s="32">
        <f t="shared" si="51"/>
        <v>42621</v>
      </c>
      <c r="M1148" s="24">
        <v>1</v>
      </c>
      <c r="N1148" s="33">
        <v>74</v>
      </c>
      <c r="O1148" s="34">
        <f>AVERAGEIF(L3:L1205,"&lt;2016/9/1",N3:N1205)</f>
        <v>90.415094339622641</v>
      </c>
      <c r="P1148" s="38">
        <v>1</v>
      </c>
      <c r="Q1148" s="38">
        <f>AVERAGEIF(L3:L1205,"&lt;2016/9/1",P3:P1205)</f>
        <v>0.54716981132075471</v>
      </c>
      <c r="R1148" s="38">
        <v>1</v>
      </c>
      <c r="S1148" s="38">
        <f>AVERAGEIF(L3:L1205,"&lt;2016/9/1",R3:R1205)</f>
        <v>1.2641509433962264</v>
      </c>
      <c r="T1148" s="38">
        <v>7</v>
      </c>
      <c r="U1148" s="38">
        <f>AVERAGEIF(L3:L1205,"&lt;2016/9/1",T3:T1205)</f>
        <v>10.509433962264151</v>
      </c>
      <c r="V1148" s="24">
        <v>57</v>
      </c>
      <c r="W1148" s="47" t="s">
        <v>4550</v>
      </c>
    </row>
    <row r="1149" spans="1:23">
      <c r="A1149" s="23">
        <v>2</v>
      </c>
      <c r="B1149" s="23">
        <v>7</v>
      </c>
      <c r="C1149" s="18">
        <v>5</v>
      </c>
      <c r="D1149" s="18">
        <v>6</v>
      </c>
      <c r="E1149" s="20">
        <v>33</v>
      </c>
      <c r="F1149" s="21">
        <f t="shared" si="52"/>
        <v>88.5</v>
      </c>
      <c r="G1149" s="22">
        <v>0.71680136147151596</v>
      </c>
      <c r="H1149" s="18">
        <v>1</v>
      </c>
      <c r="I1149" s="18">
        <f t="shared" si="53"/>
        <v>0</v>
      </c>
      <c r="J1149" s="41">
        <v>42612</v>
      </c>
      <c r="K1149" s="8">
        <v>2016</v>
      </c>
      <c r="L1149" s="32">
        <f t="shared" si="51"/>
        <v>42615</v>
      </c>
      <c r="M1149" s="37">
        <v>1</v>
      </c>
      <c r="N1149" s="33">
        <v>53</v>
      </c>
      <c r="O1149" s="34">
        <f>AVERAGEIF(L3:L1205,"&lt;2016/8/30",N3:N1205)</f>
        <v>89.843137254901961</v>
      </c>
      <c r="P1149" s="38">
        <v>1</v>
      </c>
      <c r="Q1149" s="38">
        <f>AVERAGEIF(L3:L1205,"&lt;2016/8/30",P3:P1205)</f>
        <v>0.56862745098039214</v>
      </c>
      <c r="R1149" s="38">
        <v>1</v>
      </c>
      <c r="S1149" s="38">
        <f>AVERAGEIF(L3:L1205,"&lt;2016/8/30",R3:R1205)</f>
        <v>1.2745098039215685</v>
      </c>
      <c r="T1149" s="38">
        <v>3</v>
      </c>
      <c r="U1149" s="38">
        <f>AVERAGEIF(L3:L1205,"&lt;2016/8/30",T3:T1205)</f>
        <v>10.764705882352942</v>
      </c>
      <c r="V1149" s="24">
        <v>56</v>
      </c>
      <c r="W1149" s="47" t="s">
        <v>4529</v>
      </c>
    </row>
    <row r="1150" spans="1:23">
      <c r="A1150" s="23">
        <v>2</v>
      </c>
      <c r="B1150" s="23">
        <v>7</v>
      </c>
      <c r="C1150" s="18">
        <v>5</v>
      </c>
      <c r="D1150" s="18">
        <v>6</v>
      </c>
      <c r="E1150" s="20">
        <v>150</v>
      </c>
      <c r="F1150" s="21">
        <f t="shared" si="52"/>
        <v>87.381818181818176</v>
      </c>
      <c r="G1150" s="22">
        <v>0.80991654679229097</v>
      </c>
      <c r="H1150" s="18">
        <v>1</v>
      </c>
      <c r="I1150" s="18">
        <f t="shared" si="53"/>
        <v>0</v>
      </c>
      <c r="J1150" s="41">
        <v>42609</v>
      </c>
      <c r="K1150" s="8">
        <v>2016</v>
      </c>
      <c r="L1150" s="32">
        <f t="shared" si="51"/>
        <v>42613</v>
      </c>
      <c r="M1150" s="24">
        <v>0</v>
      </c>
      <c r="N1150" s="33">
        <v>85</v>
      </c>
      <c r="O1150" s="34">
        <f>AVERAGEIF(L3:L1205,"&lt;2016/8/27",N3:N1205)</f>
        <v>89.04</v>
      </c>
      <c r="P1150" s="38">
        <v>0</v>
      </c>
      <c r="Q1150" s="38">
        <f>AVERAGEIF(L3:L1205,"&lt;2016/8/27",P3:P1205)</f>
        <v>0.57999999999999996</v>
      </c>
      <c r="R1150" s="38">
        <v>1</v>
      </c>
      <c r="S1150" s="38">
        <f>AVERAGEIF(L3:L1205,"&lt;2016/8/27",R3:R1205)</f>
        <v>1.28</v>
      </c>
      <c r="T1150" s="38">
        <v>4</v>
      </c>
      <c r="U1150" s="38">
        <f>AVERAGEIF(L3:L1205,"&lt;2016/8/27",T3:T1205)</f>
        <v>10.86</v>
      </c>
      <c r="V1150" s="24">
        <v>55</v>
      </c>
      <c r="W1150" s="47" t="s">
        <v>4543</v>
      </c>
    </row>
    <row r="1151" spans="1:23">
      <c r="A1151" s="23">
        <v>2</v>
      </c>
      <c r="B1151" s="23">
        <v>7</v>
      </c>
      <c r="C1151" s="18">
        <v>5</v>
      </c>
      <c r="D1151" s="18">
        <v>6</v>
      </c>
      <c r="E1151" s="20">
        <v>92</v>
      </c>
      <c r="F1151" s="21">
        <f t="shared" si="52"/>
        <v>87.296296296296291</v>
      </c>
      <c r="G1151" s="22">
        <v>0.30992063202911302</v>
      </c>
      <c r="H1151" s="18">
        <v>1</v>
      </c>
      <c r="I1151" s="18">
        <f t="shared" si="53"/>
        <v>0</v>
      </c>
      <c r="J1151" s="41">
        <v>42609</v>
      </c>
      <c r="K1151" s="8">
        <v>2016</v>
      </c>
      <c r="L1151" s="32">
        <f t="shared" si="51"/>
        <v>42619</v>
      </c>
      <c r="M1151" s="24">
        <v>0</v>
      </c>
      <c r="N1151" s="33">
        <v>44</v>
      </c>
      <c r="O1151" s="34">
        <f>AVERAGEIF(L3:L1205,"&lt;2016/8/27",N3:N1205)</f>
        <v>89.04</v>
      </c>
      <c r="P1151" s="38">
        <v>0</v>
      </c>
      <c r="Q1151" s="38">
        <f>AVERAGEIF(L3:L1205,"&lt;2016/8/27",P3:P1205)</f>
        <v>0.57999999999999996</v>
      </c>
      <c r="R1151" s="38">
        <v>2</v>
      </c>
      <c r="S1151" s="38">
        <f>AVERAGEIF(L3:L1205,"&lt;2016/8/27",R3:R1205)</f>
        <v>1.28</v>
      </c>
      <c r="T1151" s="38">
        <v>10</v>
      </c>
      <c r="U1151" s="38">
        <f>AVERAGEIF(L3:L1205,"&lt;2016/8/27",T3:T1205)</f>
        <v>10.86</v>
      </c>
      <c r="V1151" s="24">
        <v>54</v>
      </c>
      <c r="W1151" s="47" t="s">
        <v>4543</v>
      </c>
    </row>
    <row r="1152" spans="1:23">
      <c r="A1152" s="23">
        <v>2</v>
      </c>
      <c r="B1152" s="23">
        <v>7</v>
      </c>
      <c r="C1152" s="18">
        <v>4</v>
      </c>
      <c r="D1152" s="18">
        <v>6</v>
      </c>
      <c r="E1152" s="20">
        <v>79</v>
      </c>
      <c r="F1152" s="21">
        <f t="shared" si="52"/>
        <v>87.452830188679243</v>
      </c>
      <c r="G1152" s="22">
        <v>0.30991735573219198</v>
      </c>
      <c r="H1152" s="18">
        <v>1</v>
      </c>
      <c r="I1152" s="18">
        <f t="shared" si="53"/>
        <v>0</v>
      </c>
      <c r="J1152" s="41">
        <v>42609</v>
      </c>
      <c r="K1152" s="8">
        <v>2016</v>
      </c>
      <c r="L1152" s="32">
        <f t="shared" si="51"/>
        <v>42633</v>
      </c>
      <c r="M1152" s="40">
        <v>0</v>
      </c>
      <c r="N1152" s="33">
        <v>53</v>
      </c>
      <c r="O1152" s="34">
        <f>AVERAGEIF(L3:L1205,"&lt;2016/8/27",N3:N1205)</f>
        <v>89.04</v>
      </c>
      <c r="P1152" s="38">
        <v>1</v>
      </c>
      <c r="Q1152" s="38">
        <f>AVERAGEIF(L3:L1205,"&lt;2016/8/27",P3:P1205)</f>
        <v>0.57999999999999996</v>
      </c>
      <c r="R1152" s="38">
        <v>2</v>
      </c>
      <c r="S1152" s="38">
        <f>AVERAGEIF(L3:L1205,"&lt;2016/8/27",R3:R1205)</f>
        <v>1.28</v>
      </c>
      <c r="T1152" s="38">
        <v>24</v>
      </c>
      <c r="U1152" s="38">
        <f>AVERAGEIF(L3:L1205,"&lt;2016/8/27",T3:T1205)</f>
        <v>10.86</v>
      </c>
      <c r="V1152" s="24">
        <v>53</v>
      </c>
      <c r="W1152" s="47" t="s">
        <v>4550</v>
      </c>
    </row>
    <row r="1153" spans="1:23">
      <c r="A1153" s="23">
        <v>2</v>
      </c>
      <c r="B1153" s="23">
        <v>4</v>
      </c>
      <c r="C1153" s="18">
        <v>1</v>
      </c>
      <c r="D1153" s="18">
        <v>6</v>
      </c>
      <c r="E1153" s="20">
        <v>31</v>
      </c>
      <c r="F1153" s="21">
        <f t="shared" si="52"/>
        <v>88.538461538461533</v>
      </c>
      <c r="G1153" s="22">
        <v>0.85259326489681797</v>
      </c>
      <c r="H1153" s="18">
        <v>1</v>
      </c>
      <c r="I1153" s="18">
        <f t="shared" si="53"/>
        <v>0</v>
      </c>
      <c r="J1153" s="41">
        <v>42608</v>
      </c>
      <c r="K1153" s="8">
        <v>2016</v>
      </c>
      <c r="L1153" s="32">
        <f t="shared" si="51"/>
        <v>42615</v>
      </c>
      <c r="M1153" s="40">
        <v>1</v>
      </c>
      <c r="N1153" s="33">
        <v>77</v>
      </c>
      <c r="O1153" s="34">
        <f>AVERAGEIF(L3:L1205,"&lt;2016/8/26",N3:N1205)</f>
        <v>89.04</v>
      </c>
      <c r="P1153" s="37">
        <v>0</v>
      </c>
      <c r="Q1153" s="37">
        <f>AVERAGEIF(L3:L1205,"&lt;2016/8/26",P3:P1205)</f>
        <v>0.57999999999999996</v>
      </c>
      <c r="R1153" s="37">
        <v>1</v>
      </c>
      <c r="S1153" s="37">
        <f>AVERAGEIF(L3:L1205,"&lt;2016/8/26",R3:R1205)</f>
        <v>1.28</v>
      </c>
      <c r="T1153" s="37">
        <v>7</v>
      </c>
      <c r="U1153" s="37">
        <f>AVERAGEIF(L3:L1205,"&lt;2016/8/26",T3:T1205)</f>
        <v>10.86</v>
      </c>
      <c r="V1153" s="24">
        <v>52</v>
      </c>
      <c r="W1153" s="47" t="s">
        <v>4542</v>
      </c>
    </row>
    <row r="1154" spans="1:23">
      <c r="A1154" s="23">
        <v>2</v>
      </c>
      <c r="B1154" s="23">
        <v>6</v>
      </c>
      <c r="C1154" s="18">
        <v>5</v>
      </c>
      <c r="D1154" s="18">
        <v>6</v>
      </c>
      <c r="E1154" s="20">
        <v>97</v>
      </c>
      <c r="F1154" s="21">
        <f t="shared" si="52"/>
        <v>88.372549019607845</v>
      </c>
      <c r="G1154" s="22">
        <v>0.38330960596437502</v>
      </c>
      <c r="H1154" s="18">
        <v>1</v>
      </c>
      <c r="I1154" s="18">
        <f t="shared" si="53"/>
        <v>0</v>
      </c>
      <c r="J1154" s="41">
        <v>42608</v>
      </c>
      <c r="K1154" s="8">
        <v>2016</v>
      </c>
      <c r="L1154" s="32">
        <f t="shared" si="51"/>
        <v>42612</v>
      </c>
      <c r="M1154" s="40">
        <v>0</v>
      </c>
      <c r="N1154" s="33">
        <v>125</v>
      </c>
      <c r="O1154" s="34">
        <f>AVERAGEIF(L3:L1205,"&lt;2016/8/26",N3:N1205)</f>
        <v>89.04</v>
      </c>
      <c r="P1154" s="38">
        <v>0</v>
      </c>
      <c r="Q1154" s="38">
        <f>AVERAGEIF(L3:L1205,"&lt;2016/8/26",P3:P1205)</f>
        <v>0.57999999999999996</v>
      </c>
      <c r="R1154" s="38">
        <v>1</v>
      </c>
      <c r="S1154" s="38">
        <f>AVERAGEIF(L3:L1205,"&lt;2016/8/26",R3:R1205)</f>
        <v>1.28</v>
      </c>
      <c r="T1154" s="38">
        <v>4</v>
      </c>
      <c r="U1154" s="38">
        <f>AVERAGEIF(L3:L1205,"&lt;2016/8/26",T3:T1205)</f>
        <v>10.86</v>
      </c>
      <c r="V1154" s="24">
        <v>51</v>
      </c>
      <c r="W1154" s="47" t="s">
        <v>4618</v>
      </c>
    </row>
    <row r="1155" spans="1:23">
      <c r="A1155" s="23">
        <v>2</v>
      </c>
      <c r="B1155" s="23">
        <v>6</v>
      </c>
      <c r="C1155" s="18">
        <v>4</v>
      </c>
      <c r="D1155" s="18">
        <v>6</v>
      </c>
      <c r="E1155" s="20">
        <v>164</v>
      </c>
      <c r="F1155" s="21">
        <f t="shared" si="52"/>
        <v>86.86</v>
      </c>
      <c r="G1155" s="22">
        <v>0.55877403150928695</v>
      </c>
      <c r="H1155" s="18">
        <v>1</v>
      </c>
      <c r="I1155" s="18">
        <f t="shared" si="53"/>
        <v>0</v>
      </c>
      <c r="J1155" s="41">
        <v>42605</v>
      </c>
      <c r="K1155" s="8">
        <v>2016</v>
      </c>
      <c r="L1155" s="32">
        <f t="shared" ref="L1155:L1205" si="54">J1155+T1155</f>
        <v>42611</v>
      </c>
      <c r="M1155" s="40">
        <v>0</v>
      </c>
      <c r="N1155" s="33">
        <v>130</v>
      </c>
      <c r="O1155" s="34">
        <f>AVERAGEIF(L3:L1205,"&lt;2016/8/23",N3:N1205)</f>
        <v>89.416666666666671</v>
      </c>
      <c r="P1155" s="40">
        <v>0</v>
      </c>
      <c r="Q1155" s="40">
        <f>AVERAGEIF(L3:L1205,"&lt;2016/8/23",P3:P1205)</f>
        <v>0.52083333333333337</v>
      </c>
      <c r="R1155" s="40">
        <v>1</v>
      </c>
      <c r="S1155" s="40">
        <f>AVERAGEIF(L3:L1205,"&lt;2016/8/23",R3:R1205)</f>
        <v>1.2916666666666667</v>
      </c>
      <c r="T1155" s="40">
        <v>6</v>
      </c>
      <c r="U1155" s="40">
        <f>AVERAGEIF(L3:L1205,"&lt;2016/8/23",T3:T1205)</f>
        <v>10.6875</v>
      </c>
      <c r="V1155" s="24">
        <v>50</v>
      </c>
      <c r="W1155" s="47" t="s">
        <v>4863</v>
      </c>
    </row>
    <row r="1156" spans="1:23">
      <c r="A1156" s="23">
        <v>2</v>
      </c>
      <c r="B1156" s="23">
        <v>6</v>
      </c>
      <c r="C1156" s="18">
        <v>4</v>
      </c>
      <c r="D1156" s="18">
        <v>6</v>
      </c>
      <c r="E1156" s="20">
        <v>95</v>
      </c>
      <c r="F1156" s="21">
        <f t="shared" ref="F1156:F1205" si="55">AVERAGE(E1157:E2358)</f>
        <v>86.693877551020407</v>
      </c>
      <c r="G1156" s="22">
        <v>0.375103929699653</v>
      </c>
      <c r="H1156" s="18">
        <v>0</v>
      </c>
      <c r="I1156" s="18">
        <f t="shared" ref="I1156:I1205" si="56">IF(H1156=1,0,1)</f>
        <v>1</v>
      </c>
      <c r="J1156" s="41">
        <v>42592</v>
      </c>
      <c r="K1156" s="8">
        <v>2016</v>
      </c>
      <c r="L1156" s="32">
        <f t="shared" si="54"/>
        <v>42607</v>
      </c>
      <c r="M1156" s="40">
        <v>1</v>
      </c>
      <c r="N1156" s="33">
        <v>80</v>
      </c>
      <c r="O1156" s="34">
        <f>AVERAGEIF(L3:L1205,"&lt;2016/8/10",N3:N1205)</f>
        <v>90.652173913043484</v>
      </c>
      <c r="P1156" s="40">
        <v>2</v>
      </c>
      <c r="Q1156" s="40">
        <f>AVERAGEIF(L3:L1205,"&lt;2016/8/10",P3:P1205)</f>
        <v>0.54347826086956519</v>
      </c>
      <c r="R1156" s="40">
        <v>1</v>
      </c>
      <c r="S1156" s="40">
        <f>AVERAGEIF(L3:L1205,"&lt;2016/8/10",R3:R1205)</f>
        <v>1.3043478260869565</v>
      </c>
      <c r="T1156" s="40">
        <v>15</v>
      </c>
      <c r="U1156" s="40">
        <f>AVERAGEIF(L3:L1205,"&lt;2016/8/10",T3:T1205)</f>
        <v>10.695652173913043</v>
      </c>
      <c r="V1156" s="24">
        <v>49</v>
      </c>
      <c r="W1156" s="47" t="s">
        <v>4529</v>
      </c>
    </row>
    <row r="1157" spans="1:23">
      <c r="A1157" s="23">
        <v>2</v>
      </c>
      <c r="B1157" s="23">
        <v>7</v>
      </c>
      <c r="C1157" s="18">
        <v>4</v>
      </c>
      <c r="D1157" s="18">
        <v>6</v>
      </c>
      <c r="E1157" s="20">
        <v>95</v>
      </c>
      <c r="F1157" s="21">
        <f t="shared" si="55"/>
        <v>86.520833333333329</v>
      </c>
      <c r="G1157" s="22">
        <v>0.37500000980014803</v>
      </c>
      <c r="H1157" s="18">
        <v>0</v>
      </c>
      <c r="I1157" s="18">
        <f t="shared" si="56"/>
        <v>1</v>
      </c>
      <c r="J1157" s="41">
        <v>42592</v>
      </c>
      <c r="K1157" s="8">
        <v>2016</v>
      </c>
      <c r="L1157" s="32">
        <f t="shared" si="54"/>
        <v>42607</v>
      </c>
      <c r="M1157" s="40">
        <v>1</v>
      </c>
      <c r="N1157" s="33">
        <v>80</v>
      </c>
      <c r="O1157" s="34">
        <f>AVERAGEIF(L3:L1205,"&lt;2016/8/10",N3:N1205)</f>
        <v>90.652173913043484</v>
      </c>
      <c r="P1157" s="38">
        <v>2</v>
      </c>
      <c r="Q1157" s="38">
        <f>AVERAGEIF(L3:L1205,"&lt;2016/8/10",P3:P1205)</f>
        <v>0.54347826086956519</v>
      </c>
      <c r="R1157" s="38">
        <v>1</v>
      </c>
      <c r="S1157" s="38">
        <f>AVERAGEIF(L3:L1205,"&lt;2016/8/10",R3:R1205)</f>
        <v>1.3043478260869565</v>
      </c>
      <c r="T1157" s="38">
        <v>15</v>
      </c>
      <c r="U1157" s="38">
        <f>AVERAGEIF(L3:L1205,"&lt;2016/8/10",T3:T1205)</f>
        <v>10.695652173913043</v>
      </c>
      <c r="V1157" s="24">
        <v>48</v>
      </c>
      <c r="W1157" s="47" t="s">
        <v>4529</v>
      </c>
    </row>
    <row r="1158" spans="1:23">
      <c r="A1158" s="23">
        <v>2</v>
      </c>
      <c r="B1158" s="23">
        <v>7</v>
      </c>
      <c r="C1158" s="18">
        <v>4</v>
      </c>
      <c r="D1158" s="18">
        <v>6</v>
      </c>
      <c r="E1158" s="20">
        <v>5</v>
      </c>
      <c r="F1158" s="21">
        <f t="shared" si="55"/>
        <v>88.255319148936167</v>
      </c>
      <c r="G1158" s="22">
        <v>0.375003079608562</v>
      </c>
      <c r="H1158" s="18">
        <v>1</v>
      </c>
      <c r="I1158" s="18">
        <f t="shared" si="56"/>
        <v>0</v>
      </c>
      <c r="J1158" s="41">
        <v>42591</v>
      </c>
      <c r="K1158" s="8">
        <v>2016</v>
      </c>
      <c r="L1158" s="32">
        <f t="shared" si="54"/>
        <v>42600</v>
      </c>
      <c r="M1158" s="37">
        <v>0</v>
      </c>
      <c r="N1158" s="33">
        <v>43</v>
      </c>
      <c r="O1158" s="34">
        <f>AVERAGEIF(L3:L1205,"&lt;2016/8/9",N3:N1205)</f>
        <v>90.11363636363636</v>
      </c>
      <c r="P1158" s="40">
        <v>0</v>
      </c>
      <c r="Q1158" s="40">
        <f>AVERAGEIF(L3:L1205,"&lt;2016/8/9",P3:P1205)</f>
        <v>0.52272727272727271</v>
      </c>
      <c r="R1158" s="40">
        <v>1</v>
      </c>
      <c r="S1158" s="40">
        <f>AVERAGEIF(L3:L1205,"&lt;2016/8/9",R3:R1205)</f>
        <v>1.2727272727272727</v>
      </c>
      <c r="T1158" s="40">
        <v>9</v>
      </c>
      <c r="U1158" s="40">
        <f>AVERAGEIF(L3:L1205,"&lt;2016/8/9",T3:T1205)</f>
        <v>10.5</v>
      </c>
      <c r="V1158" s="24">
        <v>47</v>
      </c>
      <c r="W1158" s="47" t="s">
        <v>4529</v>
      </c>
    </row>
    <row r="1159" spans="1:23">
      <c r="A1159" s="23">
        <v>2</v>
      </c>
      <c r="B1159" s="23">
        <v>5</v>
      </c>
      <c r="C1159" s="18">
        <v>5</v>
      </c>
      <c r="D1159" s="18">
        <v>4</v>
      </c>
      <c r="E1159" s="20">
        <v>33</v>
      </c>
      <c r="F1159" s="21">
        <f t="shared" si="55"/>
        <v>89.456521739130437</v>
      </c>
      <c r="G1159" s="22">
        <v>0.58928702463306903</v>
      </c>
      <c r="H1159" s="18">
        <v>1</v>
      </c>
      <c r="I1159" s="18">
        <f t="shared" si="56"/>
        <v>0</v>
      </c>
      <c r="J1159" s="41">
        <v>42584</v>
      </c>
      <c r="K1159" s="8">
        <v>2016</v>
      </c>
      <c r="L1159" s="32">
        <f t="shared" si="54"/>
        <v>42591</v>
      </c>
      <c r="M1159" s="40">
        <v>1</v>
      </c>
      <c r="N1159" s="33">
        <v>51</v>
      </c>
      <c r="O1159" s="34">
        <f>AVERAGEIF(L3:L1205,"&lt;2016/8/2",N3:N1205)</f>
        <v>90.047619047619051</v>
      </c>
      <c r="P1159" s="38">
        <v>1</v>
      </c>
      <c r="Q1159" s="38">
        <f>AVERAGEIF(L3:L1205,"&lt;2016/8/2",P3:P1205)</f>
        <v>0.5</v>
      </c>
      <c r="R1159" s="38">
        <v>1</v>
      </c>
      <c r="S1159" s="38">
        <f>AVERAGEIF(L3:L1205,"&lt;2016/8/2",R3:R1205)</f>
        <v>1.2857142857142858</v>
      </c>
      <c r="T1159" s="38">
        <v>7</v>
      </c>
      <c r="U1159" s="38">
        <f>AVERAGEIF(L3:L1205,"&lt;2016/8/2",T3:T1205)</f>
        <v>10.523809523809524</v>
      </c>
      <c r="V1159" s="24">
        <v>46</v>
      </c>
      <c r="W1159" s="47" t="s">
        <v>4529</v>
      </c>
    </row>
    <row r="1160" spans="1:23">
      <c r="A1160" s="23">
        <v>2</v>
      </c>
      <c r="B1160" s="23">
        <v>9</v>
      </c>
      <c r="C1160" s="18">
        <v>4</v>
      </c>
      <c r="D1160" s="18">
        <v>4</v>
      </c>
      <c r="E1160" s="20">
        <v>69</v>
      </c>
      <c r="F1160" s="21">
        <f t="shared" si="55"/>
        <v>89.911111111111111</v>
      </c>
      <c r="G1160" s="22">
        <v>0.31039727532064798</v>
      </c>
      <c r="H1160" s="18">
        <v>1</v>
      </c>
      <c r="I1160" s="18">
        <f t="shared" si="56"/>
        <v>0</v>
      </c>
      <c r="J1160" s="41">
        <v>42580</v>
      </c>
      <c r="K1160" s="8">
        <v>2016</v>
      </c>
      <c r="L1160" s="32">
        <f t="shared" si="54"/>
        <v>42592</v>
      </c>
      <c r="M1160" s="40">
        <v>0</v>
      </c>
      <c r="N1160" s="33">
        <v>79</v>
      </c>
      <c r="O1160" s="34">
        <f>AVERAGEIF(L3:L1205,"&lt;2016/7/29",N3:N1205)</f>
        <v>90.047619047619051</v>
      </c>
      <c r="P1160" s="38">
        <v>0</v>
      </c>
      <c r="Q1160" s="38">
        <f>AVERAGEIF(L3:L1205,"&lt;2016/7/29",P3:P1205)</f>
        <v>0.5</v>
      </c>
      <c r="R1160" s="38">
        <v>1</v>
      </c>
      <c r="S1160" s="38">
        <f>AVERAGEIF(L3:L1205,"&lt;2016/7/29",R3:R1205)</f>
        <v>1.2857142857142858</v>
      </c>
      <c r="T1160" s="38">
        <v>12</v>
      </c>
      <c r="U1160" s="38">
        <f>AVERAGEIF(L3:L1205,"&lt;2016/7/29",T3:T1205)</f>
        <v>10.523809523809524</v>
      </c>
      <c r="V1160" s="24">
        <v>45</v>
      </c>
      <c r="W1160" s="47" t="s">
        <v>4618</v>
      </c>
    </row>
    <row r="1161" spans="1:23">
      <c r="A1161" s="23">
        <v>2</v>
      </c>
      <c r="B1161" s="23">
        <v>7</v>
      </c>
      <c r="C1161" s="18">
        <v>5</v>
      </c>
      <c r="D1161" s="18">
        <v>6</v>
      </c>
      <c r="E1161" s="20">
        <v>35</v>
      </c>
      <c r="F1161" s="21">
        <f t="shared" si="55"/>
        <v>91.159090909090907</v>
      </c>
      <c r="G1161" s="22">
        <v>0.37500001043878201</v>
      </c>
      <c r="H1161" s="18">
        <v>1</v>
      </c>
      <c r="I1161" s="18">
        <f t="shared" si="56"/>
        <v>0</v>
      </c>
      <c r="J1161" s="41">
        <v>42578</v>
      </c>
      <c r="K1161" s="8">
        <v>2016</v>
      </c>
      <c r="L1161" s="32">
        <f t="shared" si="54"/>
        <v>42584</v>
      </c>
      <c r="M1161" s="40">
        <v>0</v>
      </c>
      <c r="N1161" s="33">
        <v>104</v>
      </c>
      <c r="O1161" s="34">
        <f>AVERAGEIF(L3:L1205,"&lt;2016/7/27",N3:N1205)</f>
        <v>90.41463414634147</v>
      </c>
      <c r="P1161" s="40">
        <v>1</v>
      </c>
      <c r="Q1161" s="40">
        <f>AVERAGEIF(L3:L1205,"&lt;2016/7/27",P3:P1205)</f>
        <v>0.51219512195121952</v>
      </c>
      <c r="R1161" s="40">
        <v>1</v>
      </c>
      <c r="S1161" s="40">
        <f>AVERAGEIF(L3:L1205,"&lt;2016/7/27",R3:R1205)</f>
        <v>1.2926829268292683</v>
      </c>
      <c r="T1161" s="40">
        <v>6</v>
      </c>
      <c r="U1161" s="40">
        <f>AVERAGEIF(L3:L1205,"&lt;2016/7/27",T3:T1205)</f>
        <v>10.560975609756097</v>
      </c>
      <c r="V1161" s="24">
        <v>44</v>
      </c>
      <c r="W1161" s="47" t="s">
        <v>4563</v>
      </c>
    </row>
    <row r="1162" spans="1:23">
      <c r="A1162" s="23">
        <v>2</v>
      </c>
      <c r="B1162" s="23">
        <v>18</v>
      </c>
      <c r="C1162" s="18">
        <v>4</v>
      </c>
      <c r="D1162" s="18">
        <v>6</v>
      </c>
      <c r="E1162" s="20">
        <v>152</v>
      </c>
      <c r="F1162" s="21">
        <f t="shared" si="55"/>
        <v>89.744186046511629</v>
      </c>
      <c r="G1162" s="22">
        <v>0.469597051150277</v>
      </c>
      <c r="H1162" s="18">
        <v>0</v>
      </c>
      <c r="I1162" s="18">
        <f t="shared" si="56"/>
        <v>1</v>
      </c>
      <c r="J1162" s="41">
        <v>42576</v>
      </c>
      <c r="K1162" s="8">
        <v>2016</v>
      </c>
      <c r="L1162" s="32">
        <f t="shared" si="54"/>
        <v>42590</v>
      </c>
      <c r="M1162" s="40">
        <v>0</v>
      </c>
      <c r="N1162" s="33">
        <v>79</v>
      </c>
      <c r="O1162" s="34">
        <f>AVERAGEIF(L3:L1205,"&lt;2016/7/25",N3:N1205)</f>
        <v>90.41463414634147</v>
      </c>
      <c r="P1162" s="38">
        <v>1</v>
      </c>
      <c r="Q1162" s="38">
        <f>AVERAGEIF(L3:L1205,"&lt;2016/7/25",P3:P1205)</f>
        <v>0.51219512195121952</v>
      </c>
      <c r="R1162" s="38">
        <v>1</v>
      </c>
      <c r="S1162" s="38">
        <f>AVERAGEIF(L3:L1205,"&lt;2016/7/25",R3:R1205)</f>
        <v>1.2926829268292683</v>
      </c>
      <c r="T1162" s="38">
        <v>14</v>
      </c>
      <c r="U1162" s="38">
        <f>AVERAGEIF(L3:L1205,"&lt;2016/7/25",T3:T1205)</f>
        <v>10.560975609756097</v>
      </c>
      <c r="V1162" s="24">
        <v>43</v>
      </c>
      <c r="W1162" s="47" t="s">
        <v>4634</v>
      </c>
    </row>
    <row r="1163" spans="1:23">
      <c r="A1163" s="23">
        <v>2</v>
      </c>
      <c r="B1163" s="23">
        <v>9</v>
      </c>
      <c r="C1163" s="18">
        <v>4</v>
      </c>
      <c r="D1163" s="18">
        <v>4</v>
      </c>
      <c r="E1163" s="20">
        <v>57</v>
      </c>
      <c r="F1163" s="21">
        <f t="shared" si="55"/>
        <v>90.523809523809518</v>
      </c>
      <c r="G1163" s="22">
        <v>0.57341008290369699</v>
      </c>
      <c r="H1163" s="18">
        <v>1</v>
      </c>
      <c r="I1163" s="18">
        <f t="shared" si="56"/>
        <v>0</v>
      </c>
      <c r="J1163" s="41">
        <v>42569</v>
      </c>
      <c r="K1163" s="8">
        <v>2016</v>
      </c>
      <c r="L1163" s="32">
        <f t="shared" si="54"/>
        <v>42578</v>
      </c>
      <c r="M1163" s="40">
        <v>1</v>
      </c>
      <c r="N1163" s="33">
        <v>75</v>
      </c>
      <c r="O1163" s="34">
        <f>AVERAGEIF(L3:L1205,"&lt;2016/7/18",N3:N1205)</f>
        <v>91</v>
      </c>
      <c r="P1163" s="38">
        <v>0</v>
      </c>
      <c r="Q1163" s="38">
        <f>AVERAGEIF(L3:L1205,"&lt;2016/7/18",P3:P1205)</f>
        <v>0.53846153846153844</v>
      </c>
      <c r="R1163" s="38">
        <v>1</v>
      </c>
      <c r="S1163" s="38">
        <f>AVERAGEIF(L3:L1205,"&lt;2016/7/18",R3:R1205)</f>
        <v>1.3076923076923077</v>
      </c>
      <c r="T1163" s="38">
        <v>9</v>
      </c>
      <c r="U1163" s="38">
        <f>AVERAGEIF(L3:L1205,"&lt;2016/7/18",T3:T1205)</f>
        <v>10.76923076923077</v>
      </c>
      <c r="V1163" s="24">
        <v>42</v>
      </c>
      <c r="W1163" s="47" t="s">
        <v>4542</v>
      </c>
    </row>
    <row r="1164" spans="1:23">
      <c r="A1164" s="23">
        <v>3</v>
      </c>
      <c r="B1164" s="23">
        <v>19</v>
      </c>
      <c r="C1164" s="18">
        <v>4</v>
      </c>
      <c r="D1164" s="18">
        <v>6</v>
      </c>
      <c r="E1164" s="20">
        <v>191</v>
      </c>
      <c r="F1164" s="21">
        <f t="shared" si="55"/>
        <v>88.073170731707322</v>
      </c>
      <c r="G1164" s="22">
        <v>0.34091698907416701</v>
      </c>
      <c r="H1164" s="3">
        <v>1</v>
      </c>
      <c r="I1164" s="18">
        <f t="shared" si="56"/>
        <v>0</v>
      </c>
      <c r="J1164" s="41">
        <v>42568</v>
      </c>
      <c r="K1164" s="8">
        <v>2016</v>
      </c>
      <c r="L1164" s="32">
        <f t="shared" si="54"/>
        <v>42591</v>
      </c>
      <c r="M1164" s="24">
        <v>1</v>
      </c>
      <c r="N1164" s="33">
        <v>154</v>
      </c>
      <c r="O1164" s="34">
        <f>AVERAGEIF(L3:L1205,"&lt;2016/7/17",N3:N1205)</f>
        <v>91</v>
      </c>
      <c r="P1164" s="38">
        <v>1</v>
      </c>
      <c r="Q1164" s="38">
        <f>AVERAGEIF(L3:L1205,"&lt;2016/7/17",P3:P1205)</f>
        <v>0.53846153846153844</v>
      </c>
      <c r="R1164" s="38">
        <v>3</v>
      </c>
      <c r="S1164" s="38">
        <f>AVERAGEIF(L3:L1205,"&lt;2016/7/17",R3:R1205)</f>
        <v>1.3076923076923077</v>
      </c>
      <c r="T1164" s="38">
        <v>23</v>
      </c>
      <c r="U1164" s="38">
        <f>AVERAGEIF(L3:L1205,"&lt;2016/7/17",T3:T1205)</f>
        <v>10.76923076923077</v>
      </c>
      <c r="V1164" s="24">
        <v>41</v>
      </c>
      <c r="W1164" s="47" t="s">
        <v>4618</v>
      </c>
    </row>
    <row r="1165" spans="1:23">
      <c r="A1165" s="23">
        <v>2</v>
      </c>
      <c r="B1165" s="23">
        <v>9</v>
      </c>
      <c r="C1165" s="18">
        <v>4</v>
      </c>
      <c r="D1165" s="18">
        <v>6</v>
      </c>
      <c r="E1165" s="20">
        <v>97</v>
      </c>
      <c r="F1165" s="21">
        <f t="shared" si="55"/>
        <v>87.85</v>
      </c>
      <c r="G1165" s="22">
        <v>0.84742866031575903</v>
      </c>
      <c r="H1165" s="18">
        <v>1</v>
      </c>
      <c r="I1165" s="18">
        <f t="shared" si="56"/>
        <v>0</v>
      </c>
      <c r="J1165" s="41">
        <v>42566</v>
      </c>
      <c r="K1165" s="8">
        <v>2016</v>
      </c>
      <c r="L1165" s="32">
        <f t="shared" si="54"/>
        <v>42571</v>
      </c>
      <c r="M1165" s="40">
        <v>0</v>
      </c>
      <c r="N1165" s="33">
        <v>75</v>
      </c>
      <c r="O1165" s="34">
        <f>AVERAGEIF(L3:L1205,"&lt;2016/7/15",N3:N1205)</f>
        <v>91</v>
      </c>
      <c r="P1165" s="38">
        <v>0</v>
      </c>
      <c r="Q1165" s="38">
        <f>AVERAGEIF(L3:L1205,"&lt;2016/7/15",P3:P1205)</f>
        <v>0.53846153846153844</v>
      </c>
      <c r="R1165" s="38">
        <v>1</v>
      </c>
      <c r="S1165" s="38">
        <f>AVERAGEIF(L3:L1205,"&lt;2016/7/15",R3:R1205)</f>
        <v>1.3076923076923077</v>
      </c>
      <c r="T1165" s="38">
        <v>5</v>
      </c>
      <c r="U1165" s="38">
        <f>AVERAGEIF(L3:L1205,"&lt;2016/7/15",T3:T1205)</f>
        <v>10.76923076923077</v>
      </c>
      <c r="V1165" s="24">
        <v>40</v>
      </c>
      <c r="W1165" s="47" t="s">
        <v>4618</v>
      </c>
    </row>
    <row r="1166" spans="1:23">
      <c r="A1166" s="23">
        <v>2</v>
      </c>
      <c r="B1166" s="23">
        <v>6</v>
      </c>
      <c r="C1166" s="18">
        <v>4</v>
      </c>
      <c r="D1166" s="18">
        <v>6</v>
      </c>
      <c r="E1166" s="20">
        <v>52</v>
      </c>
      <c r="F1166" s="21">
        <f t="shared" si="55"/>
        <v>88.769230769230774</v>
      </c>
      <c r="G1166" s="22">
        <v>0.25614485613362598</v>
      </c>
      <c r="H1166" s="18">
        <v>1</v>
      </c>
      <c r="I1166" s="18">
        <f t="shared" si="56"/>
        <v>0</v>
      </c>
      <c r="J1166" s="41">
        <v>42562</v>
      </c>
      <c r="K1166" s="8">
        <v>2016</v>
      </c>
      <c r="L1166" s="32">
        <f t="shared" si="54"/>
        <v>42570</v>
      </c>
      <c r="M1166" s="40">
        <v>0</v>
      </c>
      <c r="N1166" s="33">
        <v>83</v>
      </c>
      <c r="O1166" s="34">
        <f>AVERAGEIF(L3:L1205,"&lt;2016/7/11",N3:N1205)</f>
        <v>91.65789473684211</v>
      </c>
      <c r="P1166" s="38">
        <v>0</v>
      </c>
      <c r="Q1166" s="38">
        <f>AVERAGEIF(L3:L1205,"&lt;2016/7/11",P3:P1205)</f>
        <v>0.52631578947368418</v>
      </c>
      <c r="R1166" s="38">
        <v>1</v>
      </c>
      <c r="S1166" s="38">
        <f>AVERAGEIF(L3:L1205,"&lt;2016/7/11",R3:R1205)</f>
        <v>1.3157894736842106</v>
      </c>
      <c r="T1166" s="38">
        <v>8</v>
      </c>
      <c r="U1166" s="38">
        <f>AVERAGEIF(L3:L1205,"&lt;2016/7/11",T3:T1205)</f>
        <v>10.921052631578947</v>
      </c>
      <c r="V1166" s="24">
        <v>39</v>
      </c>
      <c r="W1166" s="47" t="s">
        <v>4563</v>
      </c>
    </row>
    <row r="1167" spans="1:23">
      <c r="A1167" s="23">
        <v>2</v>
      </c>
      <c r="B1167" s="23">
        <v>8</v>
      </c>
      <c r="C1167" s="18">
        <v>5</v>
      </c>
      <c r="D1167" s="18">
        <v>6</v>
      </c>
      <c r="E1167" s="20">
        <v>76</v>
      </c>
      <c r="F1167" s="21">
        <f t="shared" si="55"/>
        <v>89.10526315789474</v>
      </c>
      <c r="G1167" s="22">
        <v>0.80886925816911104</v>
      </c>
      <c r="H1167" s="18">
        <v>0</v>
      </c>
      <c r="I1167" s="18">
        <f t="shared" si="56"/>
        <v>1</v>
      </c>
      <c r="J1167" s="41">
        <v>42557</v>
      </c>
      <c r="K1167" s="8">
        <v>2016</v>
      </c>
      <c r="L1167" s="32">
        <f t="shared" si="54"/>
        <v>42562</v>
      </c>
      <c r="M1167" s="40">
        <v>1</v>
      </c>
      <c r="N1167" s="33">
        <v>66</v>
      </c>
      <c r="O1167" s="34">
        <f>AVERAGEIF(L3:L1205,"&lt;2016/7/6",N3:N1205)</f>
        <v>91.891891891891888</v>
      </c>
      <c r="P1167" s="38">
        <v>1</v>
      </c>
      <c r="Q1167" s="38">
        <f>AVERAGEIF(L3:L1205,"&lt;2016/7/6",P3:P1205)</f>
        <v>0.54054054054054057</v>
      </c>
      <c r="R1167" s="38">
        <v>1</v>
      </c>
      <c r="S1167" s="38">
        <f>AVERAGEIF(L3:L1205,"&lt;2016/7/6",R3:R1205)</f>
        <v>1.3243243243243243</v>
      </c>
      <c r="T1167" s="38">
        <v>5</v>
      </c>
      <c r="U1167" s="38">
        <f>AVERAGEIF(L3:L1205,"&lt;2016/7/6",T3:T1205)</f>
        <v>11.108108108108109</v>
      </c>
      <c r="V1167" s="24">
        <v>38</v>
      </c>
      <c r="W1167" s="47" t="s">
        <v>4529</v>
      </c>
    </row>
    <row r="1168" spans="1:23">
      <c r="A1168" s="23">
        <v>2</v>
      </c>
      <c r="B1168" s="23">
        <v>6</v>
      </c>
      <c r="C1168" s="18">
        <v>2</v>
      </c>
      <c r="D1168" s="18">
        <v>4</v>
      </c>
      <c r="E1168" s="20">
        <v>49</v>
      </c>
      <c r="F1168" s="21">
        <f t="shared" si="55"/>
        <v>90.189189189189193</v>
      </c>
      <c r="G1168" s="22">
        <v>0.774018458145046</v>
      </c>
      <c r="H1168" s="18">
        <v>1</v>
      </c>
      <c r="I1168" s="18">
        <f t="shared" si="56"/>
        <v>0</v>
      </c>
      <c r="J1168" s="41">
        <v>42553</v>
      </c>
      <c r="K1168" s="8">
        <v>2016</v>
      </c>
      <c r="L1168" s="32">
        <f t="shared" si="54"/>
        <v>42557</v>
      </c>
      <c r="M1168" s="40">
        <v>0</v>
      </c>
      <c r="N1168" s="33">
        <v>83</v>
      </c>
      <c r="O1168" s="34">
        <f>AVERAGEIF(L3:L1205,"&lt;2016/7/2",N3:N1205)</f>
        <v>92.628571428571433</v>
      </c>
      <c r="P1168" s="40">
        <v>0</v>
      </c>
      <c r="Q1168" s="40">
        <f>AVERAGEIF(L3:L1205,"&lt;2016/7/2",P3:P1205)</f>
        <v>0.48571428571428571</v>
      </c>
      <c r="R1168" s="40">
        <v>1</v>
      </c>
      <c r="S1168" s="40">
        <f>AVERAGEIF(L3:L1205,"&lt;2016/7/2",R3:R1205)</f>
        <v>1.2857142857142858</v>
      </c>
      <c r="T1168" s="40">
        <v>4</v>
      </c>
      <c r="U1168" s="40">
        <f>AVERAGEIF(L3:L1205,"&lt;2016/7/2",T3:T1205)</f>
        <v>10.314285714285715</v>
      </c>
      <c r="V1168" s="24">
        <v>37</v>
      </c>
      <c r="W1168" s="47" t="s">
        <v>4550</v>
      </c>
    </row>
    <row r="1169" spans="1:23">
      <c r="A1169" s="23">
        <v>2</v>
      </c>
      <c r="B1169" s="23">
        <v>9</v>
      </c>
      <c r="C1169" s="18">
        <v>4</v>
      </c>
      <c r="D1169" s="18">
        <v>4</v>
      </c>
      <c r="E1169" s="20">
        <v>102</v>
      </c>
      <c r="F1169" s="21">
        <f t="shared" si="55"/>
        <v>89.861111111111114</v>
      </c>
      <c r="G1169" s="22">
        <v>0.375084755938561</v>
      </c>
      <c r="H1169" s="18">
        <v>0</v>
      </c>
      <c r="I1169" s="18">
        <f t="shared" si="56"/>
        <v>1</v>
      </c>
      <c r="J1169" s="41">
        <v>42543</v>
      </c>
      <c r="K1169" s="8">
        <v>2016</v>
      </c>
      <c r="L1169" s="32">
        <f t="shared" si="54"/>
        <v>42552</v>
      </c>
      <c r="M1169" s="40">
        <v>0</v>
      </c>
      <c r="N1169" s="33">
        <v>75</v>
      </c>
      <c r="O1169" s="34">
        <f>AVERAGEIF(L3:L1205,"&lt;2016/6/22",N3:N1205)</f>
        <v>92.5625</v>
      </c>
      <c r="P1169" s="40">
        <v>0</v>
      </c>
      <c r="Q1169" s="40">
        <f>AVERAGEIF(L3:L1205,"&lt;2016/6/22",P3:P1205)</f>
        <v>0.53125</v>
      </c>
      <c r="R1169" s="40">
        <v>1</v>
      </c>
      <c r="S1169" s="40">
        <f>AVERAGEIF(L3:L1205,"&lt;2016/6/22",R3:R1205)</f>
        <v>1.3125</v>
      </c>
      <c r="T1169" s="40">
        <v>9</v>
      </c>
      <c r="U1169" s="40">
        <f>AVERAGEIF(L3:L1205,"&lt;2016/6/22",T3:T1205)</f>
        <v>10.40625</v>
      </c>
      <c r="V1169" s="24">
        <v>36</v>
      </c>
      <c r="W1169" s="47" t="s">
        <v>4878</v>
      </c>
    </row>
    <row r="1170" spans="1:23">
      <c r="A1170" s="23">
        <v>2</v>
      </c>
      <c r="B1170" s="23">
        <v>6</v>
      </c>
      <c r="C1170" s="18">
        <v>4</v>
      </c>
      <c r="D1170" s="18">
        <v>6</v>
      </c>
      <c r="E1170" s="20">
        <v>49</v>
      </c>
      <c r="F1170" s="21">
        <f t="shared" si="55"/>
        <v>91.028571428571425</v>
      </c>
      <c r="G1170" s="22">
        <v>0.80810936723595495</v>
      </c>
      <c r="H1170" s="18">
        <v>1</v>
      </c>
      <c r="I1170" s="18">
        <f t="shared" si="56"/>
        <v>0</v>
      </c>
      <c r="J1170" s="41">
        <v>42537</v>
      </c>
      <c r="K1170" s="8">
        <v>2016</v>
      </c>
      <c r="L1170" s="32">
        <f t="shared" si="54"/>
        <v>42545</v>
      </c>
      <c r="M1170" s="40">
        <v>1</v>
      </c>
      <c r="N1170" s="33">
        <v>101</v>
      </c>
      <c r="O1170" s="34">
        <f>AVERAGEIF(L3:L1205,"&lt;2016/6/16",N3:N1205)</f>
        <v>92.13333333333334</v>
      </c>
      <c r="P1170" s="38">
        <v>0</v>
      </c>
      <c r="Q1170" s="38">
        <f>AVERAGEIF(L3:L1205,"&lt;2016/6/16",P3:P1205)</f>
        <v>0.56666666666666665</v>
      </c>
      <c r="R1170" s="38">
        <v>1</v>
      </c>
      <c r="S1170" s="38">
        <f>AVERAGEIF(L3:L1205,"&lt;2016/6/16",R3:R1205)</f>
        <v>1.3333333333333333</v>
      </c>
      <c r="T1170" s="38">
        <v>8</v>
      </c>
      <c r="U1170" s="38">
        <f>AVERAGEIF(L3:L1205,"&lt;2016/6/16",T3:T1205)</f>
        <v>10.5</v>
      </c>
      <c r="V1170" s="24">
        <v>35</v>
      </c>
      <c r="W1170" s="47" t="s">
        <v>4563</v>
      </c>
    </row>
    <row r="1171" spans="1:23">
      <c r="A1171" s="23">
        <v>2</v>
      </c>
      <c r="B1171" s="23">
        <v>7</v>
      </c>
      <c r="C1171" s="18">
        <v>4</v>
      </c>
      <c r="D1171" s="18">
        <v>6</v>
      </c>
      <c r="E1171" s="20">
        <v>40</v>
      </c>
      <c r="F1171" s="21">
        <f t="shared" si="55"/>
        <v>92.529411764705884</v>
      </c>
      <c r="G1171" s="22">
        <v>0.34099416824119899</v>
      </c>
      <c r="H1171" s="18">
        <v>0</v>
      </c>
      <c r="I1171" s="18">
        <f t="shared" si="56"/>
        <v>1</v>
      </c>
      <c r="J1171" s="41">
        <v>42537</v>
      </c>
      <c r="K1171" s="8">
        <v>2016</v>
      </c>
      <c r="L1171" s="32">
        <f t="shared" si="54"/>
        <v>42548</v>
      </c>
      <c r="M1171" s="40">
        <v>0</v>
      </c>
      <c r="N1171" s="33">
        <v>104</v>
      </c>
      <c r="O1171" s="34">
        <f>AVERAGEIF(L3:L1205,"&lt;2016/6/16",N3:N1205)</f>
        <v>92.13333333333334</v>
      </c>
      <c r="P1171" s="38">
        <v>0</v>
      </c>
      <c r="Q1171" s="38">
        <f>AVERAGEIF(L3:L1205,"&lt;2016/6/16",P3:P1205)</f>
        <v>0.56666666666666665</v>
      </c>
      <c r="R1171" s="38">
        <v>1</v>
      </c>
      <c r="S1171" s="38">
        <f>AVERAGEIF(L3:L1205,"&lt;2016/6/16",R3:R1205)</f>
        <v>1.3333333333333333</v>
      </c>
      <c r="T1171" s="38">
        <v>11</v>
      </c>
      <c r="U1171" s="38">
        <f>AVERAGEIF(L3:L1205,"&lt;2016/6/16",T3:T1205)</f>
        <v>10.5</v>
      </c>
      <c r="V1171" s="24">
        <v>34</v>
      </c>
      <c r="W1171" s="47" t="s">
        <v>4550</v>
      </c>
    </row>
    <row r="1172" spans="1:23">
      <c r="A1172" s="23">
        <v>4</v>
      </c>
      <c r="B1172" s="23">
        <v>29</v>
      </c>
      <c r="C1172" s="18">
        <v>4</v>
      </c>
      <c r="D1172" s="18">
        <v>6</v>
      </c>
      <c r="E1172" s="20">
        <v>297</v>
      </c>
      <c r="F1172" s="21">
        <f t="shared" si="55"/>
        <v>86.333333333333329</v>
      </c>
      <c r="G1172" s="22">
        <v>0.49912511743417098</v>
      </c>
      <c r="H1172" s="18">
        <v>0</v>
      </c>
      <c r="I1172" s="18">
        <f t="shared" si="56"/>
        <v>1</v>
      </c>
      <c r="J1172" s="45">
        <v>42535</v>
      </c>
      <c r="K1172" s="8">
        <v>2016</v>
      </c>
      <c r="L1172" s="32">
        <f t="shared" si="54"/>
        <v>42536</v>
      </c>
      <c r="M1172" s="24">
        <v>0</v>
      </c>
      <c r="N1172" s="33">
        <v>111</v>
      </c>
      <c r="O1172" s="34">
        <f>AVERAGEIF(L3:L1205,"&lt;2016/6/14",N3:N1205)</f>
        <v>91.269230769230774</v>
      </c>
      <c r="P1172" s="38">
        <v>0</v>
      </c>
      <c r="Q1172" s="38">
        <f>AVERAGEIF(L3:L1205,"&lt;2016/6/14",P3:P1205)</f>
        <v>0.53846153846153844</v>
      </c>
      <c r="R1172" s="38">
        <v>1</v>
      </c>
      <c r="S1172" s="38">
        <f>AVERAGEIF(L3:L1205,"&lt;2016/6/14",R3:R1205)</f>
        <v>1.3846153846153846</v>
      </c>
      <c r="T1172" s="38">
        <v>1</v>
      </c>
      <c r="U1172" s="38">
        <f>AVERAGEIF(L3:L1205,"&lt;2016/6/14",T3:T1205)</f>
        <v>10.846153846153847</v>
      </c>
      <c r="V1172" s="24">
        <v>33</v>
      </c>
      <c r="W1172" s="47" t="s">
        <v>4690</v>
      </c>
    </row>
    <row r="1173" spans="1:23">
      <c r="A1173" s="23">
        <v>2</v>
      </c>
      <c r="B1173" s="23">
        <v>7</v>
      </c>
      <c r="C1173" s="18">
        <v>4</v>
      </c>
      <c r="D1173" s="18">
        <v>6</v>
      </c>
      <c r="E1173" s="20">
        <v>100</v>
      </c>
      <c r="F1173" s="21">
        <f t="shared" si="55"/>
        <v>85.90625</v>
      </c>
      <c r="G1173" s="22">
        <v>0.87499979312703702</v>
      </c>
      <c r="H1173" s="18">
        <v>0</v>
      </c>
      <c r="I1173" s="18">
        <f t="shared" si="56"/>
        <v>1</v>
      </c>
      <c r="J1173" s="41">
        <v>42533</v>
      </c>
      <c r="K1173" s="8">
        <v>2016</v>
      </c>
      <c r="L1173" s="32">
        <f t="shared" si="54"/>
        <v>42542</v>
      </c>
      <c r="M1173" s="40">
        <v>0</v>
      </c>
      <c r="N1173" s="33">
        <v>115</v>
      </c>
      <c r="O1173" s="34">
        <f>AVERAGEIF(L3:L1205,"&lt;2016/6/12",N3:N1205)</f>
        <v>91.64</v>
      </c>
      <c r="P1173" s="38">
        <v>0</v>
      </c>
      <c r="Q1173" s="38">
        <f>AVERAGEIF(L3:L1205,"&lt;2016/6/12",P3:P1205)</f>
        <v>0.56000000000000005</v>
      </c>
      <c r="R1173" s="38">
        <v>1</v>
      </c>
      <c r="S1173" s="38">
        <f>AVERAGEIF(L3:L1205,"&lt;2016/6/12",R3:R1205)</f>
        <v>1.4</v>
      </c>
      <c r="T1173" s="38">
        <v>9</v>
      </c>
      <c r="U1173" s="38">
        <f>AVERAGEIF(L3:L1205,"&lt;2016/6/12",T3:T1205)</f>
        <v>11</v>
      </c>
      <c r="V1173" s="24">
        <v>32</v>
      </c>
      <c r="W1173" s="47" t="s">
        <v>4742</v>
      </c>
    </row>
    <row r="1174" spans="1:23">
      <c r="A1174" s="23">
        <v>2</v>
      </c>
      <c r="B1174" s="23">
        <v>7</v>
      </c>
      <c r="C1174" s="18">
        <v>4</v>
      </c>
      <c r="D1174" s="18">
        <v>3</v>
      </c>
      <c r="E1174" s="20">
        <v>53</v>
      </c>
      <c r="F1174" s="21">
        <f t="shared" si="55"/>
        <v>86.967741935483872</v>
      </c>
      <c r="G1174" s="22">
        <v>0.645276147561191</v>
      </c>
      <c r="H1174" s="18">
        <v>1</v>
      </c>
      <c r="I1174" s="18">
        <f t="shared" si="56"/>
        <v>0</v>
      </c>
      <c r="J1174" s="52">
        <v>42533</v>
      </c>
      <c r="K1174" s="8">
        <v>2016</v>
      </c>
      <c r="L1174" s="32">
        <f t="shared" si="54"/>
        <v>42542</v>
      </c>
      <c r="M1174" s="40">
        <v>1</v>
      </c>
      <c r="N1174" s="33">
        <v>83</v>
      </c>
      <c r="O1174" s="34">
        <f>AVERAGEIF(L3:L1205,"&lt;2016/6/12",N3:N1205)</f>
        <v>91.64</v>
      </c>
      <c r="P1174" s="38">
        <v>0</v>
      </c>
      <c r="Q1174" s="38">
        <f>AVERAGEIF(L3:L1205,"&lt;2016/6/12",P3:P1205)</f>
        <v>0.56000000000000005</v>
      </c>
      <c r="R1174" s="38">
        <v>1</v>
      </c>
      <c r="S1174" s="38">
        <f>AVERAGEIF(L3:L1205,"&lt;2016/6/12",R3:R1205)</f>
        <v>1.4</v>
      </c>
      <c r="T1174" s="38">
        <v>9</v>
      </c>
      <c r="U1174" s="38">
        <f>AVERAGEIF(L3:L1205,"&lt;2016/6/12",T3:T1205)</f>
        <v>11</v>
      </c>
      <c r="V1174" s="24">
        <v>31</v>
      </c>
      <c r="W1174" s="47" t="s">
        <v>4716</v>
      </c>
    </row>
    <row r="1175" spans="1:23">
      <c r="A1175" s="23">
        <v>3</v>
      </c>
      <c r="B1175" s="23">
        <v>19</v>
      </c>
      <c r="C1175" s="18">
        <v>4</v>
      </c>
      <c r="D1175" s="18">
        <v>4</v>
      </c>
      <c r="E1175" s="20">
        <v>33</v>
      </c>
      <c r="F1175" s="21">
        <f t="shared" si="55"/>
        <v>88.766666666666666</v>
      </c>
      <c r="G1175" s="22">
        <v>0.53287047101254903</v>
      </c>
      <c r="H1175" s="3">
        <v>1</v>
      </c>
      <c r="I1175" s="18">
        <f t="shared" si="56"/>
        <v>0</v>
      </c>
      <c r="J1175" s="41">
        <v>42533</v>
      </c>
      <c r="K1175" s="8">
        <v>2016</v>
      </c>
      <c r="L1175" s="32">
        <f t="shared" si="54"/>
        <v>42555</v>
      </c>
      <c r="M1175" s="38">
        <v>0</v>
      </c>
      <c r="N1175" s="33">
        <v>81</v>
      </c>
      <c r="O1175" s="34">
        <f>AVERAGEIF(L3:L1205,"&lt;2016/6/12",N3:N1205)</f>
        <v>91.64</v>
      </c>
      <c r="P1175" s="38">
        <v>1</v>
      </c>
      <c r="Q1175" s="38">
        <f>AVERAGEIF(L3:L1205,"&lt;2016/6/12",P3:P1205)</f>
        <v>0.56000000000000005</v>
      </c>
      <c r="R1175" s="38">
        <v>2</v>
      </c>
      <c r="S1175" s="38">
        <f>AVERAGEIF(L3:L1205,"&lt;2016/6/12",R3:R1205)</f>
        <v>1.4</v>
      </c>
      <c r="T1175" s="38">
        <v>22</v>
      </c>
      <c r="U1175" s="38">
        <f>AVERAGEIF(L3:L1205,"&lt;2016/6/12",T3:T1205)</f>
        <v>11</v>
      </c>
      <c r="V1175" s="24">
        <v>30</v>
      </c>
      <c r="W1175" s="47" t="s">
        <v>4542</v>
      </c>
    </row>
    <row r="1176" spans="1:23">
      <c r="A1176" s="23">
        <v>2</v>
      </c>
      <c r="B1176" s="23">
        <v>6</v>
      </c>
      <c r="C1176" s="18">
        <v>4</v>
      </c>
      <c r="D1176" s="18">
        <v>4</v>
      </c>
      <c r="E1176" s="20">
        <v>66</v>
      </c>
      <c r="F1176" s="21">
        <f t="shared" si="55"/>
        <v>89.551724137931032</v>
      </c>
      <c r="G1176" s="22">
        <v>0.41527821593849901</v>
      </c>
      <c r="H1176" s="18">
        <v>1</v>
      </c>
      <c r="I1176" s="18">
        <f t="shared" si="56"/>
        <v>0</v>
      </c>
      <c r="J1176" s="41">
        <v>42529</v>
      </c>
      <c r="K1176" s="8">
        <v>2016</v>
      </c>
      <c r="L1176" s="32">
        <f t="shared" si="54"/>
        <v>42535</v>
      </c>
      <c r="M1176" s="40">
        <v>0</v>
      </c>
      <c r="N1176" s="33">
        <v>93</v>
      </c>
      <c r="O1176" s="34">
        <f>AVERAGEIF(L3:L1205,"&lt;2016/6/8",N3:N1205)</f>
        <v>91.64</v>
      </c>
      <c r="P1176" s="38">
        <v>0</v>
      </c>
      <c r="Q1176" s="38">
        <f>AVERAGEIF(L3:L1205,"&lt;2016/6/8",P3:P1205)</f>
        <v>0.56000000000000005</v>
      </c>
      <c r="R1176" s="38">
        <v>1</v>
      </c>
      <c r="S1176" s="38">
        <f>AVERAGEIF(L3:L1205,"&lt;2016/6/8",R3:R1205)</f>
        <v>1.4</v>
      </c>
      <c r="T1176" s="38">
        <v>6</v>
      </c>
      <c r="U1176" s="38">
        <f>AVERAGEIF(L3:L1205,"&lt;2016/6/8",T3:T1205)</f>
        <v>11</v>
      </c>
      <c r="V1176" s="24">
        <v>29</v>
      </c>
      <c r="W1176" s="47" t="s">
        <v>4550</v>
      </c>
    </row>
    <row r="1177" spans="1:23">
      <c r="A1177" s="23">
        <v>3</v>
      </c>
      <c r="B1177" s="23">
        <v>26</v>
      </c>
      <c r="C1177" s="18">
        <v>2</v>
      </c>
      <c r="D1177" s="18">
        <v>4</v>
      </c>
      <c r="E1177" s="20">
        <v>24</v>
      </c>
      <c r="F1177" s="21">
        <f t="shared" si="55"/>
        <v>91.892857142857139</v>
      </c>
      <c r="G1177" s="22">
        <v>0.42439780603473098</v>
      </c>
      <c r="H1177" s="3">
        <v>1</v>
      </c>
      <c r="I1177" s="18">
        <f t="shared" si="56"/>
        <v>0</v>
      </c>
      <c r="J1177" s="57">
        <v>42528</v>
      </c>
      <c r="K1177" s="8">
        <v>2016</v>
      </c>
      <c r="L1177" s="32">
        <f t="shared" si="54"/>
        <v>42556</v>
      </c>
      <c r="M1177" s="24">
        <v>0</v>
      </c>
      <c r="N1177" s="33">
        <v>77</v>
      </c>
      <c r="O1177" s="34">
        <f>AVERAGEIF(L3:L1205,"&lt;2016/6/7",N3:N1205)</f>
        <v>91.64</v>
      </c>
      <c r="P1177" s="38">
        <v>2</v>
      </c>
      <c r="Q1177" s="38">
        <f>AVERAGEIF(L3:L1205,"&lt;2016/6/7",P3:P1205)</f>
        <v>0.56000000000000005</v>
      </c>
      <c r="R1177" s="38">
        <v>2</v>
      </c>
      <c r="S1177" s="38">
        <f>AVERAGEIF(L3:L1205,"&lt;2016/6/7",R3:R1205)</f>
        <v>1.4</v>
      </c>
      <c r="T1177" s="38">
        <v>28</v>
      </c>
      <c r="U1177" s="38">
        <f>AVERAGEIF(L3:L1205,"&lt;2016/6/7",T3:T1205)</f>
        <v>11</v>
      </c>
      <c r="V1177" s="24">
        <v>28</v>
      </c>
      <c r="W1177" s="47" t="s">
        <v>4618</v>
      </c>
    </row>
    <row r="1178" spans="1:23">
      <c r="A1178" s="23">
        <v>2</v>
      </c>
      <c r="B1178" s="23">
        <v>4</v>
      </c>
      <c r="C1178" s="18">
        <v>1</v>
      </c>
      <c r="D1178" s="18">
        <v>6</v>
      </c>
      <c r="E1178" s="20">
        <v>22</v>
      </c>
      <c r="F1178" s="21">
        <f t="shared" si="55"/>
        <v>94.481481481481481</v>
      </c>
      <c r="G1178" s="22">
        <v>0.41390711061276803</v>
      </c>
      <c r="H1178" s="18">
        <v>1</v>
      </c>
      <c r="I1178" s="18">
        <f t="shared" si="56"/>
        <v>0</v>
      </c>
      <c r="J1178" s="41">
        <v>42526</v>
      </c>
      <c r="K1178" s="8">
        <v>2016</v>
      </c>
      <c r="L1178" s="32">
        <f t="shared" si="54"/>
        <v>42533</v>
      </c>
      <c r="M1178" s="37">
        <v>1</v>
      </c>
      <c r="N1178" s="33">
        <v>82</v>
      </c>
      <c r="O1178" s="34">
        <f>AVERAGEIF(L3:L1205,"&lt;2016/6/5",N3:N1205)</f>
        <v>91.64</v>
      </c>
      <c r="P1178" s="38">
        <v>0</v>
      </c>
      <c r="Q1178" s="38">
        <f>AVERAGEIF(L3:L1205,"&lt;2016/6/5",P3:P1205)</f>
        <v>0.56000000000000005</v>
      </c>
      <c r="R1178" s="38">
        <v>1</v>
      </c>
      <c r="S1178" s="38">
        <f>AVERAGEIF(L3:L1205,"&lt;2016/6/5",R3:R1205)</f>
        <v>1.4</v>
      </c>
      <c r="T1178" s="38">
        <v>7</v>
      </c>
      <c r="U1178" s="38">
        <f>AVERAGEIF(L3:L1205,"&lt;2016/6/5",T3:T1205)</f>
        <v>11</v>
      </c>
      <c r="V1178" s="24">
        <v>27</v>
      </c>
      <c r="W1178" s="47" t="s">
        <v>4618</v>
      </c>
    </row>
    <row r="1179" spans="1:23">
      <c r="A1179" s="23">
        <v>2</v>
      </c>
      <c r="B1179" s="23">
        <v>6</v>
      </c>
      <c r="C1179" s="18">
        <v>4</v>
      </c>
      <c r="D1179" s="18">
        <v>6</v>
      </c>
      <c r="E1179" s="20">
        <v>187</v>
      </c>
      <c r="F1179" s="21">
        <f t="shared" si="55"/>
        <v>90.92307692307692</v>
      </c>
      <c r="G1179" s="22">
        <v>0.28175619341413599</v>
      </c>
      <c r="H1179" s="18">
        <v>1</v>
      </c>
      <c r="I1179" s="18">
        <f t="shared" si="56"/>
        <v>0</v>
      </c>
      <c r="J1179" s="41">
        <v>42523</v>
      </c>
      <c r="K1179" s="8">
        <v>2016</v>
      </c>
      <c r="L1179" s="32">
        <f t="shared" si="54"/>
        <v>42536</v>
      </c>
      <c r="M1179" s="40">
        <v>0</v>
      </c>
      <c r="N1179" s="33">
        <v>83</v>
      </c>
      <c r="O1179" s="34">
        <f>AVERAGEIF(L3:L1205,"&lt;2016/6/2",N3:N1205)</f>
        <v>91.64</v>
      </c>
      <c r="P1179" s="40">
        <v>0</v>
      </c>
      <c r="Q1179" s="40">
        <f>AVERAGEIF(L3:L1205,"&lt;2016/6/2",P3:P1205)</f>
        <v>0.56000000000000005</v>
      </c>
      <c r="R1179" s="40">
        <v>1</v>
      </c>
      <c r="S1179" s="40">
        <f>AVERAGEIF(L3:L1205,"&lt;2016/6/5",R3:R1205)</f>
        <v>1.4</v>
      </c>
      <c r="T1179" s="40">
        <v>13</v>
      </c>
      <c r="U1179" s="40">
        <f>AVERAGEIF(L3:L1205,"&lt;2016/6/2",T3:T1205)</f>
        <v>11</v>
      </c>
      <c r="V1179" s="24">
        <v>26</v>
      </c>
      <c r="W1179" s="47" t="s">
        <v>4550</v>
      </c>
    </row>
    <row r="1180" spans="1:23">
      <c r="A1180" s="23">
        <v>2</v>
      </c>
      <c r="B1180" s="23">
        <v>7</v>
      </c>
      <c r="C1180" s="18">
        <v>5</v>
      </c>
      <c r="D1180" s="18">
        <v>3</v>
      </c>
      <c r="E1180" s="20">
        <v>50</v>
      </c>
      <c r="F1180" s="21">
        <f t="shared" si="55"/>
        <v>92.56</v>
      </c>
      <c r="G1180" s="22">
        <v>0.84056080701337499</v>
      </c>
      <c r="H1180" s="18">
        <v>1</v>
      </c>
      <c r="I1180" s="18">
        <f t="shared" si="56"/>
        <v>0</v>
      </c>
      <c r="J1180" s="41">
        <v>42522</v>
      </c>
      <c r="K1180" s="8">
        <v>2016</v>
      </c>
      <c r="L1180" s="32">
        <f t="shared" si="54"/>
        <v>42535</v>
      </c>
      <c r="M1180" s="40">
        <v>1</v>
      </c>
      <c r="N1180" s="33">
        <v>104</v>
      </c>
      <c r="O1180" s="34">
        <f>AVERAGEIF(L3:L1205,"&lt;2016/6/1",N3:N1205)</f>
        <v>91.64</v>
      </c>
      <c r="P1180" s="40">
        <v>3</v>
      </c>
      <c r="Q1180" s="40">
        <f>AVERAGEIF(L3:L1205,"&lt;2016/6/1",P3:P1205)</f>
        <v>0.56000000000000005</v>
      </c>
      <c r="R1180" s="40">
        <v>1</v>
      </c>
      <c r="S1180" s="40">
        <f>AVERAGEIF(L3:L1205,"&lt;2016/6/1",R3:R1205)</f>
        <v>1.4</v>
      </c>
      <c r="T1180" s="40">
        <v>13</v>
      </c>
      <c r="U1180" s="40">
        <f>AVERAGEIF(L3:L1205,"&lt;2016/6/1",T3:T1205)</f>
        <v>11</v>
      </c>
      <c r="V1180" s="24">
        <v>25</v>
      </c>
      <c r="W1180" s="47" t="s">
        <v>4716</v>
      </c>
    </row>
    <row r="1181" spans="1:23">
      <c r="A1181" s="23">
        <v>4</v>
      </c>
      <c r="B1181" s="23">
        <v>31</v>
      </c>
      <c r="C1181" s="18">
        <v>4</v>
      </c>
      <c r="D1181" s="18">
        <v>6</v>
      </c>
      <c r="E1181" s="20">
        <v>83</v>
      </c>
      <c r="F1181" s="21">
        <f t="shared" si="55"/>
        <v>92.958333333333329</v>
      </c>
      <c r="G1181" s="22">
        <v>0.37500204849487501</v>
      </c>
      <c r="H1181" s="18">
        <v>1</v>
      </c>
      <c r="I1181" s="18">
        <f t="shared" si="56"/>
        <v>0</v>
      </c>
      <c r="J1181" s="45">
        <v>42514</v>
      </c>
      <c r="K1181" s="8">
        <v>2016</v>
      </c>
      <c r="L1181" s="32">
        <f t="shared" si="54"/>
        <v>42517</v>
      </c>
      <c r="M1181" s="42">
        <v>0</v>
      </c>
      <c r="N1181" s="33">
        <v>162</v>
      </c>
      <c r="O1181" s="34">
        <f>AVERAGEIF(L3:L1205,"&lt;2016/5/24",N3:N1205)</f>
        <v>87.409090909090907</v>
      </c>
      <c r="P1181" s="38">
        <v>0</v>
      </c>
      <c r="Q1181" s="38">
        <f>AVERAGEIF(L3:L1205,"&lt;2016/5/24",P3:P1205)</f>
        <v>0.59090909090909094</v>
      </c>
      <c r="R1181" s="38">
        <v>1</v>
      </c>
      <c r="S1181" s="38">
        <f>AVERAGEIF(L3:L1205,"&lt;2016/5/24",R3:R1205)</f>
        <v>1.4545454545454546</v>
      </c>
      <c r="T1181" s="38">
        <v>3</v>
      </c>
      <c r="U1181" s="38">
        <f>AVERAGEIF(L3:L1205,"&lt;2016/5/24",T3:T1205)</f>
        <v>11.136363636363637</v>
      </c>
      <c r="V1181" s="24">
        <v>24</v>
      </c>
      <c r="W1181" s="47" t="s">
        <v>4634</v>
      </c>
    </row>
    <row r="1182" spans="1:23">
      <c r="A1182" s="23">
        <v>2</v>
      </c>
      <c r="B1182" s="23">
        <v>14</v>
      </c>
      <c r="C1182" s="18">
        <v>4</v>
      </c>
      <c r="D1182" s="18">
        <v>6</v>
      </c>
      <c r="E1182" s="20">
        <v>114</v>
      </c>
      <c r="F1182" s="21">
        <f t="shared" si="55"/>
        <v>92.043478260869563</v>
      </c>
      <c r="G1182" s="22">
        <v>0.375034155380844</v>
      </c>
      <c r="H1182" s="18">
        <v>1</v>
      </c>
      <c r="I1182" s="18">
        <f t="shared" si="56"/>
        <v>0</v>
      </c>
      <c r="J1182" s="41">
        <v>42509</v>
      </c>
      <c r="K1182" s="8">
        <v>2016</v>
      </c>
      <c r="L1182" s="32">
        <f t="shared" si="54"/>
        <v>42521</v>
      </c>
      <c r="M1182" s="24">
        <v>0</v>
      </c>
      <c r="N1182" s="33">
        <v>123</v>
      </c>
      <c r="O1182" s="34">
        <f>AVERAGEIF(L3:L1205,"&lt;2016/5/19",N3:N1205)</f>
        <v>88</v>
      </c>
      <c r="P1182" s="38">
        <v>0</v>
      </c>
      <c r="Q1182" s="38">
        <f>AVERAGEIF(L3:L1205,"&lt;2016/5/19",P3:P1205)</f>
        <v>0.5714285714285714</v>
      </c>
      <c r="R1182" s="38">
        <v>1</v>
      </c>
      <c r="S1182" s="38">
        <f>AVERAGEIF(L3:L1205,"&lt;2016/5/19",R3:R1205)</f>
        <v>1.4761904761904763</v>
      </c>
      <c r="T1182" s="38">
        <v>12</v>
      </c>
      <c r="U1182" s="38">
        <f>AVERAGEIF(L3:L1205,"&lt;2016/5/19",T3:T1205)</f>
        <v>11.19047619047619</v>
      </c>
      <c r="V1182" s="24">
        <v>23</v>
      </c>
      <c r="W1182" s="47" t="s">
        <v>4626</v>
      </c>
    </row>
    <row r="1183" spans="1:23">
      <c r="A1183" s="23">
        <v>2</v>
      </c>
      <c r="B1183" s="23">
        <v>6</v>
      </c>
      <c r="C1183" s="18">
        <v>4</v>
      </c>
      <c r="D1183" s="18">
        <v>6</v>
      </c>
      <c r="E1183" s="20">
        <v>294</v>
      </c>
      <c r="F1183" s="21">
        <f t="shared" si="55"/>
        <v>82.86363636363636</v>
      </c>
      <c r="G1183" s="22">
        <v>0.68543811191358595</v>
      </c>
      <c r="H1183" s="18">
        <v>0</v>
      </c>
      <c r="I1183" s="18">
        <f t="shared" si="56"/>
        <v>1</v>
      </c>
      <c r="J1183" s="41">
        <v>42506</v>
      </c>
      <c r="K1183" s="8">
        <v>2016</v>
      </c>
      <c r="L1183" s="32">
        <f t="shared" si="54"/>
        <v>42521</v>
      </c>
      <c r="M1183" s="40">
        <v>0</v>
      </c>
      <c r="N1183" s="33">
        <v>83</v>
      </c>
      <c r="O1183" s="34">
        <f>AVERAGEIF(L3:L1205,"&lt;2016/5/16",N3:N1205)</f>
        <v>88.78947368421052</v>
      </c>
      <c r="P1183" s="38">
        <v>1</v>
      </c>
      <c r="Q1183" s="38">
        <f>AVERAGEIF(L3:L1205,"&lt;2016/5/16",P3:P1205)</f>
        <v>0.52631578947368418</v>
      </c>
      <c r="R1183" s="38">
        <v>1</v>
      </c>
      <c r="S1183" s="38">
        <f>AVERAGEIF(L3:L1205,"&lt;2016/5/16",R3:R1205)</f>
        <v>1.5263157894736843</v>
      </c>
      <c r="T1183" s="38">
        <v>15</v>
      </c>
      <c r="U1183" s="38">
        <f>AVERAGEIF(L3:L1205,"&lt;2016/5/16",T3:T1205)</f>
        <v>11.631578947368421</v>
      </c>
      <c r="V1183" s="24">
        <v>22</v>
      </c>
      <c r="W1183" s="47" t="s">
        <v>4899</v>
      </c>
    </row>
    <row r="1184" spans="1:23">
      <c r="A1184" s="23">
        <v>4</v>
      </c>
      <c r="B1184" s="23">
        <v>29</v>
      </c>
      <c r="C1184" s="18">
        <v>5</v>
      </c>
      <c r="D1184" s="18">
        <v>6</v>
      </c>
      <c r="E1184" s="20">
        <v>18</v>
      </c>
      <c r="F1184" s="21">
        <f t="shared" si="55"/>
        <v>85.952380952380949</v>
      </c>
      <c r="G1184" s="22">
        <v>0.82606016007655003</v>
      </c>
      <c r="H1184" s="18">
        <v>1</v>
      </c>
      <c r="I1184" s="18">
        <f t="shared" si="56"/>
        <v>0</v>
      </c>
      <c r="J1184" s="45">
        <v>42503</v>
      </c>
      <c r="K1184" s="8">
        <v>2016</v>
      </c>
      <c r="L1184" s="32">
        <f t="shared" si="54"/>
        <v>42513</v>
      </c>
      <c r="M1184" s="51">
        <v>1</v>
      </c>
      <c r="N1184" s="33">
        <v>75</v>
      </c>
      <c r="O1184" s="34">
        <f>AVERAGEIF(L3:L1205,"&lt;2016/5/13",N3:N1205)</f>
        <v>88.78947368421052</v>
      </c>
      <c r="P1184" s="38">
        <v>1</v>
      </c>
      <c r="Q1184" s="38">
        <f>AVERAGEIF(L3:L1205,"&lt;2016/5/13",P3:P1205)</f>
        <v>0.52631578947368418</v>
      </c>
      <c r="R1184" s="38">
        <v>1</v>
      </c>
      <c r="S1184" s="38">
        <f>AVERAGEIF(L3:L1205,"&lt;2016/5/13",R3:R1205)</f>
        <v>1.5263157894736843</v>
      </c>
      <c r="T1184" s="38">
        <v>10</v>
      </c>
      <c r="U1184" s="38">
        <f>AVERAGEIF(L3:L1205,"&lt;2016/5/13",T3:T1205)</f>
        <v>11.631578947368421</v>
      </c>
      <c r="V1184" s="24">
        <v>21</v>
      </c>
      <c r="W1184" s="47" t="s">
        <v>4563</v>
      </c>
    </row>
    <row r="1185" spans="1:23">
      <c r="A1185" s="23">
        <v>4</v>
      </c>
      <c r="B1185" s="23">
        <v>29</v>
      </c>
      <c r="C1185" s="18">
        <v>5</v>
      </c>
      <c r="D1185" s="18">
        <v>6</v>
      </c>
      <c r="E1185" s="20">
        <v>37</v>
      </c>
      <c r="F1185" s="21">
        <f t="shared" si="55"/>
        <v>88.4</v>
      </c>
      <c r="G1185" s="22">
        <v>0.61873902335353603</v>
      </c>
      <c r="H1185" s="18">
        <v>1</v>
      </c>
      <c r="I1185" s="18">
        <f t="shared" si="56"/>
        <v>0</v>
      </c>
      <c r="J1185" s="45">
        <v>42503</v>
      </c>
      <c r="K1185" s="8">
        <v>2016</v>
      </c>
      <c r="L1185" s="32">
        <f t="shared" si="54"/>
        <v>42507</v>
      </c>
      <c r="M1185" s="42">
        <v>1</v>
      </c>
      <c r="N1185" s="33">
        <v>113</v>
      </c>
      <c r="O1185" s="34">
        <f>AVERAGEIF(L3:L1205,"&lt;2016/5/13",N3:N1205)</f>
        <v>88.78947368421052</v>
      </c>
      <c r="P1185" s="38">
        <v>0</v>
      </c>
      <c r="Q1185" s="38">
        <f>AVERAGEIF(L3:L1205,"&lt;2016/5/13",P3:P1205)</f>
        <v>0.52631578947368418</v>
      </c>
      <c r="R1185" s="38">
        <v>1</v>
      </c>
      <c r="S1185" s="38">
        <f>AVERAGEIF(L3:L1205,"&lt;2016/5/13",R3:R1205)</f>
        <v>1.5263157894736843</v>
      </c>
      <c r="T1185" s="38">
        <v>4</v>
      </c>
      <c r="U1185" s="38">
        <f>AVERAGEIF(L3:L1205,"&lt;2016/5/13",T3:T1205)</f>
        <v>11.631578947368421</v>
      </c>
      <c r="V1185" s="24">
        <v>20</v>
      </c>
      <c r="W1185" s="47" t="s">
        <v>4618</v>
      </c>
    </row>
    <row r="1186" spans="1:23">
      <c r="A1186" s="23">
        <v>4</v>
      </c>
      <c r="B1186" s="23">
        <v>29</v>
      </c>
      <c r="C1186" s="18">
        <v>5</v>
      </c>
      <c r="D1186" s="18">
        <v>4</v>
      </c>
      <c r="E1186" s="20">
        <v>46</v>
      </c>
      <c r="F1186" s="21">
        <f t="shared" si="55"/>
        <v>90.631578947368425</v>
      </c>
      <c r="G1186" s="22">
        <v>0.433478405235174</v>
      </c>
      <c r="H1186" s="18">
        <v>1</v>
      </c>
      <c r="I1186" s="18">
        <f t="shared" si="56"/>
        <v>0</v>
      </c>
      <c r="J1186" s="45">
        <v>42497</v>
      </c>
      <c r="K1186" s="8">
        <v>2016</v>
      </c>
      <c r="L1186" s="32">
        <f t="shared" si="54"/>
        <v>42501</v>
      </c>
      <c r="M1186" s="42">
        <v>1</v>
      </c>
      <c r="N1186" s="33">
        <v>112</v>
      </c>
      <c r="O1186" s="34">
        <f>AVERAGEIF(L3:L1205,"&lt;2016/5/7",N3:N1205)</f>
        <v>85</v>
      </c>
      <c r="P1186" s="38">
        <v>1</v>
      </c>
      <c r="Q1186" s="38">
        <f>AVERAGEIF(L3:L1205,"&lt;2016/5/7",P3:P1205)</f>
        <v>0.52941176470588236</v>
      </c>
      <c r="R1186" s="38">
        <v>1</v>
      </c>
      <c r="S1186" s="38">
        <f>AVERAGEIF(L3:L1205,"&lt;2016/5/7",R3:R1205)</f>
        <v>1.588235294117647</v>
      </c>
      <c r="T1186" s="38">
        <v>4</v>
      </c>
      <c r="U1186" s="38">
        <f>AVERAGEIF(L3:L1205,"&lt;2016/5/7",T3:T1205)</f>
        <v>12.058823529411764</v>
      </c>
      <c r="V1186" s="24">
        <v>19</v>
      </c>
      <c r="W1186" s="47" t="s">
        <v>4564</v>
      </c>
    </row>
    <row r="1187" spans="1:23">
      <c r="A1187" s="23">
        <v>2</v>
      </c>
      <c r="B1187" s="23">
        <v>9</v>
      </c>
      <c r="C1187" s="18">
        <v>4</v>
      </c>
      <c r="D1187" s="18">
        <v>4</v>
      </c>
      <c r="E1187" s="20">
        <v>52</v>
      </c>
      <c r="F1187" s="21">
        <f t="shared" si="55"/>
        <v>92.777777777777771</v>
      </c>
      <c r="G1187" s="22">
        <v>0.41303463669746998</v>
      </c>
      <c r="H1187" s="18">
        <v>0</v>
      </c>
      <c r="I1187" s="18">
        <f t="shared" si="56"/>
        <v>1</v>
      </c>
      <c r="J1187" s="41">
        <v>42496</v>
      </c>
      <c r="K1187" s="8">
        <v>2016</v>
      </c>
      <c r="L1187" s="32">
        <f t="shared" si="54"/>
        <v>42506</v>
      </c>
      <c r="M1187" s="40">
        <v>0</v>
      </c>
      <c r="N1187" s="33">
        <v>48</v>
      </c>
      <c r="O1187" s="34">
        <f>AVERAGEIF(L3:L1205,"&lt;2016/5/6",N3:N1205)</f>
        <v>85</v>
      </c>
      <c r="P1187" s="38">
        <v>2</v>
      </c>
      <c r="Q1187" s="38">
        <f>AVERAGEIF(L3:L1205,"&lt;2016/5/6",P3:P1205)</f>
        <v>0.52941176470588236</v>
      </c>
      <c r="R1187" s="38">
        <v>1</v>
      </c>
      <c r="S1187" s="38">
        <f>AVERAGEIF(L3:L1205,"&lt;2016/5/6",R3:R1205)</f>
        <v>1.588235294117647</v>
      </c>
      <c r="T1187" s="38">
        <v>10</v>
      </c>
      <c r="U1187" s="38">
        <f>AVERAGEIF(L3:L1205,"&lt;2016/5/6",T3:T1205)</f>
        <v>12.058823529411764</v>
      </c>
      <c r="V1187" s="24">
        <v>18</v>
      </c>
      <c r="W1187" s="47" t="s">
        <v>4634</v>
      </c>
    </row>
    <row r="1188" spans="1:23">
      <c r="A1188" s="23">
        <v>2</v>
      </c>
      <c r="B1188" s="23">
        <v>9</v>
      </c>
      <c r="C1188" s="18">
        <v>4</v>
      </c>
      <c r="D1188" s="18">
        <v>4</v>
      </c>
      <c r="E1188" s="20">
        <v>244</v>
      </c>
      <c r="F1188" s="21">
        <f t="shared" si="55"/>
        <v>83.882352941176464</v>
      </c>
      <c r="G1188" s="22">
        <v>0.37500061401777501</v>
      </c>
      <c r="H1188" s="18">
        <v>1</v>
      </c>
      <c r="I1188" s="18">
        <f t="shared" si="56"/>
        <v>0</v>
      </c>
      <c r="J1188" s="41">
        <v>42489</v>
      </c>
      <c r="K1188" s="8">
        <v>2016</v>
      </c>
      <c r="L1188" s="32">
        <f t="shared" si="54"/>
        <v>42501</v>
      </c>
      <c r="M1188" s="40">
        <v>0</v>
      </c>
      <c r="N1188" s="33">
        <v>130</v>
      </c>
      <c r="O1188" s="34">
        <f>AVERAGEIF(L3:L1205,"&lt;2016/4/29",N3:N1205)</f>
        <v>85</v>
      </c>
      <c r="P1188" s="38">
        <v>0</v>
      </c>
      <c r="Q1188" s="38">
        <f>AVERAGEIF(L3:L1205,"&lt;2016/4/29",P3:P1205)</f>
        <v>0.52941176470588236</v>
      </c>
      <c r="R1188" s="38">
        <v>1</v>
      </c>
      <c r="S1188" s="38">
        <f>AVERAGEIF(L3:L1205,"&lt;2016/4/29",R3:R1205)</f>
        <v>1.588235294117647</v>
      </c>
      <c r="T1188" s="38">
        <v>12</v>
      </c>
      <c r="U1188" s="38">
        <f>AVERAGEIF(L3:L1205,"&lt;2016/4/29",T3:T1205)</f>
        <v>12.058823529411764</v>
      </c>
      <c r="V1188" s="24">
        <v>17</v>
      </c>
      <c r="W1188" s="47" t="s">
        <v>4634</v>
      </c>
    </row>
    <row r="1189" spans="1:23">
      <c r="A1189" s="23">
        <v>2</v>
      </c>
      <c r="B1189" s="23">
        <v>5</v>
      </c>
      <c r="C1189" s="18">
        <v>5</v>
      </c>
      <c r="D1189" s="18">
        <v>6</v>
      </c>
      <c r="E1189" s="20">
        <v>67</v>
      </c>
      <c r="F1189" s="21">
        <f t="shared" si="55"/>
        <v>84.9375</v>
      </c>
      <c r="G1189" s="22">
        <v>0.47854230885649401</v>
      </c>
      <c r="H1189" s="18">
        <v>1</v>
      </c>
      <c r="I1189" s="18">
        <f t="shared" si="56"/>
        <v>0</v>
      </c>
      <c r="J1189" s="41">
        <v>42478</v>
      </c>
      <c r="K1189" s="8">
        <v>2016</v>
      </c>
      <c r="L1189" s="32">
        <f t="shared" si="54"/>
        <v>42481</v>
      </c>
      <c r="M1189" s="24">
        <v>0</v>
      </c>
      <c r="N1189" s="33">
        <v>116</v>
      </c>
      <c r="O1189" s="34">
        <f>AVERAGEIF(L3:L1205,"&lt;2016/4/18",N3:N1205)</f>
        <v>86.230769230769226</v>
      </c>
      <c r="P1189" s="38">
        <v>1</v>
      </c>
      <c r="Q1189" s="38">
        <f>AVERAGEIF(L3:L1205,"&lt;2016/4/18",P3:P1205)</f>
        <v>0.53846153846153844</v>
      </c>
      <c r="R1189" s="38">
        <v>1</v>
      </c>
      <c r="S1189" s="38">
        <f>AVERAGEIF(L3:L1205,"&lt;2016/4/18",R3:R1205)</f>
        <v>1.7692307692307692</v>
      </c>
      <c r="T1189" s="38">
        <v>3</v>
      </c>
      <c r="U1189" s="38">
        <f>AVERAGEIF(L3:L1205,"&lt;2016/4/18",T3:T1205)</f>
        <v>13</v>
      </c>
      <c r="V1189" s="24">
        <v>16</v>
      </c>
      <c r="W1189" s="47" t="s">
        <v>4563</v>
      </c>
    </row>
    <row r="1190" spans="1:23">
      <c r="A1190" s="23">
        <v>2</v>
      </c>
      <c r="B1190" s="23">
        <v>6</v>
      </c>
      <c r="C1190" s="18">
        <v>4</v>
      </c>
      <c r="D1190" s="18">
        <v>6</v>
      </c>
      <c r="E1190" s="20">
        <v>106</v>
      </c>
      <c r="F1190" s="21">
        <f t="shared" si="55"/>
        <v>83.533333333333331</v>
      </c>
      <c r="G1190" s="22">
        <v>0.61990505794224204</v>
      </c>
      <c r="H1190" s="18">
        <v>1</v>
      </c>
      <c r="I1190" s="18">
        <f t="shared" si="56"/>
        <v>0</v>
      </c>
      <c r="J1190" s="41">
        <v>42477</v>
      </c>
      <c r="K1190" s="8">
        <v>2016</v>
      </c>
      <c r="L1190" s="32">
        <f t="shared" si="54"/>
        <v>42486</v>
      </c>
      <c r="M1190" s="40">
        <v>0</v>
      </c>
      <c r="N1190" s="33">
        <v>42</v>
      </c>
      <c r="O1190" s="34">
        <f>AVERAGEIF(L3:L1205,"&lt;2016/4/17",N3:N1205)</f>
        <v>86.230769230769226</v>
      </c>
      <c r="P1190" s="38">
        <v>0</v>
      </c>
      <c r="Q1190" s="38">
        <f>AVERAGEIF(L3:L1205,"&lt;2016/4/17",P3:P1205)</f>
        <v>0.53846153846153844</v>
      </c>
      <c r="R1190" s="38">
        <v>1</v>
      </c>
      <c r="S1190" s="38">
        <f>AVERAGEIF(L3:L1205,"&lt;2016/4/17",R3:R1205)</f>
        <v>1.7692307692307692</v>
      </c>
      <c r="T1190" s="38">
        <v>9</v>
      </c>
      <c r="U1190" s="38">
        <f>AVERAGEIF(L3:L1205,"&lt;2016/4/17",T3:T1205)</f>
        <v>13</v>
      </c>
      <c r="V1190" s="24">
        <v>15</v>
      </c>
      <c r="W1190" s="47" t="s">
        <v>4550</v>
      </c>
    </row>
    <row r="1191" spans="1:23">
      <c r="A1191" s="23">
        <v>4</v>
      </c>
      <c r="B1191" s="23">
        <v>29</v>
      </c>
      <c r="C1191" s="18">
        <v>4</v>
      </c>
      <c r="D1191" s="18">
        <v>6</v>
      </c>
      <c r="E1191" s="20">
        <v>183</v>
      </c>
      <c r="F1191" s="21">
        <f t="shared" si="55"/>
        <v>76.428571428571431</v>
      </c>
      <c r="G1191" s="22">
        <v>0.874380746041023</v>
      </c>
      <c r="H1191" s="18">
        <v>1</v>
      </c>
      <c r="I1191" s="18">
        <f t="shared" si="56"/>
        <v>0</v>
      </c>
      <c r="J1191" s="45">
        <v>42472</v>
      </c>
      <c r="K1191" s="8">
        <v>2016</v>
      </c>
      <c r="L1191" s="32">
        <f t="shared" si="54"/>
        <v>42478</v>
      </c>
      <c r="M1191" s="42">
        <v>0</v>
      </c>
      <c r="N1191" s="33">
        <v>119</v>
      </c>
      <c r="O1191" s="34">
        <f>AVERAGEIF(L3:L1205,"&lt;2016/4/12",N3:N1205)</f>
        <v>87.5</v>
      </c>
      <c r="P1191" s="38">
        <v>1</v>
      </c>
      <c r="Q1191" s="38">
        <f>AVERAGEIF(L3:L1205,"&lt;2016/4/12",P3:P1205)</f>
        <v>0.5</v>
      </c>
      <c r="R1191" s="38">
        <v>1</v>
      </c>
      <c r="S1191" s="38">
        <f>AVERAGEIF(L3:L1205,"&lt;2016/4/12",R3:R1205)</f>
        <v>1.8333333333333333</v>
      </c>
      <c r="T1191" s="38">
        <v>6</v>
      </c>
      <c r="U1191" s="38">
        <f>AVERAGEIF(L3:L1205,"&lt;2016/4/12",T3:T1205)</f>
        <v>12.916666666666666</v>
      </c>
      <c r="V1191" s="24">
        <v>14</v>
      </c>
      <c r="W1191" s="47" t="s">
        <v>4688</v>
      </c>
    </row>
    <row r="1192" spans="1:23">
      <c r="A1192" s="23">
        <v>4</v>
      </c>
      <c r="B1192" s="23">
        <v>30</v>
      </c>
      <c r="C1192" s="18">
        <v>4</v>
      </c>
      <c r="D1192" s="18">
        <v>6</v>
      </c>
      <c r="E1192" s="20">
        <v>127</v>
      </c>
      <c r="F1192" s="21">
        <f t="shared" si="55"/>
        <v>72.538461538461533</v>
      </c>
      <c r="G1192" s="22">
        <v>0.37714168282986898</v>
      </c>
      <c r="H1192" s="18">
        <v>1</v>
      </c>
      <c r="I1192" s="18">
        <f t="shared" si="56"/>
        <v>0</v>
      </c>
      <c r="J1192" s="45">
        <v>42461</v>
      </c>
      <c r="K1192" s="8">
        <v>2016</v>
      </c>
      <c r="L1192" s="32">
        <f t="shared" si="54"/>
        <v>42479</v>
      </c>
      <c r="M1192" s="42">
        <v>0</v>
      </c>
      <c r="N1192" s="33">
        <v>47</v>
      </c>
      <c r="O1192" s="34">
        <f>AVERAGEIF(L3:L1205,"&lt;2016/4/1",N3:N1205)</f>
        <v>86.5</v>
      </c>
      <c r="P1192" s="38">
        <v>0</v>
      </c>
      <c r="Q1192" s="38">
        <f>AVERAGEIF(L3:L1205,"&lt;2016/4/1",P3:P1205)</f>
        <v>0.5</v>
      </c>
      <c r="R1192" s="38">
        <v>1</v>
      </c>
      <c r="S1192" s="38">
        <f>AVERAGEIF(L3:L1205,"&lt;2016/4/1",R3:R1205)</f>
        <v>1.25</v>
      </c>
      <c r="T1192" s="38">
        <v>18</v>
      </c>
      <c r="U1192" s="38">
        <f>AVERAGEIF(L3:L1205,"&lt;2016/4/1",T3:T1205)</f>
        <v>12.25</v>
      </c>
      <c r="V1192" s="24">
        <v>13</v>
      </c>
      <c r="W1192" s="47" t="s">
        <v>4550</v>
      </c>
    </row>
    <row r="1193" spans="1:23">
      <c r="A1193" s="23">
        <v>2</v>
      </c>
      <c r="B1193" s="23">
        <v>6</v>
      </c>
      <c r="C1193" s="18">
        <v>4</v>
      </c>
      <c r="D1193" s="18">
        <v>4</v>
      </c>
      <c r="E1193" s="20">
        <v>59</v>
      </c>
      <c r="F1193" s="21">
        <f t="shared" si="55"/>
        <v>73.666666666666671</v>
      </c>
      <c r="G1193" s="22">
        <v>0.37505428198697499</v>
      </c>
      <c r="H1193" s="18">
        <v>1</v>
      </c>
      <c r="I1193" s="18">
        <f t="shared" si="56"/>
        <v>0</v>
      </c>
      <c r="J1193" s="41">
        <v>42459</v>
      </c>
      <c r="K1193" s="8">
        <v>2016</v>
      </c>
      <c r="L1193" s="32">
        <f t="shared" si="54"/>
        <v>42473</v>
      </c>
      <c r="M1193" s="40">
        <v>0</v>
      </c>
      <c r="N1193" s="33">
        <v>71</v>
      </c>
      <c r="O1193" s="34">
        <f>AVERAGEIF(L3:L1205,"&lt;2016/3/30",N3:N1205)</f>
        <v>88.428571428571431</v>
      </c>
      <c r="P1193" s="38">
        <v>1</v>
      </c>
      <c r="Q1193" s="38">
        <f>AVERAGEIF(L3:L1205,"&lt;2016/3/30",P3:P1205)</f>
        <v>0.5714285714285714</v>
      </c>
      <c r="R1193" s="38">
        <v>1</v>
      </c>
      <c r="S1193" s="38">
        <f>AVERAGEIF(L3:L1205,"&lt;2016/3/30",R3:R1205)</f>
        <v>1.2857142857142858</v>
      </c>
      <c r="T1193" s="38">
        <v>14</v>
      </c>
      <c r="U1193" s="38">
        <f>AVERAGEIF(L3:L1205,"&lt;2016/3/30",T3:T1205)</f>
        <v>12.857142857142858</v>
      </c>
      <c r="V1193" s="24">
        <v>12</v>
      </c>
      <c r="W1193" s="47" t="s">
        <v>4618</v>
      </c>
    </row>
    <row r="1194" spans="1:23">
      <c r="A1194" s="23">
        <v>2</v>
      </c>
      <c r="B1194" s="23">
        <v>4</v>
      </c>
      <c r="C1194" s="18">
        <v>4</v>
      </c>
      <c r="D1194" s="18">
        <v>6</v>
      </c>
      <c r="E1194" s="20">
        <v>159</v>
      </c>
      <c r="F1194" s="21">
        <f t="shared" si="55"/>
        <v>65.909090909090907</v>
      </c>
      <c r="G1194" s="22">
        <v>0.37969735763651002</v>
      </c>
      <c r="H1194" s="18">
        <v>0</v>
      </c>
      <c r="I1194" s="18">
        <f t="shared" si="56"/>
        <v>1</v>
      </c>
      <c r="J1194" s="50">
        <v>42457</v>
      </c>
      <c r="K1194" s="8">
        <v>2016</v>
      </c>
      <c r="L1194" s="32">
        <f t="shared" si="54"/>
        <v>42468</v>
      </c>
      <c r="M1194" s="40">
        <v>1</v>
      </c>
      <c r="N1194" s="33">
        <v>193</v>
      </c>
      <c r="O1194" s="34">
        <f>AVERAGEIF(L3:L1205,"&lt;2016/3/28",N3:N1205)</f>
        <v>88.428571428571431</v>
      </c>
      <c r="P1194" s="38">
        <v>0</v>
      </c>
      <c r="Q1194" s="38">
        <f>AVERAGEIF(L3:L1205,"&lt;2016/3/28",P3:P1205)</f>
        <v>0.5714285714285714</v>
      </c>
      <c r="R1194" s="38">
        <v>1</v>
      </c>
      <c r="S1194" s="38">
        <f>AVERAGEIF(L3:L1205,"&lt;2016/3/28",R3:R1205)</f>
        <v>1.2857142857142858</v>
      </c>
      <c r="T1194" s="38">
        <v>11</v>
      </c>
      <c r="U1194" s="38">
        <f>AVERAGEIF(L3:L1205,"&lt;2016/3/28",T3:T1205)</f>
        <v>12.857142857142858</v>
      </c>
      <c r="V1194" s="24">
        <v>11</v>
      </c>
      <c r="W1194" s="47" t="s">
        <v>4563</v>
      </c>
    </row>
    <row r="1195" spans="1:23">
      <c r="A1195" s="23">
        <v>2</v>
      </c>
      <c r="B1195" s="23">
        <v>6</v>
      </c>
      <c r="C1195" s="18">
        <v>2</v>
      </c>
      <c r="D1195" s="18">
        <v>6</v>
      </c>
      <c r="E1195" s="20">
        <v>77</v>
      </c>
      <c r="F1195" s="21">
        <f t="shared" si="55"/>
        <v>64.8</v>
      </c>
      <c r="G1195" s="22">
        <v>0.28174345764168801</v>
      </c>
      <c r="H1195" s="18">
        <v>0</v>
      </c>
      <c r="I1195" s="18">
        <f t="shared" si="56"/>
        <v>1</v>
      </c>
      <c r="J1195" s="41">
        <v>42457</v>
      </c>
      <c r="K1195" s="8">
        <v>2016</v>
      </c>
      <c r="L1195" s="32">
        <f t="shared" si="54"/>
        <v>42471</v>
      </c>
      <c r="M1195" s="40">
        <v>1</v>
      </c>
      <c r="N1195" s="33">
        <v>55</v>
      </c>
      <c r="O1195" s="34">
        <f>AVERAGEIF(L3:L1205,"&lt;2016/3/28",N3:N1205)</f>
        <v>88.428571428571431</v>
      </c>
      <c r="P1195" s="38">
        <v>0</v>
      </c>
      <c r="Q1195" s="38">
        <f>AVERAGEIF(L3:L1205,"&lt;2016/3/28",P3:P1205)</f>
        <v>0.5714285714285714</v>
      </c>
      <c r="R1195" s="38">
        <v>3</v>
      </c>
      <c r="S1195" s="38">
        <f>AVERAGEIF(L3:L1205,"&lt;2016/3/28",R3:R1205)</f>
        <v>1.2857142857142858</v>
      </c>
      <c r="T1195" s="38">
        <v>14</v>
      </c>
      <c r="U1195" s="38">
        <f>AVERAGEIF(L3:L1205,"&lt;2016/3/28",T3:T1205)</f>
        <v>12.857142857142858</v>
      </c>
      <c r="V1195" s="24">
        <v>10</v>
      </c>
      <c r="W1195" s="47" t="s">
        <v>4618</v>
      </c>
    </row>
    <row r="1196" spans="1:23">
      <c r="A1196" s="23">
        <v>2</v>
      </c>
      <c r="B1196" s="23">
        <v>6</v>
      </c>
      <c r="C1196" s="18">
        <v>2</v>
      </c>
      <c r="D1196" s="18">
        <v>6</v>
      </c>
      <c r="E1196" s="20">
        <v>71</v>
      </c>
      <c r="F1196" s="21">
        <f t="shared" si="55"/>
        <v>64.111111111111114</v>
      </c>
      <c r="G1196" s="22">
        <v>0.38225628600600198</v>
      </c>
      <c r="H1196" s="18">
        <v>1</v>
      </c>
      <c r="I1196" s="18">
        <f t="shared" si="56"/>
        <v>0</v>
      </c>
      <c r="J1196" s="41">
        <v>42455</v>
      </c>
      <c r="K1196" s="8">
        <v>2016</v>
      </c>
      <c r="L1196" s="32">
        <f t="shared" si="54"/>
        <v>42471</v>
      </c>
      <c r="M1196" s="40">
        <v>1</v>
      </c>
      <c r="N1196" s="33">
        <v>55</v>
      </c>
      <c r="O1196" s="34">
        <f>AVERAGEIF(L3:L1205,"&lt;2016/3/26",N3:N1205)</f>
        <v>88.428571428571431</v>
      </c>
      <c r="P1196" s="38">
        <v>2</v>
      </c>
      <c r="Q1196" s="38">
        <f>AVERAGEIF(L3:L1205,"&lt;2016/3/26",P3:P1205)</f>
        <v>0.5714285714285714</v>
      </c>
      <c r="R1196" s="38">
        <v>4</v>
      </c>
      <c r="S1196" s="38">
        <f>AVERAGEIF(L3:L1205,"&lt;2016/3/26",R3:R1205)</f>
        <v>1.2857142857142858</v>
      </c>
      <c r="T1196" s="38">
        <v>16</v>
      </c>
      <c r="U1196" s="38">
        <f>AVERAGEIF(L3:L1205,"&lt;2016/3/26",T3:T1205)</f>
        <v>12.857142857142858</v>
      </c>
      <c r="V1196" s="24">
        <v>9</v>
      </c>
      <c r="W1196" s="47" t="s">
        <v>4618</v>
      </c>
    </row>
    <row r="1197" spans="1:23">
      <c r="A1197" s="23">
        <v>2</v>
      </c>
      <c r="B1197" s="23">
        <v>6</v>
      </c>
      <c r="C1197" s="18">
        <v>2</v>
      </c>
      <c r="D1197" s="18">
        <v>6</v>
      </c>
      <c r="E1197" s="20">
        <v>71</v>
      </c>
      <c r="F1197" s="21">
        <f t="shared" si="55"/>
        <v>63.25</v>
      </c>
      <c r="G1197" s="22">
        <v>0.34178379675918102</v>
      </c>
      <c r="H1197" s="18">
        <v>1</v>
      </c>
      <c r="I1197" s="18">
        <f t="shared" si="56"/>
        <v>0</v>
      </c>
      <c r="J1197" s="41">
        <v>42455</v>
      </c>
      <c r="K1197" s="8">
        <v>2016</v>
      </c>
      <c r="L1197" s="32">
        <f t="shared" si="54"/>
        <v>42471</v>
      </c>
      <c r="M1197" s="40">
        <v>1</v>
      </c>
      <c r="N1197" s="33">
        <v>55</v>
      </c>
      <c r="O1197" s="34">
        <f>AVERAGEIF(L3:L1205,"&lt;2016/3/26",N3:N1205)</f>
        <v>88.428571428571431</v>
      </c>
      <c r="P1197" s="38">
        <v>0</v>
      </c>
      <c r="Q1197" s="38">
        <f>AVERAGEIF(L3:L1205,"&lt;2016/3/26",P3:P1205)</f>
        <v>0.5714285714285714</v>
      </c>
      <c r="R1197" s="38">
        <v>4</v>
      </c>
      <c r="S1197" s="38">
        <f>AVERAGEIF(L3:L1205,"&lt;2016/3/26",R3:R1205)</f>
        <v>1.2857142857142858</v>
      </c>
      <c r="T1197" s="38">
        <v>16</v>
      </c>
      <c r="U1197" s="38">
        <f>AVERAGEIF(L3:L1205,"&lt;2016/3/26",T3:T1205)</f>
        <v>12.857142857142858</v>
      </c>
      <c r="V1197" s="24">
        <v>8</v>
      </c>
      <c r="W1197" s="47" t="s">
        <v>4618</v>
      </c>
    </row>
    <row r="1198" spans="1:23">
      <c r="A1198" s="23">
        <v>2</v>
      </c>
      <c r="B1198" s="23">
        <v>6</v>
      </c>
      <c r="C1198" s="18">
        <v>4</v>
      </c>
      <c r="D1198" s="18">
        <v>4</v>
      </c>
      <c r="E1198" s="20">
        <v>82</v>
      </c>
      <c r="F1198" s="21">
        <f t="shared" si="55"/>
        <v>60.571428571428569</v>
      </c>
      <c r="G1198" s="22">
        <v>0.39318309497917497</v>
      </c>
      <c r="H1198" s="18">
        <v>1</v>
      </c>
      <c r="I1198" s="18">
        <f t="shared" si="56"/>
        <v>0</v>
      </c>
      <c r="J1198" s="41">
        <v>42452</v>
      </c>
      <c r="K1198" s="8">
        <v>2016</v>
      </c>
      <c r="L1198" s="32">
        <f t="shared" si="54"/>
        <v>42460</v>
      </c>
      <c r="M1198" s="56">
        <v>0</v>
      </c>
      <c r="N1198" s="33">
        <v>73</v>
      </c>
      <c r="O1198" s="34">
        <f>AVERAGEIF(L3:L1205,"&lt;2016/3/23",N3:N1205)</f>
        <v>83.333333333333329</v>
      </c>
      <c r="P1198" s="56">
        <v>0</v>
      </c>
      <c r="Q1198" s="56">
        <f>AVERAGEIF(L3:L1205,"&lt;2016/3/23",P3:P1205)</f>
        <v>0.66666666666666663</v>
      </c>
      <c r="R1198" s="56">
        <v>1</v>
      </c>
      <c r="S1198" s="56">
        <f>AVERAGEIF(L3:L1205,"&lt;2016/3/23",R3:R1205)</f>
        <v>1.3333333333333333</v>
      </c>
      <c r="T1198" s="56">
        <v>8</v>
      </c>
      <c r="U1198" s="40">
        <f>AVERAGEIF(L3:L1205,"&lt;2016/3/23",T3:T1205)</f>
        <v>13.333333333333334</v>
      </c>
      <c r="V1198" s="24">
        <v>7</v>
      </c>
      <c r="W1198" s="47" t="s">
        <v>4542</v>
      </c>
    </row>
    <row r="1199" spans="1:23">
      <c r="A1199" s="23">
        <v>3</v>
      </c>
      <c r="B1199" s="23">
        <v>27</v>
      </c>
      <c r="C1199" s="18">
        <v>4</v>
      </c>
      <c r="D1199" s="18">
        <v>9</v>
      </c>
      <c r="E1199" s="20">
        <v>7</v>
      </c>
      <c r="F1199" s="21">
        <f t="shared" si="55"/>
        <v>69.5</v>
      </c>
      <c r="G1199" s="22">
        <v>0.64387535900369397</v>
      </c>
      <c r="H1199" s="3">
        <v>1</v>
      </c>
      <c r="I1199" s="18">
        <f t="shared" si="56"/>
        <v>0</v>
      </c>
      <c r="J1199" s="41">
        <v>42443</v>
      </c>
      <c r="K1199" s="8">
        <v>2016</v>
      </c>
      <c r="L1199" s="32">
        <f t="shared" si="54"/>
        <v>42453</v>
      </c>
      <c r="M1199" s="37">
        <v>0</v>
      </c>
      <c r="N1199" s="33">
        <v>119</v>
      </c>
      <c r="O1199" s="34">
        <f>AVERAGEIF(L3:L1205,"&lt;2016/3/14",N3:N1205)</f>
        <v>69.400000000000006</v>
      </c>
      <c r="P1199" s="54">
        <v>0</v>
      </c>
      <c r="Q1199" s="54">
        <f>AVERAGEIF(L3:L1205,"&lt;2016/3/14",P3:P1205)</f>
        <v>0.4</v>
      </c>
      <c r="R1199" s="54">
        <v>1</v>
      </c>
      <c r="S1199" s="54">
        <f>AVERAGEIF(L3:L1205,"&lt;2016/3/14",R3:R1205)</f>
        <v>1.2</v>
      </c>
      <c r="T1199" s="54">
        <v>10</v>
      </c>
      <c r="U1199" s="38">
        <f>AVERAGEIF(L3:L1205,"&lt;2016/3/14",T3:T1205)</f>
        <v>8.8000000000000007</v>
      </c>
      <c r="V1199" s="24">
        <v>6</v>
      </c>
      <c r="W1199" s="47" t="s">
        <v>4529</v>
      </c>
    </row>
    <row r="1200" spans="1:23">
      <c r="A1200" s="23">
        <v>2</v>
      </c>
      <c r="B1200" s="23">
        <v>6</v>
      </c>
      <c r="C1200" s="18">
        <v>4</v>
      </c>
      <c r="D1200" s="18">
        <v>4</v>
      </c>
      <c r="E1200" s="20">
        <v>73</v>
      </c>
      <c r="F1200" s="21">
        <f t="shared" si="55"/>
        <v>68.8</v>
      </c>
      <c r="G1200" s="22">
        <v>0.39318309497917497</v>
      </c>
      <c r="H1200" s="18">
        <v>1</v>
      </c>
      <c r="I1200" s="18">
        <f t="shared" si="56"/>
        <v>0</v>
      </c>
      <c r="J1200" s="41">
        <v>42432</v>
      </c>
      <c r="K1200" s="8">
        <v>2016</v>
      </c>
      <c r="L1200" s="32">
        <f t="shared" si="54"/>
        <v>42438</v>
      </c>
      <c r="M1200" s="40">
        <v>0</v>
      </c>
      <c r="N1200" s="33">
        <v>126</v>
      </c>
      <c r="O1200" s="34">
        <f>AVERAGEIF(L3:L1205,"&lt;2016/3/2",N3:N1205)</f>
        <v>61</v>
      </c>
      <c r="P1200" s="40">
        <v>0</v>
      </c>
      <c r="Q1200" s="40">
        <f>AVERAGEIF(L3:L1205,"&lt;2016/3/3",P3:P1205)</f>
        <v>0</v>
      </c>
      <c r="R1200" s="40">
        <v>1</v>
      </c>
      <c r="S1200" s="40">
        <f>AVERAGEIF(L3:L1205,"&lt;2016/3/3",R3:R1205)</f>
        <v>1.5</v>
      </c>
      <c r="T1200" s="40">
        <v>6</v>
      </c>
      <c r="U1200" s="40">
        <f>AVERAGEIF(L3:L1205,"&lt;2016/3/3",T3:T1205)</f>
        <v>11</v>
      </c>
      <c r="V1200" s="24">
        <v>5</v>
      </c>
      <c r="W1200" s="47" t="s">
        <v>4634</v>
      </c>
    </row>
    <row r="1201" spans="1:23">
      <c r="A1201" s="23">
        <v>4</v>
      </c>
      <c r="B1201" s="23">
        <v>28</v>
      </c>
      <c r="C1201" s="18">
        <v>4</v>
      </c>
      <c r="D1201" s="18">
        <v>6</v>
      </c>
      <c r="E1201" s="20">
        <v>135</v>
      </c>
      <c r="F1201" s="21">
        <f t="shared" si="55"/>
        <v>52.25</v>
      </c>
      <c r="G1201" s="22">
        <v>0.375000162547594</v>
      </c>
      <c r="H1201" s="18">
        <v>0</v>
      </c>
      <c r="I1201" s="18">
        <f t="shared" si="56"/>
        <v>1</v>
      </c>
      <c r="J1201" s="45">
        <v>42431</v>
      </c>
      <c r="K1201" s="8">
        <v>2016</v>
      </c>
      <c r="L1201" s="32">
        <f t="shared" si="54"/>
        <v>42436</v>
      </c>
      <c r="M1201" s="44">
        <v>0</v>
      </c>
      <c r="N1201" s="33">
        <v>74</v>
      </c>
      <c r="O1201" s="34">
        <f>AVERAGEIF(L3:L1205,"&lt;2016/3/2",N3:N1205)</f>
        <v>61</v>
      </c>
      <c r="P1201" s="38">
        <v>0</v>
      </c>
      <c r="Q1201" s="38">
        <f>AVERAGEIF(L3:L1205,"&lt;2016/3/2",P3:P1205)</f>
        <v>0</v>
      </c>
      <c r="R1201" s="38">
        <v>1</v>
      </c>
      <c r="S1201" s="38">
        <f>AVERAGEIF(L3:L1205,"&lt;2016/3/2",R3:R1205)</f>
        <v>1.5</v>
      </c>
      <c r="T1201" s="38">
        <v>5</v>
      </c>
      <c r="U1201" s="38">
        <f>AVERAGEIF(L3:L1205,"&lt;2016/3/2",T3:T1205)</f>
        <v>11</v>
      </c>
      <c r="V1201" s="24">
        <v>4</v>
      </c>
      <c r="W1201" s="47" t="s">
        <v>4652</v>
      </c>
    </row>
    <row r="1202" spans="1:23">
      <c r="A1202" s="23">
        <v>2</v>
      </c>
      <c r="B1202" s="23">
        <v>5</v>
      </c>
      <c r="C1202" s="18">
        <v>5</v>
      </c>
      <c r="D1202" s="18">
        <v>4</v>
      </c>
      <c r="E1202" s="20">
        <v>12</v>
      </c>
      <c r="F1202" s="21">
        <f t="shared" si="55"/>
        <v>65.666666666666671</v>
      </c>
      <c r="G1202" s="22">
        <v>0.46727424077736601</v>
      </c>
      <c r="H1202" s="18">
        <v>1</v>
      </c>
      <c r="I1202" s="18">
        <f t="shared" si="56"/>
        <v>0</v>
      </c>
      <c r="J1202" s="41">
        <v>42429</v>
      </c>
      <c r="K1202" s="8">
        <v>2016</v>
      </c>
      <c r="L1202" s="32">
        <f t="shared" si="54"/>
        <v>42440</v>
      </c>
      <c r="M1202" s="37">
        <v>0</v>
      </c>
      <c r="N1202" s="33">
        <v>25</v>
      </c>
      <c r="O1202" s="34">
        <f>AVERAGEIF(L3:L1205,"&lt;2016/2/29",N3:N1205)</f>
        <v>61</v>
      </c>
      <c r="P1202" s="38">
        <v>2</v>
      </c>
      <c r="Q1202" s="38">
        <f>AVERAGEIF(L3:L1205,"&lt;2016/2/29",P3:P1205)</f>
        <v>0</v>
      </c>
      <c r="R1202" s="38">
        <v>1</v>
      </c>
      <c r="S1202" s="38">
        <f>AVERAGEIF(L3:L1205,"&lt;2016/2/29",R3:R1205)</f>
        <v>1.5</v>
      </c>
      <c r="T1202" s="38">
        <v>11</v>
      </c>
      <c r="U1202" s="38">
        <f>AVERAGEIF(L3:L1205,"&lt;2016/3/29",T3:T1205)</f>
        <v>12.857142857142858</v>
      </c>
      <c r="V1202" s="24">
        <v>3</v>
      </c>
      <c r="W1202" s="47" t="s">
        <v>4563</v>
      </c>
    </row>
    <row r="1203" spans="1:23">
      <c r="A1203" s="23">
        <v>3</v>
      </c>
      <c r="B1203" s="23">
        <v>19</v>
      </c>
      <c r="C1203" s="18">
        <v>4</v>
      </c>
      <c r="D1203" s="18">
        <v>6</v>
      </c>
      <c r="E1203" s="20">
        <v>95</v>
      </c>
      <c r="F1203" s="21">
        <f t="shared" si="55"/>
        <v>51</v>
      </c>
      <c r="G1203" s="22">
        <v>0.70899309364871299</v>
      </c>
      <c r="H1203" s="3">
        <v>1</v>
      </c>
      <c r="I1203" s="18">
        <f t="shared" si="56"/>
        <v>0</v>
      </c>
      <c r="J1203" s="41">
        <v>42407</v>
      </c>
      <c r="K1203" s="8">
        <v>2016</v>
      </c>
      <c r="L1203" s="32">
        <f t="shared" si="54"/>
        <v>42443</v>
      </c>
      <c r="M1203" s="24">
        <v>0</v>
      </c>
      <c r="N1203" s="33">
        <v>153</v>
      </c>
      <c r="O1203" s="34">
        <f>AVERAGEIF(L3:L1205,"&lt;2016/2/7",N3:N1205)</f>
        <v>61</v>
      </c>
      <c r="P1203" s="54">
        <v>2</v>
      </c>
      <c r="Q1203" s="54">
        <f>AVERAGEIF(L3:L1205,"&lt;2016/2/7",P3:P1205)</f>
        <v>0</v>
      </c>
      <c r="R1203" s="54">
        <v>2</v>
      </c>
      <c r="S1203" s="54">
        <f>AVERAGEIF(L3:L1205,"&lt;2016/2/7",R3:R1205)</f>
        <v>1</v>
      </c>
      <c r="T1203" s="54">
        <v>36</v>
      </c>
      <c r="U1203" s="38">
        <f>AVERAGEIF(L3:L1205,"&lt;2016/3/7",T3:T1205)</f>
        <v>11</v>
      </c>
      <c r="V1203" s="24">
        <v>2</v>
      </c>
      <c r="W1203" s="47" t="s">
        <v>4529</v>
      </c>
    </row>
    <row r="1204" spans="1:23">
      <c r="A1204" s="23">
        <v>2</v>
      </c>
      <c r="B1204" s="23">
        <v>6</v>
      </c>
      <c r="C1204" s="18">
        <v>4</v>
      </c>
      <c r="D1204" s="18">
        <v>4</v>
      </c>
      <c r="E1204" s="20">
        <v>31</v>
      </c>
      <c r="F1204" s="21">
        <f t="shared" si="55"/>
        <v>71</v>
      </c>
      <c r="G1204" s="22">
        <v>0.46715755505530199</v>
      </c>
      <c r="H1204" s="18">
        <v>1</v>
      </c>
      <c r="I1204" s="18">
        <f t="shared" si="56"/>
        <v>0</v>
      </c>
      <c r="J1204" s="41">
        <v>42404</v>
      </c>
      <c r="K1204" s="8">
        <v>2016</v>
      </c>
      <c r="L1204" s="32">
        <f t="shared" si="54"/>
        <v>42417</v>
      </c>
      <c r="M1204" s="37">
        <v>1</v>
      </c>
      <c r="N1204" s="33">
        <v>61</v>
      </c>
      <c r="O1204" s="34">
        <f>AVERAGEIF(L3:L1205,"&lt;2016/2/4",N3:N1205)</f>
        <v>61</v>
      </c>
      <c r="P1204" s="38">
        <v>0</v>
      </c>
      <c r="Q1204" s="38">
        <f>AVERAGEIF(L3:L1205,"&lt;2016/2/4",P3:P1205)</f>
        <v>0</v>
      </c>
      <c r="R1204" s="38">
        <v>2</v>
      </c>
      <c r="S1204" s="38">
        <f>AVERAGEIF(L3:L1205,"&lt;2016/2/4",R3:R1205)</f>
        <v>1</v>
      </c>
      <c r="T1204" s="38">
        <v>13</v>
      </c>
      <c r="U1204" s="38">
        <f>AVERAGEIF(L3:L1205,"&lt;2016/3/4",T3:T1205)</f>
        <v>11</v>
      </c>
      <c r="V1204" s="24">
        <v>1</v>
      </c>
      <c r="W1204" s="47" t="s">
        <v>4618</v>
      </c>
    </row>
    <row r="1205" spans="1:23">
      <c r="A1205" s="23">
        <v>2</v>
      </c>
      <c r="B1205" s="23">
        <v>6</v>
      </c>
      <c r="C1205" s="18">
        <v>4</v>
      </c>
      <c r="D1205" s="18">
        <v>4</v>
      </c>
      <c r="E1205" s="20">
        <v>71</v>
      </c>
      <c r="F1205" s="21" t="e">
        <f t="shared" si="55"/>
        <v>#DIV/0!</v>
      </c>
      <c r="G1205" s="22">
        <v>0.37517421194411499</v>
      </c>
      <c r="H1205" s="18">
        <v>1</v>
      </c>
      <c r="I1205" s="18">
        <f t="shared" si="56"/>
        <v>0</v>
      </c>
      <c r="J1205" s="41">
        <v>42389</v>
      </c>
      <c r="K1205" s="8">
        <v>2016</v>
      </c>
      <c r="L1205" s="32">
        <f t="shared" si="54"/>
        <v>42398</v>
      </c>
      <c r="M1205" s="40">
        <v>0</v>
      </c>
      <c r="N1205" s="33">
        <v>61</v>
      </c>
      <c r="O1205" s="34" t="e">
        <f>AVERAGEIF(L3:L1205,"&lt;2016/1/20",N3:N1205)</f>
        <v>#DIV/0!</v>
      </c>
      <c r="P1205" s="54">
        <v>0</v>
      </c>
      <c r="Q1205" s="54" t="e">
        <f>AVERAGEIF(L3:L1205,"&lt;2016/1/20",P3:P1205)</f>
        <v>#DIV/0!</v>
      </c>
      <c r="R1205" s="54">
        <v>1</v>
      </c>
      <c r="S1205" s="54" t="e">
        <f>AVERAGEIF(L3:L1205,"&lt;2016/1/20",R3:R1205)</f>
        <v>#DIV/0!</v>
      </c>
      <c r="T1205" s="54">
        <v>9</v>
      </c>
      <c r="U1205" s="38" t="e">
        <f>AVERAGEIF(L3:L1205,"&lt;2016/1/20",T3:T1205)</f>
        <v>#DIV/0!</v>
      </c>
      <c r="V1205" s="24">
        <v>0</v>
      </c>
      <c r="W1205" s="47" t="s">
        <v>4550</v>
      </c>
    </row>
    <row r="1206" spans="1:23">
      <c r="W1206" s="47"/>
    </row>
    <row r="1207" spans="1:23">
      <c r="W1207" s="47"/>
    </row>
  </sheetData>
  <phoneticPr fontId="16"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汇总</vt:lpstr>
      <vt:lpstr>鼓楼区</vt:lpstr>
      <vt:lpstr>仓山区</vt:lpstr>
      <vt:lpstr>台江区</vt:lpstr>
      <vt:lpstr>晋安区</vt:lpstr>
      <vt:lpstr>马尾区</vt:lpstr>
      <vt:lpstr>调整</vt:lpstr>
      <vt:lpstr>已有诉求件数量</vt:lpstr>
      <vt:lpstr>政府信息</vt:lpstr>
      <vt:lpstr>汇总+历史数据0415</vt:lpstr>
      <vt:lpstr>回归数据-刘佳慧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焱焜 杨</cp:lastModifiedBy>
  <dcterms:created xsi:type="dcterms:W3CDTF">2015-06-05T18:17:00Z</dcterms:created>
  <dcterms:modified xsi:type="dcterms:W3CDTF">2021-05-28T06:40:30Z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2052-11.1.0.10495</vt:lpwstr>
  </property>
  <property fmtid="{D5CDD505-2E9C-101B-9397-08002B2CF9AE}" pid="3" name="ICV">
    <vt:lpwstr>AF39A72E73E545EC8FE209CF397CAD44</vt:lpwstr>
  </property>
</Properties>
</file>